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C:\Local\SHnow\Res\Papers\IBCat H2AD\UK in situ\Angie\Dataset\"/>
    </mc:Choice>
  </mc:AlternateContent>
  <xr:revisionPtr revIDLastSave="0" documentId="13_ncr:1_{AE0B339C-213E-4049-9426-A297A167092A}" xr6:coauthVersionLast="47" xr6:coauthVersionMax="47" xr10:uidLastSave="{00000000-0000-0000-0000-000000000000}"/>
  <bookViews>
    <workbookView xWindow="15252" yWindow="-108" windowWidth="23256" windowHeight="12576" tabRatio="774" xr2:uid="{F2F3BAEF-D079-4BCF-8DDD-E953D722D2B6}"/>
  </bookViews>
  <sheets>
    <sheet name="Readme" sheetId="48" r:id="rId1"/>
    <sheet name="S1" sheetId="44" r:id="rId2"/>
    <sheet name="S2" sheetId="45" r:id="rId3"/>
    <sheet name="S3" sheetId="46" r:id="rId4"/>
    <sheet name="S4" sheetId="47" r:id="rId5"/>
    <sheet name="Agnees" sheetId="9" r:id="rId6"/>
    <sheet name="Alfaro" sheetId="11" r:id="rId7"/>
    <sheet name="Bass" sheetId="4" r:id="rId8"/>
    <sheet name="Corb" sheetId="24" r:id="rId9"/>
    <sheet name="Deschamps" sheetId="31" r:id="rId10"/>
    <sheet name="Diaz" sheetId="33" r:id="rId11"/>
    <sheet name="Font" sheetId="32" r:id="rId12"/>
    <sheet name="Illi" sheetId="19" r:id="rId13"/>
    <sheet name="Khan" sheetId="39" r:id="rId14"/>
    <sheet name="Kim" sheetId="12" r:id="rId15"/>
    <sheet name="Lebranch" sheetId="14" r:id="rId16"/>
    <sheet name="Lovato" sheetId="27" r:id="rId17"/>
    <sheet name="Luo" sheetId="3" r:id="rId18"/>
    <sheet name="Jing" sheetId="26" r:id="rId19"/>
    <sheet name="Schon" sheetId="38" r:id="rId20"/>
    <sheet name="Tao" sheetId="10" r:id="rId21"/>
    <sheet name="Thapa" sheetId="35" r:id="rId22"/>
    <sheet name="Treu" sheetId="34" r:id="rId23"/>
    <sheet name="Voelk" sheetId="16" r:id="rId24"/>
    <sheet name="Wahid" sheetId="22" r:id="rId25"/>
    <sheet name="Wang W" sheetId="17" r:id="rId26"/>
    <sheet name="Yang" sheetId="13" r:id="rId27"/>
    <sheet name="Zhang" sheetId="40" r:id="rId28"/>
    <sheet name="Zhu" sheetId="23" r:id="rId29"/>
    <sheet name="Data" sheetId="18" r:id="rId30"/>
    <sheet name="Hafuka" sheetId="28" r:id="rId31"/>
    <sheet name="Jens" sheetId="15" r:id="rId32"/>
    <sheet name="Okoro" sheetId="2" r:id="rId33"/>
    <sheet name="Palu" sheetId="30" r:id="rId34"/>
    <sheet name="Xu" sheetId="29" r:id="rId35"/>
    <sheet name="Wang H" sheetId="21" r:id="rId36"/>
    <sheet name="Table 1" sheetId="42" r:id="rId37"/>
    <sheet name="All" sheetId="36" r:id="rId38"/>
  </sheets>
  <definedNames>
    <definedName name="_Hlk104036267" localSheetId="0">Readme!$C$54</definedName>
    <definedName name="_Hlk106190841" localSheetId="0">Readme!#REF!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40" l="1"/>
  <c r="E107" i="40"/>
  <c r="D107" i="40"/>
  <c r="E69" i="40"/>
  <c r="D69" i="40"/>
  <c r="D42" i="40"/>
  <c r="D49" i="40" s="1"/>
  <c r="D39" i="40"/>
  <c r="D40" i="40" s="1"/>
  <c r="E38" i="40"/>
  <c r="D38" i="40"/>
  <c r="E36" i="40"/>
  <c r="D44" i="40" s="1"/>
  <c r="D36" i="40"/>
  <c r="D37" i="40" s="1"/>
  <c r="E35" i="40"/>
  <c r="D35" i="40"/>
  <c r="E195" i="10"/>
  <c r="G194" i="10"/>
  <c r="E194" i="10"/>
  <c r="E193" i="10"/>
  <c r="E189" i="10"/>
  <c r="G188" i="10"/>
  <c r="E188" i="10"/>
  <c r="G187" i="10"/>
  <c r="E187" i="10"/>
  <c r="E191" i="10" s="1"/>
  <c r="G186" i="10"/>
  <c r="G192" i="10" s="1"/>
  <c r="E186" i="10"/>
  <c r="E192" i="10" s="1"/>
  <c r="E185" i="10"/>
  <c r="G184" i="10"/>
  <c r="G196" i="10" s="1"/>
  <c r="E184" i="10"/>
  <c r="E196" i="10" s="1"/>
  <c r="G178" i="10"/>
  <c r="F178" i="10"/>
  <c r="E178" i="10"/>
  <c r="D178" i="10"/>
  <c r="D51" i="40" l="1"/>
  <c r="D45" i="40"/>
  <c r="D41" i="40"/>
  <c r="D46" i="40" s="1"/>
  <c r="D43" i="40"/>
  <c r="E37" i="40"/>
  <c r="D50" i="40" s="1"/>
  <c r="G191" i="10"/>
  <c r="G185" i="10"/>
  <c r="G189" i="10"/>
  <c r="G193" i="10"/>
  <c r="G195" i="10"/>
  <c r="E190" i="10"/>
  <c r="G190" i="10"/>
  <c r="D47" i="40" l="1"/>
  <c r="D48" i="40"/>
  <c r="D52" i="40"/>
  <c r="I281" i="3" l="1"/>
  <c r="H281" i="3"/>
  <c r="G281" i="3"/>
  <c r="F281" i="3"/>
  <c r="E281" i="3"/>
  <c r="D281" i="3"/>
  <c r="T141" i="4" l="1"/>
  <c r="T144" i="4" s="1"/>
  <c r="S141" i="4"/>
  <c r="S144" i="4" s="1"/>
  <c r="R141" i="4"/>
  <c r="R144" i="4" s="1"/>
  <c r="Q141" i="4"/>
  <c r="Q144" i="4" s="1"/>
  <c r="P141" i="4"/>
  <c r="P144" i="4" s="1"/>
  <c r="O141" i="4"/>
  <c r="O144" i="4" s="1"/>
  <c r="N141" i="4"/>
  <c r="N144" i="4" s="1"/>
  <c r="M141" i="4"/>
  <c r="M144" i="4" s="1"/>
  <c r="K141" i="4"/>
  <c r="K144" i="4" s="1"/>
  <c r="J141" i="4"/>
  <c r="J144" i="4" s="1"/>
  <c r="I141" i="4"/>
  <c r="I144" i="4" s="1"/>
  <c r="H141" i="4"/>
  <c r="H144" i="4" s="1"/>
  <c r="G141" i="4"/>
  <c r="G144" i="4" s="1"/>
  <c r="F141" i="4"/>
  <c r="F144" i="4" s="1"/>
  <c r="E141" i="4"/>
  <c r="E144" i="4" s="1"/>
  <c r="D141" i="4"/>
  <c r="D144" i="4" s="1"/>
  <c r="T140" i="4"/>
  <c r="S140" i="4"/>
  <c r="R140" i="4"/>
  <c r="R143" i="4" s="1"/>
  <c r="Q140" i="4"/>
  <c r="Q143" i="4" s="1"/>
  <c r="P140" i="4"/>
  <c r="O140" i="4"/>
  <c r="N140" i="4"/>
  <c r="N143" i="4" s="1"/>
  <c r="M140" i="4"/>
  <c r="M143" i="4" s="1"/>
  <c r="K140" i="4"/>
  <c r="J140" i="4"/>
  <c r="I140" i="4"/>
  <c r="I143" i="4" s="1"/>
  <c r="H140" i="4"/>
  <c r="H143" i="4" s="1"/>
  <c r="G140" i="4"/>
  <c r="F140" i="4"/>
  <c r="E140" i="4"/>
  <c r="E143" i="4" s="1"/>
  <c r="T143" i="4"/>
  <c r="S143" i="4"/>
  <c r="P143" i="4"/>
  <c r="O143" i="4"/>
  <c r="K143" i="4"/>
  <c r="J143" i="4"/>
  <c r="G143" i="4"/>
  <c r="F143" i="4"/>
  <c r="D140" i="4"/>
  <c r="D143" i="4" s="1"/>
  <c r="T142" i="4"/>
  <c r="S142" i="4"/>
  <c r="R142" i="4"/>
  <c r="Q142" i="4"/>
  <c r="P142" i="4"/>
  <c r="O142" i="4"/>
  <c r="N142" i="4"/>
  <c r="M142" i="4"/>
  <c r="K142" i="4"/>
  <c r="J142" i="4"/>
  <c r="I142" i="4"/>
  <c r="H142" i="4"/>
  <c r="G142" i="4"/>
  <c r="F142" i="4"/>
  <c r="E142" i="4"/>
  <c r="D142" i="4"/>
  <c r="D171" i="4"/>
  <c r="F145" i="4"/>
  <c r="H145" i="4"/>
  <c r="J145" i="4"/>
  <c r="M145" i="4"/>
  <c r="O145" i="4"/>
  <c r="Q145" i="4"/>
  <c r="S145" i="4"/>
  <c r="F147" i="4"/>
  <c r="E54" i="4"/>
  <c r="E65" i="4" s="1"/>
  <c r="G51" i="4"/>
  <c r="E51" i="4"/>
  <c r="G43" i="4"/>
  <c r="F43" i="4"/>
  <c r="E43" i="4"/>
  <c r="G47" i="4"/>
  <c r="F47" i="4"/>
  <c r="E47" i="4"/>
  <c r="D47" i="4"/>
  <c r="G48" i="4"/>
  <c r="G50" i="4" s="1"/>
  <c r="F48" i="4"/>
  <c r="F50" i="4" s="1"/>
  <c r="E48" i="4"/>
  <c r="E50" i="4" s="1"/>
  <c r="G46" i="4"/>
  <c r="G49" i="4" s="1"/>
  <c r="F46" i="4"/>
  <c r="F49" i="4" s="1"/>
  <c r="E46" i="4"/>
  <c r="E49" i="4" s="1"/>
  <c r="D48" i="4"/>
  <c r="D50" i="4" s="1"/>
  <c r="D46" i="4"/>
  <c r="D49" i="4" s="1"/>
  <c r="D56" i="4"/>
  <c r="D58" i="4" s="1"/>
  <c r="G56" i="4"/>
  <c r="F56" i="4"/>
  <c r="F58" i="4" s="1"/>
  <c r="E56" i="4"/>
  <c r="E57" i="4" s="1"/>
  <c r="P54" i="38"/>
  <c r="O54" i="38"/>
  <c r="N54" i="38"/>
  <c r="M54" i="38"/>
  <c r="L54" i="38"/>
  <c r="K54" i="38"/>
  <c r="J54" i="38"/>
  <c r="I54" i="38"/>
  <c r="H54" i="38"/>
  <c r="G54" i="38"/>
  <c r="F54" i="38"/>
  <c r="E54" i="38"/>
  <c r="P53" i="38"/>
  <c r="O53" i="38"/>
  <c r="N53" i="38"/>
  <c r="M53" i="38"/>
  <c r="L53" i="38"/>
  <c r="K53" i="38"/>
  <c r="J53" i="38"/>
  <c r="I53" i="38"/>
  <c r="H53" i="38"/>
  <c r="G53" i="38"/>
  <c r="F53" i="38"/>
  <c r="E53" i="38"/>
  <c r="C138" i="47"/>
  <c r="C132" i="47"/>
  <c r="Q132" i="47" s="1"/>
  <c r="C125" i="47"/>
  <c r="Q125" i="47" s="1"/>
  <c r="C134" i="47"/>
  <c r="Q134" i="47" s="1"/>
  <c r="C128" i="47"/>
  <c r="Q128" i="47" s="1"/>
  <c r="C122" i="47"/>
  <c r="C120" i="47"/>
  <c r="Q120" i="47" s="1"/>
  <c r="C114" i="47"/>
  <c r="C109" i="46"/>
  <c r="Q109" i="46" s="1"/>
  <c r="C95" i="46"/>
  <c r="C89" i="46"/>
  <c r="Q89" i="46" s="1"/>
  <c r="C85" i="46"/>
  <c r="Q85" i="46" s="1"/>
  <c r="C81" i="46"/>
  <c r="Q81" i="46" s="1"/>
  <c r="C74" i="46"/>
  <c r="C111" i="46"/>
  <c r="Q111" i="46" s="1"/>
  <c r="C105" i="46"/>
  <c r="Q105" i="46" s="1"/>
  <c r="C93" i="46"/>
  <c r="Q93" i="46" s="1"/>
  <c r="C87" i="46"/>
  <c r="Q87" i="46" s="1"/>
  <c r="C83" i="46"/>
  <c r="Q83" i="46" s="1"/>
  <c r="C78" i="46"/>
  <c r="C71" i="46"/>
  <c r="Q71" i="46" s="1"/>
  <c r="C69" i="46"/>
  <c r="Q69" i="46" s="1"/>
  <c r="C66" i="46"/>
  <c r="Q66" i="46" s="1"/>
  <c r="C59" i="45"/>
  <c r="Q59" i="45" s="1"/>
  <c r="C61" i="45"/>
  <c r="Q61" i="45" s="1"/>
  <c r="C53" i="45"/>
  <c r="Q53" i="45" s="1"/>
  <c r="C50" i="45"/>
  <c r="Q50" i="45" s="1"/>
  <c r="C46" i="45"/>
  <c r="C41" i="44"/>
  <c r="Q41" i="44" s="1"/>
  <c r="C37" i="44"/>
  <c r="C28" i="44"/>
  <c r="C20" i="44"/>
  <c r="Q20" i="44" s="1"/>
  <c r="C15" i="44"/>
  <c r="Q15" i="44" s="1"/>
  <c r="C39" i="44"/>
  <c r="Q39" i="44" s="1"/>
  <c r="C31" i="44"/>
  <c r="Q31" i="44" s="1"/>
  <c r="C23" i="44"/>
  <c r="C17" i="44"/>
  <c r="Q17" i="44" s="1"/>
  <c r="C12" i="44"/>
  <c r="C8" i="44"/>
  <c r="Q8" i="44" s="1"/>
  <c r="C6" i="44"/>
  <c r="Q6" i="44" s="1"/>
  <c r="P136" i="47"/>
  <c r="R136" i="47"/>
  <c r="P134" i="47"/>
  <c r="P58" i="45"/>
  <c r="P56" i="45"/>
  <c r="P54" i="45"/>
  <c r="AR112" i="46"/>
  <c r="AQ112" i="46"/>
  <c r="AN112" i="46"/>
  <c r="AM112" i="46"/>
  <c r="AJ112" i="46"/>
  <c r="AI112" i="46"/>
  <c r="AE112" i="46"/>
  <c r="U112" i="46"/>
  <c r="R112" i="46"/>
  <c r="P112" i="46"/>
  <c r="AE111" i="46"/>
  <c r="R111" i="46"/>
  <c r="P111" i="46"/>
  <c r="O111" i="46"/>
  <c r="N111" i="46"/>
  <c r="M111" i="46"/>
  <c r="L111" i="46"/>
  <c r="K111" i="46"/>
  <c r="J111" i="46"/>
  <c r="I111" i="46"/>
  <c r="H111" i="46"/>
  <c r="G111" i="46"/>
  <c r="F111" i="46"/>
  <c r="E111" i="46"/>
  <c r="D111" i="46"/>
  <c r="B111" i="46"/>
  <c r="AF110" i="46"/>
  <c r="AE110" i="46"/>
  <c r="R110" i="46"/>
  <c r="P110" i="46"/>
  <c r="AF109" i="46"/>
  <c r="AE109" i="46"/>
  <c r="Y109" i="46"/>
  <c r="T109" i="46"/>
  <c r="R109" i="46"/>
  <c r="P109" i="46"/>
  <c r="O109" i="46"/>
  <c r="N109" i="46"/>
  <c r="M109" i="46"/>
  <c r="L109" i="46"/>
  <c r="K109" i="46"/>
  <c r="J109" i="46"/>
  <c r="I109" i="46"/>
  <c r="H109" i="46"/>
  <c r="G109" i="46"/>
  <c r="F109" i="46"/>
  <c r="E109" i="46"/>
  <c r="D109" i="46"/>
  <c r="B109" i="46"/>
  <c r="AF108" i="46"/>
  <c r="T108" i="46"/>
  <c r="S108" i="46"/>
  <c r="R108" i="46"/>
  <c r="P108" i="46"/>
  <c r="AF107" i="46"/>
  <c r="T107" i="46"/>
  <c r="S107" i="46"/>
  <c r="R107" i="46"/>
  <c r="P107" i="46"/>
  <c r="AF106" i="46"/>
  <c r="T106" i="46"/>
  <c r="S106" i="46"/>
  <c r="R106" i="46"/>
  <c r="P106" i="46"/>
  <c r="AF105" i="46"/>
  <c r="T105" i="46"/>
  <c r="S105" i="46"/>
  <c r="R105" i="46"/>
  <c r="P105" i="46"/>
  <c r="O105" i="46"/>
  <c r="N105" i="46"/>
  <c r="M105" i="46"/>
  <c r="L105" i="46"/>
  <c r="K105" i="46"/>
  <c r="J105" i="46"/>
  <c r="I105" i="46"/>
  <c r="H105" i="46"/>
  <c r="G105" i="46"/>
  <c r="F105" i="46"/>
  <c r="E105" i="46"/>
  <c r="D105" i="46"/>
  <c r="B105" i="46"/>
  <c r="AF104" i="46"/>
  <c r="R104" i="46"/>
  <c r="P104" i="46"/>
  <c r="AF103" i="46"/>
  <c r="R103" i="46"/>
  <c r="P103" i="46"/>
  <c r="AF102" i="46"/>
  <c r="R102" i="46"/>
  <c r="P102" i="46"/>
  <c r="AF101" i="46"/>
  <c r="R101" i="46"/>
  <c r="P101" i="46"/>
  <c r="AF100" i="46"/>
  <c r="AE100" i="46"/>
  <c r="R100" i="46"/>
  <c r="P100" i="46"/>
  <c r="AF99" i="46"/>
  <c r="R99" i="46"/>
  <c r="P99" i="46"/>
  <c r="AF98" i="46"/>
  <c r="R98" i="46"/>
  <c r="P98" i="46"/>
  <c r="AF97" i="46"/>
  <c r="AE97" i="46"/>
  <c r="R97" i="46"/>
  <c r="P97" i="46"/>
  <c r="AF96" i="46"/>
  <c r="R96" i="46"/>
  <c r="P96" i="46"/>
  <c r="AF95" i="46"/>
  <c r="Q95" i="46"/>
  <c r="R95" i="46"/>
  <c r="P95" i="46"/>
  <c r="O95" i="46"/>
  <c r="N95" i="46"/>
  <c r="M95" i="46"/>
  <c r="L95" i="46"/>
  <c r="K95" i="46"/>
  <c r="J95" i="46"/>
  <c r="I95" i="46"/>
  <c r="H95" i="46"/>
  <c r="G95" i="46"/>
  <c r="F95" i="46"/>
  <c r="E95" i="46"/>
  <c r="D95" i="46"/>
  <c r="B95" i="46"/>
  <c r="AF94" i="46"/>
  <c r="AE94" i="46"/>
  <c r="R94" i="46"/>
  <c r="P94" i="46"/>
  <c r="AF93" i="46"/>
  <c r="AE93" i="46"/>
  <c r="R93" i="46"/>
  <c r="P93" i="46"/>
  <c r="O93" i="46"/>
  <c r="N93" i="46"/>
  <c r="M93" i="46"/>
  <c r="L93" i="46"/>
  <c r="K93" i="46"/>
  <c r="J93" i="46"/>
  <c r="I93" i="46"/>
  <c r="H93" i="46"/>
  <c r="G93" i="46"/>
  <c r="F93" i="46"/>
  <c r="E93" i="46"/>
  <c r="D93" i="46"/>
  <c r="B93" i="46"/>
  <c r="AF92" i="46"/>
  <c r="AE92" i="46"/>
  <c r="T92" i="46"/>
  <c r="S92" i="46"/>
  <c r="R92" i="46"/>
  <c r="P92" i="46"/>
  <c r="AF91" i="46"/>
  <c r="AE91" i="46"/>
  <c r="T91" i="46"/>
  <c r="S91" i="46"/>
  <c r="R91" i="46"/>
  <c r="P91" i="46"/>
  <c r="AF90" i="46"/>
  <c r="AE90" i="46"/>
  <c r="T90" i="46"/>
  <c r="S90" i="46"/>
  <c r="R90" i="46"/>
  <c r="P90" i="46"/>
  <c r="AF89" i="46"/>
  <c r="AE89" i="46"/>
  <c r="T89" i="46"/>
  <c r="S89" i="46"/>
  <c r="R89" i="46"/>
  <c r="P89" i="46"/>
  <c r="O89" i="46"/>
  <c r="N89" i="46"/>
  <c r="M89" i="46"/>
  <c r="L89" i="46"/>
  <c r="K89" i="46"/>
  <c r="J89" i="46"/>
  <c r="I89" i="46"/>
  <c r="H89" i="46"/>
  <c r="G89" i="46"/>
  <c r="F89" i="46"/>
  <c r="E89" i="46"/>
  <c r="D89" i="46"/>
  <c r="B89" i="46"/>
  <c r="AE88" i="46"/>
  <c r="R88" i="46"/>
  <c r="P88" i="46"/>
  <c r="AE87" i="46"/>
  <c r="R87" i="46"/>
  <c r="P87" i="46"/>
  <c r="O87" i="46"/>
  <c r="N87" i="46"/>
  <c r="M87" i="46"/>
  <c r="L87" i="46"/>
  <c r="K87" i="46"/>
  <c r="J87" i="46"/>
  <c r="I87" i="46"/>
  <c r="H87" i="46"/>
  <c r="G87" i="46"/>
  <c r="F87" i="46"/>
  <c r="E87" i="46"/>
  <c r="D87" i="46"/>
  <c r="B87" i="46"/>
  <c r="R86" i="46"/>
  <c r="P86" i="46"/>
  <c r="R85" i="46"/>
  <c r="P85" i="46"/>
  <c r="O85" i="46"/>
  <c r="N85" i="46"/>
  <c r="M85" i="46"/>
  <c r="L85" i="46"/>
  <c r="K85" i="46"/>
  <c r="J85" i="46"/>
  <c r="I85" i="46"/>
  <c r="G85" i="46"/>
  <c r="F85" i="46"/>
  <c r="E85" i="46"/>
  <c r="D85" i="46"/>
  <c r="B85" i="46"/>
  <c r="AR84" i="46"/>
  <c r="AQ84" i="46"/>
  <c r="AP84" i="46"/>
  <c r="AO84" i="46"/>
  <c r="AN84" i="46"/>
  <c r="AM84" i="46"/>
  <c r="AL84" i="46"/>
  <c r="AK84" i="46"/>
  <c r="AJ84" i="46"/>
  <c r="AI84" i="46"/>
  <c r="AH84" i="46"/>
  <c r="AG84" i="46"/>
  <c r="AF84" i="46"/>
  <c r="AE84" i="46"/>
  <c r="AD84" i="46"/>
  <c r="AC84" i="46"/>
  <c r="AB84" i="46"/>
  <c r="AA84" i="46"/>
  <c r="Z84" i="46"/>
  <c r="Y84" i="46"/>
  <c r="X84" i="46"/>
  <c r="W84" i="46"/>
  <c r="V84" i="46"/>
  <c r="U84" i="46"/>
  <c r="T84" i="46"/>
  <c r="S84" i="46"/>
  <c r="R84" i="46"/>
  <c r="P84" i="46"/>
  <c r="AF83" i="46"/>
  <c r="AE83" i="46"/>
  <c r="AD83" i="46"/>
  <c r="AB83" i="46"/>
  <c r="AA83" i="46"/>
  <c r="Y83" i="46"/>
  <c r="V83" i="46"/>
  <c r="T83" i="46"/>
  <c r="S83" i="46"/>
  <c r="R83" i="46"/>
  <c r="P83" i="46"/>
  <c r="O83" i="46"/>
  <c r="N83" i="46"/>
  <c r="M83" i="46"/>
  <c r="L83" i="46"/>
  <c r="K83" i="46"/>
  <c r="J83" i="46"/>
  <c r="I83" i="46"/>
  <c r="H83" i="46"/>
  <c r="G83" i="46"/>
  <c r="F83" i="46"/>
  <c r="E83" i="46"/>
  <c r="D83" i="46"/>
  <c r="B83" i="46"/>
  <c r="AE82" i="46"/>
  <c r="R82" i="46"/>
  <c r="P82" i="46"/>
  <c r="AE81" i="46"/>
  <c r="R81" i="46"/>
  <c r="P81" i="46"/>
  <c r="O81" i="46"/>
  <c r="N81" i="46"/>
  <c r="M81" i="46"/>
  <c r="L81" i="46"/>
  <c r="K81" i="46"/>
  <c r="J81" i="46"/>
  <c r="I81" i="46"/>
  <c r="H81" i="46"/>
  <c r="G81" i="46"/>
  <c r="F81" i="46"/>
  <c r="E81" i="46"/>
  <c r="D81" i="46"/>
  <c r="B81" i="46"/>
  <c r="AE80" i="46"/>
  <c r="R80" i="46"/>
  <c r="P80" i="46"/>
  <c r="AE79" i="46"/>
  <c r="R79" i="46"/>
  <c r="P79" i="46"/>
  <c r="AE78" i="46"/>
  <c r="AC78" i="46"/>
  <c r="Q78" i="46"/>
  <c r="R78" i="46"/>
  <c r="P78" i="46"/>
  <c r="O78" i="46"/>
  <c r="N78" i="46"/>
  <c r="M78" i="46"/>
  <c r="L78" i="46"/>
  <c r="K78" i="46"/>
  <c r="J78" i="46"/>
  <c r="I78" i="46"/>
  <c r="H78" i="46"/>
  <c r="G78" i="46"/>
  <c r="F78" i="46"/>
  <c r="E78" i="46"/>
  <c r="D78" i="46"/>
  <c r="B78" i="46"/>
  <c r="AR77" i="46"/>
  <c r="AQ77" i="46"/>
  <c r="AJ77" i="46"/>
  <c r="AF77" i="46"/>
  <c r="AE77" i="46"/>
  <c r="R77" i="46"/>
  <c r="P77" i="46"/>
  <c r="AF76" i="46"/>
  <c r="AE76" i="46"/>
  <c r="R76" i="46"/>
  <c r="P76" i="46"/>
  <c r="E76" i="46"/>
  <c r="AR75" i="46"/>
  <c r="AQ75" i="46"/>
  <c r="AJ75" i="46"/>
  <c r="AF75" i="46"/>
  <c r="AE75" i="46"/>
  <c r="R75" i="46"/>
  <c r="P75" i="46"/>
  <c r="AF74" i="46"/>
  <c r="AE74" i="46"/>
  <c r="Q74" i="46"/>
  <c r="R74" i="46"/>
  <c r="P74" i="46"/>
  <c r="O74" i="46"/>
  <c r="N74" i="46"/>
  <c r="M74" i="46"/>
  <c r="L74" i="46"/>
  <c r="K74" i="46"/>
  <c r="J74" i="46"/>
  <c r="I74" i="46"/>
  <c r="H74" i="46"/>
  <c r="G74" i="46"/>
  <c r="F74" i="46"/>
  <c r="E74" i="46"/>
  <c r="D74" i="46"/>
  <c r="B74" i="46"/>
  <c r="AF73" i="46"/>
  <c r="AE73" i="46"/>
  <c r="R73" i="46"/>
  <c r="P73" i="46"/>
  <c r="AF72" i="46"/>
  <c r="AE72" i="46"/>
  <c r="R72" i="46"/>
  <c r="P72" i="46"/>
  <c r="AF71" i="46"/>
  <c r="AE71" i="46"/>
  <c r="R71" i="46"/>
  <c r="P71" i="46"/>
  <c r="O71" i="46"/>
  <c r="N71" i="46"/>
  <c r="M71" i="46"/>
  <c r="L71" i="46"/>
  <c r="K71" i="46"/>
  <c r="J71" i="46"/>
  <c r="I71" i="46"/>
  <c r="H71" i="46"/>
  <c r="G71" i="46"/>
  <c r="F71" i="46"/>
  <c r="E71" i="46"/>
  <c r="D71" i="46"/>
  <c r="B71" i="46"/>
  <c r="AF70" i="46"/>
  <c r="R70" i="46"/>
  <c r="P70" i="46"/>
  <c r="AF69" i="46"/>
  <c r="R69" i="46"/>
  <c r="P69" i="46"/>
  <c r="O69" i="46"/>
  <c r="N69" i="46"/>
  <c r="M69" i="46"/>
  <c r="L69" i="46"/>
  <c r="K69" i="46"/>
  <c r="J69" i="46"/>
  <c r="I69" i="46"/>
  <c r="H69" i="46"/>
  <c r="G69" i="46"/>
  <c r="F69" i="46"/>
  <c r="E69" i="46"/>
  <c r="D69" i="46"/>
  <c r="B69" i="46"/>
  <c r="AF68" i="46"/>
  <c r="T68" i="46"/>
  <c r="R68" i="46"/>
  <c r="P68" i="46"/>
  <c r="AF67" i="46"/>
  <c r="T67" i="46"/>
  <c r="R67" i="46"/>
  <c r="P67" i="46"/>
  <c r="AF66" i="46"/>
  <c r="AC66" i="46"/>
  <c r="T66" i="46"/>
  <c r="R66" i="46"/>
  <c r="P66" i="46"/>
  <c r="O66" i="46"/>
  <c r="N66" i="46"/>
  <c r="M66" i="46"/>
  <c r="L66" i="46"/>
  <c r="K66" i="46"/>
  <c r="J66" i="46"/>
  <c r="I66" i="46"/>
  <c r="H66" i="46"/>
  <c r="G66" i="46"/>
  <c r="F66" i="46"/>
  <c r="E66" i="46"/>
  <c r="D66" i="46"/>
  <c r="B66" i="46"/>
  <c r="AE64" i="45"/>
  <c r="T64" i="45"/>
  <c r="S64" i="45"/>
  <c r="R64" i="45"/>
  <c r="P64" i="45"/>
  <c r="AE63" i="45"/>
  <c r="T63" i="45"/>
  <c r="S63" i="45"/>
  <c r="R63" i="45"/>
  <c r="P63" i="45"/>
  <c r="AE62" i="45"/>
  <c r="T62" i="45"/>
  <c r="S62" i="45"/>
  <c r="R62" i="45"/>
  <c r="P62" i="45"/>
  <c r="AE61" i="45"/>
  <c r="T61" i="45"/>
  <c r="S61" i="45"/>
  <c r="R61" i="45"/>
  <c r="P61" i="45"/>
  <c r="O61" i="45"/>
  <c r="N61" i="45"/>
  <c r="M61" i="45"/>
  <c r="L61" i="45"/>
  <c r="K61" i="45"/>
  <c r="J61" i="45"/>
  <c r="I61" i="45"/>
  <c r="H61" i="45"/>
  <c r="G61" i="45"/>
  <c r="F61" i="45"/>
  <c r="E61" i="45"/>
  <c r="D61" i="45"/>
  <c r="B61" i="45"/>
  <c r="AE60" i="45"/>
  <c r="AC60" i="45"/>
  <c r="T60" i="45"/>
  <c r="S60" i="45"/>
  <c r="R60" i="45"/>
  <c r="P60" i="45"/>
  <c r="AE59" i="45"/>
  <c r="AC59" i="45"/>
  <c r="T59" i="45"/>
  <c r="S59" i="45"/>
  <c r="R59" i="45"/>
  <c r="P59" i="45"/>
  <c r="O59" i="45"/>
  <c r="N59" i="45"/>
  <c r="M59" i="45"/>
  <c r="L59" i="45"/>
  <c r="K59" i="45"/>
  <c r="J59" i="45"/>
  <c r="I59" i="45"/>
  <c r="H59" i="45"/>
  <c r="G59" i="45"/>
  <c r="F59" i="45"/>
  <c r="E59" i="45"/>
  <c r="D59" i="45"/>
  <c r="B59" i="45"/>
  <c r="AR58" i="45"/>
  <c r="AQ58" i="45"/>
  <c r="AP58" i="45"/>
  <c r="AN58" i="45"/>
  <c r="AM58" i="45"/>
  <c r="AK58" i="45"/>
  <c r="AJ58" i="45"/>
  <c r="AF58" i="45"/>
  <c r="AE58" i="45"/>
  <c r="AD58" i="45"/>
  <c r="AC58" i="45"/>
  <c r="AB58" i="45"/>
  <c r="AA58" i="45"/>
  <c r="Z58" i="45"/>
  <c r="R58" i="45"/>
  <c r="AF57" i="45"/>
  <c r="AE57" i="45"/>
  <c r="AD57" i="45"/>
  <c r="AC57" i="45"/>
  <c r="AB57" i="45"/>
  <c r="AA57" i="45"/>
  <c r="Z57" i="45"/>
  <c r="R57" i="45"/>
  <c r="P57" i="45"/>
  <c r="AR56" i="45"/>
  <c r="AQ56" i="45"/>
  <c r="AP56" i="45"/>
  <c r="AN56" i="45"/>
  <c r="AM56" i="45"/>
  <c r="AK56" i="45"/>
  <c r="AJ56" i="45"/>
  <c r="AF56" i="45"/>
  <c r="AE56" i="45"/>
  <c r="AD56" i="45"/>
  <c r="AC56" i="45"/>
  <c r="AB56" i="45"/>
  <c r="AA56" i="45"/>
  <c r="Z56" i="45"/>
  <c r="R56" i="45"/>
  <c r="AF55" i="45"/>
  <c r="AE55" i="45"/>
  <c r="AD55" i="45"/>
  <c r="AC55" i="45"/>
  <c r="AB55" i="45"/>
  <c r="AA55" i="45"/>
  <c r="Z55" i="45"/>
  <c r="R55" i="45"/>
  <c r="P55" i="45"/>
  <c r="AR54" i="45"/>
  <c r="AQ54" i="45"/>
  <c r="AP54" i="45"/>
  <c r="AN54" i="45"/>
  <c r="AM54" i="45"/>
  <c r="AK54" i="45"/>
  <c r="AJ54" i="45"/>
  <c r="AF54" i="45"/>
  <c r="AE54" i="45"/>
  <c r="AD54" i="45"/>
  <c r="AC54" i="45"/>
  <c r="AB54" i="45"/>
  <c r="AA54" i="45"/>
  <c r="Z54" i="45"/>
  <c r="R54" i="45"/>
  <c r="AF53" i="45"/>
  <c r="AE53" i="45"/>
  <c r="AD53" i="45"/>
  <c r="AC53" i="45"/>
  <c r="AB53" i="45"/>
  <c r="AA53" i="45"/>
  <c r="Z53" i="45"/>
  <c r="R53" i="45"/>
  <c r="P53" i="45"/>
  <c r="O53" i="45"/>
  <c r="N53" i="45"/>
  <c r="M53" i="45"/>
  <c r="L53" i="45"/>
  <c r="K53" i="45"/>
  <c r="J53" i="45"/>
  <c r="I53" i="45"/>
  <c r="H53" i="45"/>
  <c r="G53" i="45"/>
  <c r="F53" i="45"/>
  <c r="E53" i="45"/>
  <c r="D53" i="45"/>
  <c r="B53" i="45"/>
  <c r="AF52" i="45"/>
  <c r="AE52" i="45"/>
  <c r="R52" i="45"/>
  <c r="P52" i="45"/>
  <c r="AF51" i="45"/>
  <c r="AE51" i="45"/>
  <c r="R51" i="45"/>
  <c r="P51" i="45"/>
  <c r="AF50" i="45"/>
  <c r="AE50" i="45"/>
  <c r="R50" i="45"/>
  <c r="P50" i="45"/>
  <c r="O50" i="45"/>
  <c r="N50" i="45"/>
  <c r="M50" i="45"/>
  <c r="L50" i="45"/>
  <c r="K50" i="45"/>
  <c r="J50" i="45"/>
  <c r="I50" i="45"/>
  <c r="H50" i="45"/>
  <c r="G50" i="45"/>
  <c r="F50" i="45"/>
  <c r="E50" i="45"/>
  <c r="D50" i="45"/>
  <c r="B50" i="45"/>
  <c r="AF49" i="45"/>
  <c r="AE49" i="45"/>
  <c r="R49" i="45"/>
  <c r="P49" i="45"/>
  <c r="AF48" i="45"/>
  <c r="AE48" i="45"/>
  <c r="R48" i="45"/>
  <c r="P48" i="45"/>
  <c r="K48" i="45"/>
  <c r="AF47" i="45"/>
  <c r="AE47" i="45"/>
  <c r="R47" i="45"/>
  <c r="P47" i="45"/>
  <c r="AF46" i="45"/>
  <c r="AE46" i="45"/>
  <c r="AC46" i="45"/>
  <c r="Q46" i="45"/>
  <c r="R46" i="45"/>
  <c r="P46" i="45"/>
  <c r="O46" i="45"/>
  <c r="N46" i="45"/>
  <c r="M46" i="45"/>
  <c r="L46" i="45"/>
  <c r="K46" i="45"/>
  <c r="J46" i="45"/>
  <c r="I46" i="45"/>
  <c r="H46" i="45"/>
  <c r="G46" i="45"/>
  <c r="F46" i="45"/>
  <c r="E46" i="45"/>
  <c r="D46" i="45"/>
  <c r="B46" i="45"/>
  <c r="AF44" i="44"/>
  <c r="AE44" i="44"/>
  <c r="R44" i="44"/>
  <c r="P44" i="44"/>
  <c r="AF43" i="44"/>
  <c r="AE43" i="44"/>
  <c r="R43" i="44"/>
  <c r="P43" i="44"/>
  <c r="AF42" i="44"/>
  <c r="AE42" i="44"/>
  <c r="R42" i="44"/>
  <c r="P42" i="44"/>
  <c r="AF41" i="44"/>
  <c r="AE41" i="44"/>
  <c r="R41" i="44"/>
  <c r="P41" i="44"/>
  <c r="O41" i="44"/>
  <c r="N41" i="44"/>
  <c r="M41" i="44"/>
  <c r="L41" i="44"/>
  <c r="K41" i="44"/>
  <c r="J41" i="44"/>
  <c r="I41" i="44"/>
  <c r="H41" i="44"/>
  <c r="G41" i="44"/>
  <c r="F41" i="44"/>
  <c r="E41" i="44"/>
  <c r="D41" i="44"/>
  <c r="B41" i="44"/>
  <c r="R40" i="44"/>
  <c r="P40" i="44"/>
  <c r="R39" i="44"/>
  <c r="P39" i="44"/>
  <c r="O39" i="44"/>
  <c r="N39" i="44"/>
  <c r="M39" i="44"/>
  <c r="L39" i="44"/>
  <c r="K39" i="44"/>
  <c r="J39" i="44"/>
  <c r="I39" i="44"/>
  <c r="H39" i="44"/>
  <c r="G39" i="44"/>
  <c r="F39" i="44"/>
  <c r="E39" i="44"/>
  <c r="D39" i="44"/>
  <c r="B39" i="44"/>
  <c r="AE38" i="44"/>
  <c r="AC38" i="44"/>
  <c r="R38" i="44"/>
  <c r="P38" i="44"/>
  <c r="AE37" i="44"/>
  <c r="Q37" i="44"/>
  <c r="R37" i="44"/>
  <c r="P37" i="44"/>
  <c r="O37" i="44"/>
  <c r="N37" i="44"/>
  <c r="M37" i="44"/>
  <c r="L37" i="44"/>
  <c r="K37" i="44"/>
  <c r="J37" i="44"/>
  <c r="I37" i="44"/>
  <c r="H37" i="44"/>
  <c r="G37" i="44"/>
  <c r="F37" i="44"/>
  <c r="E37" i="44"/>
  <c r="D37" i="44"/>
  <c r="B37" i="44"/>
  <c r="R36" i="44"/>
  <c r="P36" i="44"/>
  <c r="R35" i="44"/>
  <c r="P35" i="44"/>
  <c r="AE34" i="44"/>
  <c r="R34" i="44"/>
  <c r="P34" i="44"/>
  <c r="AE33" i="44"/>
  <c r="R33" i="44"/>
  <c r="P33" i="44"/>
  <c r="AE32" i="44"/>
  <c r="R32" i="44"/>
  <c r="P32" i="44"/>
  <c r="AE31" i="44"/>
  <c r="R31" i="44"/>
  <c r="P31" i="44"/>
  <c r="O31" i="44"/>
  <c r="N31" i="44"/>
  <c r="M31" i="44"/>
  <c r="L31" i="44"/>
  <c r="K31" i="44"/>
  <c r="J31" i="44"/>
  <c r="I31" i="44"/>
  <c r="H31" i="44"/>
  <c r="G31" i="44"/>
  <c r="F31" i="44"/>
  <c r="E31" i="44"/>
  <c r="D31" i="44"/>
  <c r="B31" i="44"/>
  <c r="R30" i="44"/>
  <c r="P30" i="44"/>
  <c r="R29" i="44"/>
  <c r="P29" i="44"/>
  <c r="Q28" i="44"/>
  <c r="R28" i="44"/>
  <c r="P28" i="44"/>
  <c r="O28" i="44"/>
  <c r="N28" i="44"/>
  <c r="M28" i="44"/>
  <c r="L28" i="44"/>
  <c r="K28" i="44"/>
  <c r="J28" i="44"/>
  <c r="I28" i="44"/>
  <c r="H28" i="44"/>
  <c r="G28" i="44"/>
  <c r="F28" i="44"/>
  <c r="E28" i="44"/>
  <c r="D28" i="44"/>
  <c r="B28" i="44"/>
  <c r="R27" i="44"/>
  <c r="P27" i="44"/>
  <c r="R26" i="44"/>
  <c r="P26" i="44"/>
  <c r="E26" i="44"/>
  <c r="R25" i="44"/>
  <c r="P25" i="44"/>
  <c r="R24" i="44"/>
  <c r="P24" i="44"/>
  <c r="Q23" i="44"/>
  <c r="R23" i="44"/>
  <c r="P23" i="44"/>
  <c r="O23" i="44"/>
  <c r="N23" i="44"/>
  <c r="M23" i="44"/>
  <c r="L23" i="44"/>
  <c r="K23" i="44"/>
  <c r="J23" i="44"/>
  <c r="I23" i="44"/>
  <c r="H23" i="44"/>
  <c r="G23" i="44"/>
  <c r="F23" i="44"/>
  <c r="E23" i="44"/>
  <c r="D23" i="44"/>
  <c r="B23" i="44"/>
  <c r="R22" i="44"/>
  <c r="P22" i="44"/>
  <c r="R21" i="44"/>
  <c r="P21" i="44"/>
  <c r="R20" i="44"/>
  <c r="P20" i="44"/>
  <c r="O20" i="44"/>
  <c r="N20" i="44"/>
  <c r="M20" i="44"/>
  <c r="L20" i="44"/>
  <c r="K20" i="44"/>
  <c r="J20" i="44"/>
  <c r="I20" i="44"/>
  <c r="H20" i="44"/>
  <c r="G20" i="44"/>
  <c r="F20" i="44"/>
  <c r="E20" i="44"/>
  <c r="D20" i="44"/>
  <c r="B20" i="44"/>
  <c r="AF19" i="44"/>
  <c r="AE19" i="44"/>
  <c r="AD19" i="44"/>
  <c r="R19" i="44"/>
  <c r="P19" i="44"/>
  <c r="AF18" i="44"/>
  <c r="AE18" i="44"/>
  <c r="R18" i="44"/>
  <c r="P18" i="44"/>
  <c r="AF17" i="44"/>
  <c r="AE17" i="44"/>
  <c r="R17" i="44"/>
  <c r="P17" i="44"/>
  <c r="O17" i="44"/>
  <c r="N17" i="44"/>
  <c r="M17" i="44"/>
  <c r="L17" i="44"/>
  <c r="K17" i="44"/>
  <c r="J17" i="44"/>
  <c r="I17" i="44"/>
  <c r="H17" i="44"/>
  <c r="G17" i="44"/>
  <c r="F17" i="44"/>
  <c r="E17" i="44"/>
  <c r="D17" i="44"/>
  <c r="B17" i="44"/>
  <c r="R16" i="44"/>
  <c r="P16" i="44"/>
  <c r="R15" i="44"/>
  <c r="P15" i="44"/>
  <c r="O15" i="44"/>
  <c r="N15" i="44"/>
  <c r="M15" i="44"/>
  <c r="L15" i="44"/>
  <c r="K15" i="44"/>
  <c r="J15" i="44"/>
  <c r="I15" i="44"/>
  <c r="H15" i="44"/>
  <c r="G15" i="44"/>
  <c r="F15" i="44"/>
  <c r="E15" i="44"/>
  <c r="D15" i="44"/>
  <c r="B15" i="44"/>
  <c r="AF14" i="44"/>
  <c r="AE14" i="44"/>
  <c r="R14" i="44"/>
  <c r="P14" i="44"/>
  <c r="AF13" i="44"/>
  <c r="AE13" i="44"/>
  <c r="R13" i="44"/>
  <c r="P13" i="44"/>
  <c r="AF12" i="44"/>
  <c r="AE12" i="44"/>
  <c r="Q12" i="44"/>
  <c r="R12" i="44"/>
  <c r="P12" i="44"/>
  <c r="O12" i="44"/>
  <c r="N12" i="44"/>
  <c r="M12" i="44"/>
  <c r="L12" i="44"/>
  <c r="K12" i="44"/>
  <c r="J12" i="44"/>
  <c r="I12" i="44"/>
  <c r="H12" i="44"/>
  <c r="G12" i="44"/>
  <c r="F12" i="44"/>
  <c r="E12" i="44"/>
  <c r="D12" i="44"/>
  <c r="B12" i="44"/>
  <c r="AF11" i="44"/>
  <c r="AE11" i="44"/>
  <c r="R11" i="44"/>
  <c r="P11" i="44"/>
  <c r="AF10" i="44"/>
  <c r="AE10" i="44"/>
  <c r="S10" i="44"/>
  <c r="R10" i="44"/>
  <c r="P10" i="44"/>
  <c r="E10" i="44"/>
  <c r="AF9" i="44"/>
  <c r="AE9" i="44"/>
  <c r="R9" i="44"/>
  <c r="P9" i="44"/>
  <c r="AF8" i="44"/>
  <c r="AE8" i="44"/>
  <c r="S8" i="44"/>
  <c r="R8" i="44"/>
  <c r="P8" i="44"/>
  <c r="O8" i="44"/>
  <c r="N8" i="44"/>
  <c r="M8" i="44"/>
  <c r="L8" i="44"/>
  <c r="K8" i="44"/>
  <c r="J8" i="44"/>
  <c r="I8" i="44"/>
  <c r="H8" i="44"/>
  <c r="G8" i="44"/>
  <c r="F8" i="44"/>
  <c r="E8" i="44"/>
  <c r="D8" i="44"/>
  <c r="B8" i="44"/>
  <c r="R7" i="44"/>
  <c r="P7" i="44"/>
  <c r="R6" i="44"/>
  <c r="P6" i="44"/>
  <c r="O6" i="44"/>
  <c r="N6" i="44"/>
  <c r="M6" i="44"/>
  <c r="L6" i="44"/>
  <c r="K6" i="44"/>
  <c r="J6" i="44"/>
  <c r="I6" i="44"/>
  <c r="H6" i="44"/>
  <c r="G6" i="44"/>
  <c r="F6" i="44"/>
  <c r="E6" i="44"/>
  <c r="D6" i="44"/>
  <c r="B6" i="44"/>
  <c r="G28" i="36"/>
  <c r="F28" i="36"/>
  <c r="G23" i="36"/>
  <c r="G20" i="36"/>
  <c r="K50" i="36"/>
  <c r="J50" i="36"/>
  <c r="I50" i="36"/>
  <c r="H50" i="36"/>
  <c r="G50" i="36"/>
  <c r="F50" i="36"/>
  <c r="E50" i="36"/>
  <c r="D50" i="36"/>
  <c r="K39" i="36"/>
  <c r="J39" i="36"/>
  <c r="I39" i="36"/>
  <c r="H39" i="36"/>
  <c r="G39" i="36"/>
  <c r="F39" i="36"/>
  <c r="E39" i="36"/>
  <c r="D39" i="36"/>
  <c r="K37" i="36"/>
  <c r="J37" i="36"/>
  <c r="I37" i="36"/>
  <c r="H37" i="36"/>
  <c r="G37" i="36"/>
  <c r="F37" i="36"/>
  <c r="E37" i="36"/>
  <c r="D37" i="36"/>
  <c r="K31" i="36"/>
  <c r="J31" i="36"/>
  <c r="I31" i="36"/>
  <c r="H31" i="36"/>
  <c r="G31" i="36"/>
  <c r="F31" i="36"/>
  <c r="E31" i="36"/>
  <c r="D31" i="36"/>
  <c r="K28" i="36"/>
  <c r="J28" i="36"/>
  <c r="I28" i="36"/>
  <c r="H28" i="36"/>
  <c r="E28" i="36"/>
  <c r="D28" i="36"/>
  <c r="K23" i="36"/>
  <c r="J23" i="36"/>
  <c r="I23" i="36"/>
  <c r="H23" i="36"/>
  <c r="F23" i="36"/>
  <c r="E23" i="36"/>
  <c r="D23" i="36"/>
  <c r="K20" i="36"/>
  <c r="J20" i="36"/>
  <c r="I20" i="36"/>
  <c r="H20" i="36"/>
  <c r="F20" i="36"/>
  <c r="E20" i="36"/>
  <c r="D20" i="36"/>
  <c r="K17" i="36"/>
  <c r="J17" i="36"/>
  <c r="I17" i="36"/>
  <c r="H17" i="36"/>
  <c r="G17" i="36"/>
  <c r="F17" i="36"/>
  <c r="E17" i="36"/>
  <c r="D17" i="36"/>
  <c r="K15" i="36"/>
  <c r="J15" i="36"/>
  <c r="I15" i="36"/>
  <c r="H15" i="36"/>
  <c r="G15" i="36"/>
  <c r="F15" i="36"/>
  <c r="E15" i="36"/>
  <c r="D15" i="36"/>
  <c r="K12" i="36"/>
  <c r="J12" i="36"/>
  <c r="I12" i="36"/>
  <c r="H12" i="36"/>
  <c r="G12" i="36"/>
  <c r="F12" i="36"/>
  <c r="E12" i="36"/>
  <c r="D12" i="36"/>
  <c r="Q160" i="9"/>
  <c r="AC64" i="45" s="1"/>
  <c r="P160" i="9"/>
  <c r="AC63" i="45" s="1"/>
  <c r="O160" i="9"/>
  <c r="N160" i="9"/>
  <c r="M160" i="9"/>
  <c r="AC62" i="45" s="1"/>
  <c r="L160" i="9"/>
  <c r="AC61" i="45" s="1"/>
  <c r="K160" i="9"/>
  <c r="J160" i="9"/>
  <c r="I160" i="9"/>
  <c r="H160" i="9"/>
  <c r="G160" i="9"/>
  <c r="F160" i="9"/>
  <c r="E160" i="9"/>
  <c r="D160" i="9"/>
  <c r="K159" i="9"/>
  <c r="J159" i="9"/>
  <c r="I159" i="9"/>
  <c r="H159" i="9"/>
  <c r="G159" i="9"/>
  <c r="F159" i="9"/>
  <c r="E159" i="9"/>
  <c r="D159" i="9"/>
  <c r="Q122" i="9"/>
  <c r="Q158" i="9" s="1"/>
  <c r="AA64" i="45" s="1"/>
  <c r="P122" i="9"/>
  <c r="P158" i="9" s="1"/>
  <c r="AA63" i="45" s="1"/>
  <c r="O122" i="9"/>
  <c r="N122" i="9"/>
  <c r="N123" i="9" s="1"/>
  <c r="N159" i="9" s="1"/>
  <c r="M122" i="9"/>
  <c r="M158" i="9" s="1"/>
  <c r="AA62" i="45" s="1"/>
  <c r="L122" i="9"/>
  <c r="L158" i="9" s="1"/>
  <c r="AA61" i="45" s="1"/>
  <c r="K122" i="9"/>
  <c r="K127" i="9" s="1"/>
  <c r="J122" i="9"/>
  <c r="J127" i="9" s="1"/>
  <c r="I122" i="9"/>
  <c r="I158" i="9" s="1"/>
  <c r="H122" i="9"/>
  <c r="H158" i="9" s="1"/>
  <c r="G122" i="9"/>
  <c r="G127" i="9" s="1"/>
  <c r="F122" i="9"/>
  <c r="F127" i="9" s="1"/>
  <c r="E122" i="9"/>
  <c r="E158" i="9" s="1"/>
  <c r="D122" i="9"/>
  <c r="D158" i="9" s="1"/>
  <c r="O123" i="9"/>
  <c r="O159" i="9" s="1"/>
  <c r="L123" i="9"/>
  <c r="L159" i="9" s="1"/>
  <c r="AB61" i="45" s="1"/>
  <c r="Q131" i="9"/>
  <c r="Q130" i="9" s="1"/>
  <c r="Q153" i="9" s="1"/>
  <c r="P131" i="9"/>
  <c r="P130" i="9" s="1"/>
  <c r="P153" i="9" s="1"/>
  <c r="V63" i="45" s="1"/>
  <c r="O131" i="9"/>
  <c r="O156" i="9" s="1"/>
  <c r="N131" i="9"/>
  <c r="N156" i="9" s="1"/>
  <c r="M131" i="9"/>
  <c r="L131" i="9"/>
  <c r="L156" i="9" s="1"/>
  <c r="Y61" i="45" s="1"/>
  <c r="K131" i="9"/>
  <c r="K156" i="9" s="1"/>
  <c r="J131" i="9"/>
  <c r="J156" i="9" s="1"/>
  <c r="I131" i="9"/>
  <c r="H131" i="9"/>
  <c r="H156" i="9" s="1"/>
  <c r="G131" i="9"/>
  <c r="G156" i="9" s="1"/>
  <c r="F131" i="9"/>
  <c r="F130" i="9" s="1"/>
  <c r="F153" i="9" s="1"/>
  <c r="E131" i="9"/>
  <c r="E156" i="9" s="1"/>
  <c r="D131" i="9"/>
  <c r="D130" i="9" s="1"/>
  <c r="D153" i="9" s="1"/>
  <c r="P59" i="36"/>
  <c r="K61" i="36"/>
  <c r="J61" i="36"/>
  <c r="I61" i="36"/>
  <c r="H61" i="36"/>
  <c r="G61" i="36"/>
  <c r="F61" i="36"/>
  <c r="E61" i="36"/>
  <c r="D61" i="36"/>
  <c r="K59" i="36"/>
  <c r="J59" i="36"/>
  <c r="I59" i="36"/>
  <c r="H59" i="36"/>
  <c r="G59" i="36"/>
  <c r="F59" i="36"/>
  <c r="E59" i="36"/>
  <c r="D59" i="36"/>
  <c r="AR58" i="36"/>
  <c r="AQ58" i="36"/>
  <c r="AP58" i="36"/>
  <c r="AN58" i="36"/>
  <c r="AM58" i="36"/>
  <c r="AK58" i="36"/>
  <c r="AJ58" i="36"/>
  <c r="AR56" i="36"/>
  <c r="AQ56" i="36"/>
  <c r="AP56" i="36"/>
  <c r="AN56" i="36"/>
  <c r="AM56" i="36"/>
  <c r="AK56" i="36"/>
  <c r="AJ56" i="36"/>
  <c r="AR54" i="36"/>
  <c r="AQ54" i="36"/>
  <c r="AP54" i="36"/>
  <c r="AN54" i="36"/>
  <c r="AM54" i="36"/>
  <c r="AK54" i="36"/>
  <c r="AJ54" i="36"/>
  <c r="D46" i="36"/>
  <c r="AR112" i="36"/>
  <c r="AQ112" i="36"/>
  <c r="AN112" i="36"/>
  <c r="AM112" i="36"/>
  <c r="AJ112" i="36"/>
  <c r="AI112" i="36"/>
  <c r="O87" i="36"/>
  <c r="N87" i="36"/>
  <c r="M87" i="36"/>
  <c r="L87" i="36"/>
  <c r="K87" i="36"/>
  <c r="J87" i="36"/>
  <c r="I87" i="36"/>
  <c r="H87" i="36"/>
  <c r="G87" i="36"/>
  <c r="F87" i="36"/>
  <c r="E87" i="36"/>
  <c r="D87" i="36"/>
  <c r="E66" i="27"/>
  <c r="AJ86" i="46" s="1"/>
  <c r="E65" i="27"/>
  <c r="AI86" i="46" s="1"/>
  <c r="E64" i="27"/>
  <c r="AH86" i="46" s="1"/>
  <c r="K85" i="36"/>
  <c r="J85" i="36"/>
  <c r="I85" i="36"/>
  <c r="G85" i="36"/>
  <c r="F85" i="36"/>
  <c r="E85" i="36"/>
  <c r="D85" i="36"/>
  <c r="AM84" i="36"/>
  <c r="H78" i="36"/>
  <c r="AR77" i="36"/>
  <c r="AR75" i="36"/>
  <c r="AQ77" i="36"/>
  <c r="AJ77" i="36"/>
  <c r="AQ75" i="36"/>
  <c r="AJ75" i="36"/>
  <c r="E76" i="36"/>
  <c r="K74" i="36"/>
  <c r="J74" i="36"/>
  <c r="I74" i="36"/>
  <c r="H74" i="36"/>
  <c r="G74" i="36"/>
  <c r="F74" i="36"/>
  <c r="E74" i="36"/>
  <c r="D74" i="36"/>
  <c r="O66" i="36"/>
  <c r="N66" i="36"/>
  <c r="M66" i="36"/>
  <c r="AR140" i="47"/>
  <c r="AQ140" i="47"/>
  <c r="AF140" i="47"/>
  <c r="AE140" i="47"/>
  <c r="R140" i="47"/>
  <c r="P140" i="47"/>
  <c r="AR139" i="47"/>
  <c r="AQ139" i="47"/>
  <c r="AF139" i="47"/>
  <c r="AE139" i="47"/>
  <c r="R139" i="47"/>
  <c r="P139" i="47"/>
  <c r="AF138" i="47"/>
  <c r="AE138" i="47"/>
  <c r="Q138" i="47"/>
  <c r="R138" i="47"/>
  <c r="P138" i="47"/>
  <c r="O138" i="47"/>
  <c r="N138" i="47"/>
  <c r="M138" i="47"/>
  <c r="L138" i="47"/>
  <c r="K138" i="47"/>
  <c r="J138" i="47"/>
  <c r="I138" i="47"/>
  <c r="H138" i="47"/>
  <c r="G138" i="47"/>
  <c r="F138" i="47"/>
  <c r="E138" i="47"/>
  <c r="D138" i="47"/>
  <c r="B138" i="47"/>
  <c r="AR137" i="47"/>
  <c r="AQ137" i="47"/>
  <c r="AP137" i="47"/>
  <c r="AO137" i="47"/>
  <c r="AN137" i="47"/>
  <c r="AM137" i="47"/>
  <c r="AL137" i="47"/>
  <c r="AK137" i="47"/>
  <c r="AJ137" i="47"/>
  <c r="AI137" i="47"/>
  <c r="AH137" i="47"/>
  <c r="AG137" i="47"/>
  <c r="AE137" i="47"/>
  <c r="U137" i="47"/>
  <c r="R137" i="47"/>
  <c r="P137" i="47"/>
  <c r="AE136" i="47"/>
  <c r="U136" i="47"/>
  <c r="AR135" i="47"/>
  <c r="AQ135" i="47"/>
  <c r="AP135" i="47"/>
  <c r="AO135" i="47"/>
  <c r="AN135" i="47"/>
  <c r="AM135" i="47"/>
  <c r="AL135" i="47"/>
  <c r="AK135" i="47"/>
  <c r="AJ135" i="47"/>
  <c r="AI135" i="47"/>
  <c r="AH135" i="47"/>
  <c r="AG135" i="47"/>
  <c r="AE135" i="47"/>
  <c r="U135" i="47"/>
  <c r="R135" i="47"/>
  <c r="P135" i="47"/>
  <c r="AE134" i="47"/>
  <c r="R134" i="47"/>
  <c r="O134" i="47"/>
  <c r="N134" i="47"/>
  <c r="M134" i="47"/>
  <c r="L134" i="47"/>
  <c r="K134" i="47"/>
  <c r="J134" i="47"/>
  <c r="I134" i="47"/>
  <c r="H134" i="47"/>
  <c r="G134" i="47"/>
  <c r="F134" i="47"/>
  <c r="E134" i="47"/>
  <c r="D134" i="47"/>
  <c r="B134" i="47"/>
  <c r="AR133" i="47"/>
  <c r="AP133" i="47"/>
  <c r="AO133" i="47"/>
  <c r="AN133" i="47"/>
  <c r="AM133" i="47"/>
  <c r="AJ133" i="47"/>
  <c r="AI133" i="47"/>
  <c r="AF133" i="47"/>
  <c r="AE133" i="47"/>
  <c r="R133" i="47"/>
  <c r="P133" i="47"/>
  <c r="AJ132" i="47"/>
  <c r="AF132" i="47"/>
  <c r="AE132" i="47"/>
  <c r="Z132" i="47"/>
  <c r="X132" i="47"/>
  <c r="W132" i="47"/>
  <c r="R132" i="47"/>
  <c r="P132" i="47"/>
  <c r="O132" i="47"/>
  <c r="N132" i="47"/>
  <c r="M132" i="47"/>
  <c r="L132" i="47"/>
  <c r="K132" i="47"/>
  <c r="J132" i="47"/>
  <c r="I132" i="47"/>
  <c r="H132" i="47"/>
  <c r="G132" i="47"/>
  <c r="F132" i="47"/>
  <c r="E132" i="47"/>
  <c r="D132" i="47"/>
  <c r="B132" i="47"/>
  <c r="AF131" i="47"/>
  <c r="AE131" i="47"/>
  <c r="AD131" i="47"/>
  <c r="R131" i="47"/>
  <c r="P131" i="47"/>
  <c r="AF130" i="47"/>
  <c r="AE130" i="47"/>
  <c r="AD130" i="47"/>
  <c r="R130" i="47"/>
  <c r="P130" i="47"/>
  <c r="AF129" i="47"/>
  <c r="AE129" i="47"/>
  <c r="AD129" i="47"/>
  <c r="R129" i="47"/>
  <c r="P129" i="47"/>
  <c r="AF128" i="47"/>
  <c r="AE128" i="47"/>
  <c r="AD128" i="47"/>
  <c r="R128" i="47"/>
  <c r="P128" i="47"/>
  <c r="O128" i="47"/>
  <c r="N128" i="47"/>
  <c r="M128" i="47"/>
  <c r="L128" i="47"/>
  <c r="K128" i="47"/>
  <c r="J128" i="47"/>
  <c r="I128" i="47"/>
  <c r="H128" i="47"/>
  <c r="G128" i="47"/>
  <c r="F128" i="47"/>
  <c r="E128" i="47"/>
  <c r="D128" i="47"/>
  <c r="B128" i="47"/>
  <c r="AF127" i="47"/>
  <c r="AE127" i="47"/>
  <c r="R127" i="47"/>
  <c r="P127" i="47"/>
  <c r="AF126" i="47"/>
  <c r="AE126" i="47"/>
  <c r="R126" i="47"/>
  <c r="P126" i="47"/>
  <c r="AF125" i="47"/>
  <c r="AE125" i="47"/>
  <c r="R125" i="47"/>
  <c r="P125" i="47"/>
  <c r="O125" i="47"/>
  <c r="N125" i="47"/>
  <c r="M125" i="47"/>
  <c r="L125" i="47"/>
  <c r="K125" i="47"/>
  <c r="J125" i="47"/>
  <c r="I125" i="47"/>
  <c r="H125" i="47"/>
  <c r="G125" i="47"/>
  <c r="F125" i="47"/>
  <c r="E125" i="47"/>
  <c r="D125" i="47"/>
  <c r="B125" i="47"/>
  <c r="AF124" i="47"/>
  <c r="R124" i="47"/>
  <c r="P124" i="47"/>
  <c r="AF123" i="47"/>
  <c r="R123" i="47"/>
  <c r="P123" i="47"/>
  <c r="AF122" i="47"/>
  <c r="Q122" i="47"/>
  <c r="R122" i="47"/>
  <c r="P122" i="47"/>
  <c r="O122" i="47"/>
  <c r="N122" i="47"/>
  <c r="M122" i="47"/>
  <c r="L122" i="47"/>
  <c r="K122" i="47"/>
  <c r="J122" i="47"/>
  <c r="I122" i="47"/>
  <c r="H122" i="47"/>
  <c r="G122" i="47"/>
  <c r="F122" i="47"/>
  <c r="E122" i="47"/>
  <c r="D122" i="47"/>
  <c r="B122" i="47"/>
  <c r="AF121" i="47"/>
  <c r="AE121" i="47"/>
  <c r="R121" i="47"/>
  <c r="P121" i="47"/>
  <c r="AF120" i="47"/>
  <c r="AC120" i="47"/>
  <c r="R120" i="47"/>
  <c r="P120" i="47"/>
  <c r="O120" i="47"/>
  <c r="N120" i="47"/>
  <c r="M120" i="47"/>
  <c r="L120" i="47"/>
  <c r="K120" i="47"/>
  <c r="J120" i="47"/>
  <c r="I120" i="47"/>
  <c r="H120" i="47"/>
  <c r="G120" i="47"/>
  <c r="F120" i="47"/>
  <c r="E120" i="47"/>
  <c r="D120" i="47"/>
  <c r="B120" i="47"/>
  <c r="T119" i="47"/>
  <c r="R119" i="47"/>
  <c r="P119" i="47"/>
  <c r="AC118" i="47"/>
  <c r="T118" i="47"/>
  <c r="S118" i="47"/>
  <c r="R118" i="47"/>
  <c r="P118" i="47"/>
  <c r="T117" i="47"/>
  <c r="R117" i="47"/>
  <c r="P117" i="47"/>
  <c r="AC116" i="47"/>
  <c r="T116" i="47"/>
  <c r="S116" i="47"/>
  <c r="R116" i="47"/>
  <c r="P116" i="47"/>
  <c r="T115" i="47"/>
  <c r="R115" i="47"/>
  <c r="P115" i="47"/>
  <c r="AC114" i="47"/>
  <c r="T114" i="47"/>
  <c r="S114" i="47"/>
  <c r="Q114" i="47"/>
  <c r="R114" i="47"/>
  <c r="P114" i="47"/>
  <c r="O114" i="47"/>
  <c r="N114" i="47"/>
  <c r="M114" i="47"/>
  <c r="L114" i="47"/>
  <c r="K114" i="47"/>
  <c r="J114" i="47"/>
  <c r="I114" i="47"/>
  <c r="H114" i="47"/>
  <c r="F114" i="47"/>
  <c r="E114" i="47"/>
  <c r="D114" i="47"/>
  <c r="B114" i="47"/>
  <c r="R138" i="36"/>
  <c r="R134" i="36"/>
  <c r="R132" i="36"/>
  <c r="R128" i="36"/>
  <c r="R125" i="36"/>
  <c r="R122" i="36"/>
  <c r="R120" i="36"/>
  <c r="R114" i="36"/>
  <c r="R111" i="36"/>
  <c r="R109" i="36"/>
  <c r="R105" i="36"/>
  <c r="R95" i="36"/>
  <c r="R93" i="36"/>
  <c r="R89" i="36"/>
  <c r="R87" i="36"/>
  <c r="R85" i="36"/>
  <c r="R83" i="36"/>
  <c r="R81" i="36"/>
  <c r="R78" i="36"/>
  <c r="R74" i="36"/>
  <c r="R71" i="36"/>
  <c r="R69" i="36"/>
  <c r="R66" i="36"/>
  <c r="R61" i="36"/>
  <c r="R59" i="36"/>
  <c r="R53" i="36"/>
  <c r="R50" i="36"/>
  <c r="R46" i="36"/>
  <c r="R41" i="36"/>
  <c r="R39" i="36"/>
  <c r="R37" i="36"/>
  <c r="R31" i="36"/>
  <c r="R28" i="36"/>
  <c r="R23" i="36"/>
  <c r="R20" i="36"/>
  <c r="R17" i="36"/>
  <c r="R15" i="36"/>
  <c r="R12" i="36"/>
  <c r="R8" i="36"/>
  <c r="R6" i="36"/>
  <c r="AR140" i="36"/>
  <c r="AR139" i="36"/>
  <c r="AQ140" i="36"/>
  <c r="AQ139" i="36"/>
  <c r="AN137" i="36"/>
  <c r="AM137" i="36"/>
  <c r="AL137" i="36"/>
  <c r="AK137" i="36"/>
  <c r="AJ137" i="36"/>
  <c r="U136" i="36"/>
  <c r="AM135" i="36"/>
  <c r="AL135" i="36"/>
  <c r="AK135" i="36"/>
  <c r="AJ135" i="36"/>
  <c r="P134" i="36"/>
  <c r="M134" i="36"/>
  <c r="M120" i="36"/>
  <c r="K8" i="36"/>
  <c r="J8" i="36"/>
  <c r="I8" i="36"/>
  <c r="H8" i="36"/>
  <c r="G8" i="36"/>
  <c r="F8" i="36"/>
  <c r="E8" i="36"/>
  <c r="D8" i="36"/>
  <c r="P123" i="9" l="1"/>
  <c r="P159" i="9" s="1"/>
  <c r="AB63" i="45" s="1"/>
  <c r="Q123" i="9"/>
  <c r="Q159" i="9" s="1"/>
  <c r="AB64" i="45" s="1"/>
  <c r="H127" i="9"/>
  <c r="L127" i="9"/>
  <c r="J158" i="9"/>
  <c r="I134" i="9"/>
  <c r="M134" i="9"/>
  <c r="AH62" i="45" s="1"/>
  <c r="Q154" i="9"/>
  <c r="W64" i="45" s="1"/>
  <c r="O127" i="9"/>
  <c r="N158" i="9"/>
  <c r="F158" i="9"/>
  <c r="E127" i="9"/>
  <c r="I127" i="9"/>
  <c r="Q127" i="9"/>
  <c r="G158" i="9"/>
  <c r="K158" i="9"/>
  <c r="O158" i="9"/>
  <c r="M123" i="9"/>
  <c r="M159" i="9" s="1"/>
  <c r="AB62" i="45" s="1"/>
  <c r="D127" i="9"/>
  <c r="N127" i="9"/>
  <c r="V64" i="45"/>
  <c r="D57" i="4"/>
  <c r="F57" i="4"/>
  <c r="E58" i="4"/>
  <c r="G57" i="4"/>
  <c r="AH86" i="36"/>
  <c r="E70" i="27"/>
  <c r="AN86" i="46" s="1"/>
  <c r="AI86" i="36"/>
  <c r="E71" i="27"/>
  <c r="AO86" i="46" s="1"/>
  <c r="AJ86" i="36"/>
  <c r="P156" i="9"/>
  <c r="Y63" i="45" s="1"/>
  <c r="G130" i="9"/>
  <c r="G153" i="9" s="1"/>
  <c r="G154" i="9" s="1"/>
  <c r="K130" i="9"/>
  <c r="K153" i="9" s="1"/>
  <c r="O130" i="9"/>
  <c r="O153" i="9" s="1"/>
  <c r="D156" i="9"/>
  <c r="H130" i="9"/>
  <c r="H153" i="9" s="1"/>
  <c r="L130" i="9"/>
  <c r="L153" i="9" s="1"/>
  <c r="V61" i="45" s="1"/>
  <c r="K134" i="9"/>
  <c r="Q134" i="9"/>
  <c r="AH64" i="45" s="1"/>
  <c r="E130" i="9"/>
  <c r="E153" i="9" s="1"/>
  <c r="I130" i="9"/>
  <c r="I153" i="9" s="1"/>
  <c r="M130" i="9"/>
  <c r="M153" i="9" s="1"/>
  <c r="V62" i="45" s="1"/>
  <c r="E134" i="9"/>
  <c r="J130" i="9"/>
  <c r="J153" i="9" s="1"/>
  <c r="N130" i="9"/>
  <c r="N153" i="9" s="1"/>
  <c r="G134" i="9"/>
  <c r="O134" i="9"/>
  <c r="I156" i="9"/>
  <c r="M156" i="9"/>
  <c r="Y62" i="45" s="1"/>
  <c r="Q156" i="9"/>
  <c r="F156" i="9"/>
  <c r="D81" i="24"/>
  <c r="E81" i="24"/>
  <c r="F81" i="24"/>
  <c r="G81" i="24"/>
  <c r="H81" i="24"/>
  <c r="I81" i="24"/>
  <c r="D82" i="24"/>
  <c r="E82" i="24"/>
  <c r="F82" i="24"/>
  <c r="G82" i="24"/>
  <c r="H82" i="24"/>
  <c r="I82" i="24"/>
  <c r="E84" i="24"/>
  <c r="G84" i="24"/>
  <c r="I84" i="24"/>
  <c r="E87" i="24"/>
  <c r="G87" i="24"/>
  <c r="I87" i="24"/>
  <c r="D89" i="24"/>
  <c r="E89" i="24"/>
  <c r="F89" i="24"/>
  <c r="G89" i="24"/>
  <c r="H89" i="24"/>
  <c r="I89" i="24"/>
  <c r="D90" i="24"/>
  <c r="E90" i="24"/>
  <c r="F90" i="24"/>
  <c r="G90" i="24"/>
  <c r="H90" i="24"/>
  <c r="I90" i="24"/>
  <c r="M6" i="36"/>
  <c r="O6" i="36"/>
  <c r="N6" i="36"/>
  <c r="L6" i="36"/>
  <c r="K6" i="36"/>
  <c r="J6" i="36"/>
  <c r="I6" i="36"/>
  <c r="H6" i="36"/>
  <c r="G6" i="36"/>
  <c r="F6" i="36"/>
  <c r="E6" i="36"/>
  <c r="D6" i="36"/>
  <c r="AF131" i="36"/>
  <c r="AF130" i="36"/>
  <c r="AF129" i="36"/>
  <c r="AF128" i="36"/>
  <c r="AE131" i="36"/>
  <c r="AE130" i="36"/>
  <c r="AE129" i="36"/>
  <c r="AE128" i="36"/>
  <c r="AD131" i="36"/>
  <c r="AD130" i="36"/>
  <c r="AD129" i="36"/>
  <c r="AD128" i="36"/>
  <c r="P131" i="36"/>
  <c r="P130" i="36"/>
  <c r="P129" i="36"/>
  <c r="P128" i="36"/>
  <c r="Q131" i="36"/>
  <c r="Q130" i="36"/>
  <c r="Q129" i="36"/>
  <c r="Q128" i="36"/>
  <c r="M15" i="36"/>
  <c r="M128" i="36"/>
  <c r="M125" i="36"/>
  <c r="M122" i="36"/>
  <c r="M105" i="36"/>
  <c r="M95" i="36"/>
  <c r="M81" i="36"/>
  <c r="M89" i="36"/>
  <c r="M61" i="36"/>
  <c r="M39" i="36"/>
  <c r="M37" i="36"/>
  <c r="M31" i="36"/>
  <c r="M28" i="36"/>
  <c r="M23" i="36"/>
  <c r="M138" i="36"/>
  <c r="M132" i="36"/>
  <c r="M114" i="36"/>
  <c r="M111" i="36"/>
  <c r="M109" i="36"/>
  <c r="M85" i="36"/>
  <c r="M83" i="36"/>
  <c r="M93" i="36"/>
  <c r="M78" i="36"/>
  <c r="M74" i="36"/>
  <c r="M71" i="36"/>
  <c r="M69" i="36"/>
  <c r="M59" i="36"/>
  <c r="M53" i="36"/>
  <c r="M50" i="36"/>
  <c r="M46" i="36"/>
  <c r="M41" i="36"/>
  <c r="M20" i="36"/>
  <c r="M12" i="36"/>
  <c r="M8" i="36"/>
  <c r="M17" i="36"/>
  <c r="N34" i="42"/>
  <c r="N33" i="42"/>
  <c r="N32" i="42"/>
  <c r="N31" i="42"/>
  <c r="N30" i="42"/>
  <c r="U137" i="36"/>
  <c r="U135" i="36"/>
  <c r="U112" i="36"/>
  <c r="F294" i="24"/>
  <c r="S294" i="24"/>
  <c r="R294" i="24"/>
  <c r="Q294" i="24"/>
  <c r="P294" i="24"/>
  <c r="O294" i="24"/>
  <c r="N294" i="24"/>
  <c r="M294" i="24"/>
  <c r="L294" i="24"/>
  <c r="K294" i="24"/>
  <c r="J294" i="24"/>
  <c r="I294" i="24"/>
  <c r="H294" i="24"/>
  <c r="G294" i="24"/>
  <c r="E294" i="24"/>
  <c r="D294" i="24"/>
  <c r="H166" i="24"/>
  <c r="AR137" i="36"/>
  <c r="AQ137" i="36"/>
  <c r="AP137" i="36"/>
  <c r="AO137" i="36"/>
  <c r="AI137" i="36"/>
  <c r="AH137" i="36"/>
  <c r="AG137" i="36"/>
  <c r="AR135" i="36"/>
  <c r="AQ135" i="36"/>
  <c r="AP135" i="36"/>
  <c r="AO135" i="36"/>
  <c r="AN135" i="36"/>
  <c r="AI135" i="36"/>
  <c r="AH135" i="36"/>
  <c r="AG135" i="36"/>
  <c r="F351" i="3"/>
  <c r="AJ133" i="36"/>
  <c r="AP133" i="36"/>
  <c r="AO133" i="36"/>
  <c r="AJ132" i="36"/>
  <c r="K47" i="11"/>
  <c r="J47" i="11"/>
  <c r="I47" i="11"/>
  <c r="H47" i="11"/>
  <c r="G47" i="11"/>
  <c r="F47" i="11"/>
  <c r="E47" i="11"/>
  <c r="D47" i="11"/>
  <c r="K46" i="11"/>
  <c r="J46" i="11"/>
  <c r="I46" i="11"/>
  <c r="H46" i="11"/>
  <c r="G46" i="11"/>
  <c r="F46" i="11"/>
  <c r="E46" i="11"/>
  <c r="D46" i="11"/>
  <c r="J53" i="11"/>
  <c r="AJ119" i="47" s="1"/>
  <c r="H53" i="11"/>
  <c r="AJ117" i="47" s="1"/>
  <c r="F53" i="11"/>
  <c r="R157" i="24"/>
  <c r="Q157" i="24"/>
  <c r="P157" i="24"/>
  <c r="O157" i="24"/>
  <c r="N157" i="24"/>
  <c r="M157" i="24"/>
  <c r="L157" i="24"/>
  <c r="K157" i="24"/>
  <c r="J157" i="24"/>
  <c r="I157" i="24"/>
  <c r="H157" i="24"/>
  <c r="G157" i="24"/>
  <c r="F157" i="24"/>
  <c r="E157" i="24"/>
  <c r="D157" i="24"/>
  <c r="D39" i="33"/>
  <c r="E57" i="27"/>
  <c r="D57" i="27"/>
  <c r="E56" i="27"/>
  <c r="D56" i="27"/>
  <c r="E51" i="27"/>
  <c r="D51" i="27"/>
  <c r="E55" i="27"/>
  <c r="D55" i="27"/>
  <c r="G36" i="32"/>
  <c r="F36" i="32"/>
  <c r="E36" i="32"/>
  <c r="D36" i="32"/>
  <c r="G35" i="32"/>
  <c r="F35" i="32"/>
  <c r="E35" i="32"/>
  <c r="D35" i="32"/>
  <c r="D37" i="32"/>
  <c r="D38" i="32" s="1"/>
  <c r="G108" i="35"/>
  <c r="F108" i="35"/>
  <c r="E108" i="35"/>
  <c r="G79" i="35"/>
  <c r="G83" i="35"/>
  <c r="F83" i="35"/>
  <c r="E83" i="35"/>
  <c r="D83" i="35"/>
  <c r="I91" i="13"/>
  <c r="D91" i="13"/>
  <c r="AJ115" i="36" l="1"/>
  <c r="AJ115" i="47"/>
  <c r="H59" i="11"/>
  <c r="AP117" i="47" s="1"/>
  <c r="U79" i="36"/>
  <c r="U79" i="46"/>
  <c r="U80" i="36"/>
  <c r="U80" i="46"/>
  <c r="G88" i="24"/>
  <c r="P127" i="9"/>
  <c r="Q157" i="9"/>
  <c r="Z64" i="45" s="1"/>
  <c r="Y64" i="45"/>
  <c r="M127" i="9"/>
  <c r="O154" i="9"/>
  <c r="K154" i="9"/>
  <c r="M154" i="9"/>
  <c r="W62" i="45" s="1"/>
  <c r="I154" i="9"/>
  <c r="F59" i="11"/>
  <c r="AP115" i="47" s="1"/>
  <c r="J59" i="11"/>
  <c r="AP119" i="47" s="1"/>
  <c r="AJ117" i="36"/>
  <c r="E72" i="27"/>
  <c r="F98" i="35"/>
  <c r="AP79" i="46" s="1"/>
  <c r="E98" i="35"/>
  <c r="G98" i="35"/>
  <c r="AP117" i="36"/>
  <c r="AJ119" i="36"/>
  <c r="AP115" i="36"/>
  <c r="AP119" i="36"/>
  <c r="D40" i="32"/>
  <c r="E59" i="40"/>
  <c r="U70" i="46" s="1"/>
  <c r="AP80" i="36" l="1"/>
  <c r="AP80" i="46"/>
  <c r="AP79" i="36"/>
  <c r="AP86" i="36"/>
  <c r="AP86" i="46"/>
  <c r="U70" i="36"/>
  <c r="E251" i="10"/>
  <c r="U194" i="10" l="1"/>
  <c r="T194" i="10"/>
  <c r="S194" i="10"/>
  <c r="R194" i="10"/>
  <c r="U193" i="10"/>
  <c r="T193" i="10"/>
  <c r="S193" i="10"/>
  <c r="R193" i="10"/>
  <c r="G204" i="10"/>
  <c r="U108" i="46" s="1"/>
  <c r="E204" i="10"/>
  <c r="U106" i="46" s="1"/>
  <c r="D48" i="10"/>
  <c r="D84" i="10"/>
  <c r="M84" i="10"/>
  <c r="L84" i="10"/>
  <c r="L85" i="10" s="1"/>
  <c r="M83" i="10"/>
  <c r="L83" i="10"/>
  <c r="M82" i="10"/>
  <c r="L82" i="10"/>
  <c r="M81" i="10"/>
  <c r="L81" i="10"/>
  <c r="G84" i="10"/>
  <c r="G85" i="10" s="1"/>
  <c r="F84" i="10"/>
  <c r="F85" i="10" s="1"/>
  <c r="E84" i="10"/>
  <c r="G83" i="10"/>
  <c r="F83" i="10"/>
  <c r="E83" i="10"/>
  <c r="K84" i="10"/>
  <c r="J84" i="10"/>
  <c r="I84" i="10"/>
  <c r="H84" i="10"/>
  <c r="K83" i="10"/>
  <c r="J83" i="10"/>
  <c r="I83" i="10"/>
  <c r="H83" i="10"/>
  <c r="K81" i="10"/>
  <c r="J81" i="10"/>
  <c r="I81" i="10"/>
  <c r="H81" i="10"/>
  <c r="D83" i="10"/>
  <c r="I107" i="10" l="1"/>
  <c r="U99" i="46" s="1"/>
  <c r="J107" i="10"/>
  <c r="U102" i="46" s="1"/>
  <c r="J92" i="10"/>
  <c r="L107" i="10"/>
  <c r="U97" i="46" s="1"/>
  <c r="H107" i="10"/>
  <c r="U96" i="46" s="1"/>
  <c r="K107" i="10"/>
  <c r="U104" i="46" s="1"/>
  <c r="K92" i="10"/>
  <c r="M107" i="10"/>
  <c r="U100" i="46" s="1"/>
  <c r="U99" i="36"/>
  <c r="U96" i="36"/>
  <c r="U97" i="36"/>
  <c r="U106" i="36"/>
  <c r="U104" i="36"/>
  <c r="U100" i="36"/>
  <c r="U108" i="36"/>
  <c r="AJ102" i="46"/>
  <c r="J90" i="10"/>
  <c r="AH102" i="46" s="1"/>
  <c r="I90" i="10"/>
  <c r="AH99" i="46" s="1"/>
  <c r="M90" i="10"/>
  <c r="AH100" i="46" s="1"/>
  <c r="AJ104" i="46"/>
  <c r="K90" i="10"/>
  <c r="AH104" i="46" s="1"/>
  <c r="H90" i="10"/>
  <c r="AH96" i="46" s="1"/>
  <c r="L90" i="10"/>
  <c r="AH97" i="46" s="1"/>
  <c r="E85" i="10"/>
  <c r="M85" i="10"/>
  <c r="M86" i="10" s="1"/>
  <c r="L86" i="10"/>
  <c r="L87" i="10"/>
  <c r="L88" i="10" s="1"/>
  <c r="G86" i="10"/>
  <c r="M87" i="10"/>
  <c r="M88" i="10" s="1"/>
  <c r="F86" i="10"/>
  <c r="H85" i="10"/>
  <c r="H87" i="10"/>
  <c r="H88" i="10" s="1"/>
  <c r="I85" i="10"/>
  <c r="I87" i="10"/>
  <c r="I88" i="10" s="1"/>
  <c r="J85" i="10"/>
  <c r="J91" i="10" s="1"/>
  <c r="J87" i="10"/>
  <c r="J88" i="10" s="1"/>
  <c r="K85" i="10"/>
  <c r="K91" i="10" s="1"/>
  <c r="K87" i="10"/>
  <c r="K88" i="10" s="1"/>
  <c r="D85" i="10"/>
  <c r="H92" i="10" s="1"/>
  <c r="U102" i="36" l="1"/>
  <c r="L92" i="10"/>
  <c r="AJ97" i="46" s="1"/>
  <c r="M91" i="10"/>
  <c r="I91" i="10"/>
  <c r="I92" i="10"/>
  <c r="AJ99" i="46" s="1"/>
  <c r="M92" i="10"/>
  <c r="AJ100" i="46" s="1"/>
  <c r="H91" i="10"/>
  <c r="L91" i="10"/>
  <c r="AI97" i="46" s="1"/>
  <c r="AJ97" i="36"/>
  <c r="K97" i="10"/>
  <c r="AO104" i="46" s="1"/>
  <c r="J97" i="10"/>
  <c r="AO102" i="46" s="1"/>
  <c r="AJ104" i="36"/>
  <c r="AJ102" i="36"/>
  <c r="E86" i="10"/>
  <c r="AI99" i="46"/>
  <c r="AI100" i="46"/>
  <c r="I97" i="10"/>
  <c r="AO99" i="46" s="1"/>
  <c r="M98" i="10"/>
  <c r="AP100" i="46" s="1"/>
  <c r="AI104" i="46"/>
  <c r="D86" i="10"/>
  <c r="L98" i="10" s="1"/>
  <c r="AP97" i="46" s="1"/>
  <c r="AI96" i="46"/>
  <c r="L97" i="10"/>
  <c r="AO97" i="46" s="1"/>
  <c r="AI102" i="46"/>
  <c r="M97" i="10"/>
  <c r="AO100" i="46" s="1"/>
  <c r="H97" i="10"/>
  <c r="AO96" i="46" s="1"/>
  <c r="AJ96" i="46"/>
  <c r="H86" i="10"/>
  <c r="K86" i="10"/>
  <c r="K98" i="10" s="1"/>
  <c r="AP104" i="46" s="1"/>
  <c r="J86" i="10"/>
  <c r="J98" i="10" s="1"/>
  <c r="AP102" i="46" s="1"/>
  <c r="M99" i="10"/>
  <c r="AQ100" i="46" s="1"/>
  <c r="M89" i="10"/>
  <c r="AG100" i="46" s="1"/>
  <c r="M93" i="10"/>
  <c r="AK100" i="46" s="1"/>
  <c r="L93" i="10"/>
  <c r="AK97" i="46" s="1"/>
  <c r="L99" i="10"/>
  <c r="AQ97" i="46" s="1"/>
  <c r="L89" i="10"/>
  <c r="AG97" i="46" s="1"/>
  <c r="K89" i="10"/>
  <c r="AG104" i="46" s="1"/>
  <c r="K93" i="10"/>
  <c r="AK104" i="46" s="1"/>
  <c r="H89" i="10"/>
  <c r="AG96" i="46" s="1"/>
  <c r="H93" i="10"/>
  <c r="AK96" i="46" s="1"/>
  <c r="I89" i="10"/>
  <c r="AG99" i="46" s="1"/>
  <c r="I93" i="10"/>
  <c r="AK99" i="46" s="1"/>
  <c r="I86" i="10"/>
  <c r="J89" i="10"/>
  <c r="AG102" i="46" s="1"/>
  <c r="J93" i="10"/>
  <c r="AK102" i="46" s="1"/>
  <c r="AJ100" i="36" l="1"/>
  <c r="J94" i="10"/>
  <c r="AL102" i="46" s="1"/>
  <c r="L96" i="10"/>
  <c r="AN97" i="46" s="1"/>
  <c r="H99" i="10"/>
  <c r="AQ96" i="46" s="1"/>
  <c r="AJ96" i="36"/>
  <c r="AP97" i="36"/>
  <c r="AO104" i="36"/>
  <c r="AP102" i="36"/>
  <c r="AO96" i="36"/>
  <c r="AO97" i="36"/>
  <c r="K96" i="10"/>
  <c r="AN104" i="46" s="1"/>
  <c r="I96" i="10"/>
  <c r="AN99" i="46" s="1"/>
  <c r="AJ99" i="36"/>
  <c r="AO99" i="36"/>
  <c r="AQ97" i="36"/>
  <c r="AQ100" i="36"/>
  <c r="J96" i="10"/>
  <c r="AN102" i="46" s="1"/>
  <c r="M96" i="10"/>
  <c r="AN100" i="46" s="1"/>
  <c r="I99" i="10"/>
  <c r="AQ99" i="46" s="1"/>
  <c r="K94" i="10"/>
  <c r="AL104" i="46" s="1"/>
  <c r="AP104" i="36"/>
  <c r="AO100" i="36"/>
  <c r="H100" i="10"/>
  <c r="AR96" i="46" s="1"/>
  <c r="AP100" i="36"/>
  <c r="AO102" i="36"/>
  <c r="I98" i="10"/>
  <c r="AP99" i="46" s="1"/>
  <c r="I100" i="10"/>
  <c r="AR99" i="46" s="1"/>
  <c r="H96" i="10"/>
  <c r="AN96" i="46" s="1"/>
  <c r="M100" i="10"/>
  <c r="AR100" i="46" s="1"/>
  <c r="J100" i="10"/>
  <c r="AR102" i="46" s="1"/>
  <c r="H98" i="10"/>
  <c r="AP96" i="46" s="1"/>
  <c r="L100" i="10"/>
  <c r="AR97" i="46" s="1"/>
  <c r="K100" i="10"/>
  <c r="AR104" i="46" s="1"/>
  <c r="H94" i="10"/>
  <c r="AL96" i="46" s="1"/>
  <c r="I94" i="10"/>
  <c r="AL99" i="46" s="1"/>
  <c r="I95" i="10"/>
  <c r="AM99" i="46" s="1"/>
  <c r="H95" i="10"/>
  <c r="AM96" i="46" s="1"/>
  <c r="M94" i="10"/>
  <c r="AL100" i="46" s="1"/>
  <c r="M95" i="10"/>
  <c r="AM100" i="46" s="1"/>
  <c r="L95" i="10"/>
  <c r="AM97" i="46" s="1"/>
  <c r="L94" i="10"/>
  <c r="AL97" i="46" s="1"/>
  <c r="J99" i="10"/>
  <c r="AQ102" i="46" s="1"/>
  <c r="J95" i="10"/>
  <c r="AM102" i="46" s="1"/>
  <c r="K99" i="10"/>
  <c r="AQ104" i="46" s="1"/>
  <c r="K95" i="10"/>
  <c r="AM104" i="46" s="1"/>
  <c r="AR100" i="36" l="1"/>
  <c r="AN102" i="36"/>
  <c r="AN104" i="36"/>
  <c r="AN97" i="36"/>
  <c r="AQ102" i="36"/>
  <c r="AR104" i="36"/>
  <c r="AQ104" i="36"/>
  <c r="AR97" i="36"/>
  <c r="AN96" i="36"/>
  <c r="AR96" i="36"/>
  <c r="AQ99" i="36"/>
  <c r="AP96" i="36"/>
  <c r="AR99" i="36"/>
  <c r="AR102" i="36"/>
  <c r="AP99" i="36"/>
  <c r="AN100" i="36"/>
  <c r="AN99" i="36"/>
  <c r="AQ96" i="36"/>
  <c r="E351" i="10"/>
  <c r="AD121" i="47" s="1"/>
  <c r="D351" i="10"/>
  <c r="AD120" i="47" s="1"/>
  <c r="E350" i="10"/>
  <c r="AC121" i="47" s="1"/>
  <c r="E349" i="10"/>
  <c r="AB121" i="47" s="1"/>
  <c r="D349" i="10"/>
  <c r="AB120" i="47" s="1"/>
  <c r="E348" i="10"/>
  <c r="AA121" i="47" s="1"/>
  <c r="D348" i="10"/>
  <c r="AA120" i="47" s="1"/>
  <c r="E346" i="10"/>
  <c r="Y121" i="47" s="1"/>
  <c r="D346" i="10"/>
  <c r="Y120" i="47" s="1"/>
  <c r="E343" i="10"/>
  <c r="V121" i="47" s="1"/>
  <c r="D343" i="10"/>
  <c r="V120" i="47" s="1"/>
  <c r="E341" i="10"/>
  <c r="T121" i="47" s="1"/>
  <c r="E340" i="10"/>
  <c r="S121" i="47" s="1"/>
  <c r="D341" i="10"/>
  <c r="T120" i="47" s="1"/>
  <c r="D340" i="10"/>
  <c r="S120" i="47" s="1"/>
  <c r="E333" i="10"/>
  <c r="AP121" i="47" s="1"/>
  <c r="E325" i="10"/>
  <c r="AH121" i="47" s="1"/>
  <c r="E342" i="10"/>
  <c r="U121" i="47" s="1"/>
  <c r="E323" i="10"/>
  <c r="E328" i="10" s="1"/>
  <c r="AK121" i="47" s="1"/>
  <c r="E320" i="10"/>
  <c r="D320" i="10"/>
  <c r="E327" i="10" s="1"/>
  <c r="AJ121" i="47" s="1"/>
  <c r="E318" i="10"/>
  <c r="D318" i="10"/>
  <c r="E321" i="10"/>
  <c r="D321" i="10"/>
  <c r="E319" i="10"/>
  <c r="D319" i="10"/>
  <c r="AP121" i="36" l="1"/>
  <c r="U121" i="36"/>
  <c r="AJ121" i="36"/>
  <c r="E332" i="10"/>
  <c r="AO121" i="47" s="1"/>
  <c r="AO121" i="36" l="1"/>
  <c r="Q142" i="9"/>
  <c r="AP64" i="45" s="1"/>
  <c r="O142" i="9"/>
  <c r="M142" i="9"/>
  <c r="AP62" i="45" s="1"/>
  <c r="K142" i="9"/>
  <c r="I142" i="9"/>
  <c r="G142" i="9"/>
  <c r="E142" i="9"/>
  <c r="D41" i="9"/>
  <c r="D69" i="9"/>
  <c r="Y59" i="45" s="1"/>
  <c r="I40" i="9"/>
  <c r="H40" i="9"/>
  <c r="G40" i="9"/>
  <c r="F40" i="9"/>
  <c r="E40" i="9"/>
  <c r="D40" i="9"/>
  <c r="F60" i="19"/>
  <c r="F63" i="19" s="1"/>
  <c r="E60" i="19"/>
  <c r="E63" i="19" s="1"/>
  <c r="D60" i="19"/>
  <c r="D63" i="19" s="1"/>
  <c r="I260" i="3"/>
  <c r="H260" i="3"/>
  <c r="G260" i="3"/>
  <c r="F260" i="3"/>
  <c r="E260" i="3"/>
  <c r="D260" i="3"/>
  <c r="D160" i="3"/>
  <c r="I158" i="3"/>
  <c r="I157" i="3"/>
  <c r="G20" i="42"/>
  <c r="J20" i="42"/>
  <c r="I20" i="42"/>
  <c r="H20" i="42"/>
  <c r="F20" i="42"/>
  <c r="E20" i="42"/>
  <c r="G79" i="39"/>
  <c r="F79" i="39"/>
  <c r="D74" i="39"/>
  <c r="O39" i="36"/>
  <c r="I8" i="42"/>
  <c r="H8" i="42"/>
  <c r="J8" i="42"/>
  <c r="F8" i="42"/>
  <c r="E8" i="42"/>
  <c r="I9" i="42"/>
  <c r="H9" i="42"/>
  <c r="J9" i="42"/>
  <c r="G9" i="42"/>
  <c r="F9" i="42"/>
  <c r="E9" i="42"/>
  <c r="E5" i="42"/>
  <c r="AP62" i="36" l="1"/>
  <c r="F56" i="9"/>
  <c r="AP64" i="36"/>
  <c r="F273" i="3"/>
  <c r="H56" i="9"/>
  <c r="E56" i="9"/>
  <c r="I56" i="9"/>
  <c r="G56" i="9"/>
  <c r="AP60" i="45" s="1"/>
  <c r="D273" i="3"/>
  <c r="H273" i="3"/>
  <c r="AP38" i="44" s="1"/>
  <c r="G10" i="42"/>
  <c r="G11" i="42" s="1"/>
  <c r="J10" i="42"/>
  <c r="J11" i="42" s="1"/>
  <c r="J21" i="42" s="1"/>
  <c r="J22" i="42" s="1"/>
  <c r="E10" i="42"/>
  <c r="E11" i="42" s="1"/>
  <c r="E21" i="42" s="1"/>
  <c r="E22" i="42" s="1"/>
  <c r="H10" i="42"/>
  <c r="H11" i="42" s="1"/>
  <c r="H21" i="42" s="1"/>
  <c r="H22" i="42" s="1"/>
  <c r="F10" i="42"/>
  <c r="F11" i="42" s="1"/>
  <c r="F21" i="42" s="1"/>
  <c r="F22" i="42" s="1"/>
  <c r="I10" i="42"/>
  <c r="I11" i="42" s="1"/>
  <c r="I21" i="42" s="1"/>
  <c r="I22" i="42" s="1"/>
  <c r="G36" i="39"/>
  <c r="O128" i="36"/>
  <c r="N128" i="36"/>
  <c r="L128" i="36"/>
  <c r="K128" i="36"/>
  <c r="AP60" i="36" l="1"/>
  <c r="AP38" i="36"/>
  <c r="G21" i="42"/>
  <c r="G22" i="42" s="1"/>
  <c r="G12" i="42"/>
  <c r="F12" i="42"/>
  <c r="F19" i="42"/>
  <c r="G19" i="42"/>
  <c r="H12" i="42"/>
  <c r="H19" i="42"/>
  <c r="E12" i="42"/>
  <c r="E19" i="42"/>
  <c r="I12" i="42"/>
  <c r="I19" i="42"/>
  <c r="J12" i="42"/>
  <c r="J19" i="42"/>
  <c r="S293" i="24"/>
  <c r="R293" i="24"/>
  <c r="Q293" i="24"/>
  <c r="P293" i="24"/>
  <c r="O293" i="24"/>
  <c r="N293" i="24"/>
  <c r="M293" i="24"/>
  <c r="L293" i="24"/>
  <c r="K293" i="24"/>
  <c r="J293" i="24"/>
  <c r="I293" i="24"/>
  <c r="H293" i="24"/>
  <c r="G293" i="24"/>
  <c r="F293" i="24"/>
  <c r="E293" i="24"/>
  <c r="D293" i="24"/>
  <c r="S264" i="24"/>
  <c r="S291" i="24" s="1"/>
  <c r="S357" i="24" s="1"/>
  <c r="R264" i="24"/>
  <c r="R291" i="24" s="1"/>
  <c r="R357" i="24" s="1"/>
  <c r="AC131" i="47" s="1"/>
  <c r="Q264" i="24"/>
  <c r="Q291" i="24" s="1"/>
  <c r="Q357" i="24" s="1"/>
  <c r="P264" i="24"/>
  <c r="P291" i="24" s="1"/>
  <c r="P357" i="24" s="1"/>
  <c r="AC130" i="47" s="1"/>
  <c r="O264" i="24"/>
  <c r="O291" i="24" s="1"/>
  <c r="O357" i="24" s="1"/>
  <c r="N264" i="24"/>
  <c r="N291" i="24" s="1"/>
  <c r="N357" i="24" s="1"/>
  <c r="AC129" i="47" s="1"/>
  <c r="M264" i="24"/>
  <c r="M289" i="24" s="1"/>
  <c r="M355" i="24" s="1"/>
  <c r="L264" i="24"/>
  <c r="L291" i="24" s="1"/>
  <c r="L357" i="24" s="1"/>
  <c r="K264" i="24"/>
  <c r="K291" i="24" s="1"/>
  <c r="K357" i="24" s="1"/>
  <c r="J264" i="24"/>
  <c r="J291" i="24" s="1"/>
  <c r="J357" i="24" s="1"/>
  <c r="I264" i="24"/>
  <c r="I291" i="24" s="1"/>
  <c r="I357" i="24" s="1"/>
  <c r="H264" i="24"/>
  <c r="H291" i="24" s="1"/>
  <c r="H357" i="24" s="1"/>
  <c r="G264" i="24"/>
  <c r="G291" i="24" s="1"/>
  <c r="G357" i="24" s="1"/>
  <c r="F264" i="24"/>
  <c r="F291" i="24" s="1"/>
  <c r="F357" i="24" s="1"/>
  <c r="E264" i="24"/>
  <c r="E289" i="24" s="1"/>
  <c r="E355" i="24" s="1"/>
  <c r="AA128" i="47" s="1"/>
  <c r="D264" i="24"/>
  <c r="D291" i="24" s="1"/>
  <c r="D357" i="24" s="1"/>
  <c r="D281" i="24"/>
  <c r="S296" i="24"/>
  <c r="R296" i="24"/>
  <c r="Q296" i="24"/>
  <c r="P296" i="24"/>
  <c r="O296" i="24"/>
  <c r="N296" i="24"/>
  <c r="M296" i="24"/>
  <c r="L296" i="24"/>
  <c r="K296" i="24"/>
  <c r="J296" i="24"/>
  <c r="I296" i="24"/>
  <c r="H296" i="24"/>
  <c r="G296" i="24"/>
  <c r="F296" i="24"/>
  <c r="E296" i="24"/>
  <c r="D296" i="24"/>
  <c r="S285" i="24"/>
  <c r="R285" i="24"/>
  <c r="Q285" i="24"/>
  <c r="P285" i="24"/>
  <c r="O285" i="24"/>
  <c r="N285" i="24"/>
  <c r="M285" i="24"/>
  <c r="L285" i="24"/>
  <c r="K285" i="24"/>
  <c r="J285" i="24"/>
  <c r="I285" i="24"/>
  <c r="H285" i="24"/>
  <c r="G285" i="24"/>
  <c r="F285" i="24"/>
  <c r="E285" i="24"/>
  <c r="D285" i="24"/>
  <c r="S284" i="24"/>
  <c r="R284" i="24"/>
  <c r="Q284" i="24"/>
  <c r="P284" i="24"/>
  <c r="O284" i="24"/>
  <c r="N284" i="24"/>
  <c r="M284" i="24"/>
  <c r="L284" i="24"/>
  <c r="K284" i="24"/>
  <c r="J284" i="24"/>
  <c r="I284" i="24"/>
  <c r="H284" i="24"/>
  <c r="G284" i="24"/>
  <c r="F284" i="24"/>
  <c r="E284" i="24"/>
  <c r="D284" i="24"/>
  <c r="J128" i="36"/>
  <c r="I128" i="36"/>
  <c r="H128" i="36"/>
  <c r="G128" i="36"/>
  <c r="F128" i="36"/>
  <c r="E128" i="36"/>
  <c r="D128" i="36"/>
  <c r="B128" i="36"/>
  <c r="J229" i="24"/>
  <c r="J228" i="24"/>
  <c r="J227" i="24"/>
  <c r="J226" i="24"/>
  <c r="J225" i="24"/>
  <c r="J224" i="24"/>
  <c r="J223" i="24"/>
  <c r="J222" i="24"/>
  <c r="AF127" i="36"/>
  <c r="AE127" i="36"/>
  <c r="P127" i="36"/>
  <c r="Q127" i="36"/>
  <c r="AF126" i="36"/>
  <c r="AE126" i="36"/>
  <c r="P126" i="36"/>
  <c r="Q126" i="36"/>
  <c r="AF125" i="36"/>
  <c r="AE125" i="36"/>
  <c r="P125" i="36"/>
  <c r="Q125" i="36"/>
  <c r="O125" i="36"/>
  <c r="N125" i="36"/>
  <c r="L125" i="36"/>
  <c r="K125" i="36"/>
  <c r="J125" i="36"/>
  <c r="I125" i="36"/>
  <c r="H125" i="36"/>
  <c r="G125" i="36"/>
  <c r="F125" i="36"/>
  <c r="E125" i="36"/>
  <c r="D125" i="36"/>
  <c r="R167" i="24"/>
  <c r="R166" i="24"/>
  <c r="Q166" i="24"/>
  <c r="O166" i="24"/>
  <c r="N166" i="24"/>
  <c r="L166" i="24"/>
  <c r="K166" i="24"/>
  <c r="K188" i="24" s="1"/>
  <c r="I166" i="24"/>
  <c r="I188" i="24" s="1"/>
  <c r="H188" i="24"/>
  <c r="Q158" i="24"/>
  <c r="P158" i="24"/>
  <c r="O158" i="24"/>
  <c r="N158" i="24"/>
  <c r="M158" i="24"/>
  <c r="M165" i="24" s="1"/>
  <c r="L158" i="24"/>
  <c r="K158" i="24"/>
  <c r="J158" i="24"/>
  <c r="J164" i="24" s="1"/>
  <c r="I158" i="24"/>
  <c r="H158" i="24"/>
  <c r="G158" i="24"/>
  <c r="G164" i="24" s="1"/>
  <c r="F158" i="24"/>
  <c r="F164" i="24" s="1"/>
  <c r="E158" i="24"/>
  <c r="E165" i="24" s="1"/>
  <c r="D158" i="24"/>
  <c r="D165" i="24" s="1"/>
  <c r="R165" i="24"/>
  <c r="D163" i="24"/>
  <c r="D192" i="24" s="1"/>
  <c r="R193" i="24"/>
  <c r="R191" i="24"/>
  <c r="R190" i="24"/>
  <c r="R189" i="24"/>
  <c r="R192" i="24"/>
  <c r="Q163" i="24"/>
  <c r="Q192" i="24" s="1"/>
  <c r="P163" i="24"/>
  <c r="P192" i="24" s="1"/>
  <c r="O163" i="24"/>
  <c r="O192" i="24" s="1"/>
  <c r="Y127" i="47" s="1"/>
  <c r="N163" i="24"/>
  <c r="N192" i="24" s="1"/>
  <c r="Y126" i="47" s="1"/>
  <c r="M163" i="24"/>
  <c r="M192" i="24" s="1"/>
  <c r="Y125" i="47" s="1"/>
  <c r="L163" i="24"/>
  <c r="L192" i="24" s="1"/>
  <c r="K163" i="24"/>
  <c r="K192" i="24" s="1"/>
  <c r="J163" i="24"/>
  <c r="J192" i="24" s="1"/>
  <c r="I163" i="24"/>
  <c r="I192" i="24" s="1"/>
  <c r="H163" i="24"/>
  <c r="H192" i="24" s="1"/>
  <c r="G163" i="24"/>
  <c r="G192" i="24" s="1"/>
  <c r="F163" i="24"/>
  <c r="F192" i="24" s="1"/>
  <c r="E163" i="24"/>
  <c r="E192" i="24" s="1"/>
  <c r="B125" i="36"/>
  <c r="AF132" i="36"/>
  <c r="AE132" i="36"/>
  <c r="Z132" i="36"/>
  <c r="X132" i="36"/>
  <c r="W132" i="36"/>
  <c r="P132" i="36"/>
  <c r="Q132" i="36"/>
  <c r="AR133" i="36"/>
  <c r="AN133" i="36"/>
  <c r="AM133" i="36"/>
  <c r="AI133" i="36"/>
  <c r="AF133" i="36"/>
  <c r="AE133" i="36"/>
  <c r="P133" i="36"/>
  <c r="Q133" i="36"/>
  <c r="P21" i="36"/>
  <c r="Q21" i="36"/>
  <c r="AF11" i="36"/>
  <c r="AE11" i="36"/>
  <c r="P11" i="36"/>
  <c r="Q11" i="36"/>
  <c r="AF18" i="36"/>
  <c r="AE18" i="36"/>
  <c r="P18" i="36"/>
  <c r="Q18" i="36"/>
  <c r="J52" i="11"/>
  <c r="AI119" i="47" s="1"/>
  <c r="AF124" i="36"/>
  <c r="P124" i="36"/>
  <c r="Q124" i="36"/>
  <c r="AF123" i="36"/>
  <c r="P123" i="36"/>
  <c r="Q123" i="36"/>
  <c r="AF122" i="36"/>
  <c r="P122" i="36"/>
  <c r="Q122" i="36"/>
  <c r="E139" i="40"/>
  <c r="AC123" i="47" s="1"/>
  <c r="D139" i="40"/>
  <c r="F139" i="40"/>
  <c r="AC124" i="47" s="1"/>
  <c r="F138" i="40"/>
  <c r="AB124" i="47" s="1"/>
  <c r="E138" i="40"/>
  <c r="AB123" i="47" s="1"/>
  <c r="D138" i="40"/>
  <c r="AB122" i="47" s="1"/>
  <c r="F137" i="40"/>
  <c r="AA124" i="47" s="1"/>
  <c r="E137" i="40"/>
  <c r="AA123" i="47" s="1"/>
  <c r="D137" i="40"/>
  <c r="AA122" i="47" s="1"/>
  <c r="F132" i="40"/>
  <c r="V124" i="47" s="1"/>
  <c r="E132" i="40"/>
  <c r="V123" i="47" s="1"/>
  <c r="D132" i="40"/>
  <c r="V122" i="47" s="1"/>
  <c r="F140" i="40"/>
  <c r="AD124" i="47" s="1"/>
  <c r="E140" i="40"/>
  <c r="AD123" i="47" s="1"/>
  <c r="D140" i="40"/>
  <c r="AD122" i="47" s="1"/>
  <c r="F141" i="40"/>
  <c r="AE124" i="47" s="1"/>
  <c r="E141" i="40"/>
  <c r="AE123" i="47" s="1"/>
  <c r="D141" i="40"/>
  <c r="AE122" i="47" s="1"/>
  <c r="F130" i="40"/>
  <c r="T124" i="47" s="1"/>
  <c r="E130" i="40"/>
  <c r="T123" i="47" s="1"/>
  <c r="D130" i="40"/>
  <c r="T122" i="47" s="1"/>
  <c r="E129" i="40"/>
  <c r="S123" i="47" s="1"/>
  <c r="D129" i="40"/>
  <c r="S122" i="47" s="1"/>
  <c r="O122" i="36"/>
  <c r="N122" i="36"/>
  <c r="L122" i="36"/>
  <c r="K122" i="36"/>
  <c r="J122" i="36"/>
  <c r="I122" i="36"/>
  <c r="H122" i="36"/>
  <c r="G122" i="36"/>
  <c r="F122" i="36"/>
  <c r="E122" i="36"/>
  <c r="D122" i="36"/>
  <c r="B122" i="36"/>
  <c r="AE70" i="46"/>
  <c r="AE69" i="46"/>
  <c r="E68" i="40"/>
  <c r="AD70" i="46" s="1"/>
  <c r="D68" i="40"/>
  <c r="AD69" i="46" s="1"/>
  <c r="E67" i="40"/>
  <c r="AC70" i="46" s="1"/>
  <c r="D67" i="40"/>
  <c r="E66" i="40"/>
  <c r="AB70" i="46" s="1"/>
  <c r="D66" i="40"/>
  <c r="AB69" i="46" s="1"/>
  <c r="E65" i="40"/>
  <c r="AA70" i="46" s="1"/>
  <c r="D65" i="40"/>
  <c r="AA69" i="46" s="1"/>
  <c r="E63" i="40"/>
  <c r="Y70" i="46" s="1"/>
  <c r="D63" i="40"/>
  <c r="Y69" i="46" s="1"/>
  <c r="E60" i="40"/>
  <c r="V70" i="46" s="1"/>
  <c r="D60" i="40"/>
  <c r="V69" i="46" s="1"/>
  <c r="E58" i="40"/>
  <c r="T70" i="46" s="1"/>
  <c r="D58" i="40"/>
  <c r="T69" i="46" s="1"/>
  <c r="E57" i="40"/>
  <c r="S70" i="46" s="1"/>
  <c r="D57" i="40"/>
  <c r="S69" i="46" s="1"/>
  <c r="AH70" i="46"/>
  <c r="AD123" i="36" l="1"/>
  <c r="AE123" i="36"/>
  <c r="AA122" i="36"/>
  <c r="AB123" i="36"/>
  <c r="AC123" i="36"/>
  <c r="AE122" i="36"/>
  <c r="AB122" i="36"/>
  <c r="T122" i="36"/>
  <c r="AE124" i="36"/>
  <c r="V122" i="36"/>
  <c r="AA123" i="36"/>
  <c r="S123" i="36"/>
  <c r="S122" i="36"/>
  <c r="T123" i="36"/>
  <c r="AD122" i="36"/>
  <c r="AA124" i="36"/>
  <c r="AC124" i="36"/>
  <c r="AA128" i="36"/>
  <c r="AC129" i="36"/>
  <c r="AC131" i="36"/>
  <c r="AC130" i="36"/>
  <c r="Y126" i="36"/>
  <c r="F295" i="24"/>
  <c r="Y125" i="36"/>
  <c r="Y127" i="36"/>
  <c r="Q167" i="24"/>
  <c r="Q168" i="24" s="1"/>
  <c r="Q178" i="24"/>
  <c r="K178" i="24"/>
  <c r="O164" i="24"/>
  <c r="O178" i="24"/>
  <c r="AP127" i="47" s="1"/>
  <c r="O188" i="24"/>
  <c r="U127" i="47" s="1"/>
  <c r="O172" i="24"/>
  <c r="AJ127" i="47" s="1"/>
  <c r="G318" i="24"/>
  <c r="I318" i="24"/>
  <c r="K318" i="24"/>
  <c r="E328" i="24"/>
  <c r="G328" i="24"/>
  <c r="I328" i="24"/>
  <c r="K328" i="24"/>
  <c r="N178" i="24"/>
  <c r="AP126" i="47" s="1"/>
  <c r="N188" i="24"/>
  <c r="U126" i="47" s="1"/>
  <c r="N172" i="24"/>
  <c r="AJ126" i="47" s="1"/>
  <c r="L178" i="24"/>
  <c r="P165" i="24"/>
  <c r="R172" i="24" s="1"/>
  <c r="R178" i="24"/>
  <c r="Q188" i="24"/>
  <c r="E324" i="24"/>
  <c r="G324" i="24"/>
  <c r="I324" i="24"/>
  <c r="K324" i="24"/>
  <c r="E326" i="24"/>
  <c r="G326" i="24"/>
  <c r="I326" i="24"/>
  <c r="K326" i="24"/>
  <c r="N164" i="24"/>
  <c r="AP126" i="36"/>
  <c r="I165" i="24"/>
  <c r="I178" i="24"/>
  <c r="K164" i="24"/>
  <c r="H167" i="24"/>
  <c r="H168" i="24" s="1"/>
  <c r="H173" i="24" s="1"/>
  <c r="H178" i="24"/>
  <c r="L167" i="24"/>
  <c r="L168" i="24" s="1"/>
  <c r="L169" i="24" s="1"/>
  <c r="E135" i="40"/>
  <c r="Y123" i="47" s="1"/>
  <c r="F286" i="24"/>
  <c r="J286" i="24"/>
  <c r="N286" i="24"/>
  <c r="R286" i="24"/>
  <c r="G286" i="24"/>
  <c r="K286" i="24"/>
  <c r="O286" i="24"/>
  <c r="S286" i="24"/>
  <c r="D286" i="24"/>
  <c r="H286" i="24"/>
  <c r="L286" i="24"/>
  <c r="L307" i="24" s="1"/>
  <c r="P286" i="24"/>
  <c r="E286" i="24"/>
  <c r="I286" i="24"/>
  <c r="M286" i="24"/>
  <c r="M307" i="24" s="1"/>
  <c r="Q286" i="24"/>
  <c r="E317" i="24"/>
  <c r="F299" i="24"/>
  <c r="F306" i="24" s="1"/>
  <c r="I317" i="24"/>
  <c r="N299" i="24"/>
  <c r="AH129" i="47" s="1"/>
  <c r="G299" i="24"/>
  <c r="G306" i="24" s="1"/>
  <c r="K299" i="24"/>
  <c r="K306" i="24" s="1"/>
  <c r="O299" i="24"/>
  <c r="O306" i="24" s="1"/>
  <c r="S299" i="24"/>
  <c r="S306" i="24" s="1"/>
  <c r="G317" i="24"/>
  <c r="J299" i="24"/>
  <c r="J306" i="24" s="1"/>
  <c r="K317" i="24"/>
  <c r="R299" i="24"/>
  <c r="AH131" i="47" s="1"/>
  <c r="H299" i="24"/>
  <c r="H306" i="24" s="1"/>
  <c r="L299" i="24"/>
  <c r="L306" i="24" s="1"/>
  <c r="P299" i="24"/>
  <c r="AH130" i="47" s="1"/>
  <c r="R300" i="24"/>
  <c r="N300" i="24"/>
  <c r="J300" i="24"/>
  <c r="F300" i="24"/>
  <c r="P300" i="24"/>
  <c r="L300" i="24"/>
  <c r="H300" i="24"/>
  <c r="I299" i="24"/>
  <c r="I306" i="24" s="1"/>
  <c r="M299" i="24"/>
  <c r="M306" i="24" s="1"/>
  <c r="Q299" i="24"/>
  <c r="Q306" i="24" s="1"/>
  <c r="G295" i="24"/>
  <c r="G301" i="24" s="1"/>
  <c r="S300" i="24"/>
  <c r="K300" i="24"/>
  <c r="Q300" i="24"/>
  <c r="M300" i="24"/>
  <c r="I300" i="24"/>
  <c r="O300" i="24"/>
  <c r="G300" i="24"/>
  <c r="E112" i="40"/>
  <c r="D108" i="40"/>
  <c r="AO70" i="46"/>
  <c r="E110" i="40"/>
  <c r="F110" i="40"/>
  <c r="AB124" i="36"/>
  <c r="AD124" i="36"/>
  <c r="T124" i="36"/>
  <c r="F108" i="40"/>
  <c r="D317" i="24"/>
  <c r="F317" i="24"/>
  <c r="H317" i="24"/>
  <c r="J317" i="24"/>
  <c r="D318" i="24"/>
  <c r="F318" i="24"/>
  <c r="G327" i="24" s="1"/>
  <c r="H318" i="24"/>
  <c r="J318" i="24"/>
  <c r="F328" i="24"/>
  <c r="H328" i="24"/>
  <c r="J328" i="24"/>
  <c r="F324" i="24"/>
  <c r="J324" i="24"/>
  <c r="F326" i="24"/>
  <c r="H326" i="24"/>
  <c r="J326" i="24"/>
  <c r="I295" i="24"/>
  <c r="I301" i="24" s="1"/>
  <c r="J295" i="24"/>
  <c r="J301" i="24" s="1"/>
  <c r="N295" i="24"/>
  <c r="N301" i="24" s="1"/>
  <c r="R295" i="24"/>
  <c r="R301" i="24" s="1"/>
  <c r="D328" i="24"/>
  <c r="D347" i="24"/>
  <c r="H295" i="24"/>
  <c r="H301" i="24" s="1"/>
  <c r="E318" i="24"/>
  <c r="M295" i="24"/>
  <c r="Q295" i="24"/>
  <c r="Q301" i="24" s="1"/>
  <c r="K295" i="24"/>
  <c r="O295" i="24"/>
  <c r="O301" i="24" s="1"/>
  <c r="S295" i="24"/>
  <c r="S297" i="24" s="1"/>
  <c r="S302" i="24" s="1"/>
  <c r="D326" i="24"/>
  <c r="E282" i="24"/>
  <c r="M282" i="24"/>
  <c r="I289" i="24"/>
  <c r="I355" i="24" s="1"/>
  <c r="Q289" i="24"/>
  <c r="Q355" i="24" s="1"/>
  <c r="E290" i="24"/>
  <c r="E356" i="24" s="1"/>
  <c r="AB128" i="47" s="1"/>
  <c r="M290" i="24"/>
  <c r="M356" i="24" s="1"/>
  <c r="E291" i="24"/>
  <c r="M291" i="24"/>
  <c r="F282" i="24"/>
  <c r="J282" i="24"/>
  <c r="N282" i="24"/>
  <c r="R282" i="24"/>
  <c r="F289" i="24"/>
  <c r="F355" i="24" s="1"/>
  <c r="J289" i="24"/>
  <c r="J355" i="24" s="1"/>
  <c r="N289" i="24"/>
  <c r="N355" i="24" s="1"/>
  <c r="AA129" i="47" s="1"/>
  <c r="R289" i="24"/>
  <c r="R355" i="24" s="1"/>
  <c r="AA131" i="47" s="1"/>
  <c r="F290" i="24"/>
  <c r="F356" i="24" s="1"/>
  <c r="J290" i="24"/>
  <c r="J356" i="24" s="1"/>
  <c r="N290" i="24"/>
  <c r="N356" i="24" s="1"/>
  <c r="AB129" i="47" s="1"/>
  <c r="R290" i="24"/>
  <c r="R356" i="24" s="1"/>
  <c r="AB131" i="47" s="1"/>
  <c r="I282" i="24"/>
  <c r="Q282" i="24"/>
  <c r="I290" i="24"/>
  <c r="I356" i="24" s="1"/>
  <c r="Q290" i="24"/>
  <c r="Q356" i="24" s="1"/>
  <c r="G282" i="24"/>
  <c r="K282" i="24"/>
  <c r="O282" i="24"/>
  <c r="S282" i="24"/>
  <c r="G289" i="24"/>
  <c r="G355" i="24" s="1"/>
  <c r="K289" i="24"/>
  <c r="K355" i="24" s="1"/>
  <c r="O289" i="24"/>
  <c r="O355" i="24" s="1"/>
  <c r="S289" i="24"/>
  <c r="S355" i="24" s="1"/>
  <c r="G290" i="24"/>
  <c r="G356" i="24" s="1"/>
  <c r="K290" i="24"/>
  <c r="K356" i="24" s="1"/>
  <c r="O290" i="24"/>
  <c r="O356" i="24" s="1"/>
  <c r="S290" i="24"/>
  <c r="S356" i="24" s="1"/>
  <c r="D282" i="24"/>
  <c r="H282" i="24"/>
  <c r="L282" i="24"/>
  <c r="P282" i="24"/>
  <c r="D289" i="24"/>
  <c r="H289" i="24"/>
  <c r="H355" i="24" s="1"/>
  <c r="L289" i="24"/>
  <c r="P289" i="24"/>
  <c r="P355" i="24" s="1"/>
  <c r="AA130" i="47" s="1"/>
  <c r="D290" i="24"/>
  <c r="D356" i="24" s="1"/>
  <c r="H290" i="24"/>
  <c r="L290" i="24"/>
  <c r="P290" i="24"/>
  <c r="P356" i="24" s="1"/>
  <c r="AB130" i="47" s="1"/>
  <c r="L295" i="24"/>
  <c r="L301" i="24" s="1"/>
  <c r="P295" i="24"/>
  <c r="P301" i="24" s="1"/>
  <c r="D287" i="24"/>
  <c r="G297" i="24"/>
  <c r="P164" i="24"/>
  <c r="D164" i="24"/>
  <c r="H165" i="24"/>
  <c r="H164" i="24"/>
  <c r="L164" i="24"/>
  <c r="L165" i="24"/>
  <c r="R171" i="24"/>
  <c r="R176" i="24" s="1"/>
  <c r="R168" i="24"/>
  <c r="R173" i="24" s="1"/>
  <c r="L188" i="24"/>
  <c r="R188" i="24"/>
  <c r="I164" i="24"/>
  <c r="Q165" i="24"/>
  <c r="I167" i="24"/>
  <c r="I168" i="24" s="1"/>
  <c r="Q164" i="24"/>
  <c r="E164" i="24"/>
  <c r="M164" i="24"/>
  <c r="N167" i="24"/>
  <c r="N168" i="24" s="1"/>
  <c r="H170" i="24"/>
  <c r="F165" i="24"/>
  <c r="J165" i="24"/>
  <c r="N165" i="24"/>
  <c r="N171" i="24" s="1"/>
  <c r="AI126" i="47" s="1"/>
  <c r="O167" i="24"/>
  <c r="O168" i="24" s="1"/>
  <c r="G165" i="24"/>
  <c r="K165" i="24"/>
  <c r="O165" i="24"/>
  <c r="O171" i="24" s="1"/>
  <c r="AI127" i="47" s="1"/>
  <c r="K167" i="24"/>
  <c r="K168" i="24" s="1"/>
  <c r="L170" i="24"/>
  <c r="I170" i="24"/>
  <c r="O170" i="24"/>
  <c r="AH127" i="47" s="1"/>
  <c r="N170" i="24"/>
  <c r="AH126" i="47" s="1"/>
  <c r="K170" i="24"/>
  <c r="Q170" i="24"/>
  <c r="F135" i="40"/>
  <c r="Y124" i="47" s="1"/>
  <c r="F106" i="40"/>
  <c r="F114" i="40"/>
  <c r="AH124" i="47" s="1"/>
  <c r="D135" i="40"/>
  <c r="Y122" i="47" s="1"/>
  <c r="E108" i="40"/>
  <c r="V124" i="36"/>
  <c r="F133" i="40"/>
  <c r="W124" i="47" s="1"/>
  <c r="E133" i="40"/>
  <c r="W123" i="47" s="1"/>
  <c r="V123" i="36"/>
  <c r="E116" i="40"/>
  <c r="AJ123" i="47" s="1"/>
  <c r="E106" i="40"/>
  <c r="E114" i="40"/>
  <c r="AH123" i="47" s="1"/>
  <c r="F129" i="40"/>
  <c r="S124" i="47" s="1"/>
  <c r="E131" i="40"/>
  <c r="U123" i="47" s="1"/>
  <c r="D106" i="40"/>
  <c r="AI70" i="46"/>
  <c r="E64" i="40"/>
  <c r="Z70" i="46" s="1"/>
  <c r="E61" i="40"/>
  <c r="W70" i="46" s="1"/>
  <c r="AJ70" i="46"/>
  <c r="AJ130" i="36" l="1"/>
  <c r="AJ130" i="47"/>
  <c r="AJ131" i="36"/>
  <c r="AJ131" i="47"/>
  <c r="AJ129" i="36"/>
  <c r="AJ129" i="47"/>
  <c r="AI129" i="36"/>
  <c r="AI129" i="47"/>
  <c r="AI130" i="36"/>
  <c r="AI130" i="47"/>
  <c r="AI131" i="36"/>
  <c r="AI131" i="47"/>
  <c r="Q171" i="24"/>
  <c r="F327" i="24"/>
  <c r="F329" i="24" s="1"/>
  <c r="AJ123" i="36"/>
  <c r="AJ70" i="36"/>
  <c r="AO70" i="36"/>
  <c r="E121" i="40"/>
  <c r="AO123" i="47" s="1"/>
  <c r="U123" i="36"/>
  <c r="F116" i="40"/>
  <c r="AJ124" i="47" s="1"/>
  <c r="F121" i="40"/>
  <c r="AO124" i="47" s="1"/>
  <c r="D110" i="40"/>
  <c r="E122" i="40" s="1"/>
  <c r="AP123" i="47" s="1"/>
  <c r="G349" i="24"/>
  <c r="H327" i="24"/>
  <c r="H329" i="24" s="1"/>
  <c r="I327" i="24"/>
  <c r="I333" i="24" s="1"/>
  <c r="D322" i="24"/>
  <c r="D355" i="24"/>
  <c r="AB128" i="36"/>
  <c r="J327" i="24"/>
  <c r="J333" i="24" s="1"/>
  <c r="K327" i="24"/>
  <c r="K329" i="24" s="1"/>
  <c r="F323" i="24"/>
  <c r="H356" i="24"/>
  <c r="AB130" i="36"/>
  <c r="AA130" i="36"/>
  <c r="AB131" i="36"/>
  <c r="AA131" i="36"/>
  <c r="H324" i="24"/>
  <c r="M357" i="24"/>
  <c r="P306" i="24"/>
  <c r="AO130" i="47" s="1"/>
  <c r="AH130" i="36"/>
  <c r="H323" i="24"/>
  <c r="L356" i="24"/>
  <c r="H322" i="24"/>
  <c r="L355" i="24"/>
  <c r="AB129" i="36"/>
  <c r="AA129" i="36"/>
  <c r="D324" i="24"/>
  <c r="E357" i="24"/>
  <c r="R306" i="24"/>
  <c r="AO131" i="47" s="1"/>
  <c r="AH131" i="36"/>
  <c r="N306" i="24"/>
  <c r="AO129" i="47" s="1"/>
  <c r="AH129" i="36"/>
  <c r="AJ127" i="36"/>
  <c r="Q172" i="24"/>
  <c r="U127" i="36"/>
  <c r="AJ126" i="36"/>
  <c r="AP127" i="36"/>
  <c r="U126" i="36"/>
  <c r="Q307" i="24"/>
  <c r="I307" i="24"/>
  <c r="P307" i="24"/>
  <c r="AP130" i="47" s="1"/>
  <c r="H307" i="24"/>
  <c r="S307" i="24"/>
  <c r="K307" i="24"/>
  <c r="R307" i="24"/>
  <c r="AP131" i="47" s="1"/>
  <c r="J307" i="24"/>
  <c r="H172" i="24"/>
  <c r="I172" i="24"/>
  <c r="K172" i="24"/>
  <c r="L172" i="24"/>
  <c r="Y123" i="36"/>
  <c r="O297" i="24"/>
  <c r="O309" i="24" s="1"/>
  <c r="J319" i="24"/>
  <c r="H319" i="24"/>
  <c r="K319" i="24"/>
  <c r="I319" i="24"/>
  <c r="F319" i="24"/>
  <c r="D319" i="24"/>
  <c r="G319" i="24"/>
  <c r="E319" i="24"/>
  <c r="O307" i="24"/>
  <c r="G307" i="24"/>
  <c r="N307" i="24"/>
  <c r="AP129" i="47" s="1"/>
  <c r="F307" i="24"/>
  <c r="J349" i="24"/>
  <c r="Q297" i="24"/>
  <c r="Q298" i="24" s="1"/>
  <c r="H315" i="24"/>
  <c r="M349" i="24"/>
  <c r="M301" i="24"/>
  <c r="K349" i="24"/>
  <c r="K301" i="24"/>
  <c r="J331" i="24"/>
  <c r="J338" i="24" s="1"/>
  <c r="F297" i="24"/>
  <c r="F298" i="24" s="1"/>
  <c r="F301" i="24"/>
  <c r="M297" i="24"/>
  <c r="M298" i="24" s="1"/>
  <c r="K323" i="24"/>
  <c r="K322" i="24"/>
  <c r="K315" i="24"/>
  <c r="I297" i="24"/>
  <c r="I302" i="24" s="1"/>
  <c r="J323" i="24"/>
  <c r="S349" i="24"/>
  <c r="S301" i="24"/>
  <c r="F349" i="24"/>
  <c r="I332" i="24"/>
  <c r="E332" i="24"/>
  <c r="F332" i="24"/>
  <c r="H332" i="24"/>
  <c r="E327" i="24"/>
  <c r="K332" i="24"/>
  <c r="G332" i="24"/>
  <c r="J332" i="24"/>
  <c r="I331" i="24"/>
  <c r="F333" i="24"/>
  <c r="G331" i="24"/>
  <c r="G338" i="24" s="1"/>
  <c r="H331" i="24"/>
  <c r="H338" i="24" s="1"/>
  <c r="G329" i="24"/>
  <c r="G333" i="24"/>
  <c r="F331" i="24"/>
  <c r="K331" i="24"/>
  <c r="K338" i="24" s="1"/>
  <c r="E331" i="24"/>
  <c r="E338" i="24" s="1"/>
  <c r="E113" i="40"/>
  <c r="AG123" i="47" s="1"/>
  <c r="E117" i="40"/>
  <c r="AK123" i="47" s="1"/>
  <c r="AP70" i="46"/>
  <c r="Y122" i="36"/>
  <c r="AH124" i="36"/>
  <c r="F136" i="40"/>
  <c r="Z124" i="47" s="1"/>
  <c r="Y124" i="36"/>
  <c r="S124" i="36"/>
  <c r="E62" i="40"/>
  <c r="X70" i="46" s="1"/>
  <c r="N349" i="24"/>
  <c r="U129" i="47" s="1"/>
  <c r="L349" i="24"/>
  <c r="F322" i="24"/>
  <c r="F315" i="24"/>
  <c r="P349" i="24"/>
  <c r="U130" i="47" s="1"/>
  <c r="K297" i="24"/>
  <c r="K298" i="24" s="1"/>
  <c r="K304" i="24" s="1"/>
  <c r="L297" i="24"/>
  <c r="L302" i="24" s="1"/>
  <c r="D323" i="24"/>
  <c r="D315" i="24"/>
  <c r="J297" i="24"/>
  <c r="J322" i="24"/>
  <c r="J315" i="24"/>
  <c r="I323" i="24"/>
  <c r="I322" i="24"/>
  <c r="I315" i="24"/>
  <c r="G323" i="24"/>
  <c r="G322" i="24"/>
  <c r="G315" i="24"/>
  <c r="H349" i="24"/>
  <c r="N297" i="24"/>
  <c r="O349" i="24"/>
  <c r="H297" i="24"/>
  <c r="H309" i="24" s="1"/>
  <c r="R297" i="24"/>
  <c r="R309" i="24" s="1"/>
  <c r="AR131" i="47" s="1"/>
  <c r="D288" i="24"/>
  <c r="R349" i="24"/>
  <c r="U131" i="47" s="1"/>
  <c r="E323" i="24"/>
  <c r="E322" i="24"/>
  <c r="E315" i="24"/>
  <c r="Q349" i="24"/>
  <c r="I349" i="24"/>
  <c r="AI127" i="36"/>
  <c r="AI126" i="36"/>
  <c r="P297" i="24"/>
  <c r="P309" i="24" s="1"/>
  <c r="AR130" i="47" s="1"/>
  <c r="G309" i="24"/>
  <c r="S298" i="24"/>
  <c r="S304" i="24" s="1"/>
  <c r="G302" i="24"/>
  <c r="G298" i="24"/>
  <c r="S309" i="24"/>
  <c r="L173" i="24"/>
  <c r="R169" i="24"/>
  <c r="R174" i="24" s="1"/>
  <c r="R177" i="24" s="1"/>
  <c r="K171" i="24"/>
  <c r="K176" i="24" s="1"/>
  <c r="L171" i="24"/>
  <c r="L175" i="24" s="1"/>
  <c r="I171" i="24"/>
  <c r="I180" i="24" s="1"/>
  <c r="H171" i="24"/>
  <c r="H180" i="24" s="1"/>
  <c r="AH126" i="36"/>
  <c r="AH127" i="36"/>
  <c r="R180" i="24"/>
  <c r="R179" i="24"/>
  <c r="O193" i="24"/>
  <c r="Z127" i="47" s="1"/>
  <c r="O176" i="24"/>
  <c r="AN127" i="47" s="1"/>
  <c r="Q193" i="24"/>
  <c r="Q176" i="24"/>
  <c r="I193" i="24"/>
  <c r="Q180" i="24"/>
  <c r="Q179" i="24"/>
  <c r="K193" i="24"/>
  <c r="L193" i="24"/>
  <c r="L174" i="24"/>
  <c r="L177" i="24" s="1"/>
  <c r="L179" i="24"/>
  <c r="N179" i="24"/>
  <c r="AQ126" i="47" s="1"/>
  <c r="N180" i="24"/>
  <c r="AR126" i="47" s="1"/>
  <c r="H179" i="24"/>
  <c r="N193" i="24"/>
  <c r="Z126" i="47" s="1"/>
  <c r="N176" i="24"/>
  <c r="AN126" i="47" s="1"/>
  <c r="K179" i="24"/>
  <c r="O179" i="24"/>
  <c r="AQ127" i="47" s="1"/>
  <c r="O180" i="24"/>
  <c r="AR127" i="47" s="1"/>
  <c r="H193" i="24"/>
  <c r="H169" i="24"/>
  <c r="H174" i="24" s="1"/>
  <c r="H177" i="24" s="1"/>
  <c r="I179" i="24"/>
  <c r="I169" i="24"/>
  <c r="I173" i="24"/>
  <c r="O169" i="24"/>
  <c r="AG127" i="47" s="1"/>
  <c r="O173" i="24"/>
  <c r="AK127" i="47" s="1"/>
  <c r="Q169" i="24"/>
  <c r="Q175" i="24" s="1"/>
  <c r="Q173" i="24"/>
  <c r="K169" i="24"/>
  <c r="K173" i="24"/>
  <c r="N169" i="24"/>
  <c r="AG126" i="47" s="1"/>
  <c r="N173" i="24"/>
  <c r="AK126" i="47" s="1"/>
  <c r="E136" i="40"/>
  <c r="Z123" i="47" s="1"/>
  <c r="F131" i="40"/>
  <c r="U124" i="47" s="1"/>
  <c r="F112" i="40"/>
  <c r="AH123" i="36"/>
  <c r="W123" i="36"/>
  <c r="E134" i="40"/>
  <c r="X123" i="47" s="1"/>
  <c r="E123" i="40"/>
  <c r="AQ123" i="47" s="1"/>
  <c r="F115" i="40"/>
  <c r="AI124" i="47" s="1"/>
  <c r="E115" i="40"/>
  <c r="AI123" i="47" s="1"/>
  <c r="W124" i="36"/>
  <c r="F134" i="40"/>
  <c r="X124" i="47" s="1"/>
  <c r="AN70" i="46"/>
  <c r="AQ70" i="46"/>
  <c r="AR70" i="46"/>
  <c r="AK70" i="46"/>
  <c r="AG70" i="46"/>
  <c r="O302" i="24" l="1"/>
  <c r="K333" i="24"/>
  <c r="H333" i="24"/>
  <c r="I329" i="24"/>
  <c r="I330" i="24" s="1"/>
  <c r="I335" i="24" s="1"/>
  <c r="F302" i="24"/>
  <c r="O298" i="24"/>
  <c r="O304" i="24" s="1"/>
  <c r="AP123" i="36"/>
  <c r="U124" i="36"/>
  <c r="AK123" i="36"/>
  <c r="AO124" i="36"/>
  <c r="AQ123" i="36"/>
  <c r="F122" i="40"/>
  <c r="AP124" i="47" s="1"/>
  <c r="AP70" i="36"/>
  <c r="AJ124" i="36"/>
  <c r="AO123" i="36"/>
  <c r="J329" i="24"/>
  <c r="J340" i="24" s="1"/>
  <c r="AO130" i="36"/>
  <c r="AR130" i="36"/>
  <c r="U131" i="36"/>
  <c r="U130" i="36"/>
  <c r="U129" i="36"/>
  <c r="AR131" i="36"/>
  <c r="AO131" i="36"/>
  <c r="AP129" i="36"/>
  <c r="AP131" i="36"/>
  <c r="AP130" i="36"/>
  <c r="AO129" i="36"/>
  <c r="N175" i="24"/>
  <c r="AG126" i="36"/>
  <c r="O175" i="24"/>
  <c r="AM127" i="47" s="1"/>
  <c r="AG127" i="36"/>
  <c r="E118" i="40"/>
  <c r="AL123" i="47" s="1"/>
  <c r="F309" i="24"/>
  <c r="K339" i="24"/>
  <c r="J337" i="24"/>
  <c r="E339" i="24"/>
  <c r="F339" i="24"/>
  <c r="G339" i="24"/>
  <c r="I339" i="24"/>
  <c r="H339" i="24"/>
  <c r="J339" i="24"/>
  <c r="Q302" i="24"/>
  <c r="Q309" i="24"/>
  <c r="L309" i="24"/>
  <c r="I298" i="24"/>
  <c r="I304" i="24" s="1"/>
  <c r="I309" i="24"/>
  <c r="M309" i="24"/>
  <c r="M302" i="24"/>
  <c r="F337" i="24"/>
  <c r="F338" i="24"/>
  <c r="I337" i="24"/>
  <c r="I338" i="24"/>
  <c r="K302" i="24"/>
  <c r="K337" i="24"/>
  <c r="G340" i="24"/>
  <c r="G330" i="24"/>
  <c r="G336" i="24" s="1"/>
  <c r="G341" i="24"/>
  <c r="G334" i="24"/>
  <c r="F330" i="24"/>
  <c r="F335" i="24" s="1"/>
  <c r="F341" i="24"/>
  <c r="F340" i="24"/>
  <c r="F334" i="24"/>
  <c r="H330" i="24"/>
  <c r="H336" i="24" s="1"/>
  <c r="H341" i="24"/>
  <c r="H334" i="24"/>
  <c r="H340" i="24"/>
  <c r="H337" i="24"/>
  <c r="G337" i="24"/>
  <c r="K330" i="24"/>
  <c r="K336" i="24" s="1"/>
  <c r="K340" i="24"/>
  <c r="K341" i="24"/>
  <c r="K334" i="24"/>
  <c r="E333" i="24"/>
  <c r="E329" i="24"/>
  <c r="E337" i="24"/>
  <c r="AG123" i="36"/>
  <c r="Z123" i="36"/>
  <c r="X124" i="36"/>
  <c r="Z124" i="36"/>
  <c r="X123" i="36"/>
  <c r="R298" i="24"/>
  <c r="AG131" i="47" s="1"/>
  <c r="J302" i="24"/>
  <c r="K309" i="24"/>
  <c r="J309" i="24"/>
  <c r="H298" i="24"/>
  <c r="N298" i="24"/>
  <c r="J298" i="24"/>
  <c r="N302" i="24"/>
  <c r="AK129" i="47" s="1"/>
  <c r="H302" i="24"/>
  <c r="N309" i="24"/>
  <c r="AR129" i="47" s="1"/>
  <c r="P298" i="24"/>
  <c r="L298" i="24"/>
  <c r="G304" i="24"/>
  <c r="M304" i="24"/>
  <c r="R302" i="24"/>
  <c r="AK131" i="47" s="1"/>
  <c r="F304" i="24"/>
  <c r="Q304" i="24"/>
  <c r="AR127" i="36"/>
  <c r="Z126" i="36"/>
  <c r="AR126" i="36"/>
  <c r="Z127" i="36"/>
  <c r="AK126" i="36"/>
  <c r="AN126" i="36"/>
  <c r="AQ126" i="36"/>
  <c r="AK127" i="36"/>
  <c r="AQ127" i="36"/>
  <c r="AN127" i="36"/>
  <c r="P302" i="24"/>
  <c r="AK130" i="47" s="1"/>
  <c r="R175" i="24"/>
  <c r="K180" i="24"/>
  <c r="L176" i="24"/>
  <c r="K175" i="24"/>
  <c r="L180" i="24"/>
  <c r="I176" i="24"/>
  <c r="I175" i="24"/>
  <c r="H176" i="24"/>
  <c r="O174" i="24"/>
  <c r="AL127" i="47" s="1"/>
  <c r="N174" i="24"/>
  <c r="AL126" i="47" s="1"/>
  <c r="K174" i="24"/>
  <c r="K177" i="24" s="1"/>
  <c r="Q174" i="24"/>
  <c r="Q177" i="24" s="1"/>
  <c r="I174" i="24"/>
  <c r="I177" i="24" s="1"/>
  <c r="H175" i="24"/>
  <c r="E119" i="40"/>
  <c r="AM123" i="47" s="1"/>
  <c r="AI123" i="36"/>
  <c r="E124" i="40"/>
  <c r="AR123" i="47" s="1"/>
  <c r="E120" i="40"/>
  <c r="AN123" i="47" s="1"/>
  <c r="AI124" i="36"/>
  <c r="F120" i="40"/>
  <c r="AN124" i="47" s="1"/>
  <c r="F113" i="40"/>
  <c r="AG124" i="47" s="1"/>
  <c r="F124" i="40"/>
  <c r="AR124" i="47" s="1"/>
  <c r="F123" i="40"/>
  <c r="AQ124" i="47" s="1"/>
  <c r="F117" i="40"/>
  <c r="AK124" i="47" s="1"/>
  <c r="AL70" i="46"/>
  <c r="AM70" i="46"/>
  <c r="AM126" i="36" l="1"/>
  <c r="AM126" i="47"/>
  <c r="AG130" i="36"/>
  <c r="AG130" i="47"/>
  <c r="AG129" i="36"/>
  <c r="AG129" i="47"/>
  <c r="I340" i="24"/>
  <c r="J341" i="24"/>
  <c r="I334" i="24"/>
  <c r="J334" i="24"/>
  <c r="I341" i="24"/>
  <c r="J330" i="24"/>
  <c r="J335" i="24" s="1"/>
  <c r="AL123" i="36"/>
  <c r="AP124" i="36"/>
  <c r="AR124" i="36"/>
  <c r="AQ124" i="36"/>
  <c r="AR123" i="36"/>
  <c r="AK131" i="36"/>
  <c r="AK129" i="36"/>
  <c r="AK130" i="36"/>
  <c r="AR129" i="36"/>
  <c r="R304" i="24"/>
  <c r="AM131" i="47" s="1"/>
  <c r="AG131" i="36"/>
  <c r="AM127" i="36"/>
  <c r="O177" i="24"/>
  <c r="AO127" i="47" s="1"/>
  <c r="N177" i="24"/>
  <c r="AO126" i="47" s="1"/>
  <c r="F336" i="24"/>
  <c r="G335" i="24"/>
  <c r="I336" i="24"/>
  <c r="E330" i="24"/>
  <c r="E334" i="24"/>
  <c r="E340" i="24"/>
  <c r="E341" i="24"/>
  <c r="K335" i="24"/>
  <c r="H335" i="24"/>
  <c r="AN124" i="36"/>
  <c r="AN123" i="36"/>
  <c r="F119" i="40"/>
  <c r="AM124" i="47" s="1"/>
  <c r="AK124" i="36"/>
  <c r="AM123" i="36"/>
  <c r="J304" i="24"/>
  <c r="P304" i="24"/>
  <c r="AM130" i="47" s="1"/>
  <c r="L304" i="24"/>
  <c r="N304" i="24"/>
  <c r="AM129" i="47" s="1"/>
  <c r="H304" i="24"/>
  <c r="AL126" i="36"/>
  <c r="AL127" i="36"/>
  <c r="F118" i="40"/>
  <c r="AL124" i="47" s="1"/>
  <c r="AG124" i="36"/>
  <c r="P140" i="36"/>
  <c r="P139" i="36"/>
  <c r="P138" i="36"/>
  <c r="Q140" i="36"/>
  <c r="Q139" i="36"/>
  <c r="Q138" i="36"/>
  <c r="S118" i="36"/>
  <c r="S116" i="36"/>
  <c r="S114" i="36"/>
  <c r="P119" i="36"/>
  <c r="P118" i="36"/>
  <c r="P117" i="36"/>
  <c r="P116" i="36"/>
  <c r="P115" i="36"/>
  <c r="P114" i="36"/>
  <c r="Q119" i="36"/>
  <c r="Q118" i="36"/>
  <c r="Q117" i="36"/>
  <c r="Q116" i="36"/>
  <c r="Q115" i="36"/>
  <c r="Q114" i="36"/>
  <c r="P112" i="36"/>
  <c r="P111" i="36"/>
  <c r="Q112" i="36"/>
  <c r="Q111" i="36"/>
  <c r="K48" i="26"/>
  <c r="I48" i="26"/>
  <c r="H48" i="26"/>
  <c r="G48" i="26"/>
  <c r="F48" i="26"/>
  <c r="E48" i="26"/>
  <c r="D48" i="26"/>
  <c r="J48" i="26"/>
  <c r="Q110" i="36"/>
  <c r="Q109" i="36"/>
  <c r="P110" i="36"/>
  <c r="P109" i="36"/>
  <c r="Q86" i="36"/>
  <c r="P86" i="36"/>
  <c r="Q85" i="36"/>
  <c r="P85" i="36"/>
  <c r="P88" i="36"/>
  <c r="P87" i="36"/>
  <c r="Q88" i="36"/>
  <c r="Q87" i="36"/>
  <c r="P84" i="36"/>
  <c r="P83" i="36"/>
  <c r="Q84" i="36"/>
  <c r="Q83" i="36"/>
  <c r="P82" i="36"/>
  <c r="P81" i="36"/>
  <c r="Q82" i="36"/>
  <c r="Q81" i="36"/>
  <c r="P94" i="36"/>
  <c r="P93" i="36"/>
  <c r="Q94" i="36"/>
  <c r="Q93" i="36"/>
  <c r="G55" i="31"/>
  <c r="E54" i="31"/>
  <c r="M175" i="4"/>
  <c r="AC92" i="46" s="1"/>
  <c r="O175" i="4"/>
  <c r="Q175" i="4"/>
  <c r="S175" i="4"/>
  <c r="J175" i="4"/>
  <c r="H175" i="4"/>
  <c r="AC90" i="46" s="1"/>
  <c r="F175" i="4"/>
  <c r="T92" i="36"/>
  <c r="T91" i="36"/>
  <c r="T90" i="36"/>
  <c r="T89" i="36"/>
  <c r="S92" i="36"/>
  <c r="S91" i="36"/>
  <c r="S90" i="36"/>
  <c r="S89" i="36"/>
  <c r="P92" i="36"/>
  <c r="P91" i="36"/>
  <c r="P90" i="36"/>
  <c r="P89" i="36"/>
  <c r="Q92" i="36"/>
  <c r="Q91" i="36"/>
  <c r="Q90" i="36"/>
  <c r="Q89" i="36"/>
  <c r="P58" i="36"/>
  <c r="P57" i="36"/>
  <c r="P56" i="36"/>
  <c r="P55" i="36"/>
  <c r="P54" i="36"/>
  <c r="P53" i="36"/>
  <c r="Q58" i="36"/>
  <c r="Q57" i="36"/>
  <c r="Q56" i="36"/>
  <c r="Q55" i="36"/>
  <c r="Q54" i="36"/>
  <c r="Q53" i="36"/>
  <c r="Q59" i="36"/>
  <c r="P52" i="36"/>
  <c r="P51" i="36"/>
  <c r="P50" i="36"/>
  <c r="Q52" i="36"/>
  <c r="Q51" i="36"/>
  <c r="Q50" i="36"/>
  <c r="J336" i="24" l="1"/>
  <c r="AM131" i="36"/>
  <c r="AM130" i="36"/>
  <c r="AM129" i="36"/>
  <c r="AO126" i="36"/>
  <c r="AO127" i="36"/>
  <c r="E335" i="24"/>
  <c r="E336" i="24"/>
  <c r="AC92" i="36"/>
  <c r="AC90" i="36"/>
  <c r="AL124" i="36"/>
  <c r="AM124" i="36"/>
  <c r="Q80" i="36"/>
  <c r="Q79" i="36"/>
  <c r="Q78" i="36"/>
  <c r="P80" i="36"/>
  <c r="P79" i="36"/>
  <c r="P78" i="36"/>
  <c r="P90" i="13"/>
  <c r="Q77" i="36"/>
  <c r="Q76" i="36"/>
  <c r="Q75" i="36"/>
  <c r="Q74" i="36"/>
  <c r="P77" i="36"/>
  <c r="P76" i="36"/>
  <c r="P75" i="36"/>
  <c r="P74" i="36"/>
  <c r="F53" i="12"/>
  <c r="P73" i="36"/>
  <c r="Q73" i="36"/>
  <c r="P72" i="36"/>
  <c r="Q72" i="36"/>
  <c r="P71" i="36"/>
  <c r="Q71" i="36"/>
  <c r="O71" i="36"/>
  <c r="AF71" i="36"/>
  <c r="AE71" i="36"/>
  <c r="AF73" i="36"/>
  <c r="AE73" i="36"/>
  <c r="C39" i="18"/>
  <c r="C40" i="18" s="1"/>
  <c r="L254" i="24" l="1"/>
  <c r="L252" i="24"/>
  <c r="L250" i="24"/>
  <c r="L248" i="24"/>
  <c r="K254" i="24"/>
  <c r="K252" i="24"/>
  <c r="K250" i="24"/>
  <c r="K248" i="24"/>
  <c r="L255" i="24"/>
  <c r="L253" i="24"/>
  <c r="L251" i="24"/>
  <c r="L249" i="24"/>
  <c r="K255" i="24"/>
  <c r="K253" i="24"/>
  <c r="K251" i="24"/>
  <c r="K249" i="24"/>
  <c r="K186" i="23"/>
  <c r="J186" i="23"/>
  <c r="I186" i="23"/>
  <c r="H186" i="23"/>
  <c r="P63" i="36"/>
  <c r="P61" i="36"/>
  <c r="P62" i="36"/>
  <c r="P60" i="36"/>
  <c r="P64" i="36"/>
  <c r="Q64" i="36"/>
  <c r="Q63" i="36"/>
  <c r="Q62" i="36"/>
  <c r="Q61" i="36"/>
  <c r="Q60" i="36"/>
  <c r="P49" i="36"/>
  <c r="P48" i="36"/>
  <c r="P47" i="36"/>
  <c r="P46" i="36"/>
  <c r="Q49" i="36"/>
  <c r="Q48" i="36"/>
  <c r="Q47" i="36"/>
  <c r="Q46" i="36"/>
  <c r="G62" i="24"/>
  <c r="G83" i="24" s="1"/>
  <c r="P40" i="36"/>
  <c r="Q40" i="36"/>
  <c r="P39" i="36"/>
  <c r="Q39" i="36"/>
  <c r="O41" i="36"/>
  <c r="P24" i="36" l="1"/>
  <c r="Q24" i="36"/>
  <c r="F160" i="23"/>
  <c r="P25" i="36"/>
  <c r="Q25" i="36"/>
  <c r="P23" i="36"/>
  <c r="Q23" i="36"/>
  <c r="AF44" i="36"/>
  <c r="AF43" i="36"/>
  <c r="AF42" i="36"/>
  <c r="AF41" i="36"/>
  <c r="AE44" i="36"/>
  <c r="AE43" i="36"/>
  <c r="AE42" i="36"/>
  <c r="AE41" i="36"/>
  <c r="P44" i="36"/>
  <c r="P43" i="36"/>
  <c r="P42" i="36"/>
  <c r="P41" i="36"/>
  <c r="Q44" i="36"/>
  <c r="Q43" i="36"/>
  <c r="Q42" i="36"/>
  <c r="Q41" i="36"/>
  <c r="N41" i="36"/>
  <c r="L41" i="36"/>
  <c r="K41" i="36"/>
  <c r="J41" i="36"/>
  <c r="I41" i="36"/>
  <c r="H41" i="36"/>
  <c r="G41" i="36"/>
  <c r="F41" i="36"/>
  <c r="E41" i="36"/>
  <c r="D41" i="36"/>
  <c r="B41" i="36"/>
  <c r="G114" i="39"/>
  <c r="AD44" i="44" s="1"/>
  <c r="F114" i="39"/>
  <c r="AD42" i="44" s="1"/>
  <c r="E114" i="39"/>
  <c r="AD43" i="44" s="1"/>
  <c r="D114" i="39"/>
  <c r="AD41" i="44" s="1"/>
  <c r="G104" i="39"/>
  <c r="T44" i="44" s="1"/>
  <c r="F104" i="39"/>
  <c r="T42" i="44" s="1"/>
  <c r="E104" i="39"/>
  <c r="T43" i="44" s="1"/>
  <c r="D104" i="39"/>
  <c r="T41" i="44" s="1"/>
  <c r="G74" i="39"/>
  <c r="G75" i="39" s="1"/>
  <c r="F74" i="39"/>
  <c r="F75" i="39" s="1"/>
  <c r="E74" i="39"/>
  <c r="E75" i="39" s="1"/>
  <c r="D75" i="39"/>
  <c r="G71" i="39"/>
  <c r="F71" i="39"/>
  <c r="E71" i="39"/>
  <c r="E106" i="39" s="1"/>
  <c r="V43" i="44" s="1"/>
  <c r="D71" i="39"/>
  <c r="D106" i="39" s="1"/>
  <c r="V41" i="44" s="1"/>
  <c r="G70" i="39"/>
  <c r="G103" i="39" s="1"/>
  <c r="S44" i="44" s="1"/>
  <c r="F70" i="39"/>
  <c r="F103" i="39" s="1"/>
  <c r="S42" i="44" s="1"/>
  <c r="E70" i="39"/>
  <c r="E103" i="39" s="1"/>
  <c r="S43" i="44" s="1"/>
  <c r="D70" i="39"/>
  <c r="D103" i="39" s="1"/>
  <c r="S41" i="44" s="1"/>
  <c r="G31" i="39"/>
  <c r="G30" i="39"/>
  <c r="G29" i="39"/>
  <c r="G28" i="39"/>
  <c r="S43" i="36" l="1"/>
  <c r="V43" i="36"/>
  <c r="T43" i="36"/>
  <c r="AD44" i="36"/>
  <c r="S42" i="36"/>
  <c r="F106" i="39"/>
  <c r="V42" i="44" s="1"/>
  <c r="F72" i="39"/>
  <c r="F107" i="39" s="1"/>
  <c r="W42" i="44" s="1"/>
  <c r="T42" i="36"/>
  <c r="AD41" i="36"/>
  <c r="S44" i="36"/>
  <c r="G106" i="39"/>
  <c r="V44" i="44" s="1"/>
  <c r="G72" i="39"/>
  <c r="G107" i="39" s="1"/>
  <c r="W44" i="44" s="1"/>
  <c r="T44" i="36"/>
  <c r="AD43" i="36"/>
  <c r="S41" i="36"/>
  <c r="V41" i="36"/>
  <c r="T41" i="36"/>
  <c r="AD42" i="36"/>
  <c r="F73" i="39"/>
  <c r="F77" i="39" s="1"/>
  <c r="G105" i="39"/>
  <c r="U44" i="44" s="1"/>
  <c r="G73" i="39"/>
  <c r="D73" i="39"/>
  <c r="E73" i="39"/>
  <c r="U44" i="36" l="1"/>
  <c r="F78" i="39"/>
  <c r="F81" i="39"/>
  <c r="F84" i="39" s="1"/>
  <c r="F113" i="39" s="1"/>
  <c r="AC42" i="44" s="1"/>
  <c r="D77" i="39"/>
  <c r="F109" i="39"/>
  <c r="Y42" i="44" s="1"/>
  <c r="V44" i="36"/>
  <c r="V42" i="36"/>
  <c r="F108" i="39"/>
  <c r="X42" i="44" s="1"/>
  <c r="W42" i="36"/>
  <c r="G108" i="39"/>
  <c r="X44" i="44" s="1"/>
  <c r="W44" i="36"/>
  <c r="G88" i="39"/>
  <c r="G109" i="39"/>
  <c r="Y44" i="44" s="1"/>
  <c r="G86" i="39"/>
  <c r="G77" i="39"/>
  <c r="G78" i="39" s="1"/>
  <c r="E109" i="39"/>
  <c r="Y43" i="44" s="1"/>
  <c r="E77" i="39"/>
  <c r="G90" i="39" s="1"/>
  <c r="AJ44" i="44" s="1"/>
  <c r="D109" i="39"/>
  <c r="Y41" i="44" s="1"/>
  <c r="F88" i="39"/>
  <c r="F105" i="39"/>
  <c r="U42" i="44" s="1"/>
  <c r="F86" i="39"/>
  <c r="AH44" i="44" l="1"/>
  <c r="AH44" i="36"/>
  <c r="AH42" i="44"/>
  <c r="AH42" i="36"/>
  <c r="F82" i="39"/>
  <c r="F111" i="39" s="1"/>
  <c r="AA42" i="44" s="1"/>
  <c r="Y42" i="36"/>
  <c r="U42" i="36"/>
  <c r="E78" i="39"/>
  <c r="G96" i="39" s="1"/>
  <c r="AJ44" i="36"/>
  <c r="D81" i="39"/>
  <c r="D82" i="39" s="1"/>
  <c r="D111" i="39" s="1"/>
  <c r="AA41" i="44" s="1"/>
  <c r="F90" i="39"/>
  <c r="AJ42" i="44" s="1"/>
  <c r="D78" i="39"/>
  <c r="F96" i="39" s="1"/>
  <c r="AP42" i="44" s="1"/>
  <c r="G95" i="39"/>
  <c r="F95" i="39"/>
  <c r="AO42" i="44" s="1"/>
  <c r="F83" i="39"/>
  <c r="F112" i="39" s="1"/>
  <c r="AB42" i="44" s="1"/>
  <c r="AA42" i="36"/>
  <c r="F89" i="39"/>
  <c r="AI42" i="44" s="1"/>
  <c r="AC42" i="36"/>
  <c r="G81" i="39"/>
  <c r="D83" i="39"/>
  <c r="E81" i="39"/>
  <c r="Y43" i="36"/>
  <c r="Y44" i="36"/>
  <c r="G97" i="39"/>
  <c r="AQ44" i="44" s="1"/>
  <c r="X42" i="36"/>
  <c r="X44" i="36"/>
  <c r="F110" i="39"/>
  <c r="Z42" i="44" s="1"/>
  <c r="Y41" i="36"/>
  <c r="G110" i="39"/>
  <c r="Z44" i="44" s="1"/>
  <c r="G87" i="39"/>
  <c r="G91" i="39"/>
  <c r="AK44" i="44" s="1"/>
  <c r="F91" i="39"/>
  <c r="AK42" i="44" s="1"/>
  <c r="F97" i="39"/>
  <c r="AQ42" i="44" s="1"/>
  <c r="F87" i="39"/>
  <c r="G89" i="39"/>
  <c r="AI44" i="44" s="1"/>
  <c r="D84" i="39" l="1"/>
  <c r="F94" i="39"/>
  <c r="AN42" i="44" s="1"/>
  <c r="AP44" i="44"/>
  <c r="AO44" i="44"/>
  <c r="AG42" i="44"/>
  <c r="AG42" i="36"/>
  <c r="AG44" i="44"/>
  <c r="AG44" i="36"/>
  <c r="AP44" i="36"/>
  <c r="AO44" i="36"/>
  <c r="AP42" i="36"/>
  <c r="F98" i="39"/>
  <c r="AR42" i="44" s="1"/>
  <c r="AJ42" i="36"/>
  <c r="AO42" i="36"/>
  <c r="AI42" i="36"/>
  <c r="E84" i="39"/>
  <c r="E82" i="39"/>
  <c r="E83" i="39"/>
  <c r="E112" i="39" s="1"/>
  <c r="AB43" i="44" s="1"/>
  <c r="D112" i="39"/>
  <c r="AB41" i="44" s="1"/>
  <c r="AA41" i="36"/>
  <c r="G84" i="39"/>
  <c r="G113" i="39" s="1"/>
  <c r="AC44" i="44" s="1"/>
  <c r="G82" i="39"/>
  <c r="G111" i="39" s="1"/>
  <c r="AA44" i="44" s="1"/>
  <c r="AB42" i="36"/>
  <c r="G83" i="39"/>
  <c r="D85" i="39"/>
  <c r="F85" i="39"/>
  <c r="Z42" i="36"/>
  <c r="AN42" i="36"/>
  <c r="AI44" i="36"/>
  <c r="Z44" i="36"/>
  <c r="AK42" i="36"/>
  <c r="AQ44" i="36"/>
  <c r="AK44" i="36"/>
  <c r="AQ42" i="36"/>
  <c r="G94" i="39"/>
  <c r="AN44" i="44" s="1"/>
  <c r="G92" i="39"/>
  <c r="AL44" i="44" s="1"/>
  <c r="F93" i="39"/>
  <c r="AM42" i="44" s="1"/>
  <c r="G93" i="39"/>
  <c r="AM44" i="44" s="1"/>
  <c r="G98" i="39"/>
  <c r="AR44" i="44" s="1"/>
  <c r="F92" i="39"/>
  <c r="AL42" i="44" s="1"/>
  <c r="AR42" i="36" l="1"/>
  <c r="AB43" i="36"/>
  <c r="G85" i="39"/>
  <c r="G112" i="39"/>
  <c r="AB44" i="44" s="1"/>
  <c r="E111" i="39"/>
  <c r="AA43" i="44" s="1"/>
  <c r="AC44" i="36"/>
  <c r="E85" i="39"/>
  <c r="AA44" i="36"/>
  <c r="AB41" i="36"/>
  <c r="AN44" i="36"/>
  <c r="AM44" i="36"/>
  <c r="AL44" i="36"/>
  <c r="AL42" i="36"/>
  <c r="AM42" i="36"/>
  <c r="AR44" i="36"/>
  <c r="D282" i="10"/>
  <c r="AE66" i="46" s="1"/>
  <c r="AE70" i="36"/>
  <c r="AE69" i="36"/>
  <c r="AF70" i="36"/>
  <c r="AF69" i="36"/>
  <c r="P70" i="36"/>
  <c r="P69" i="36"/>
  <c r="Q70" i="36"/>
  <c r="Q69" i="36"/>
  <c r="O69" i="36"/>
  <c r="N69" i="36"/>
  <c r="L69" i="36"/>
  <c r="K69" i="36"/>
  <c r="J69" i="36"/>
  <c r="I69" i="36"/>
  <c r="H69" i="36"/>
  <c r="G69" i="36"/>
  <c r="F69" i="36"/>
  <c r="E69" i="36"/>
  <c r="D69" i="36"/>
  <c r="AD69" i="36"/>
  <c r="AB69" i="36"/>
  <c r="AA69" i="36"/>
  <c r="Y69" i="36"/>
  <c r="V69" i="36"/>
  <c r="T69" i="36"/>
  <c r="S69" i="36"/>
  <c r="AD70" i="36"/>
  <c r="AC70" i="36"/>
  <c r="AB70" i="36"/>
  <c r="AA70" i="36"/>
  <c r="Y70" i="36"/>
  <c r="X70" i="36"/>
  <c r="T70" i="36"/>
  <c r="S70" i="36"/>
  <c r="B69" i="36"/>
  <c r="AH70" i="36"/>
  <c r="AB44" i="36" l="1"/>
  <c r="AA43" i="36"/>
  <c r="V70" i="36"/>
  <c r="Z70" i="36"/>
  <c r="W70" i="36"/>
  <c r="AQ70" i="36"/>
  <c r="AK70" i="36"/>
  <c r="AR70" i="36" l="1"/>
  <c r="AI70" i="36"/>
  <c r="AN70" i="36"/>
  <c r="AL70" i="36"/>
  <c r="AG70" i="36"/>
  <c r="AM70" i="36"/>
  <c r="AF77" i="36" l="1"/>
  <c r="AF100" i="36"/>
  <c r="AF97" i="36"/>
  <c r="AF104" i="36"/>
  <c r="AF102" i="36"/>
  <c r="AF99" i="36"/>
  <c r="AF96" i="36"/>
  <c r="AF103" i="36"/>
  <c r="AF101" i="36"/>
  <c r="AF98" i="36"/>
  <c r="AF95" i="36"/>
  <c r="AE100" i="36"/>
  <c r="AE97" i="36"/>
  <c r="P100" i="36"/>
  <c r="P97" i="36"/>
  <c r="P104" i="36"/>
  <c r="P102" i="36"/>
  <c r="P99" i="36"/>
  <c r="P96" i="36"/>
  <c r="P103" i="36"/>
  <c r="P101" i="36"/>
  <c r="P98" i="36"/>
  <c r="P95" i="36"/>
  <c r="Q100" i="36"/>
  <c r="Q97" i="36"/>
  <c r="Q104" i="36"/>
  <c r="Q102" i="36"/>
  <c r="Q99" i="36"/>
  <c r="Q96" i="36"/>
  <c r="Q103" i="36"/>
  <c r="Q101" i="36"/>
  <c r="Q98" i="36"/>
  <c r="Q95" i="36"/>
  <c r="O95" i="36"/>
  <c r="N95" i="36"/>
  <c r="L95" i="36"/>
  <c r="K95" i="36"/>
  <c r="J95" i="36"/>
  <c r="I95" i="36"/>
  <c r="H95" i="36"/>
  <c r="G95" i="36"/>
  <c r="F95" i="36"/>
  <c r="E95" i="36"/>
  <c r="D95" i="36"/>
  <c r="B95" i="36"/>
  <c r="M116" i="10"/>
  <c r="AD100" i="46" s="1"/>
  <c r="L116" i="10"/>
  <c r="AD97" i="46" s="1"/>
  <c r="K116" i="10"/>
  <c r="AD104" i="46" s="1"/>
  <c r="J116" i="10"/>
  <c r="AD102" i="46" s="1"/>
  <c r="I116" i="10"/>
  <c r="AD99" i="46" s="1"/>
  <c r="H116" i="10"/>
  <c r="AD96" i="46" s="1"/>
  <c r="G116" i="10"/>
  <c r="AD103" i="46" s="1"/>
  <c r="F116" i="10"/>
  <c r="AD101" i="46" s="1"/>
  <c r="E116" i="10"/>
  <c r="AD98" i="46" s="1"/>
  <c r="D116" i="10"/>
  <c r="AD95" i="46" s="1"/>
  <c r="K117" i="10"/>
  <c r="AE104" i="46" s="1"/>
  <c r="J117" i="10"/>
  <c r="AE102" i="46" s="1"/>
  <c r="I117" i="10"/>
  <c r="AE99" i="46" s="1"/>
  <c r="H117" i="10"/>
  <c r="AE96" i="46" s="1"/>
  <c r="G117" i="10"/>
  <c r="AE103" i="46" s="1"/>
  <c r="F117" i="10"/>
  <c r="AE101" i="46" s="1"/>
  <c r="E117" i="10"/>
  <c r="AE98" i="46" s="1"/>
  <c r="D117" i="10"/>
  <c r="AE95" i="46" s="1"/>
  <c r="M115" i="10"/>
  <c r="AC100" i="46" s="1"/>
  <c r="L115" i="10"/>
  <c r="AC97" i="46" s="1"/>
  <c r="K115" i="10"/>
  <c r="AC104" i="46" s="1"/>
  <c r="J115" i="10"/>
  <c r="AC102" i="46" s="1"/>
  <c r="I115" i="10"/>
  <c r="AC99" i="46" s="1"/>
  <c r="H115" i="10"/>
  <c r="AC96" i="46" s="1"/>
  <c r="M114" i="10"/>
  <c r="AB100" i="46" s="1"/>
  <c r="L114" i="10"/>
  <c r="AB97" i="46" s="1"/>
  <c r="K114" i="10"/>
  <c r="AB104" i="46" s="1"/>
  <c r="J114" i="10"/>
  <c r="AB102" i="46" s="1"/>
  <c r="I114" i="10"/>
  <c r="AB99" i="46" s="1"/>
  <c r="H114" i="10"/>
  <c r="AB96" i="46" s="1"/>
  <c r="G114" i="10"/>
  <c r="AB103" i="46" s="1"/>
  <c r="F114" i="10"/>
  <c r="AB101" i="46" s="1"/>
  <c r="E114" i="10"/>
  <c r="AB98" i="46" s="1"/>
  <c r="D114" i="10"/>
  <c r="AB95" i="46" s="1"/>
  <c r="M113" i="10"/>
  <c r="AA100" i="46" s="1"/>
  <c r="L113" i="10"/>
  <c r="AA97" i="46" s="1"/>
  <c r="K113" i="10"/>
  <c r="AA104" i="46" s="1"/>
  <c r="J113" i="10"/>
  <c r="AA102" i="46" s="1"/>
  <c r="I113" i="10"/>
  <c r="AA99" i="46" s="1"/>
  <c r="H113" i="10"/>
  <c r="AA96" i="46" s="1"/>
  <c r="G113" i="10"/>
  <c r="AA103" i="46" s="1"/>
  <c r="F113" i="10"/>
  <c r="AA101" i="46" s="1"/>
  <c r="E113" i="10"/>
  <c r="AA98" i="46" s="1"/>
  <c r="D113" i="10"/>
  <c r="AA95" i="46" s="1"/>
  <c r="M108" i="10"/>
  <c r="V100" i="46" s="1"/>
  <c r="L108" i="10"/>
  <c r="V97" i="46" s="1"/>
  <c r="K108" i="10"/>
  <c r="V104" i="46" s="1"/>
  <c r="J108" i="10"/>
  <c r="V102" i="46" s="1"/>
  <c r="I108" i="10"/>
  <c r="V99" i="46" s="1"/>
  <c r="H108" i="10"/>
  <c r="V96" i="46" s="1"/>
  <c r="G108" i="10"/>
  <c r="V103" i="46" s="1"/>
  <c r="F108" i="10"/>
  <c r="V101" i="46" s="1"/>
  <c r="E108" i="10"/>
  <c r="V98" i="46" s="1"/>
  <c r="M106" i="10"/>
  <c r="T100" i="46" s="1"/>
  <c r="L106" i="10"/>
  <c r="T97" i="46" s="1"/>
  <c r="K106" i="10"/>
  <c r="T104" i="46" s="1"/>
  <c r="J106" i="10"/>
  <c r="T102" i="46" s="1"/>
  <c r="I106" i="10"/>
  <c r="T99" i="46" s="1"/>
  <c r="H106" i="10"/>
  <c r="T96" i="46" s="1"/>
  <c r="G106" i="10"/>
  <c r="T103" i="46" s="1"/>
  <c r="F106" i="10"/>
  <c r="T101" i="46" s="1"/>
  <c r="E106" i="10"/>
  <c r="T98" i="46" s="1"/>
  <c r="M105" i="10"/>
  <c r="S100" i="46" s="1"/>
  <c r="L105" i="10"/>
  <c r="S97" i="46" s="1"/>
  <c r="K105" i="10"/>
  <c r="S104" i="46" s="1"/>
  <c r="J105" i="10"/>
  <c r="S102" i="46" s="1"/>
  <c r="I105" i="10"/>
  <c r="S99" i="46" s="1"/>
  <c r="H105" i="10"/>
  <c r="S96" i="46" s="1"/>
  <c r="G105" i="10"/>
  <c r="S103" i="46" s="1"/>
  <c r="F105" i="10"/>
  <c r="S101" i="46" s="1"/>
  <c r="E105" i="10"/>
  <c r="S98" i="46" s="1"/>
  <c r="D108" i="10"/>
  <c r="V95" i="46" s="1"/>
  <c r="D106" i="10"/>
  <c r="T95" i="46" s="1"/>
  <c r="D105" i="10"/>
  <c r="S95" i="46" s="1"/>
  <c r="J111" i="10"/>
  <c r="Y102" i="46" s="1"/>
  <c r="H111" i="10"/>
  <c r="Y96" i="46" s="1"/>
  <c r="S47" i="10"/>
  <c r="W47" i="10"/>
  <c r="V47" i="10"/>
  <c r="U47" i="10"/>
  <c r="T47" i="10"/>
  <c r="R47" i="10"/>
  <c r="Q47" i="10"/>
  <c r="P47" i="10"/>
  <c r="O47" i="10"/>
  <c r="N47" i="10"/>
  <c r="M47" i="10"/>
  <c r="L47" i="10"/>
  <c r="K47" i="10"/>
  <c r="J47" i="10"/>
  <c r="I47" i="10"/>
  <c r="H47" i="10"/>
  <c r="G47" i="10"/>
  <c r="F47" i="10"/>
  <c r="E47" i="10"/>
  <c r="D47" i="10"/>
  <c r="W48" i="10"/>
  <c r="V48" i="10"/>
  <c r="U48" i="10"/>
  <c r="T48" i="10"/>
  <c r="S48" i="10"/>
  <c r="R48" i="10"/>
  <c r="Q48" i="10"/>
  <c r="P48" i="10"/>
  <c r="O48" i="10"/>
  <c r="N48" i="10"/>
  <c r="M48" i="10"/>
  <c r="L48" i="10"/>
  <c r="K48" i="10"/>
  <c r="J48" i="10"/>
  <c r="I48" i="10"/>
  <c r="H48" i="10"/>
  <c r="G48" i="10"/>
  <c r="F48" i="10"/>
  <c r="E48" i="10"/>
  <c r="W46" i="10"/>
  <c r="V46" i="10"/>
  <c r="U46" i="10"/>
  <c r="T46" i="10"/>
  <c r="W45" i="10"/>
  <c r="V45" i="10"/>
  <c r="U45" i="10"/>
  <c r="T45" i="10"/>
  <c r="S45" i="10"/>
  <c r="R45" i="10"/>
  <c r="Q45" i="10"/>
  <c r="P45" i="10"/>
  <c r="O45" i="10"/>
  <c r="N45" i="10"/>
  <c r="M45" i="10"/>
  <c r="L45" i="10"/>
  <c r="F49" i="10" l="1"/>
  <c r="F50" i="10" s="1"/>
  <c r="E49" i="10"/>
  <c r="M56" i="10" s="1"/>
  <c r="I49" i="10"/>
  <c r="I50" i="10" s="1"/>
  <c r="M51" i="10"/>
  <c r="M52" i="10" s="1"/>
  <c r="M57" i="10" s="1"/>
  <c r="Q49" i="10"/>
  <c r="Q50" i="10" s="1"/>
  <c r="N49" i="10"/>
  <c r="N50" i="10" s="1"/>
  <c r="R49" i="10"/>
  <c r="R50" i="10" s="1"/>
  <c r="G49" i="10"/>
  <c r="O56" i="10" s="1"/>
  <c r="K49" i="10"/>
  <c r="K50" i="10" s="1"/>
  <c r="O49" i="10"/>
  <c r="O50" i="10" s="1"/>
  <c r="S49" i="10"/>
  <c r="S50" i="10" s="1"/>
  <c r="J49" i="10"/>
  <c r="J50" i="10" s="1"/>
  <c r="H49" i="10"/>
  <c r="P56" i="10" s="1"/>
  <c r="L49" i="10"/>
  <c r="L50" i="10" s="1"/>
  <c r="P51" i="10"/>
  <c r="P52" i="10" s="1"/>
  <c r="P57" i="10" s="1"/>
  <c r="T49" i="10"/>
  <c r="T50" i="10" s="1"/>
  <c r="S99" i="36"/>
  <c r="T97" i="36"/>
  <c r="V104" i="36"/>
  <c r="AA100" i="36"/>
  <c r="AE104" i="36"/>
  <c r="AD104" i="36"/>
  <c r="S95" i="36"/>
  <c r="S101" i="36"/>
  <c r="S102" i="36"/>
  <c r="T98" i="36"/>
  <c r="T99" i="36"/>
  <c r="T100" i="36"/>
  <c r="V96" i="36"/>
  <c r="V97" i="36"/>
  <c r="AA101" i="36"/>
  <c r="AA102" i="36"/>
  <c r="AB95" i="36"/>
  <c r="AB96" i="36"/>
  <c r="AB97" i="36"/>
  <c r="AC102" i="36"/>
  <c r="AE95" i="36"/>
  <c r="AE96" i="36"/>
  <c r="AD95" i="36"/>
  <c r="AD96" i="36"/>
  <c r="AD97" i="36"/>
  <c r="Y96" i="36"/>
  <c r="S100" i="36"/>
  <c r="V103" i="36"/>
  <c r="AA98" i="36"/>
  <c r="AC99" i="36"/>
  <c r="AE103" i="36"/>
  <c r="AD103" i="36"/>
  <c r="Y102" i="36"/>
  <c r="T95" i="36"/>
  <c r="S103" i="36"/>
  <c r="S104" i="36"/>
  <c r="T101" i="36"/>
  <c r="T102" i="36"/>
  <c r="V98" i="36"/>
  <c r="V99" i="36"/>
  <c r="V100" i="36"/>
  <c r="AA103" i="36"/>
  <c r="AA104" i="36"/>
  <c r="AB100" i="36"/>
  <c r="AC104" i="36"/>
  <c r="AE98" i="36"/>
  <c r="AE99" i="36"/>
  <c r="AD98" i="36"/>
  <c r="AD99" i="36"/>
  <c r="AD100" i="36"/>
  <c r="S98" i="36"/>
  <c r="T96" i="36"/>
  <c r="AA99" i="36"/>
  <c r="AC100" i="36"/>
  <c r="V95" i="36"/>
  <c r="S96" i="36"/>
  <c r="S97" i="36"/>
  <c r="T103" i="36"/>
  <c r="T104" i="36"/>
  <c r="V101" i="36"/>
  <c r="V102" i="36"/>
  <c r="AA95" i="36"/>
  <c r="AA96" i="36"/>
  <c r="AA97" i="36"/>
  <c r="AC96" i="36"/>
  <c r="AC97" i="36"/>
  <c r="AE101" i="36"/>
  <c r="AE102" i="36"/>
  <c r="AD101" i="36"/>
  <c r="AD102" i="36"/>
  <c r="L111" i="10"/>
  <c r="Y97" i="46" s="1"/>
  <c r="AB99" i="36"/>
  <c r="AB101" i="36"/>
  <c r="AB102" i="36"/>
  <c r="G111" i="10"/>
  <c r="Y103" i="46" s="1"/>
  <c r="AB98" i="36"/>
  <c r="D111" i="10"/>
  <c r="Y95" i="46" s="1"/>
  <c r="AB103" i="36"/>
  <c r="AB104" i="36"/>
  <c r="K111" i="10"/>
  <c r="Y104" i="46" s="1"/>
  <c r="E111" i="10"/>
  <c r="Y98" i="46" s="1"/>
  <c r="I111" i="10"/>
  <c r="Y99" i="46" s="1"/>
  <c r="M111" i="10"/>
  <c r="Y100" i="46" s="1"/>
  <c r="F111" i="10"/>
  <c r="Y101" i="46" s="1"/>
  <c r="D49" i="10"/>
  <c r="R51" i="10"/>
  <c r="R52" i="10" s="1"/>
  <c r="O54" i="10"/>
  <c r="U54" i="10"/>
  <c r="M49" i="10"/>
  <c r="S51" i="10"/>
  <c r="S52" i="10" s="1"/>
  <c r="S53" i="10" s="1"/>
  <c r="R54" i="10"/>
  <c r="V54" i="10"/>
  <c r="V61" i="10" s="1"/>
  <c r="N51" i="10"/>
  <c r="N52" i="10" s="1"/>
  <c r="N53" i="10" s="1"/>
  <c r="S54" i="10"/>
  <c r="W54" i="10"/>
  <c r="O51" i="10"/>
  <c r="O52" i="10" s="1"/>
  <c r="N54" i="10"/>
  <c r="T51" i="10"/>
  <c r="T52" i="10" s="1"/>
  <c r="T54" i="10"/>
  <c r="P49" i="10"/>
  <c r="P54" i="10"/>
  <c r="U49" i="10"/>
  <c r="U51" i="10"/>
  <c r="U52" i="10" s="1"/>
  <c r="L51" i="10"/>
  <c r="L52" i="10" s="1"/>
  <c r="M54" i="10"/>
  <c r="Q54" i="10"/>
  <c r="V49" i="10"/>
  <c r="V55" i="10" s="1"/>
  <c r="V51" i="10"/>
  <c r="V52" i="10" s="1"/>
  <c r="L54" i="10"/>
  <c r="Q51" i="10"/>
  <c r="Q52" i="10" s="1"/>
  <c r="Q53" i="10" s="1"/>
  <c r="W49" i="10"/>
  <c r="W50" i="10" s="1"/>
  <c r="W51" i="10"/>
  <c r="W52" i="10" s="1"/>
  <c r="AF108" i="36"/>
  <c r="AF107" i="36"/>
  <c r="AF106" i="36"/>
  <c r="AF105" i="36"/>
  <c r="T108" i="36"/>
  <c r="T107" i="36"/>
  <c r="T106" i="36"/>
  <c r="T105" i="36"/>
  <c r="S108" i="36"/>
  <c r="S107" i="36"/>
  <c r="S106" i="36"/>
  <c r="S105" i="36"/>
  <c r="P108" i="36"/>
  <c r="P107" i="36"/>
  <c r="P106" i="36"/>
  <c r="P105" i="36"/>
  <c r="Q108" i="36"/>
  <c r="Q107" i="36"/>
  <c r="Q106" i="36"/>
  <c r="Q105" i="36"/>
  <c r="O105" i="36"/>
  <c r="N105" i="36"/>
  <c r="L105" i="36"/>
  <c r="K105" i="36"/>
  <c r="J105" i="36"/>
  <c r="I105" i="36"/>
  <c r="H105" i="36"/>
  <c r="G105" i="36"/>
  <c r="F105" i="36"/>
  <c r="E105" i="36"/>
  <c r="D105" i="36"/>
  <c r="B105" i="36"/>
  <c r="G214" i="10"/>
  <c r="AE108" i="46" s="1"/>
  <c r="F214" i="10"/>
  <c r="AE107" i="46" s="1"/>
  <c r="E214" i="10"/>
  <c r="AE106" i="46" s="1"/>
  <c r="D214" i="10"/>
  <c r="AE105" i="46" s="1"/>
  <c r="G213" i="10"/>
  <c r="AD108" i="46" s="1"/>
  <c r="F213" i="10"/>
  <c r="AD107" i="46" s="1"/>
  <c r="E213" i="10"/>
  <c r="AD106" i="46" s="1"/>
  <c r="D213" i="10"/>
  <c r="AD105" i="46" s="1"/>
  <c r="G212" i="10"/>
  <c r="AC108" i="46" s="1"/>
  <c r="F212" i="10"/>
  <c r="AC107" i="46" s="1"/>
  <c r="E212" i="10"/>
  <c r="AC106" i="46" s="1"/>
  <c r="D212" i="10"/>
  <c r="AC105" i="46" s="1"/>
  <c r="G211" i="10"/>
  <c r="AB108" i="46" s="1"/>
  <c r="F211" i="10"/>
  <c r="AB107" i="46" s="1"/>
  <c r="E211" i="10"/>
  <c r="AB106" i="46" s="1"/>
  <c r="D211" i="10"/>
  <c r="AB105" i="46" s="1"/>
  <c r="G210" i="10"/>
  <c r="AA108" i="46" s="1"/>
  <c r="F210" i="10"/>
  <c r="AA107" i="46" s="1"/>
  <c r="E210" i="10"/>
  <c r="AA106" i="46" s="1"/>
  <c r="D210" i="10"/>
  <c r="AA105" i="46" s="1"/>
  <c r="G205" i="10"/>
  <c r="V108" i="46" s="1"/>
  <c r="F205" i="10"/>
  <c r="V107" i="46" s="1"/>
  <c r="E205" i="10"/>
  <c r="V106" i="46" s="1"/>
  <c r="D205" i="10"/>
  <c r="V105" i="46" s="1"/>
  <c r="U61" i="10" l="1"/>
  <c r="V56" i="10"/>
  <c r="N56" i="10"/>
  <c r="E208" i="10"/>
  <c r="Y106" i="46" s="1"/>
  <c r="D208" i="10"/>
  <c r="Y105" i="46" s="1"/>
  <c r="F208" i="10"/>
  <c r="Y107" i="46" s="1"/>
  <c r="N61" i="10"/>
  <c r="T61" i="10"/>
  <c r="S56" i="10"/>
  <c r="S61" i="10"/>
  <c r="Q61" i="10"/>
  <c r="Q62" i="10"/>
  <c r="T55" i="10"/>
  <c r="T60" i="10" s="1"/>
  <c r="N62" i="10"/>
  <c r="S62" i="10"/>
  <c r="Q56" i="10"/>
  <c r="W61" i="10"/>
  <c r="R61" i="10"/>
  <c r="W56" i="10"/>
  <c r="L61" i="10"/>
  <c r="M61" i="10"/>
  <c r="P61" i="10"/>
  <c r="Q55" i="10"/>
  <c r="Q60" i="10" s="1"/>
  <c r="O61" i="10"/>
  <c r="R62" i="10"/>
  <c r="P55" i="10"/>
  <c r="P64" i="10" s="1"/>
  <c r="H50" i="10"/>
  <c r="T56" i="10"/>
  <c r="N55" i="10"/>
  <c r="N60" i="10" s="1"/>
  <c r="M55" i="10"/>
  <c r="M64" i="10" s="1"/>
  <c r="U55" i="10"/>
  <c r="U64" i="10" s="1"/>
  <c r="O55" i="10"/>
  <c r="O60" i="10" s="1"/>
  <c r="E50" i="10"/>
  <c r="R55" i="10"/>
  <c r="R60" i="10" s="1"/>
  <c r="U50" i="10"/>
  <c r="M50" i="10"/>
  <c r="W55" i="10"/>
  <c r="W64" i="10" s="1"/>
  <c r="P50" i="10"/>
  <c r="D50" i="10"/>
  <c r="L62" i="10" s="1"/>
  <c r="U56" i="10"/>
  <c r="S55" i="10"/>
  <c r="S60" i="10" s="1"/>
  <c r="L56" i="10"/>
  <c r="V50" i="10"/>
  <c r="V62" i="10" s="1"/>
  <c r="G50" i="10"/>
  <c r="W62" i="10" s="1"/>
  <c r="R56" i="10"/>
  <c r="AD108" i="36"/>
  <c r="Y101" i="36"/>
  <c r="Y99" i="36"/>
  <c r="Y95" i="36"/>
  <c r="AC108" i="36"/>
  <c r="V105" i="36"/>
  <c r="Y98" i="36"/>
  <c r="Y104" i="36"/>
  <c r="AK97" i="36"/>
  <c r="Y97" i="36"/>
  <c r="AB108" i="36"/>
  <c r="AE108" i="36"/>
  <c r="AB105" i="36"/>
  <c r="AA106" i="36"/>
  <c r="AB106" i="36"/>
  <c r="AC106" i="36"/>
  <c r="AD106" i="36"/>
  <c r="AE106" i="36"/>
  <c r="AL96" i="36"/>
  <c r="AG102" i="36"/>
  <c r="AL104" i="36"/>
  <c r="Y103" i="36"/>
  <c r="AA108" i="36"/>
  <c r="AA105" i="36"/>
  <c r="AC105" i="36"/>
  <c r="AD105" i="36"/>
  <c r="AE105" i="36"/>
  <c r="V107" i="36"/>
  <c r="AA107" i="36"/>
  <c r="AB107" i="36"/>
  <c r="AC107" i="36"/>
  <c r="AD107" i="36"/>
  <c r="AE107" i="36"/>
  <c r="AL102" i="36"/>
  <c r="Y100" i="36"/>
  <c r="N57" i="10"/>
  <c r="AL97" i="36"/>
  <c r="K112" i="10"/>
  <c r="Z104" i="46" s="1"/>
  <c r="AG104" i="36"/>
  <c r="M112" i="10"/>
  <c r="Z100" i="46" s="1"/>
  <c r="AG100" i="36"/>
  <c r="H112" i="10"/>
  <c r="Z96" i="46" s="1"/>
  <c r="AG96" i="36"/>
  <c r="I112" i="10"/>
  <c r="Z99" i="46" s="1"/>
  <c r="AG99" i="36"/>
  <c r="L112" i="10"/>
  <c r="Z97" i="46" s="1"/>
  <c r="AG97" i="36"/>
  <c r="M53" i="10"/>
  <c r="M63" i="10" s="1"/>
  <c r="P53" i="10"/>
  <c r="P58" i="10" s="1"/>
  <c r="L55" i="10"/>
  <c r="L64" i="10" s="1"/>
  <c r="J112" i="10"/>
  <c r="Z102" i="46" s="1"/>
  <c r="S57" i="10"/>
  <c r="V60" i="10"/>
  <c r="R53" i="10"/>
  <c r="S58" i="10"/>
  <c r="O53" i="10"/>
  <c r="O58" i="10" s="1"/>
  <c r="O57" i="10"/>
  <c r="Q57" i="10"/>
  <c r="R57" i="10"/>
  <c r="L53" i="10"/>
  <c r="L57" i="10"/>
  <c r="N63" i="10"/>
  <c r="U57" i="10"/>
  <c r="U63" i="10"/>
  <c r="U53" i="10"/>
  <c r="U58" i="10" s="1"/>
  <c r="V57" i="10"/>
  <c r="V53" i="10"/>
  <c r="V58" i="10" s="1"/>
  <c r="V63" i="10"/>
  <c r="V64" i="10"/>
  <c r="T57" i="10"/>
  <c r="T63" i="10"/>
  <c r="T53" i="10"/>
  <c r="N58" i="10"/>
  <c r="W57" i="10"/>
  <c r="W53" i="10"/>
  <c r="W58" i="10" s="1"/>
  <c r="W63" i="10"/>
  <c r="Q58" i="10"/>
  <c r="Q63" i="10"/>
  <c r="S63" i="10"/>
  <c r="E206" i="10"/>
  <c r="W106" i="46" s="1"/>
  <c r="V106" i="36"/>
  <c r="G206" i="10"/>
  <c r="W108" i="46" s="1"/>
  <c r="G208" i="10"/>
  <c r="Y108" i="46" s="1"/>
  <c r="V108" i="36"/>
  <c r="AH106" i="46" l="1"/>
  <c r="AJ108" i="46"/>
  <c r="AH108" i="46"/>
  <c r="AJ106" i="46"/>
  <c r="N64" i="10"/>
  <c r="R64" i="10"/>
  <c r="W60" i="10"/>
  <c r="M60" i="10"/>
  <c r="P60" i="10"/>
  <c r="U62" i="10"/>
  <c r="Q59" i="10"/>
  <c r="T62" i="10"/>
  <c r="O64" i="10"/>
  <c r="Q64" i="10"/>
  <c r="T64" i="10"/>
  <c r="N59" i="10"/>
  <c r="T59" i="10"/>
  <c r="R59" i="10"/>
  <c r="P62" i="10"/>
  <c r="U60" i="10"/>
  <c r="S64" i="10"/>
  <c r="S59" i="10"/>
  <c r="O62" i="10"/>
  <c r="M62" i="10"/>
  <c r="AI104" i="36"/>
  <c r="W106" i="36"/>
  <c r="AI97" i="36"/>
  <c r="AM102" i="36"/>
  <c r="AL99" i="36"/>
  <c r="AM97" i="36"/>
  <c r="Z99" i="36"/>
  <c r="Z96" i="36"/>
  <c r="Z104" i="36"/>
  <c r="Y105" i="36"/>
  <c r="W108" i="36"/>
  <c r="AM96" i="36"/>
  <c r="AH104" i="36"/>
  <c r="AL100" i="36"/>
  <c r="Y107" i="36"/>
  <c r="AH97" i="36"/>
  <c r="Z97" i="36"/>
  <c r="AK102" i="36"/>
  <c r="Z100" i="36"/>
  <c r="AK104" i="36"/>
  <c r="Z102" i="36"/>
  <c r="AM104" i="36"/>
  <c r="P59" i="10"/>
  <c r="P63" i="10"/>
  <c r="M59" i="10"/>
  <c r="M58" i="10"/>
  <c r="AK96" i="36"/>
  <c r="AK99" i="36"/>
  <c r="AK100" i="36"/>
  <c r="L60" i="10"/>
  <c r="O59" i="10"/>
  <c r="O63" i="10"/>
  <c r="R58" i="10"/>
  <c r="R63" i="10"/>
  <c r="V59" i="10"/>
  <c r="L59" i="10"/>
  <c r="L58" i="10"/>
  <c r="T58" i="10"/>
  <c r="L63" i="10"/>
  <c r="W59" i="10"/>
  <c r="U59" i="10"/>
  <c r="E207" i="10"/>
  <c r="X106" i="46" s="1"/>
  <c r="G207" i="10"/>
  <c r="X108" i="46" s="1"/>
  <c r="E209" i="10"/>
  <c r="Z106" i="46" s="1"/>
  <c r="Y106" i="36"/>
  <c r="G209" i="10"/>
  <c r="Z108" i="46" s="1"/>
  <c r="Y108" i="36"/>
  <c r="AH106" i="36" l="1"/>
  <c r="AJ108" i="36"/>
  <c r="AJ106" i="36"/>
  <c r="AO108" i="46"/>
  <c r="AO106" i="46"/>
  <c r="AH108" i="36"/>
  <c r="AI106" i="46"/>
  <c r="AH100" i="36"/>
  <c r="AH96" i="36"/>
  <c r="Z108" i="36"/>
  <c r="X108" i="36"/>
  <c r="AI99" i="36"/>
  <c r="AI102" i="36"/>
  <c r="X106" i="36"/>
  <c r="AI96" i="36"/>
  <c r="AM100" i="36"/>
  <c r="AH99" i="36"/>
  <c r="AM99" i="36"/>
  <c r="Z106" i="36"/>
  <c r="AI100" i="36"/>
  <c r="AH102" i="36"/>
  <c r="F255" i="10"/>
  <c r="AH68" i="46" s="1"/>
  <c r="E255" i="10"/>
  <c r="AH67" i="46" s="1"/>
  <c r="AF68" i="36"/>
  <c r="AF67" i="36"/>
  <c r="AF66" i="36"/>
  <c r="AC66" i="36"/>
  <c r="T68" i="36"/>
  <c r="T67" i="36"/>
  <c r="T66" i="36"/>
  <c r="P68" i="36"/>
  <c r="P67" i="36"/>
  <c r="P66" i="36"/>
  <c r="Q68" i="36"/>
  <c r="Q67" i="36"/>
  <c r="Q66" i="36"/>
  <c r="L66" i="36"/>
  <c r="K66" i="36"/>
  <c r="J66" i="36"/>
  <c r="I66" i="36"/>
  <c r="H66" i="36"/>
  <c r="G66" i="36"/>
  <c r="F66" i="36"/>
  <c r="E66" i="36"/>
  <c r="D66" i="36"/>
  <c r="B66" i="36"/>
  <c r="F276" i="10"/>
  <c r="Y68" i="46" s="1"/>
  <c r="E276" i="10"/>
  <c r="Y67" i="46" s="1"/>
  <c r="D276" i="10"/>
  <c r="Y66" i="46" s="1"/>
  <c r="F282" i="10"/>
  <c r="AE68" i="46" s="1"/>
  <c r="E282" i="10"/>
  <c r="AE67" i="46" s="1"/>
  <c r="F281" i="10"/>
  <c r="AD68" i="46" s="1"/>
  <c r="E281" i="10"/>
  <c r="AD67" i="46" s="1"/>
  <c r="F280" i="10"/>
  <c r="AC68" i="46" s="1"/>
  <c r="E280" i="10"/>
  <c r="AC67" i="46" s="1"/>
  <c r="F279" i="10"/>
  <c r="AB68" i="46" s="1"/>
  <c r="E279" i="10"/>
  <c r="AB67" i="46" s="1"/>
  <c r="F278" i="10"/>
  <c r="AA68" i="46" s="1"/>
  <c r="E278" i="10"/>
  <c r="AA67" i="46" s="1"/>
  <c r="F273" i="10"/>
  <c r="V68" i="46" s="1"/>
  <c r="E273" i="10"/>
  <c r="V67" i="46" s="1"/>
  <c r="F270" i="10"/>
  <c r="S68" i="46" s="1"/>
  <c r="E270" i="10"/>
  <c r="S67" i="46" s="1"/>
  <c r="AE66" i="36"/>
  <c r="D281" i="10"/>
  <c r="AD66" i="46" s="1"/>
  <c r="D279" i="10"/>
  <c r="AB66" i="46" s="1"/>
  <c r="D278" i="10"/>
  <c r="AA66" i="46" s="1"/>
  <c r="D273" i="10"/>
  <c r="V66" i="46" s="1"/>
  <c r="D270" i="10"/>
  <c r="S66" i="46" s="1"/>
  <c r="E247" i="10"/>
  <c r="E258" i="10" s="1"/>
  <c r="AK67" i="46" s="1"/>
  <c r="E246" i="10"/>
  <c r="E249" i="10" s="1"/>
  <c r="F247" i="10"/>
  <c r="F258" i="10" s="1"/>
  <c r="AK68" i="46" s="1"/>
  <c r="F246" i="10"/>
  <c r="F249" i="10" s="1"/>
  <c r="D246" i="10"/>
  <c r="D249" i="10" s="1"/>
  <c r="F248" i="10"/>
  <c r="E248" i="10"/>
  <c r="D248" i="10"/>
  <c r="F253" i="10"/>
  <c r="F251" i="10"/>
  <c r="F272" i="10" s="1"/>
  <c r="U68" i="46" s="1"/>
  <c r="E272" i="10"/>
  <c r="U67" i="46" s="1"/>
  <c r="AP108" i="46" l="1"/>
  <c r="AN108" i="46"/>
  <c r="AI108" i="46"/>
  <c r="AO106" i="36"/>
  <c r="U67" i="36"/>
  <c r="AO108" i="36"/>
  <c r="U68" i="36"/>
  <c r="AI108" i="36"/>
  <c r="E263" i="10"/>
  <c r="AP67" i="46" s="1"/>
  <c r="E262" i="10"/>
  <c r="AO67" i="46" s="1"/>
  <c r="F262" i="10"/>
  <c r="AO68" i="46" s="1"/>
  <c r="F263" i="10"/>
  <c r="AP68" i="46" s="1"/>
  <c r="AN108" i="36"/>
  <c r="AP106" i="46"/>
  <c r="AR106" i="46"/>
  <c r="AQ106" i="46"/>
  <c r="AG106" i="46"/>
  <c r="AG108" i="46"/>
  <c r="AR108" i="46"/>
  <c r="AQ108" i="46"/>
  <c r="AK108" i="46"/>
  <c r="AK106" i="46"/>
  <c r="AN106" i="46"/>
  <c r="AI106" i="36"/>
  <c r="S66" i="36"/>
  <c r="AB67" i="36"/>
  <c r="V66" i="36"/>
  <c r="V68" i="36"/>
  <c r="Y67" i="36"/>
  <c r="AA66" i="36"/>
  <c r="S67" i="36"/>
  <c r="AA67" i="36"/>
  <c r="AC67" i="36"/>
  <c r="AE67" i="36"/>
  <c r="Y68" i="36"/>
  <c r="AH67" i="36"/>
  <c r="V67" i="36"/>
  <c r="AD68" i="36"/>
  <c r="AK67" i="36"/>
  <c r="AB66" i="36"/>
  <c r="S68" i="36"/>
  <c r="AA68" i="36"/>
  <c r="AC68" i="36"/>
  <c r="AE68" i="36"/>
  <c r="AH68" i="36"/>
  <c r="AD66" i="36"/>
  <c r="AD67" i="36"/>
  <c r="AK68" i="36"/>
  <c r="AB68" i="36"/>
  <c r="F256" i="10"/>
  <c r="AI68" i="46" s="1"/>
  <c r="E256" i="10"/>
  <c r="AI67" i="46" s="1"/>
  <c r="F257" i="10"/>
  <c r="AJ68" i="46" s="1"/>
  <c r="E257" i="10"/>
  <c r="AJ67" i="46" s="1"/>
  <c r="E254" i="10"/>
  <c r="AG67" i="46" s="1"/>
  <c r="F254" i="10"/>
  <c r="AG68" i="46" s="1"/>
  <c r="F277" i="10"/>
  <c r="Z68" i="46" s="1"/>
  <c r="E274" i="10"/>
  <c r="W67" i="46" s="1"/>
  <c r="F274" i="10"/>
  <c r="W68" i="46" s="1"/>
  <c r="Y66" i="36"/>
  <c r="E277" i="10"/>
  <c r="Z67" i="46" s="1"/>
  <c r="AF121" i="36"/>
  <c r="AF120" i="36"/>
  <c r="AE121" i="36"/>
  <c r="AD121" i="36"/>
  <c r="AD120" i="36"/>
  <c r="AC121" i="36"/>
  <c r="AC120" i="36"/>
  <c r="AB121" i="36"/>
  <c r="AB120" i="36"/>
  <c r="AA121" i="36"/>
  <c r="AA120" i="36"/>
  <c r="Y121" i="36"/>
  <c r="Y120" i="36"/>
  <c r="V121" i="36"/>
  <c r="V120" i="36"/>
  <c r="T121" i="36"/>
  <c r="T120" i="36"/>
  <c r="S121" i="36"/>
  <c r="S120" i="36"/>
  <c r="P121" i="36"/>
  <c r="P120" i="36"/>
  <c r="Q121" i="36"/>
  <c r="Q120" i="36"/>
  <c r="O120" i="36"/>
  <c r="N120" i="36"/>
  <c r="L120" i="36"/>
  <c r="K120" i="36"/>
  <c r="J120" i="36"/>
  <c r="I120" i="36"/>
  <c r="H120" i="36"/>
  <c r="G120" i="36"/>
  <c r="F120" i="36"/>
  <c r="E120" i="36"/>
  <c r="D120" i="36"/>
  <c r="B120" i="36"/>
  <c r="P137" i="36"/>
  <c r="P135" i="36"/>
  <c r="Q137" i="36"/>
  <c r="Q136" i="36"/>
  <c r="Q135" i="36"/>
  <c r="Q134" i="36"/>
  <c r="D304" i="10"/>
  <c r="D352" i="10" s="1"/>
  <c r="AE120" i="47" s="1"/>
  <c r="E344" i="10"/>
  <c r="W121" i="47" s="1"/>
  <c r="AP108" i="36" l="1"/>
  <c r="AR106" i="36"/>
  <c r="AJ67" i="36"/>
  <c r="AP68" i="36"/>
  <c r="AJ68" i="36"/>
  <c r="AK106" i="36"/>
  <c r="AO68" i="36"/>
  <c r="AG106" i="36"/>
  <c r="AP106" i="36"/>
  <c r="AO67" i="36"/>
  <c r="AQ106" i="36"/>
  <c r="AP67" i="36"/>
  <c r="AM106" i="46"/>
  <c r="AL106" i="46"/>
  <c r="AR108" i="36"/>
  <c r="AG108" i="36"/>
  <c r="AL108" i="46"/>
  <c r="AM108" i="46"/>
  <c r="AN106" i="36"/>
  <c r="AQ108" i="36"/>
  <c r="AK108" i="36"/>
  <c r="F264" i="10"/>
  <c r="AQ68" i="46" s="1"/>
  <c r="AI67" i="36"/>
  <c r="AE120" i="36"/>
  <c r="E259" i="10"/>
  <c r="AL67" i="46" s="1"/>
  <c r="F265" i="10"/>
  <c r="AR68" i="46" s="1"/>
  <c r="E345" i="10"/>
  <c r="X121" i="47" s="1"/>
  <c r="Z68" i="36"/>
  <c r="Z67" i="36"/>
  <c r="AL106" i="36"/>
  <c r="AI68" i="36"/>
  <c r="E265" i="10"/>
  <c r="AR67" i="46" s="1"/>
  <c r="F259" i="10"/>
  <c r="AL68" i="46" s="1"/>
  <c r="AG68" i="36"/>
  <c r="F261" i="10"/>
  <c r="AN68" i="46" s="1"/>
  <c r="E261" i="10"/>
  <c r="AN67" i="46" s="1"/>
  <c r="AG67" i="36"/>
  <c r="E264" i="10"/>
  <c r="AQ67" i="46" s="1"/>
  <c r="F260" i="10"/>
  <c r="AM68" i="46" s="1"/>
  <c r="E260" i="10"/>
  <c r="AM67" i="46" s="1"/>
  <c r="F275" i="10"/>
  <c r="X68" i="46" s="1"/>
  <c r="W68" i="36"/>
  <c r="W67" i="36"/>
  <c r="E275" i="10"/>
  <c r="X67" i="46" s="1"/>
  <c r="W121" i="36"/>
  <c r="E347" i="10"/>
  <c r="Z121" i="47" s="1"/>
  <c r="AM106" i="36" l="1"/>
  <c r="AL108" i="36"/>
  <c r="AM108" i="36"/>
  <c r="AQ67" i="36"/>
  <c r="AL68" i="36"/>
  <c r="X121" i="36"/>
  <c r="AL67" i="36"/>
  <c r="Z121" i="36"/>
  <c r="X67" i="36"/>
  <c r="AH121" i="36"/>
  <c r="X68" i="36"/>
  <c r="AM67" i="36"/>
  <c r="AN67" i="36"/>
  <c r="AR67" i="36"/>
  <c r="AK121" i="36"/>
  <c r="AM68" i="36"/>
  <c r="AN68" i="36"/>
  <c r="AR68" i="36"/>
  <c r="AQ68" i="36"/>
  <c r="E326" i="10"/>
  <c r="AI121" i="47" s="1"/>
  <c r="E324" i="10"/>
  <c r="AG121" i="47" s="1"/>
  <c r="E334" i="10"/>
  <c r="AQ121" i="47" s="1"/>
  <c r="AQ121" i="36" l="1"/>
  <c r="AI121" i="36"/>
  <c r="E329" i="10"/>
  <c r="AL121" i="47" s="1"/>
  <c r="E331" i="10"/>
  <c r="AN121" i="47" s="1"/>
  <c r="E335" i="10"/>
  <c r="AR121" i="47" s="1"/>
  <c r="AG121" i="36"/>
  <c r="E330" i="10"/>
  <c r="AM121" i="47" s="1"/>
  <c r="P38" i="36"/>
  <c r="Q38" i="36"/>
  <c r="Q37" i="36"/>
  <c r="P37" i="36"/>
  <c r="AE34" i="36"/>
  <c r="P34" i="36"/>
  <c r="AE33" i="36"/>
  <c r="P33" i="36"/>
  <c r="AE32" i="36"/>
  <c r="P32" i="36"/>
  <c r="AE31" i="36"/>
  <c r="P31" i="36"/>
  <c r="Q34" i="36"/>
  <c r="Q33" i="36"/>
  <c r="Q31" i="36"/>
  <c r="Q32" i="36"/>
  <c r="P36" i="36"/>
  <c r="Q36" i="36"/>
  <c r="P35" i="36"/>
  <c r="Q35" i="36"/>
  <c r="P30" i="36"/>
  <c r="P29" i="36"/>
  <c r="P28" i="36"/>
  <c r="Q30" i="36"/>
  <c r="Q29" i="36"/>
  <c r="Q28" i="36"/>
  <c r="P27" i="36"/>
  <c r="P26" i="36"/>
  <c r="Q27" i="36"/>
  <c r="Q26" i="36"/>
  <c r="P22" i="36"/>
  <c r="P20" i="36"/>
  <c r="Q22" i="36"/>
  <c r="Q20" i="36"/>
  <c r="P16" i="36"/>
  <c r="P15" i="36"/>
  <c r="P14" i="36"/>
  <c r="P13" i="36"/>
  <c r="P12" i="36"/>
  <c r="P10" i="36"/>
  <c r="P9" i="36"/>
  <c r="P8" i="36"/>
  <c r="P19" i="36"/>
  <c r="P17" i="36"/>
  <c r="P7" i="36"/>
  <c r="P6" i="36"/>
  <c r="Q16" i="36"/>
  <c r="Q15" i="36"/>
  <c r="Q14" i="36"/>
  <c r="Q13" i="36"/>
  <c r="Q12" i="36"/>
  <c r="Q10" i="36"/>
  <c r="Q9" i="36"/>
  <c r="S8" i="36"/>
  <c r="Q8" i="36"/>
  <c r="Q7" i="36"/>
  <c r="Q6" i="36"/>
  <c r="Q19" i="36"/>
  <c r="Q17" i="36"/>
  <c r="O134" i="36"/>
  <c r="N134" i="36"/>
  <c r="O81" i="36"/>
  <c r="N81" i="36"/>
  <c r="O89" i="36"/>
  <c r="N89" i="36"/>
  <c r="O61" i="36"/>
  <c r="N61" i="36"/>
  <c r="O53" i="36"/>
  <c r="L53" i="36"/>
  <c r="K53" i="36"/>
  <c r="J53" i="36"/>
  <c r="O46" i="36"/>
  <c r="N46" i="36"/>
  <c r="L46" i="36"/>
  <c r="K46" i="36"/>
  <c r="J46" i="36"/>
  <c r="I46" i="36"/>
  <c r="H46" i="36"/>
  <c r="G46" i="36"/>
  <c r="F46" i="36"/>
  <c r="E46" i="36"/>
  <c r="N39" i="36"/>
  <c r="O37" i="36"/>
  <c r="N37" i="36"/>
  <c r="O31" i="36"/>
  <c r="N31" i="36"/>
  <c r="O28" i="36"/>
  <c r="N28" i="36"/>
  <c r="O23" i="36"/>
  <c r="N23" i="36"/>
  <c r="O15" i="36"/>
  <c r="N15" i="36"/>
  <c r="O138" i="36"/>
  <c r="O132" i="36"/>
  <c r="O114" i="36"/>
  <c r="O111" i="36"/>
  <c r="O109" i="36"/>
  <c r="O85" i="36"/>
  <c r="O83" i="36"/>
  <c r="O93" i="36"/>
  <c r="O78" i="36"/>
  <c r="O74" i="36"/>
  <c r="O59" i="36"/>
  <c r="O50" i="36"/>
  <c r="O20" i="36"/>
  <c r="O12" i="36"/>
  <c r="O8" i="36"/>
  <c r="O17" i="36"/>
  <c r="N138" i="36"/>
  <c r="N132" i="36"/>
  <c r="N114" i="36"/>
  <c r="N111" i="36"/>
  <c r="N109" i="36"/>
  <c r="N85" i="36"/>
  <c r="N83" i="36"/>
  <c r="N93" i="36"/>
  <c r="N78" i="36"/>
  <c r="N74" i="36"/>
  <c r="N71" i="36"/>
  <c r="N59" i="36"/>
  <c r="N50" i="36"/>
  <c r="N20" i="36"/>
  <c r="N12" i="36"/>
  <c r="N8" i="36"/>
  <c r="N17" i="36"/>
  <c r="N53" i="36"/>
  <c r="L85" i="36"/>
  <c r="L74" i="36"/>
  <c r="L61" i="36"/>
  <c r="L59" i="36"/>
  <c r="L50" i="36"/>
  <c r="L39" i="36"/>
  <c r="L37" i="36"/>
  <c r="L31" i="36"/>
  <c r="L28" i="36"/>
  <c r="L23" i="36"/>
  <c r="L20" i="36"/>
  <c r="L15" i="36"/>
  <c r="L12" i="36"/>
  <c r="L8" i="36"/>
  <c r="L17" i="36"/>
  <c r="AF140" i="36"/>
  <c r="AF139" i="36"/>
  <c r="AF138" i="36"/>
  <c r="AE140" i="36"/>
  <c r="AE139" i="36"/>
  <c r="AE138" i="36"/>
  <c r="L138" i="36"/>
  <c r="K138" i="36"/>
  <c r="J138" i="36"/>
  <c r="I138" i="36"/>
  <c r="H138" i="36"/>
  <c r="G138" i="36"/>
  <c r="F138" i="36"/>
  <c r="E138" i="36"/>
  <c r="D138" i="36"/>
  <c r="B138" i="36"/>
  <c r="L132" i="36"/>
  <c r="K132" i="36"/>
  <c r="J132" i="36"/>
  <c r="I132" i="36"/>
  <c r="H132" i="36"/>
  <c r="G132" i="36"/>
  <c r="F132" i="36"/>
  <c r="E132" i="36"/>
  <c r="D132" i="36"/>
  <c r="B132" i="36"/>
  <c r="F67" i="33"/>
  <c r="E67" i="33"/>
  <c r="D67" i="33"/>
  <c r="U132" i="47" s="1"/>
  <c r="G67" i="33"/>
  <c r="U133" i="47" s="1"/>
  <c r="H388" i="3"/>
  <c r="AB135" i="47" s="1"/>
  <c r="AE137" i="36"/>
  <c r="AE136" i="36"/>
  <c r="AE135" i="36"/>
  <c r="AE134" i="36"/>
  <c r="L134" i="36"/>
  <c r="K134" i="36"/>
  <c r="J134" i="36"/>
  <c r="I134" i="36"/>
  <c r="H134" i="36"/>
  <c r="G134" i="36"/>
  <c r="F134" i="36"/>
  <c r="E134" i="36"/>
  <c r="D134" i="36"/>
  <c r="B134" i="36"/>
  <c r="AC118" i="36"/>
  <c r="AC116" i="36"/>
  <c r="AC114" i="36"/>
  <c r="T119" i="36"/>
  <c r="T118" i="36"/>
  <c r="T117" i="36"/>
  <c r="T116" i="36"/>
  <c r="T115" i="36"/>
  <c r="T114" i="36"/>
  <c r="L114" i="36"/>
  <c r="K114" i="36"/>
  <c r="J114" i="36"/>
  <c r="I114" i="36"/>
  <c r="H114" i="36"/>
  <c r="F114" i="36"/>
  <c r="E114" i="36"/>
  <c r="D114" i="36"/>
  <c r="B114" i="36"/>
  <c r="J70" i="11"/>
  <c r="U119" i="47" s="1"/>
  <c r="H70" i="11"/>
  <c r="U117" i="47" s="1"/>
  <c r="F70" i="11"/>
  <c r="U115" i="47" s="1"/>
  <c r="D9" i="11"/>
  <c r="G114" i="47" s="1"/>
  <c r="AF58" i="36"/>
  <c r="AF57" i="36"/>
  <c r="AF56" i="36"/>
  <c r="AF55" i="36"/>
  <c r="AF54" i="36"/>
  <c r="AF53" i="36"/>
  <c r="AE58" i="36"/>
  <c r="AE57" i="36"/>
  <c r="AE56" i="36"/>
  <c r="AE55" i="36"/>
  <c r="AE54" i="36"/>
  <c r="AE53" i="36"/>
  <c r="AD58" i="36"/>
  <c r="AD57" i="36"/>
  <c r="AD56" i="36"/>
  <c r="AD55" i="36"/>
  <c r="AD54" i="36"/>
  <c r="AD53" i="36"/>
  <c r="AC58" i="36"/>
  <c r="AC57" i="36"/>
  <c r="AC56" i="36"/>
  <c r="AC55" i="36"/>
  <c r="AC54" i="36"/>
  <c r="AC53" i="36"/>
  <c r="AB58" i="36"/>
  <c r="AB57" i="36"/>
  <c r="AB56" i="36"/>
  <c r="AB55" i="36"/>
  <c r="AB54" i="36"/>
  <c r="AB53" i="36"/>
  <c r="AA58" i="36"/>
  <c r="AA57" i="36"/>
  <c r="AA56" i="36"/>
  <c r="AA55" i="36"/>
  <c r="AA54" i="36"/>
  <c r="AA53" i="36"/>
  <c r="Z58" i="36"/>
  <c r="Z57" i="36"/>
  <c r="Z56" i="36"/>
  <c r="Z55" i="36"/>
  <c r="Z54" i="36"/>
  <c r="Z53" i="36"/>
  <c r="I53" i="36"/>
  <c r="H53" i="36"/>
  <c r="G53" i="36"/>
  <c r="F53" i="36"/>
  <c r="E53" i="36"/>
  <c r="D53" i="36"/>
  <c r="M60" i="38"/>
  <c r="K60" i="38"/>
  <c r="F60" i="38"/>
  <c r="P60" i="38"/>
  <c r="O60" i="38"/>
  <c r="H60" i="38"/>
  <c r="D60" i="38"/>
  <c r="P57" i="38"/>
  <c r="O57" i="38"/>
  <c r="N57" i="38"/>
  <c r="M57" i="38"/>
  <c r="L57" i="38"/>
  <c r="K57" i="38"/>
  <c r="J57" i="38"/>
  <c r="I57" i="38"/>
  <c r="H57" i="38"/>
  <c r="G57" i="38"/>
  <c r="F57" i="38"/>
  <c r="E57" i="38"/>
  <c r="D57" i="38"/>
  <c r="D54" i="38"/>
  <c r="P55" i="38"/>
  <c r="P56" i="38" s="1"/>
  <c r="O55" i="38"/>
  <c r="O56" i="38" s="1"/>
  <c r="N55" i="38"/>
  <c r="N56" i="38" s="1"/>
  <c r="M55" i="38"/>
  <c r="M56" i="38" s="1"/>
  <c r="L55" i="38"/>
  <c r="L56" i="38" s="1"/>
  <c r="K55" i="38"/>
  <c r="K56" i="38" s="1"/>
  <c r="J55" i="38"/>
  <c r="J56" i="38" s="1"/>
  <c r="I55" i="38"/>
  <c r="I56" i="38" s="1"/>
  <c r="H55" i="38"/>
  <c r="H56" i="38" s="1"/>
  <c r="G55" i="38"/>
  <c r="G56" i="38" s="1"/>
  <c r="F55" i="38"/>
  <c r="F56" i="38" s="1"/>
  <c r="E55" i="38"/>
  <c r="E56" i="38" s="1"/>
  <c r="D55" i="38"/>
  <c r="D56" i="38" s="1"/>
  <c r="P99" i="38"/>
  <c r="O99" i="38"/>
  <c r="N99" i="38"/>
  <c r="V57" i="45" s="1"/>
  <c r="M99" i="38"/>
  <c r="V58" i="45" s="1"/>
  <c r="L99" i="38"/>
  <c r="V55" i="45" s="1"/>
  <c r="K99" i="38"/>
  <c r="V56" i="45" s="1"/>
  <c r="J99" i="38"/>
  <c r="I99" i="38"/>
  <c r="H99" i="38"/>
  <c r="G99" i="38"/>
  <c r="V53" i="45" s="1"/>
  <c r="F99" i="38"/>
  <c r="V54" i="45" s="1"/>
  <c r="E99" i="38"/>
  <c r="D99" i="38"/>
  <c r="P97" i="38"/>
  <c r="O97" i="38"/>
  <c r="N97" i="38"/>
  <c r="T57" i="45" s="1"/>
  <c r="M97" i="38"/>
  <c r="T58" i="45" s="1"/>
  <c r="L97" i="38"/>
  <c r="T55" i="45" s="1"/>
  <c r="K97" i="38"/>
  <c r="T56" i="45" s="1"/>
  <c r="J97" i="38"/>
  <c r="I97" i="38"/>
  <c r="H97" i="38"/>
  <c r="G97" i="38"/>
  <c r="T53" i="45" s="1"/>
  <c r="F97" i="38"/>
  <c r="T54" i="45" s="1"/>
  <c r="E97" i="38"/>
  <c r="D97" i="38"/>
  <c r="D53" i="38"/>
  <c r="P47" i="38"/>
  <c r="P52" i="38" s="1"/>
  <c r="O47" i="38"/>
  <c r="O52" i="38" s="1"/>
  <c r="N47" i="38"/>
  <c r="M47" i="38"/>
  <c r="M52" i="38" s="1"/>
  <c r="L47" i="38"/>
  <c r="K47" i="38"/>
  <c r="K52" i="38" s="1"/>
  <c r="J47" i="38"/>
  <c r="J52" i="38" s="1"/>
  <c r="I47" i="38"/>
  <c r="I52" i="38" s="1"/>
  <c r="H47" i="38"/>
  <c r="H52" i="38" s="1"/>
  <c r="G47" i="38"/>
  <c r="F47" i="38"/>
  <c r="F52" i="38" s="1"/>
  <c r="E47" i="38"/>
  <c r="D47" i="38"/>
  <c r="D52" i="38" s="1"/>
  <c r="P75" i="38"/>
  <c r="O75" i="38"/>
  <c r="N75" i="38"/>
  <c r="M75" i="38"/>
  <c r="L75" i="38"/>
  <c r="K75" i="38"/>
  <c r="J75" i="38"/>
  <c r="I75" i="38"/>
  <c r="H75" i="38"/>
  <c r="G75" i="38"/>
  <c r="F75" i="38"/>
  <c r="E75" i="38"/>
  <c r="D75" i="38"/>
  <c r="N52" i="38" l="1"/>
  <c r="N96" i="38" s="1"/>
  <c r="G52" i="38"/>
  <c r="G96" i="38" s="1"/>
  <c r="E52" i="38"/>
  <c r="E96" i="38" s="1"/>
  <c r="L52" i="38"/>
  <c r="L96" i="38" s="1"/>
  <c r="D96" i="38"/>
  <c r="D77" i="38"/>
  <c r="M96" i="38"/>
  <c r="S58" i="45" s="1"/>
  <c r="M77" i="38"/>
  <c r="F96" i="38"/>
  <c r="S54" i="45" s="1"/>
  <c r="F77" i="38"/>
  <c r="K96" i="38"/>
  <c r="S56" i="45" s="1"/>
  <c r="K77" i="38"/>
  <c r="U133" i="36"/>
  <c r="U132" i="36"/>
  <c r="U115" i="36"/>
  <c r="U119" i="36"/>
  <c r="U117" i="36"/>
  <c r="G114" i="36"/>
  <c r="AR121" i="36"/>
  <c r="AL121" i="36"/>
  <c r="AM121" i="36"/>
  <c r="AN121" i="36"/>
  <c r="T53" i="36"/>
  <c r="V54" i="36"/>
  <c r="V57" i="36"/>
  <c r="T56" i="36"/>
  <c r="S54" i="36"/>
  <c r="T55" i="36"/>
  <c r="V53" i="36"/>
  <c r="V56" i="36"/>
  <c r="T58" i="36"/>
  <c r="V55" i="36"/>
  <c r="T54" i="36"/>
  <c r="T57" i="36"/>
  <c r="V58" i="36"/>
  <c r="S58" i="36"/>
  <c r="F58" i="38"/>
  <c r="F61" i="38" s="1"/>
  <c r="F63" i="38" s="1"/>
  <c r="H64" i="38"/>
  <c r="L64" i="38"/>
  <c r="P64" i="38"/>
  <c r="M58" i="38"/>
  <c r="M61" i="38" s="1"/>
  <c r="E64" i="38"/>
  <c r="I64" i="38"/>
  <c r="J64" i="38"/>
  <c r="N64" i="38"/>
  <c r="G64" i="38"/>
  <c r="K64" i="38"/>
  <c r="O64" i="38"/>
  <c r="M64" i="38"/>
  <c r="F64" i="38"/>
  <c r="D58" i="38"/>
  <c r="D59" i="38" s="1"/>
  <c r="D64" i="38"/>
  <c r="K58" i="38"/>
  <c r="K61" i="38" s="1"/>
  <c r="H70" i="38"/>
  <c r="H102" i="38" s="1"/>
  <c r="P70" i="38"/>
  <c r="P102" i="38" s="1"/>
  <c r="I70" i="38"/>
  <c r="I102" i="38" s="1"/>
  <c r="H71" i="38"/>
  <c r="D70" i="38"/>
  <c r="L70" i="38"/>
  <c r="L102" i="38" s="1"/>
  <c r="Y55" i="45" s="1"/>
  <c r="L71" i="38"/>
  <c r="E70" i="38"/>
  <c r="E102" i="38" s="1"/>
  <c r="M70" i="38"/>
  <c r="P71" i="38"/>
  <c r="I71" i="38"/>
  <c r="D71" i="38"/>
  <c r="F70" i="38"/>
  <c r="J70" i="38"/>
  <c r="J102" i="38" s="1"/>
  <c r="N70" i="38"/>
  <c r="N102" i="38" s="1"/>
  <c r="Y57" i="45" s="1"/>
  <c r="F71" i="38"/>
  <c r="J71" i="38"/>
  <c r="N71" i="38"/>
  <c r="E71" i="38"/>
  <c r="M71" i="38"/>
  <c r="G70" i="38"/>
  <c r="G102" i="38" s="1"/>
  <c r="Y53" i="45" s="1"/>
  <c r="K70" i="38"/>
  <c r="O70" i="38"/>
  <c r="O102" i="38" s="1"/>
  <c r="G71" i="38"/>
  <c r="K71" i="38"/>
  <c r="O71" i="38"/>
  <c r="K100" i="38"/>
  <c r="W56" i="45" s="1"/>
  <c r="M100" i="38"/>
  <c r="W58" i="45" s="1"/>
  <c r="D100" i="38"/>
  <c r="D101" i="38" s="1"/>
  <c r="F100" i="38"/>
  <c r="W54" i="45" s="1"/>
  <c r="M76" i="38"/>
  <c r="K76" i="38"/>
  <c r="F76" i="38"/>
  <c r="D76" i="38"/>
  <c r="AE88" i="36"/>
  <c r="AE87" i="36"/>
  <c r="AF52" i="36"/>
  <c r="AF51" i="36"/>
  <c r="AF50" i="36"/>
  <c r="AE52" i="36"/>
  <c r="AE51" i="36"/>
  <c r="AE50" i="36"/>
  <c r="AF14" i="36"/>
  <c r="AF13" i="36"/>
  <c r="AF12" i="36"/>
  <c r="AE14" i="36"/>
  <c r="AE13" i="36"/>
  <c r="AE12" i="36"/>
  <c r="AF10" i="36"/>
  <c r="AF9" i="36"/>
  <c r="AF8" i="36"/>
  <c r="AE10" i="36"/>
  <c r="AE9" i="36"/>
  <c r="AE8" i="36"/>
  <c r="S10" i="36"/>
  <c r="AF19" i="36"/>
  <c r="AF17" i="36"/>
  <c r="AE19" i="36"/>
  <c r="AE17" i="36"/>
  <c r="AE112" i="36"/>
  <c r="AE111" i="36"/>
  <c r="L111" i="36"/>
  <c r="K111" i="36"/>
  <c r="J111" i="36"/>
  <c r="I111" i="36"/>
  <c r="H111" i="36"/>
  <c r="G111" i="36"/>
  <c r="F111" i="36"/>
  <c r="E111" i="36"/>
  <c r="D111" i="36"/>
  <c r="B111" i="36"/>
  <c r="E87" i="22"/>
  <c r="AA110" i="46" s="1"/>
  <c r="AF110" i="36"/>
  <c r="AF109" i="36"/>
  <c r="AE110" i="36"/>
  <c r="AE109" i="36"/>
  <c r="Y109" i="36"/>
  <c r="T109" i="36"/>
  <c r="L109" i="36"/>
  <c r="K109" i="36"/>
  <c r="J109" i="36"/>
  <c r="I109" i="36"/>
  <c r="H109" i="36"/>
  <c r="G109" i="36"/>
  <c r="F109" i="36"/>
  <c r="E109" i="36"/>
  <c r="D109" i="36"/>
  <c r="B109" i="36"/>
  <c r="AD50" i="22"/>
  <c r="T50" i="22"/>
  <c r="V50" i="22" s="1"/>
  <c r="Q50" i="22"/>
  <c r="M50" i="22"/>
  <c r="AD49" i="22"/>
  <c r="V49" i="22"/>
  <c r="Q49" i="22"/>
  <c r="M49" i="22"/>
  <c r="AD48" i="22"/>
  <c r="AD51" i="22" s="1"/>
  <c r="V48" i="22"/>
  <c r="Q48" i="22"/>
  <c r="M48" i="22"/>
  <c r="M51" i="22" s="1"/>
  <c r="AE45" i="22"/>
  <c r="S55" i="45" l="1"/>
  <c r="S55" i="36"/>
  <c r="S53" i="45"/>
  <c r="S53" i="36"/>
  <c r="S57" i="45"/>
  <c r="S57" i="36"/>
  <c r="K98" i="38"/>
  <c r="U56" i="45" s="1"/>
  <c r="K79" i="38"/>
  <c r="M98" i="38"/>
  <c r="U58" i="45" s="1"/>
  <c r="M79" i="38"/>
  <c r="F98" i="38"/>
  <c r="U54" i="45" s="1"/>
  <c r="F79" i="38"/>
  <c r="D98" i="38"/>
  <c r="D79" i="38"/>
  <c r="K102" i="38"/>
  <c r="Y56" i="45" s="1"/>
  <c r="K80" i="38"/>
  <c r="F102" i="38"/>
  <c r="Y54" i="45" s="1"/>
  <c r="F80" i="38"/>
  <c r="M102" i="38"/>
  <c r="Y58" i="45" s="1"/>
  <c r="M80" i="38"/>
  <c r="D72" i="38"/>
  <c r="D80" i="38"/>
  <c r="U58" i="36"/>
  <c r="U54" i="36"/>
  <c r="S56" i="36"/>
  <c r="Y55" i="36"/>
  <c r="Y53" i="36"/>
  <c r="Y54" i="36"/>
  <c r="J72" i="38"/>
  <c r="F59" i="38"/>
  <c r="Y57" i="36"/>
  <c r="F62" i="38"/>
  <c r="AA110" i="36"/>
  <c r="E72" i="38"/>
  <c r="D81" i="38" s="1"/>
  <c r="F101" i="38"/>
  <c r="X54" i="45" s="1"/>
  <c r="W54" i="36"/>
  <c r="K101" i="38"/>
  <c r="X56" i="45" s="1"/>
  <c r="W56" i="36"/>
  <c r="M101" i="38"/>
  <c r="X58" i="45" s="1"/>
  <c r="W58" i="36"/>
  <c r="K62" i="38"/>
  <c r="K63" i="38"/>
  <c r="M62" i="38"/>
  <c r="M63" i="38"/>
  <c r="H72" i="38"/>
  <c r="M59" i="38"/>
  <c r="K65" i="38"/>
  <c r="M65" i="38"/>
  <c r="F65" i="38"/>
  <c r="D65" i="38"/>
  <c r="K59" i="38"/>
  <c r="D61" i="38"/>
  <c r="L72" i="38"/>
  <c r="I72" i="38"/>
  <c r="G72" i="38"/>
  <c r="P72" i="38"/>
  <c r="O72" i="38"/>
  <c r="M72" i="38"/>
  <c r="D102" i="38"/>
  <c r="K72" i="38"/>
  <c r="F72" i="38"/>
  <c r="N72" i="38"/>
  <c r="M81" i="38" s="1"/>
  <c r="Q51" i="22"/>
  <c r="AE51" i="22"/>
  <c r="AE50" i="22" s="1"/>
  <c r="U50" i="22"/>
  <c r="U51" i="22" s="1"/>
  <c r="W51" i="22" s="1"/>
  <c r="C19" i="22" s="1"/>
  <c r="K81" i="38" l="1"/>
  <c r="AI56" i="45"/>
  <c r="AI56" i="36"/>
  <c r="M87" i="38"/>
  <c r="AH58" i="36"/>
  <c r="AH58" i="45"/>
  <c r="M84" i="38"/>
  <c r="AG54" i="45"/>
  <c r="AG54" i="36"/>
  <c r="F81" i="38"/>
  <c r="Y58" i="36"/>
  <c r="D84" i="38"/>
  <c r="D87" i="38"/>
  <c r="F87" i="38"/>
  <c r="AH54" i="36"/>
  <c r="AH54" i="45"/>
  <c r="F84" i="38"/>
  <c r="AG58" i="45"/>
  <c r="AG58" i="36"/>
  <c r="K87" i="38"/>
  <c r="AH56" i="36"/>
  <c r="AH56" i="45"/>
  <c r="K84" i="38"/>
  <c r="AG56" i="45"/>
  <c r="AG56" i="36"/>
  <c r="AI58" i="45"/>
  <c r="AI58" i="36"/>
  <c r="Y56" i="36"/>
  <c r="U56" i="36"/>
  <c r="X58" i="36"/>
  <c r="X54" i="36"/>
  <c r="X56" i="36"/>
  <c r="D62" i="38"/>
  <c r="D63" i="38"/>
  <c r="K66" i="38"/>
  <c r="K68" i="38" s="1"/>
  <c r="K67" i="38"/>
  <c r="K69" i="38" s="1"/>
  <c r="D66" i="38"/>
  <c r="D68" i="38" s="1"/>
  <c r="D67" i="38"/>
  <c r="D69" i="38" s="1"/>
  <c r="M66" i="38"/>
  <c r="M68" i="38" s="1"/>
  <c r="M67" i="38"/>
  <c r="M69" i="38" s="1"/>
  <c r="F66" i="38"/>
  <c r="F68" i="38" s="1"/>
  <c r="F67" i="38"/>
  <c r="F69" i="38" s="1"/>
  <c r="AE52" i="22"/>
  <c r="E48" i="22"/>
  <c r="D48" i="22"/>
  <c r="V51" i="22"/>
  <c r="AL56" i="36" l="1"/>
  <c r="AL56" i="45"/>
  <c r="AL58" i="36"/>
  <c r="AL58" i="45"/>
  <c r="AL54" i="36"/>
  <c r="AL54" i="45"/>
  <c r="AO56" i="36"/>
  <c r="AO56" i="45"/>
  <c r="AO58" i="45"/>
  <c r="AO58" i="36"/>
  <c r="AO54" i="45"/>
  <c r="AO54" i="36"/>
  <c r="AI54" i="45"/>
  <c r="AI54" i="36"/>
  <c r="E55" i="22"/>
  <c r="D55" i="22"/>
  <c r="E59" i="22"/>
  <c r="E54" i="22"/>
  <c r="D54" i="22"/>
  <c r="E56" i="22"/>
  <c r="D56" i="22"/>
  <c r="D57" i="22" l="1"/>
  <c r="E65" i="22" s="1"/>
  <c r="AJ110" i="46" s="1"/>
  <c r="E63" i="22"/>
  <c r="AH110" i="46" s="1"/>
  <c r="E85" i="22"/>
  <c r="Y110" i="46" s="1"/>
  <c r="E81" i="22"/>
  <c r="U110" i="46" s="1"/>
  <c r="AJ110" i="36" l="1"/>
  <c r="E70" i="22"/>
  <c r="AO110" i="46" s="1"/>
  <c r="U110" i="36"/>
  <c r="D58" i="22"/>
  <c r="Y110" i="36"/>
  <c r="AH110" i="36"/>
  <c r="AO110" i="36" l="1"/>
  <c r="AE82" i="36"/>
  <c r="AE81" i="36"/>
  <c r="L81" i="36"/>
  <c r="K81" i="36"/>
  <c r="J81" i="36"/>
  <c r="I81" i="36"/>
  <c r="H81" i="36"/>
  <c r="G81" i="36"/>
  <c r="F81" i="36"/>
  <c r="E81" i="36"/>
  <c r="D81" i="36"/>
  <c r="B81" i="36"/>
  <c r="AF84" i="36"/>
  <c r="AF83" i="36"/>
  <c r="AE84" i="36"/>
  <c r="AE83" i="36"/>
  <c r="AD84" i="36"/>
  <c r="AD83" i="36"/>
  <c r="L83" i="36"/>
  <c r="K83" i="36"/>
  <c r="J83" i="36"/>
  <c r="I83" i="36"/>
  <c r="H83" i="36"/>
  <c r="G83" i="36"/>
  <c r="F83" i="36"/>
  <c r="E83" i="36"/>
  <c r="D83" i="36"/>
  <c r="B83" i="36"/>
  <c r="G72" i="32"/>
  <c r="G71" i="32"/>
  <c r="G70" i="32"/>
  <c r="AF92" i="36"/>
  <c r="AF91" i="36"/>
  <c r="AF90" i="36"/>
  <c r="AF89" i="36"/>
  <c r="AE92" i="36"/>
  <c r="AE91" i="36"/>
  <c r="AE90" i="36"/>
  <c r="AE89" i="36"/>
  <c r="L89" i="36" l="1"/>
  <c r="K93" i="36"/>
  <c r="K89" i="36"/>
  <c r="J89" i="36"/>
  <c r="I89" i="36"/>
  <c r="H89" i="36"/>
  <c r="G89" i="36"/>
  <c r="F89" i="36"/>
  <c r="E89" i="36"/>
  <c r="D89" i="36"/>
  <c r="B89" i="36"/>
  <c r="S151" i="4"/>
  <c r="S150" i="4"/>
  <c r="S149" i="4"/>
  <c r="S147" i="4"/>
  <c r="S146" i="4"/>
  <c r="Q151" i="4"/>
  <c r="Q150" i="4"/>
  <c r="Q149" i="4"/>
  <c r="Q147" i="4"/>
  <c r="Q146" i="4"/>
  <c r="O151" i="4"/>
  <c r="O150" i="4"/>
  <c r="O149" i="4"/>
  <c r="O147" i="4"/>
  <c r="O146" i="4"/>
  <c r="M151" i="4"/>
  <c r="AI92" i="46" s="1"/>
  <c r="M150" i="4"/>
  <c r="M149" i="4"/>
  <c r="AG92" i="46" s="1"/>
  <c r="M147" i="4"/>
  <c r="M146" i="4"/>
  <c r="J151" i="4"/>
  <c r="J150" i="4"/>
  <c r="J149" i="4"/>
  <c r="J147" i="4"/>
  <c r="J146" i="4"/>
  <c r="H151" i="4"/>
  <c r="AI90" i="46" s="1"/>
  <c r="H150" i="4"/>
  <c r="H149" i="4"/>
  <c r="AG90" i="46" s="1"/>
  <c r="H147" i="4"/>
  <c r="H146" i="4"/>
  <c r="F151" i="4"/>
  <c r="F150" i="4"/>
  <c r="F149" i="4"/>
  <c r="F146" i="4"/>
  <c r="T139" i="4"/>
  <c r="S139" i="4"/>
  <c r="R139" i="4"/>
  <c r="Q139" i="4"/>
  <c r="P139" i="4"/>
  <c r="O139" i="4"/>
  <c r="N139" i="4"/>
  <c r="M139" i="4"/>
  <c r="K139" i="4"/>
  <c r="J139" i="4"/>
  <c r="I139" i="4"/>
  <c r="H139" i="4"/>
  <c r="G139" i="4"/>
  <c r="F139" i="4"/>
  <c r="E139" i="4"/>
  <c r="D139" i="4"/>
  <c r="AF94" i="36"/>
  <c r="AF93" i="36"/>
  <c r="AE94" i="36"/>
  <c r="AE93" i="36"/>
  <c r="L93" i="36"/>
  <c r="J93" i="36"/>
  <c r="I93" i="36"/>
  <c r="H93" i="36"/>
  <c r="G93" i="36"/>
  <c r="F93" i="36"/>
  <c r="E93" i="36"/>
  <c r="D93" i="36"/>
  <c r="B93" i="36"/>
  <c r="AE79" i="36"/>
  <c r="AE80" i="36"/>
  <c r="AE78" i="36"/>
  <c r="AC78" i="36"/>
  <c r="L78" i="36"/>
  <c r="K78" i="36"/>
  <c r="J78" i="36"/>
  <c r="I78" i="36"/>
  <c r="G78" i="36"/>
  <c r="F78" i="36"/>
  <c r="E78" i="36"/>
  <c r="D78" i="36"/>
  <c r="B78" i="36"/>
  <c r="AF72" i="36"/>
  <c r="AE72" i="36"/>
  <c r="L71" i="36"/>
  <c r="K71" i="36"/>
  <c r="J71" i="36"/>
  <c r="I71" i="36"/>
  <c r="H71" i="36"/>
  <c r="G71" i="36"/>
  <c r="F71" i="36"/>
  <c r="E71" i="36"/>
  <c r="D71" i="36"/>
  <c r="B71" i="36"/>
  <c r="M73" i="13"/>
  <c r="L73" i="13"/>
  <c r="K73" i="13"/>
  <c r="J73" i="13"/>
  <c r="H73" i="13"/>
  <c r="AH75" i="46" s="1"/>
  <c r="G73" i="13"/>
  <c r="F73" i="13"/>
  <c r="E73" i="13"/>
  <c r="M72" i="13"/>
  <c r="L72" i="13"/>
  <c r="K72" i="13"/>
  <c r="J72" i="13"/>
  <c r="H72" i="13"/>
  <c r="G72" i="13"/>
  <c r="F72" i="13"/>
  <c r="E72" i="13"/>
  <c r="M63" i="13"/>
  <c r="L63" i="13"/>
  <c r="K63" i="13"/>
  <c r="J63" i="13"/>
  <c r="I63" i="13"/>
  <c r="H63" i="13"/>
  <c r="G63" i="13"/>
  <c r="F63" i="13"/>
  <c r="E63" i="13"/>
  <c r="D63" i="13"/>
  <c r="M62" i="13"/>
  <c r="L62" i="13"/>
  <c r="K62" i="13"/>
  <c r="J62" i="13"/>
  <c r="I62" i="13"/>
  <c r="H62" i="13"/>
  <c r="G62" i="13"/>
  <c r="F62" i="13"/>
  <c r="E62" i="13"/>
  <c r="D62" i="13"/>
  <c r="M59" i="13"/>
  <c r="M91" i="13" s="1"/>
  <c r="U77" i="46" s="1"/>
  <c r="L59" i="13"/>
  <c r="K59" i="13"/>
  <c r="J59" i="13"/>
  <c r="H59" i="13"/>
  <c r="H91" i="13" s="1"/>
  <c r="U75" i="46" s="1"/>
  <c r="G59" i="13"/>
  <c r="F59" i="13"/>
  <c r="E59" i="13"/>
  <c r="AF76" i="36"/>
  <c r="AF75" i="36"/>
  <c r="AF74" i="36"/>
  <c r="AE77" i="36"/>
  <c r="AE76" i="36"/>
  <c r="AE75" i="36"/>
  <c r="AE74" i="36"/>
  <c r="B74" i="36"/>
  <c r="G59" i="4"/>
  <c r="F59" i="4"/>
  <c r="E59" i="4"/>
  <c r="D59" i="4"/>
  <c r="D89" i="4"/>
  <c r="Y8" i="44" s="1"/>
  <c r="G84" i="4"/>
  <c r="F84" i="4"/>
  <c r="T10" i="44" s="1"/>
  <c r="E84" i="4"/>
  <c r="D84" i="4"/>
  <c r="T8" i="44" s="1"/>
  <c r="F67" i="34"/>
  <c r="E67" i="34"/>
  <c r="D67" i="34"/>
  <c r="T12" i="44" s="1"/>
  <c r="J203" i="22"/>
  <c r="I203" i="22"/>
  <c r="H203" i="22"/>
  <c r="G203" i="22"/>
  <c r="F203" i="22"/>
  <c r="E203" i="22"/>
  <c r="D203" i="22"/>
  <c r="T15" i="44" s="1"/>
  <c r="I282" i="3"/>
  <c r="T37" i="44" s="1"/>
  <c r="H282" i="3"/>
  <c r="G282" i="3"/>
  <c r="F282" i="3"/>
  <c r="E282" i="3"/>
  <c r="D282" i="3"/>
  <c r="D226" i="3"/>
  <c r="S37" i="44" s="1"/>
  <c r="O345" i="22"/>
  <c r="N345" i="22"/>
  <c r="M345" i="22"/>
  <c r="L345" i="22"/>
  <c r="K345" i="22"/>
  <c r="J345" i="22"/>
  <c r="I345" i="22"/>
  <c r="H345" i="22"/>
  <c r="G345" i="22"/>
  <c r="F345" i="22"/>
  <c r="E345" i="22"/>
  <c r="T39" i="44" s="1"/>
  <c r="D345" i="22"/>
  <c r="E80" i="27"/>
  <c r="T86" i="46" s="1"/>
  <c r="D80" i="27"/>
  <c r="T85" i="46" s="1"/>
  <c r="D38" i="27"/>
  <c r="D41" i="27" s="1"/>
  <c r="D37" i="27"/>
  <c r="D61" i="27" s="1"/>
  <c r="D10" i="27"/>
  <c r="AE64" i="36"/>
  <c r="AE63" i="36"/>
  <c r="AE62" i="36"/>
  <c r="AE61" i="36"/>
  <c r="AC64" i="36"/>
  <c r="AC63" i="36"/>
  <c r="AC62" i="36"/>
  <c r="AC61" i="36"/>
  <c r="T64" i="36"/>
  <c r="T63" i="36"/>
  <c r="T62" i="36"/>
  <c r="T61" i="36"/>
  <c r="S64" i="36"/>
  <c r="S63" i="36"/>
  <c r="S62" i="36"/>
  <c r="S61" i="36"/>
  <c r="Q152" i="9"/>
  <c r="O152" i="9"/>
  <c r="M152" i="9"/>
  <c r="K152" i="9"/>
  <c r="I152" i="9"/>
  <c r="G152" i="9"/>
  <c r="E152" i="9"/>
  <c r="B61" i="36"/>
  <c r="S59" i="36"/>
  <c r="I51" i="9"/>
  <c r="H51" i="9"/>
  <c r="G51" i="9"/>
  <c r="AK60" i="45" s="1"/>
  <c r="F51" i="9"/>
  <c r="E51" i="9"/>
  <c r="AE60" i="36"/>
  <c r="AE59" i="36"/>
  <c r="AC60" i="36"/>
  <c r="AC59" i="36"/>
  <c r="T60" i="36"/>
  <c r="T59" i="36"/>
  <c r="S60" i="36"/>
  <c r="B59" i="36"/>
  <c r="B53" i="36"/>
  <c r="I50" i="9"/>
  <c r="H50" i="9"/>
  <c r="G50" i="9"/>
  <c r="F50" i="9"/>
  <c r="E50" i="9"/>
  <c r="I160" i="3"/>
  <c r="H160" i="3"/>
  <c r="G160" i="3"/>
  <c r="F160" i="3"/>
  <c r="E160" i="3"/>
  <c r="I159" i="3"/>
  <c r="H159" i="3"/>
  <c r="G159" i="3"/>
  <c r="F159" i="3"/>
  <c r="E159" i="3"/>
  <c r="D159" i="3"/>
  <c r="I156" i="3"/>
  <c r="H156" i="3"/>
  <c r="G156" i="3"/>
  <c r="F156" i="3"/>
  <c r="E156" i="3"/>
  <c r="D156" i="3"/>
  <c r="E81" i="27"/>
  <c r="U86" i="46" s="1"/>
  <c r="J180" i="22"/>
  <c r="I180" i="22"/>
  <c r="H180" i="22"/>
  <c r="G180" i="22"/>
  <c r="F180" i="22"/>
  <c r="E180" i="22"/>
  <c r="F204" i="22"/>
  <c r="D180" i="22"/>
  <c r="J188" i="22"/>
  <c r="I188" i="22"/>
  <c r="H188" i="22"/>
  <c r="AJ16" i="44" s="1"/>
  <c r="G188" i="22"/>
  <c r="F188" i="22"/>
  <c r="E188" i="22"/>
  <c r="K164" i="34"/>
  <c r="AJ88" i="46" s="1"/>
  <c r="G164" i="34"/>
  <c r="F164" i="34"/>
  <c r="AJ82" i="46" s="1"/>
  <c r="F77" i="19"/>
  <c r="AJ52" i="45" s="1"/>
  <c r="E77" i="19"/>
  <c r="AJ51" i="45" s="1"/>
  <c r="H88" i="16"/>
  <c r="G88" i="16"/>
  <c r="U49" i="45" s="1"/>
  <c r="E88" i="16"/>
  <c r="U47" i="45" s="1"/>
  <c r="B50" i="36"/>
  <c r="AF49" i="36"/>
  <c r="AF48" i="36"/>
  <c r="AF47" i="36"/>
  <c r="AF46" i="36"/>
  <c r="AE49" i="36"/>
  <c r="AE48" i="36"/>
  <c r="AE47" i="36"/>
  <c r="AE46" i="36"/>
  <c r="AC46" i="36"/>
  <c r="K48" i="36"/>
  <c r="B46" i="36"/>
  <c r="H97" i="16"/>
  <c r="H96" i="16"/>
  <c r="H95" i="16"/>
  <c r="H94" i="16"/>
  <c r="H89" i="16"/>
  <c r="H87" i="16"/>
  <c r="G87" i="16"/>
  <c r="F87" i="16"/>
  <c r="E87" i="16"/>
  <c r="D87" i="16"/>
  <c r="T46" i="45" s="1"/>
  <c r="H60" i="16"/>
  <c r="G60" i="16"/>
  <c r="F60" i="16"/>
  <c r="E60" i="16"/>
  <c r="D60" i="16"/>
  <c r="H30" i="16"/>
  <c r="G30" i="16"/>
  <c r="F30" i="16"/>
  <c r="E30" i="16"/>
  <c r="D30" i="16"/>
  <c r="D54" i="16"/>
  <c r="D57" i="16" s="1"/>
  <c r="I73" i="16" s="1"/>
  <c r="G63" i="24"/>
  <c r="G64" i="24" s="1"/>
  <c r="G69" i="24" s="1"/>
  <c r="I61" i="24"/>
  <c r="I60" i="24"/>
  <c r="I59" i="24"/>
  <c r="I58" i="24"/>
  <c r="G61" i="24"/>
  <c r="G60" i="24"/>
  <c r="G59" i="24"/>
  <c r="G58" i="24"/>
  <c r="E61" i="24"/>
  <c r="E60" i="24"/>
  <c r="E59" i="24"/>
  <c r="E58" i="24"/>
  <c r="G66" i="24"/>
  <c r="I63" i="24"/>
  <c r="I57" i="24"/>
  <c r="H57" i="24"/>
  <c r="F57" i="24"/>
  <c r="E57" i="24"/>
  <c r="D57" i="24"/>
  <c r="G57" i="24"/>
  <c r="E154" i="34"/>
  <c r="E190" i="34" s="1"/>
  <c r="K174" i="34"/>
  <c r="K191" i="34" s="1"/>
  <c r="AD88" i="46" s="1"/>
  <c r="J174" i="34"/>
  <c r="J191" i="34" s="1"/>
  <c r="AD87" i="46" s="1"/>
  <c r="G174" i="34"/>
  <c r="G191" i="34" s="1"/>
  <c r="F174" i="34"/>
  <c r="F191" i="34" s="1"/>
  <c r="AD82" i="46" s="1"/>
  <c r="E174" i="34"/>
  <c r="E191" i="34" s="1"/>
  <c r="AD81" i="46" s="1"/>
  <c r="D174" i="34"/>
  <c r="D191" i="34" s="1"/>
  <c r="K154" i="34"/>
  <c r="K190" i="34" s="1"/>
  <c r="AC88" i="46" s="1"/>
  <c r="J154" i="34"/>
  <c r="J190" i="34" s="1"/>
  <c r="G154" i="34"/>
  <c r="G190" i="34" s="1"/>
  <c r="F154" i="34"/>
  <c r="F190" i="34" s="1"/>
  <c r="AC82" i="46" s="1"/>
  <c r="D154" i="34"/>
  <c r="D190" i="34" s="1"/>
  <c r="K153" i="34"/>
  <c r="K188" i="34" s="1"/>
  <c r="AA88" i="46" s="1"/>
  <c r="J153" i="34"/>
  <c r="J188" i="34" s="1"/>
  <c r="AA87" i="46" s="1"/>
  <c r="G153" i="34"/>
  <c r="G188" i="34" s="1"/>
  <c r="F153" i="34"/>
  <c r="F188" i="34" s="1"/>
  <c r="AA82" i="46" s="1"/>
  <c r="E153" i="34"/>
  <c r="E188" i="34" s="1"/>
  <c r="AA81" i="46" s="1"/>
  <c r="D153" i="34"/>
  <c r="D188" i="34" s="1"/>
  <c r="H33" i="30"/>
  <c r="H61" i="30" s="1"/>
  <c r="G33" i="30"/>
  <c r="G61" i="30" s="1"/>
  <c r="F33" i="30"/>
  <c r="F61" i="30" s="1"/>
  <c r="E33" i="30"/>
  <c r="E61" i="30" s="1"/>
  <c r="D33" i="30"/>
  <c r="D61" i="30" s="1"/>
  <c r="L79" i="30"/>
  <c r="M79" i="30" s="1"/>
  <c r="N79" i="30"/>
  <c r="O79" i="30" s="1"/>
  <c r="Q79" i="30"/>
  <c r="L80" i="30"/>
  <c r="M80" i="30" s="1"/>
  <c r="N80" i="30"/>
  <c r="O80" i="30" s="1"/>
  <c r="Q80" i="30"/>
  <c r="L81" i="30"/>
  <c r="M81" i="30" s="1"/>
  <c r="N81" i="30"/>
  <c r="O81" i="30" s="1"/>
  <c r="Q81" i="30"/>
  <c r="L82" i="30"/>
  <c r="M82" i="30" s="1"/>
  <c r="N82" i="30"/>
  <c r="O82" i="30" s="1"/>
  <c r="Q82" i="30"/>
  <c r="L83" i="30"/>
  <c r="M83" i="30" s="1"/>
  <c r="N83" i="30"/>
  <c r="O83" i="30" s="1"/>
  <c r="Q83" i="30"/>
  <c r="L84" i="30"/>
  <c r="M84" i="30" s="1"/>
  <c r="N84" i="30"/>
  <c r="O84" i="30" s="1"/>
  <c r="Q84" i="30"/>
  <c r="L85" i="30"/>
  <c r="M85" i="30" s="1"/>
  <c r="N85" i="30"/>
  <c r="O85" i="30" s="1"/>
  <c r="Q85" i="30"/>
  <c r="L86" i="30"/>
  <c r="M86" i="30" s="1"/>
  <c r="N86" i="30"/>
  <c r="O86" i="30" s="1"/>
  <c r="Q86" i="30"/>
  <c r="L87" i="30"/>
  <c r="M87" i="30" s="1"/>
  <c r="N87" i="30"/>
  <c r="O87" i="30" s="1"/>
  <c r="Q87" i="30"/>
  <c r="L88" i="30"/>
  <c r="M88" i="30" s="1"/>
  <c r="N88" i="30"/>
  <c r="O88" i="30" s="1"/>
  <c r="Q88" i="30"/>
  <c r="L89" i="30"/>
  <c r="M89" i="30" s="1"/>
  <c r="N89" i="30"/>
  <c r="O89" i="30" s="1"/>
  <c r="Q89" i="30"/>
  <c r="L90" i="30"/>
  <c r="M90" i="30" s="1"/>
  <c r="N90" i="30"/>
  <c r="O90" i="30" s="1"/>
  <c r="Q90" i="30"/>
  <c r="L91" i="30"/>
  <c r="M91" i="30" s="1"/>
  <c r="N91" i="30"/>
  <c r="O91" i="30" s="1"/>
  <c r="Q91" i="30"/>
  <c r="L92" i="30"/>
  <c r="M92" i="30" s="1"/>
  <c r="N92" i="30"/>
  <c r="O92" i="30" s="1"/>
  <c r="Q92" i="30"/>
  <c r="L93" i="30"/>
  <c r="M93" i="30" s="1"/>
  <c r="N93" i="30"/>
  <c r="O93" i="30" s="1"/>
  <c r="Q93" i="30"/>
  <c r="L94" i="30"/>
  <c r="M94" i="30" s="1"/>
  <c r="N94" i="30"/>
  <c r="O94" i="30" s="1"/>
  <c r="Q94" i="30"/>
  <c r="L95" i="30"/>
  <c r="M95" i="30" s="1"/>
  <c r="N95" i="30"/>
  <c r="O95" i="30" s="1"/>
  <c r="Q95" i="30"/>
  <c r="L96" i="30"/>
  <c r="M96" i="30" s="1"/>
  <c r="N96" i="30"/>
  <c r="O96" i="30" s="1"/>
  <c r="Q96" i="30"/>
  <c r="L97" i="30"/>
  <c r="M97" i="30" s="1"/>
  <c r="N97" i="30"/>
  <c r="O97" i="30" s="1"/>
  <c r="Q97" i="30"/>
  <c r="L98" i="30"/>
  <c r="M98" i="30" s="1"/>
  <c r="N98" i="30"/>
  <c r="O98" i="30" s="1"/>
  <c r="Q98" i="30"/>
  <c r="L99" i="30"/>
  <c r="M99" i="30" s="1"/>
  <c r="N99" i="30"/>
  <c r="O99" i="30" s="1"/>
  <c r="Q99" i="30"/>
  <c r="L100" i="30"/>
  <c r="M100" i="30" s="1"/>
  <c r="N100" i="30"/>
  <c r="O100" i="30" s="1"/>
  <c r="Q100" i="30"/>
  <c r="L101" i="30"/>
  <c r="M101" i="30" s="1"/>
  <c r="N101" i="30"/>
  <c r="O101" i="30" s="1"/>
  <c r="Q101" i="30"/>
  <c r="L102" i="30"/>
  <c r="M102" i="30" s="1"/>
  <c r="N102" i="30"/>
  <c r="O102" i="30" s="1"/>
  <c r="Q102" i="30"/>
  <c r="L103" i="30"/>
  <c r="M103" i="30" s="1"/>
  <c r="N103" i="30"/>
  <c r="O103" i="30" s="1"/>
  <c r="Q103" i="30"/>
  <c r="L104" i="30"/>
  <c r="M104" i="30" s="1"/>
  <c r="N104" i="30"/>
  <c r="O104" i="30" s="1"/>
  <c r="Q104" i="30"/>
  <c r="L105" i="30"/>
  <c r="M105" i="30" s="1"/>
  <c r="N105" i="30"/>
  <c r="O105" i="30" s="1"/>
  <c r="Q105" i="30"/>
  <c r="L106" i="30"/>
  <c r="M106" i="30" s="1"/>
  <c r="N106" i="30"/>
  <c r="O106" i="30" s="1"/>
  <c r="Q106" i="30"/>
  <c r="L107" i="30"/>
  <c r="M107" i="30" s="1"/>
  <c r="N107" i="30"/>
  <c r="O107" i="30" s="1"/>
  <c r="Q107" i="30"/>
  <c r="L108" i="30"/>
  <c r="M108" i="30" s="1"/>
  <c r="N108" i="30"/>
  <c r="O108" i="30" s="1"/>
  <c r="Q108" i="30"/>
  <c r="L109" i="30"/>
  <c r="M109" i="30" s="1"/>
  <c r="N109" i="30"/>
  <c r="O109" i="30" s="1"/>
  <c r="Q109" i="30"/>
  <c r="L110" i="30"/>
  <c r="M110" i="30" s="1"/>
  <c r="N110" i="30"/>
  <c r="O110" i="30" s="1"/>
  <c r="Q110" i="30"/>
  <c r="L111" i="30"/>
  <c r="M111" i="30" s="1"/>
  <c r="N111" i="30"/>
  <c r="O111" i="30" s="1"/>
  <c r="Q111" i="30"/>
  <c r="L112" i="30"/>
  <c r="M112" i="30" s="1"/>
  <c r="N112" i="30"/>
  <c r="O112" i="30" s="1"/>
  <c r="Q112" i="30"/>
  <c r="L113" i="30"/>
  <c r="M113" i="30" s="1"/>
  <c r="N113" i="30"/>
  <c r="O113" i="30" s="1"/>
  <c r="Q113" i="30"/>
  <c r="L114" i="30"/>
  <c r="M114" i="30" s="1"/>
  <c r="N114" i="30"/>
  <c r="O114" i="30" s="1"/>
  <c r="Q114" i="30"/>
  <c r="L115" i="30"/>
  <c r="M115" i="30" s="1"/>
  <c r="N115" i="30"/>
  <c r="O115" i="30" s="1"/>
  <c r="Q115" i="30"/>
  <c r="L116" i="30"/>
  <c r="M116" i="30" s="1"/>
  <c r="N116" i="30"/>
  <c r="O116" i="30" s="1"/>
  <c r="Q116" i="30"/>
  <c r="L117" i="30"/>
  <c r="M117" i="30" s="1"/>
  <c r="N117" i="30"/>
  <c r="O117" i="30" s="1"/>
  <c r="Q117" i="30"/>
  <c r="L118" i="30"/>
  <c r="M118" i="30" s="1"/>
  <c r="N118" i="30"/>
  <c r="O118" i="30" s="1"/>
  <c r="Q118" i="30"/>
  <c r="L119" i="30"/>
  <c r="M119" i="30" s="1"/>
  <c r="N119" i="30"/>
  <c r="O119" i="30" s="1"/>
  <c r="Q119" i="30"/>
  <c r="L120" i="30"/>
  <c r="M120" i="30" s="1"/>
  <c r="N120" i="30"/>
  <c r="O120" i="30" s="1"/>
  <c r="Q120" i="30"/>
  <c r="L121" i="30"/>
  <c r="M121" i="30" s="1"/>
  <c r="N121" i="30"/>
  <c r="O121" i="30" s="1"/>
  <c r="Q121" i="30"/>
  <c r="L122" i="30"/>
  <c r="M122" i="30" s="1"/>
  <c r="N122" i="30"/>
  <c r="O122" i="30" s="1"/>
  <c r="Q122" i="30"/>
  <c r="L123" i="30"/>
  <c r="M123" i="30" s="1"/>
  <c r="N123" i="30"/>
  <c r="O123" i="30" s="1"/>
  <c r="Q123" i="30"/>
  <c r="L124" i="30"/>
  <c r="M124" i="30" s="1"/>
  <c r="N124" i="30"/>
  <c r="O124" i="30" s="1"/>
  <c r="Q124" i="30"/>
  <c r="L125" i="30"/>
  <c r="M125" i="30" s="1"/>
  <c r="N125" i="30"/>
  <c r="O125" i="30" s="1"/>
  <c r="Q125" i="30"/>
  <c r="L126" i="30"/>
  <c r="M126" i="30" s="1"/>
  <c r="N126" i="30"/>
  <c r="O126" i="30" s="1"/>
  <c r="Q126" i="30"/>
  <c r="L127" i="30"/>
  <c r="M127" i="30" s="1"/>
  <c r="N127" i="30"/>
  <c r="O127" i="30" s="1"/>
  <c r="Q127" i="30"/>
  <c r="L128" i="30"/>
  <c r="M128" i="30" s="1"/>
  <c r="N128" i="30"/>
  <c r="O128" i="30" s="1"/>
  <c r="Q128" i="30"/>
  <c r="L129" i="30"/>
  <c r="M129" i="30" s="1"/>
  <c r="N129" i="30"/>
  <c r="O129" i="30" s="1"/>
  <c r="Q129" i="30"/>
  <c r="L130" i="30"/>
  <c r="M130" i="30" s="1"/>
  <c r="N130" i="30"/>
  <c r="O130" i="30" s="1"/>
  <c r="Q130" i="30"/>
  <c r="L131" i="30"/>
  <c r="M131" i="30" s="1"/>
  <c r="N131" i="30"/>
  <c r="O131" i="30" s="1"/>
  <c r="Q131" i="30"/>
  <c r="L132" i="30"/>
  <c r="M132" i="30" s="1"/>
  <c r="N132" i="30"/>
  <c r="O132" i="30" s="1"/>
  <c r="Q132" i="30"/>
  <c r="L133" i="30"/>
  <c r="M133" i="30" s="1"/>
  <c r="N133" i="30"/>
  <c r="O133" i="30" s="1"/>
  <c r="Q133" i="30"/>
  <c r="L134" i="30"/>
  <c r="M134" i="30" s="1"/>
  <c r="N134" i="30"/>
  <c r="O134" i="30" s="1"/>
  <c r="Q134" i="30"/>
  <c r="L135" i="30"/>
  <c r="M135" i="30" s="1"/>
  <c r="N135" i="30"/>
  <c r="O135" i="30" s="1"/>
  <c r="Q135" i="30"/>
  <c r="L136" i="30"/>
  <c r="M136" i="30" s="1"/>
  <c r="N136" i="30"/>
  <c r="O136" i="30" s="1"/>
  <c r="Q136" i="30"/>
  <c r="L137" i="30"/>
  <c r="M137" i="30" s="1"/>
  <c r="N137" i="30"/>
  <c r="O137" i="30" s="1"/>
  <c r="Q137" i="30"/>
  <c r="L138" i="30"/>
  <c r="M138" i="30" s="1"/>
  <c r="N138" i="30"/>
  <c r="O138" i="30" s="1"/>
  <c r="Q138" i="30"/>
  <c r="L139" i="30"/>
  <c r="M139" i="30" s="1"/>
  <c r="N139" i="30"/>
  <c r="O139" i="30" s="1"/>
  <c r="Q139" i="30"/>
  <c r="L140" i="30"/>
  <c r="M140" i="30" s="1"/>
  <c r="N140" i="30"/>
  <c r="O140" i="30" s="1"/>
  <c r="Q140" i="30"/>
  <c r="L141" i="30"/>
  <c r="M141" i="30" s="1"/>
  <c r="N141" i="30"/>
  <c r="O141" i="30" s="1"/>
  <c r="Q141" i="30"/>
  <c r="L142" i="30"/>
  <c r="M142" i="30" s="1"/>
  <c r="N142" i="30"/>
  <c r="O142" i="30" s="1"/>
  <c r="Q142" i="30"/>
  <c r="L143" i="30"/>
  <c r="M143" i="30" s="1"/>
  <c r="N143" i="30"/>
  <c r="O143" i="30" s="1"/>
  <c r="Q143" i="30"/>
  <c r="L144" i="30"/>
  <c r="M144" i="30" s="1"/>
  <c r="N144" i="30"/>
  <c r="O144" i="30" s="1"/>
  <c r="Q144" i="30"/>
  <c r="L145" i="30"/>
  <c r="M145" i="30" s="1"/>
  <c r="N145" i="30"/>
  <c r="O145" i="30" s="1"/>
  <c r="Q145" i="30"/>
  <c r="L146" i="30"/>
  <c r="M146" i="30" s="1"/>
  <c r="N146" i="30"/>
  <c r="O146" i="30" s="1"/>
  <c r="Q146" i="30"/>
  <c r="L147" i="30"/>
  <c r="M147" i="30" s="1"/>
  <c r="N147" i="30"/>
  <c r="O147" i="30" s="1"/>
  <c r="Q147" i="30"/>
  <c r="L148" i="30"/>
  <c r="M148" i="30" s="1"/>
  <c r="N148" i="30"/>
  <c r="O148" i="30" s="1"/>
  <c r="Q148" i="30"/>
  <c r="L149" i="30"/>
  <c r="M149" i="30" s="1"/>
  <c r="N149" i="30"/>
  <c r="O149" i="30" s="1"/>
  <c r="Q149" i="30"/>
  <c r="L150" i="30"/>
  <c r="M150" i="30" s="1"/>
  <c r="N150" i="30"/>
  <c r="O150" i="30" s="1"/>
  <c r="Q150" i="30"/>
  <c r="L151" i="30"/>
  <c r="M151" i="30" s="1"/>
  <c r="N151" i="30"/>
  <c r="O151" i="30" s="1"/>
  <c r="Q151" i="30"/>
  <c r="L152" i="30"/>
  <c r="M152" i="30" s="1"/>
  <c r="N152" i="30"/>
  <c r="O152" i="30" s="1"/>
  <c r="Q152" i="30"/>
  <c r="L153" i="30"/>
  <c r="M153" i="30" s="1"/>
  <c r="N153" i="30"/>
  <c r="O153" i="30" s="1"/>
  <c r="Q153" i="30"/>
  <c r="L154" i="30"/>
  <c r="M154" i="30" s="1"/>
  <c r="N154" i="30"/>
  <c r="O154" i="30" s="1"/>
  <c r="Q154" i="30"/>
  <c r="L155" i="30"/>
  <c r="M155" i="30" s="1"/>
  <c r="N155" i="30"/>
  <c r="O155" i="30" s="1"/>
  <c r="Q155" i="30"/>
  <c r="L156" i="30"/>
  <c r="M156" i="30" s="1"/>
  <c r="N156" i="30"/>
  <c r="O156" i="30" s="1"/>
  <c r="Q156" i="30"/>
  <c r="H38" i="30"/>
  <c r="G38" i="30"/>
  <c r="F38" i="30"/>
  <c r="E38" i="30"/>
  <c r="H47" i="30"/>
  <c r="G47" i="30"/>
  <c r="F47" i="30"/>
  <c r="F41" i="30"/>
  <c r="H31" i="30"/>
  <c r="G31" i="30"/>
  <c r="F31" i="30"/>
  <c r="E31" i="30"/>
  <c r="D31" i="30"/>
  <c r="H32" i="30"/>
  <c r="H60" i="30" s="1"/>
  <c r="G32" i="30"/>
  <c r="G60" i="30" s="1"/>
  <c r="F32" i="30"/>
  <c r="F60" i="30" s="1"/>
  <c r="E32" i="30"/>
  <c r="E60" i="30" s="1"/>
  <c r="D32" i="30"/>
  <c r="D60" i="30" s="1"/>
  <c r="H50" i="30"/>
  <c r="H65" i="30" s="1"/>
  <c r="H48" i="30"/>
  <c r="H53" i="30" s="1"/>
  <c r="G50" i="30"/>
  <c r="G65" i="30" s="1"/>
  <c r="G48" i="30"/>
  <c r="G53" i="30" s="1"/>
  <c r="F50" i="30"/>
  <c r="F65" i="30" s="1"/>
  <c r="F48" i="30"/>
  <c r="F53" i="30" s="1"/>
  <c r="E50" i="30"/>
  <c r="E65" i="30" s="1"/>
  <c r="E62" i="30" s="1"/>
  <c r="E48" i="30"/>
  <c r="E53" i="30" s="1"/>
  <c r="E47" i="30"/>
  <c r="D50" i="30"/>
  <c r="D48" i="30"/>
  <c r="D53" i="30" s="1"/>
  <c r="D47" i="30"/>
  <c r="H41" i="30"/>
  <c r="G41" i="30"/>
  <c r="H39" i="30"/>
  <c r="G39" i="30"/>
  <c r="F39" i="30"/>
  <c r="E39" i="30"/>
  <c r="D39" i="30"/>
  <c r="E41" i="30"/>
  <c r="D38" i="30"/>
  <c r="D41" i="30"/>
  <c r="D152" i="34"/>
  <c r="B87" i="36"/>
  <c r="K152" i="34"/>
  <c r="J152" i="34"/>
  <c r="G152" i="34"/>
  <c r="F152" i="34"/>
  <c r="E152" i="34"/>
  <c r="K181" i="34"/>
  <c r="T88" i="46" s="1"/>
  <c r="K118" i="34"/>
  <c r="K180" i="34" s="1"/>
  <c r="S88" i="46" s="1"/>
  <c r="G180" i="34"/>
  <c r="J118" i="34"/>
  <c r="J180" i="34" s="1"/>
  <c r="S87" i="46" s="1"/>
  <c r="I118" i="34"/>
  <c r="I180" i="34" s="1"/>
  <c r="H118" i="34"/>
  <c r="H180" i="34" s="1"/>
  <c r="F118" i="34"/>
  <c r="F180" i="34" s="1"/>
  <c r="S82" i="46" s="1"/>
  <c r="E118" i="34"/>
  <c r="E180" i="34" s="1"/>
  <c r="S81" i="46" s="1"/>
  <c r="D118" i="34"/>
  <c r="D180" i="34" s="1"/>
  <c r="J181" i="34"/>
  <c r="T87" i="46" s="1"/>
  <c r="I181" i="34"/>
  <c r="H181" i="34"/>
  <c r="G181" i="34"/>
  <c r="F181" i="34"/>
  <c r="T82" i="46" s="1"/>
  <c r="E181" i="34"/>
  <c r="T81" i="46" s="1"/>
  <c r="D181" i="34"/>
  <c r="G287" i="23"/>
  <c r="F287" i="23"/>
  <c r="E287" i="23"/>
  <c r="D287" i="23"/>
  <c r="S28" i="44" s="1"/>
  <c r="G253" i="23"/>
  <c r="G260" i="23" s="1"/>
  <c r="F253" i="23"/>
  <c r="F260" i="23" s="1"/>
  <c r="E253" i="23"/>
  <c r="E260" i="23" s="1"/>
  <c r="G288" i="23"/>
  <c r="F288" i="23"/>
  <c r="E288" i="23"/>
  <c r="D288" i="23"/>
  <c r="T28" i="44" s="1"/>
  <c r="H57" i="23"/>
  <c r="G57" i="23"/>
  <c r="F57" i="23"/>
  <c r="E57" i="23"/>
  <c r="E85" i="23" s="1"/>
  <c r="H84" i="23"/>
  <c r="G84" i="23"/>
  <c r="F84" i="23"/>
  <c r="E84" i="23"/>
  <c r="D84" i="23"/>
  <c r="T20" i="44" s="1"/>
  <c r="H83" i="23"/>
  <c r="G83" i="23"/>
  <c r="F83" i="23"/>
  <c r="E83" i="23"/>
  <c r="D83" i="23"/>
  <c r="S20" i="44" s="1"/>
  <c r="G186" i="23"/>
  <c r="F186" i="23"/>
  <c r="E186" i="23"/>
  <c r="D186" i="23"/>
  <c r="T23" i="44" s="1"/>
  <c r="G140" i="23"/>
  <c r="K159" i="23" s="1"/>
  <c r="F140" i="23"/>
  <c r="J159" i="23" s="1"/>
  <c r="E140" i="23"/>
  <c r="I159" i="23" s="1"/>
  <c r="D140" i="23"/>
  <c r="G139" i="23"/>
  <c r="G159" i="23" s="1"/>
  <c r="F139" i="23"/>
  <c r="F159" i="23" s="1"/>
  <c r="E139" i="23"/>
  <c r="E159" i="23" s="1"/>
  <c r="D139" i="23"/>
  <c r="G258" i="23"/>
  <c r="F258" i="23"/>
  <c r="E258" i="23"/>
  <c r="D258" i="23"/>
  <c r="G262" i="23"/>
  <c r="G259" i="23" s="1"/>
  <c r="F262" i="23"/>
  <c r="F259" i="23" s="1"/>
  <c r="E262" i="23"/>
  <c r="D262" i="23"/>
  <c r="G293" i="23"/>
  <c r="F293" i="23"/>
  <c r="Y30" i="44" s="1"/>
  <c r="E293" i="23"/>
  <c r="Y29" i="44" s="1"/>
  <c r="D293" i="23"/>
  <c r="Y28" i="44" s="1"/>
  <c r="B28" i="36"/>
  <c r="M66" i="27"/>
  <c r="M65" i="27"/>
  <c r="M62" i="27"/>
  <c r="M67" i="27" s="1"/>
  <c r="M64" i="27" s="1"/>
  <c r="E62" i="27"/>
  <c r="E92" i="27"/>
  <c r="AF86" i="46" s="1"/>
  <c r="D92" i="27"/>
  <c r="AF85" i="46" s="1"/>
  <c r="E91" i="27"/>
  <c r="AE86" i="46" s="1"/>
  <c r="D91" i="27"/>
  <c r="AE85" i="46" s="1"/>
  <c r="E90" i="27"/>
  <c r="AD86" i="46" s="1"/>
  <c r="D90" i="27"/>
  <c r="AD85" i="46" s="1"/>
  <c r="AE86" i="36"/>
  <c r="E85" i="27"/>
  <c r="Y86" i="46" s="1"/>
  <c r="D85" i="27"/>
  <c r="Y85" i="46" s="1"/>
  <c r="L28" i="18"/>
  <c r="K23" i="18"/>
  <c r="J23" i="18"/>
  <c r="I23" i="18"/>
  <c r="H23" i="18"/>
  <c r="G23" i="18"/>
  <c r="F23" i="18"/>
  <c r="E23" i="18"/>
  <c r="D23" i="18"/>
  <c r="K19" i="18"/>
  <c r="J19" i="18"/>
  <c r="I19" i="18"/>
  <c r="H19" i="18"/>
  <c r="G19" i="18"/>
  <c r="F19" i="18"/>
  <c r="E19" i="18"/>
  <c r="D19" i="18"/>
  <c r="K18" i="18"/>
  <c r="K31" i="18" s="1"/>
  <c r="J18" i="18"/>
  <c r="J29" i="18" s="1"/>
  <c r="I18" i="18"/>
  <c r="I29" i="18" s="1"/>
  <c r="H18" i="18"/>
  <c r="H31" i="18" s="1"/>
  <c r="G18" i="18"/>
  <c r="G31" i="18" s="1"/>
  <c r="F18" i="18"/>
  <c r="F31" i="18" s="1"/>
  <c r="E18" i="18"/>
  <c r="E31" i="18" s="1"/>
  <c r="D18" i="18"/>
  <c r="H78" i="28" s="1"/>
  <c r="M109" i="13"/>
  <c r="L109" i="13"/>
  <c r="K109" i="13"/>
  <c r="J109" i="13"/>
  <c r="I109" i="13"/>
  <c r="H109" i="13"/>
  <c r="G109" i="13"/>
  <c r="F109" i="13"/>
  <c r="E109" i="13"/>
  <c r="D109" i="13"/>
  <c r="J107" i="13"/>
  <c r="E107" i="13"/>
  <c r="M100" i="13"/>
  <c r="AD77" i="46" s="1"/>
  <c r="L100" i="13"/>
  <c r="K100" i="13"/>
  <c r="J100" i="13"/>
  <c r="I100" i="13"/>
  <c r="AD76" i="46" s="1"/>
  <c r="H100" i="13"/>
  <c r="AD75" i="46" s="1"/>
  <c r="G100" i="13"/>
  <c r="F100" i="13"/>
  <c r="E100" i="13"/>
  <c r="D100" i="13"/>
  <c r="AD74" i="46" s="1"/>
  <c r="M99" i="13"/>
  <c r="AC77" i="46" s="1"/>
  <c r="H99" i="13"/>
  <c r="AC75" i="46" s="1"/>
  <c r="M90" i="13"/>
  <c r="T77" i="46" s="1"/>
  <c r="L90" i="13"/>
  <c r="K90" i="13"/>
  <c r="J90" i="13"/>
  <c r="I90" i="13"/>
  <c r="T76" i="46" s="1"/>
  <c r="H90" i="13"/>
  <c r="T75" i="46" s="1"/>
  <c r="G90" i="13"/>
  <c r="F90" i="13"/>
  <c r="E90" i="13"/>
  <c r="D90" i="13"/>
  <c r="T74" i="46" s="1"/>
  <c r="M89" i="13"/>
  <c r="S77" i="46" s="1"/>
  <c r="L89" i="13"/>
  <c r="L103" i="13" s="1"/>
  <c r="K89" i="13"/>
  <c r="K103" i="13" s="1"/>
  <c r="J89" i="13"/>
  <c r="J103" i="13" s="1"/>
  <c r="I89" i="13"/>
  <c r="S76" i="46" s="1"/>
  <c r="H89" i="13"/>
  <c r="S75" i="46" s="1"/>
  <c r="G89" i="13"/>
  <c r="G103" i="13" s="1"/>
  <c r="F89" i="13"/>
  <c r="F103" i="13" s="1"/>
  <c r="E89" i="13"/>
  <c r="E103" i="13" s="1"/>
  <c r="D89" i="13"/>
  <c r="S74" i="46" s="1"/>
  <c r="C40" i="13"/>
  <c r="M48" i="13" s="1"/>
  <c r="C39" i="13"/>
  <c r="M47" i="13" s="1"/>
  <c r="E29" i="13"/>
  <c r="E32" i="13" s="1"/>
  <c r="D29" i="13"/>
  <c r="D32" i="13" s="1"/>
  <c r="C29" i="13"/>
  <c r="C32" i="13" s="1"/>
  <c r="D26" i="13"/>
  <c r="C26" i="13"/>
  <c r="D22" i="13"/>
  <c r="E22" i="13" s="1"/>
  <c r="C22" i="13"/>
  <c r="E21" i="13"/>
  <c r="J22" i="29"/>
  <c r="I22" i="29"/>
  <c r="H22" i="29"/>
  <c r="G22" i="29"/>
  <c r="F22" i="29"/>
  <c r="E22" i="29"/>
  <c r="D22" i="29"/>
  <c r="F48" i="17"/>
  <c r="E48" i="17"/>
  <c r="F45" i="17"/>
  <c r="E45" i="17"/>
  <c r="D45" i="17"/>
  <c r="F44" i="17"/>
  <c r="F46" i="17" s="1"/>
  <c r="E44" i="17"/>
  <c r="E46" i="17" s="1"/>
  <c r="D44" i="17"/>
  <c r="D46" i="17" s="1"/>
  <c r="F43" i="17"/>
  <c r="E43" i="17"/>
  <c r="D43" i="17"/>
  <c r="F42" i="17"/>
  <c r="E42" i="17"/>
  <c r="D42" i="17"/>
  <c r="F78" i="17"/>
  <c r="AD140" i="47" s="1"/>
  <c r="E78" i="17"/>
  <c r="AD139" i="47" s="1"/>
  <c r="D78" i="17"/>
  <c r="AD138" i="47" s="1"/>
  <c r="F76" i="17"/>
  <c r="AB140" i="47" s="1"/>
  <c r="E76" i="17"/>
  <c r="AB139" i="47" s="1"/>
  <c r="D76" i="17"/>
  <c r="AB138" i="47" s="1"/>
  <c r="F75" i="17"/>
  <c r="AA140" i="47" s="1"/>
  <c r="E75" i="17"/>
  <c r="AA139" i="47" s="1"/>
  <c r="D75" i="17"/>
  <c r="AA138" i="47" s="1"/>
  <c r="F68" i="17"/>
  <c r="T140" i="47" s="1"/>
  <c r="E68" i="17"/>
  <c r="T139" i="47" s="1"/>
  <c r="D68" i="17"/>
  <c r="T138" i="47" s="1"/>
  <c r="D26" i="17"/>
  <c r="F67" i="17" s="1"/>
  <c r="D24" i="17"/>
  <c r="G97" i="16"/>
  <c r="AD49" i="45" s="1"/>
  <c r="F97" i="16"/>
  <c r="AD48" i="45" s="1"/>
  <c r="E97" i="16"/>
  <c r="AD47" i="45" s="1"/>
  <c r="D97" i="16"/>
  <c r="AD46" i="45" s="1"/>
  <c r="G96" i="16"/>
  <c r="AC49" i="45" s="1"/>
  <c r="E96" i="16"/>
  <c r="AC47" i="45" s="1"/>
  <c r="G95" i="16"/>
  <c r="AB49" i="45" s="1"/>
  <c r="F95" i="16"/>
  <c r="AB48" i="45" s="1"/>
  <c r="E95" i="16"/>
  <c r="AB47" i="45" s="1"/>
  <c r="D95" i="16"/>
  <c r="AB46" i="45" s="1"/>
  <c r="G94" i="16"/>
  <c r="AA49" i="45" s="1"/>
  <c r="F94" i="16"/>
  <c r="AA48" i="45" s="1"/>
  <c r="E94" i="16"/>
  <c r="AA47" i="45" s="1"/>
  <c r="D94" i="16"/>
  <c r="AA46" i="45" s="1"/>
  <c r="G89" i="16"/>
  <c r="V49" i="45" s="1"/>
  <c r="F89" i="16"/>
  <c r="V48" i="45" s="1"/>
  <c r="E89" i="16"/>
  <c r="V47" i="45" s="1"/>
  <c r="D89" i="16"/>
  <c r="V46" i="45" s="1"/>
  <c r="H55" i="16"/>
  <c r="G55" i="16"/>
  <c r="F55" i="16"/>
  <c r="E55" i="16"/>
  <c r="D55" i="16"/>
  <c r="H54" i="16"/>
  <c r="H57" i="16" s="1"/>
  <c r="G54" i="16"/>
  <c r="G57" i="16" s="1"/>
  <c r="F54" i="16"/>
  <c r="F57" i="16" s="1"/>
  <c r="E54" i="16"/>
  <c r="E57" i="16" s="1"/>
  <c r="H53" i="16"/>
  <c r="G53" i="16"/>
  <c r="F53" i="16"/>
  <c r="E53" i="16"/>
  <c r="D53" i="16"/>
  <c r="C21" i="16"/>
  <c r="C24" i="16" s="1"/>
  <c r="M109" i="10"/>
  <c r="W100" i="46" s="1"/>
  <c r="L109" i="10"/>
  <c r="W97" i="46" s="1"/>
  <c r="K109" i="10"/>
  <c r="W104" i="46" s="1"/>
  <c r="J109" i="10"/>
  <c r="W102" i="46" s="1"/>
  <c r="I109" i="10"/>
  <c r="W99" i="46" s="1"/>
  <c r="H109" i="10"/>
  <c r="W96" i="46" s="1"/>
  <c r="N240" i="2"/>
  <c r="M240" i="2"/>
  <c r="L240" i="2"/>
  <c r="K240" i="2"/>
  <c r="J240" i="2"/>
  <c r="I240" i="2"/>
  <c r="H240" i="2"/>
  <c r="G240" i="2"/>
  <c r="N239" i="2"/>
  <c r="L239" i="2"/>
  <c r="J239" i="2"/>
  <c r="H239" i="2"/>
  <c r="F239" i="2"/>
  <c r="F238" i="2"/>
  <c r="N237" i="2"/>
  <c r="M237" i="2"/>
  <c r="L237" i="2"/>
  <c r="K237" i="2"/>
  <c r="J237" i="2"/>
  <c r="I237" i="2"/>
  <c r="H237" i="2"/>
  <c r="G237" i="2"/>
  <c r="F237" i="2"/>
  <c r="E237" i="2"/>
  <c r="N236" i="2"/>
  <c r="L236" i="2"/>
  <c r="J236" i="2"/>
  <c r="H236" i="2"/>
  <c r="N235" i="2"/>
  <c r="M235" i="2"/>
  <c r="L235" i="2"/>
  <c r="K235" i="2"/>
  <c r="J235" i="2"/>
  <c r="I235" i="2"/>
  <c r="H235" i="2"/>
  <c r="G235" i="2"/>
  <c r="N234" i="2"/>
  <c r="M234" i="2"/>
  <c r="L234" i="2"/>
  <c r="K234" i="2"/>
  <c r="J234" i="2"/>
  <c r="I234" i="2"/>
  <c r="H234" i="2"/>
  <c r="G234" i="2"/>
  <c r="N233" i="2"/>
  <c r="L233" i="2"/>
  <c r="J233" i="2"/>
  <c r="H233" i="2"/>
  <c r="D206" i="2"/>
  <c r="C206" i="2"/>
  <c r="D204" i="2"/>
  <c r="C204" i="2"/>
  <c r="D201" i="2"/>
  <c r="C201" i="2"/>
  <c r="D199" i="2"/>
  <c r="C199" i="2"/>
  <c r="D196" i="2"/>
  <c r="C196" i="2"/>
  <c r="D193" i="2"/>
  <c r="C193" i="2"/>
  <c r="D192" i="2"/>
  <c r="C192" i="2"/>
  <c r="D191" i="2"/>
  <c r="C191" i="2"/>
  <c r="D190" i="2"/>
  <c r="C190" i="2"/>
  <c r="D188" i="2"/>
  <c r="C188" i="2"/>
  <c r="D186" i="2"/>
  <c r="C186" i="2"/>
  <c r="D183" i="2"/>
  <c r="C183" i="2"/>
  <c r="D182" i="2"/>
  <c r="D179" i="2"/>
  <c r="C179" i="2"/>
  <c r="C178" i="2"/>
  <c r="D177" i="2"/>
  <c r="C177" i="2"/>
  <c r="C170" i="2"/>
  <c r="C169" i="2"/>
  <c r="J156" i="2"/>
  <c r="I156" i="2"/>
  <c r="H156" i="2"/>
  <c r="G156" i="2"/>
  <c r="D156" i="2"/>
  <c r="C156" i="2"/>
  <c r="J155" i="2"/>
  <c r="I155" i="2"/>
  <c r="H155" i="2"/>
  <c r="G155" i="2"/>
  <c r="D155" i="2"/>
  <c r="C155" i="2"/>
  <c r="J154" i="2"/>
  <c r="I154" i="2"/>
  <c r="H154" i="2"/>
  <c r="G154" i="2"/>
  <c r="D154" i="2"/>
  <c r="C154" i="2"/>
  <c r="J152" i="2"/>
  <c r="I152" i="2"/>
  <c r="H152" i="2"/>
  <c r="G152" i="2"/>
  <c r="J151" i="2"/>
  <c r="I151" i="2"/>
  <c r="H151" i="2"/>
  <c r="G151" i="2"/>
  <c r="J150" i="2"/>
  <c r="I150" i="2"/>
  <c r="H150" i="2"/>
  <c r="G150" i="2"/>
  <c r="J148" i="2"/>
  <c r="I148" i="2"/>
  <c r="H148" i="2"/>
  <c r="G148" i="2"/>
  <c r="N147" i="2"/>
  <c r="M147" i="2"/>
  <c r="J147" i="2"/>
  <c r="I147" i="2"/>
  <c r="H147" i="2"/>
  <c r="G147" i="2"/>
  <c r="N146" i="2"/>
  <c r="M146" i="2"/>
  <c r="J146" i="2"/>
  <c r="I146" i="2"/>
  <c r="H146" i="2"/>
  <c r="G146" i="2"/>
  <c r="N145" i="2"/>
  <c r="M145" i="2"/>
  <c r="N144" i="2"/>
  <c r="M144" i="2"/>
  <c r="N143" i="2"/>
  <c r="M143" i="2"/>
  <c r="L143" i="2"/>
  <c r="E143" i="2"/>
  <c r="D143" i="2"/>
  <c r="N142" i="2"/>
  <c r="M142" i="2"/>
  <c r="L142" i="2"/>
  <c r="E142" i="2"/>
  <c r="D142" i="2"/>
  <c r="N141" i="2"/>
  <c r="M141" i="2"/>
  <c r="L141" i="2"/>
  <c r="E141" i="2"/>
  <c r="D141" i="2"/>
  <c r="J138" i="2"/>
  <c r="J137" i="2"/>
  <c r="J136" i="2"/>
  <c r="J135" i="2"/>
  <c r="J134" i="2"/>
  <c r="J133" i="2"/>
  <c r="J132" i="2"/>
  <c r="J131" i="2"/>
  <c r="J130" i="2"/>
  <c r="J129" i="2"/>
  <c r="J128" i="2"/>
  <c r="J127" i="2"/>
  <c r="J126" i="2"/>
  <c r="G123" i="2"/>
  <c r="F123" i="2"/>
  <c r="E123" i="2"/>
  <c r="D111" i="2"/>
  <c r="D109" i="2"/>
  <c r="D108" i="2"/>
  <c r="D107" i="2"/>
  <c r="D106" i="2"/>
  <c r="D104" i="2"/>
  <c r="D99" i="2"/>
  <c r="F98" i="2"/>
  <c r="E98" i="2"/>
  <c r="D98" i="2"/>
  <c r="F97" i="2"/>
  <c r="E97" i="2"/>
  <c r="D97" i="2"/>
  <c r="K96" i="2"/>
  <c r="F96" i="2"/>
  <c r="E96" i="2"/>
  <c r="D96" i="2"/>
  <c r="F95" i="2"/>
  <c r="E95" i="2"/>
  <c r="D95" i="2"/>
  <c r="C76" i="2"/>
  <c r="C75" i="2"/>
  <c r="C74" i="2"/>
  <c r="C73" i="2"/>
  <c r="C71" i="2"/>
  <c r="C70" i="2"/>
  <c r="C66" i="2"/>
  <c r="C65" i="2"/>
  <c r="C64" i="2"/>
  <c r="C63" i="2"/>
  <c r="C59" i="2"/>
  <c r="C58" i="2"/>
  <c r="C57" i="2"/>
  <c r="C56" i="2"/>
  <c r="C55" i="2"/>
  <c r="C54" i="2"/>
  <c r="C53" i="2"/>
  <c r="C49" i="2"/>
  <c r="C48" i="2"/>
  <c r="C47" i="2"/>
  <c r="C46" i="2"/>
  <c r="I45" i="2"/>
  <c r="C45" i="2"/>
  <c r="I44" i="2"/>
  <c r="C44" i="2"/>
  <c r="I43" i="2"/>
  <c r="I42" i="2"/>
  <c r="C42" i="2"/>
  <c r="I37" i="2"/>
  <c r="I36" i="2"/>
  <c r="I35" i="2"/>
  <c r="E35" i="2"/>
  <c r="C35" i="2"/>
  <c r="E34" i="2"/>
  <c r="C34" i="2"/>
  <c r="E33" i="2"/>
  <c r="C33" i="2"/>
  <c r="I32" i="2"/>
  <c r="E32" i="2"/>
  <c r="C32" i="2"/>
  <c r="I31" i="2"/>
  <c r="C31" i="2"/>
  <c r="I30" i="2"/>
  <c r="C30" i="2"/>
  <c r="I29" i="2"/>
  <c r="C29" i="2"/>
  <c r="I28" i="2"/>
  <c r="C25" i="2"/>
  <c r="I24" i="2"/>
  <c r="C24" i="2"/>
  <c r="C23" i="2"/>
  <c r="I22" i="2"/>
  <c r="C21" i="2"/>
  <c r="I19" i="2"/>
  <c r="I18" i="2"/>
  <c r="I17" i="2"/>
  <c r="I16" i="2"/>
  <c r="I15" i="2"/>
  <c r="C11" i="2"/>
  <c r="I56" i="12"/>
  <c r="H56" i="12"/>
  <c r="G56" i="12"/>
  <c r="F56" i="12"/>
  <c r="I53" i="12"/>
  <c r="H53" i="12"/>
  <c r="G53" i="12"/>
  <c r="I51" i="12"/>
  <c r="H51" i="12"/>
  <c r="G51" i="12"/>
  <c r="F51" i="12"/>
  <c r="E51" i="12"/>
  <c r="D51" i="12"/>
  <c r="I50" i="12"/>
  <c r="H50" i="12"/>
  <c r="G50" i="12"/>
  <c r="F50" i="12"/>
  <c r="E50" i="12"/>
  <c r="D50" i="12"/>
  <c r="I49" i="12"/>
  <c r="I52" i="12" s="1"/>
  <c r="H49" i="12"/>
  <c r="H52" i="12" s="1"/>
  <c r="H67" i="12" s="1"/>
  <c r="AP73" i="46" s="1"/>
  <c r="G49" i="12"/>
  <c r="G52" i="12" s="1"/>
  <c r="G67" i="12" s="1"/>
  <c r="F49" i="12"/>
  <c r="F52" i="12" s="1"/>
  <c r="E49" i="12"/>
  <c r="E52" i="12" s="1"/>
  <c r="D49" i="12"/>
  <c r="D52" i="12" s="1"/>
  <c r="I48" i="12"/>
  <c r="H48" i="12"/>
  <c r="G48" i="12"/>
  <c r="F48" i="12"/>
  <c r="E48" i="12"/>
  <c r="D48" i="12"/>
  <c r="I86" i="12"/>
  <c r="H86" i="12"/>
  <c r="AD73" i="46" s="1"/>
  <c r="G86" i="12"/>
  <c r="F86" i="12"/>
  <c r="E86" i="12"/>
  <c r="AD72" i="46" s="1"/>
  <c r="D86" i="12"/>
  <c r="AD71" i="46" s="1"/>
  <c r="I85" i="12"/>
  <c r="H85" i="12"/>
  <c r="AC73" i="46" s="1"/>
  <c r="I84" i="12"/>
  <c r="H84" i="12"/>
  <c r="AB73" i="46" s="1"/>
  <c r="G84" i="12"/>
  <c r="F84" i="12"/>
  <c r="E84" i="12"/>
  <c r="AB72" i="46" s="1"/>
  <c r="D84" i="12"/>
  <c r="AB71" i="46" s="1"/>
  <c r="I83" i="12"/>
  <c r="H83" i="12"/>
  <c r="AA73" i="46" s="1"/>
  <c r="G83" i="12"/>
  <c r="F83" i="12"/>
  <c r="E83" i="12"/>
  <c r="AA72" i="46" s="1"/>
  <c r="D83" i="12"/>
  <c r="AA71" i="46" s="1"/>
  <c r="I81" i="12"/>
  <c r="H81" i="12"/>
  <c r="Y73" i="46" s="1"/>
  <c r="G81" i="12"/>
  <c r="F81" i="12"/>
  <c r="E81" i="12"/>
  <c r="Y72" i="46" s="1"/>
  <c r="D81" i="12"/>
  <c r="Y71" i="46" s="1"/>
  <c r="I78" i="12"/>
  <c r="H78" i="12"/>
  <c r="V73" i="46" s="1"/>
  <c r="G78" i="12"/>
  <c r="F78" i="12"/>
  <c r="E78" i="12"/>
  <c r="V72" i="46" s="1"/>
  <c r="D78" i="12"/>
  <c r="V71" i="46" s="1"/>
  <c r="D25" i="12"/>
  <c r="G76" i="12" s="1"/>
  <c r="D23" i="12"/>
  <c r="E40" i="12" s="1"/>
  <c r="J56" i="26"/>
  <c r="H56" i="26"/>
  <c r="F56" i="26"/>
  <c r="K55" i="26"/>
  <c r="J55" i="26"/>
  <c r="I55" i="26"/>
  <c r="H55" i="26"/>
  <c r="G55" i="26"/>
  <c r="F55" i="26"/>
  <c r="E55" i="26"/>
  <c r="D55" i="26"/>
  <c r="K53" i="26"/>
  <c r="J53" i="26"/>
  <c r="J59" i="26" s="1"/>
  <c r="I53" i="26"/>
  <c r="H53" i="26"/>
  <c r="G53" i="26"/>
  <c r="F53" i="26"/>
  <c r="E53" i="26"/>
  <c r="D53" i="26"/>
  <c r="K52" i="26"/>
  <c r="K54" i="26" s="1"/>
  <c r="J52" i="26"/>
  <c r="J61" i="26" s="1"/>
  <c r="I52" i="26"/>
  <c r="H52" i="26"/>
  <c r="G52" i="26"/>
  <c r="G54" i="26" s="1"/>
  <c r="F52" i="26"/>
  <c r="E52" i="26"/>
  <c r="D52" i="26"/>
  <c r="D54" i="26" s="1"/>
  <c r="K88" i="26"/>
  <c r="AD111" i="46" s="1"/>
  <c r="J88" i="26"/>
  <c r="AD112" i="46" s="1"/>
  <c r="I88" i="26"/>
  <c r="H88" i="26"/>
  <c r="G88" i="26"/>
  <c r="F88" i="26"/>
  <c r="E88" i="26"/>
  <c r="D88" i="26"/>
  <c r="K90" i="26"/>
  <c r="AF111" i="46" s="1"/>
  <c r="J90" i="26"/>
  <c r="AF112" i="46" s="1"/>
  <c r="I90" i="26"/>
  <c r="H90" i="26"/>
  <c r="G90" i="26"/>
  <c r="F90" i="26"/>
  <c r="E90" i="26"/>
  <c r="D90" i="26"/>
  <c r="K87" i="26"/>
  <c r="J87" i="26"/>
  <c r="AC112" i="46" s="1"/>
  <c r="I87" i="26"/>
  <c r="H87" i="26"/>
  <c r="G87" i="26"/>
  <c r="F87" i="26"/>
  <c r="E87" i="26"/>
  <c r="D87" i="26"/>
  <c r="K86" i="26"/>
  <c r="AB111" i="46" s="1"/>
  <c r="J86" i="26"/>
  <c r="AB112" i="46" s="1"/>
  <c r="I86" i="26"/>
  <c r="H86" i="26"/>
  <c r="G86" i="26"/>
  <c r="F86" i="26"/>
  <c r="E86" i="26"/>
  <c r="D86" i="26"/>
  <c r="K85" i="26"/>
  <c r="AA111" i="46" s="1"/>
  <c r="J85" i="26"/>
  <c r="AA112" i="46" s="1"/>
  <c r="I85" i="26"/>
  <c r="I49" i="26" s="1"/>
  <c r="H85" i="26"/>
  <c r="G85" i="26"/>
  <c r="F85" i="26"/>
  <c r="E85" i="26"/>
  <c r="D85" i="26"/>
  <c r="K83" i="26"/>
  <c r="Y111" i="46" s="1"/>
  <c r="J83" i="26"/>
  <c r="Y112" i="46" s="1"/>
  <c r="I83" i="26"/>
  <c r="H83" i="26"/>
  <c r="G83" i="26"/>
  <c r="F83" i="26"/>
  <c r="E83" i="26"/>
  <c r="D83" i="26"/>
  <c r="K78" i="26"/>
  <c r="T111" i="46" s="1"/>
  <c r="J78" i="26"/>
  <c r="T112" i="46" s="1"/>
  <c r="I78" i="26"/>
  <c r="H78" i="26"/>
  <c r="G78" i="26"/>
  <c r="F78" i="26"/>
  <c r="E78" i="26"/>
  <c r="D78" i="26"/>
  <c r="D25" i="26"/>
  <c r="D23" i="26"/>
  <c r="D22" i="26"/>
  <c r="E77" i="15"/>
  <c r="F77" i="15" s="1"/>
  <c r="G77" i="15" s="1"/>
  <c r="G76" i="15"/>
  <c r="F76" i="15"/>
  <c r="E76" i="15"/>
  <c r="J37" i="15"/>
  <c r="I37" i="15"/>
  <c r="H37" i="15"/>
  <c r="G37" i="15"/>
  <c r="F37" i="15"/>
  <c r="E37" i="15"/>
  <c r="D37" i="15"/>
  <c r="J35" i="15"/>
  <c r="I35" i="15"/>
  <c r="I36" i="15" s="1"/>
  <c r="H35" i="15"/>
  <c r="G35" i="15"/>
  <c r="F35" i="15"/>
  <c r="E35" i="15"/>
  <c r="E36" i="15" s="1"/>
  <c r="D35" i="15"/>
  <c r="J34" i="15"/>
  <c r="I34" i="15"/>
  <c r="H34" i="15"/>
  <c r="G34" i="15"/>
  <c r="F34" i="15"/>
  <c r="E34" i="15"/>
  <c r="D34" i="15"/>
  <c r="J32" i="15"/>
  <c r="I32" i="15"/>
  <c r="H32" i="15"/>
  <c r="G32" i="15"/>
  <c r="F32" i="15"/>
  <c r="E32" i="15"/>
  <c r="D32" i="15"/>
  <c r="J31" i="15"/>
  <c r="I31" i="15"/>
  <c r="H31" i="15"/>
  <c r="G31" i="15"/>
  <c r="F31" i="15"/>
  <c r="E31" i="15"/>
  <c r="D31" i="15"/>
  <c r="J43" i="15"/>
  <c r="I43" i="15"/>
  <c r="H43" i="15"/>
  <c r="G43" i="15"/>
  <c r="F43" i="15"/>
  <c r="E43" i="15"/>
  <c r="D43" i="15"/>
  <c r="J42" i="15"/>
  <c r="I42" i="15"/>
  <c r="H42" i="15"/>
  <c r="G42" i="15"/>
  <c r="F42" i="15"/>
  <c r="E42" i="15"/>
  <c r="D42" i="15"/>
  <c r="F68" i="19"/>
  <c r="E68" i="19"/>
  <c r="F101" i="19"/>
  <c r="AD52" i="45" s="1"/>
  <c r="E101" i="19"/>
  <c r="AD51" i="45" s="1"/>
  <c r="D101" i="19"/>
  <c r="AD50" i="45" s="1"/>
  <c r="F100" i="19"/>
  <c r="AC52" i="45" s="1"/>
  <c r="E100" i="19"/>
  <c r="AC51" i="45" s="1"/>
  <c r="D100" i="19"/>
  <c r="F99" i="19"/>
  <c r="AB52" i="45" s="1"/>
  <c r="E99" i="19"/>
  <c r="AB51" i="45" s="1"/>
  <c r="D99" i="19"/>
  <c r="AB50" i="45" s="1"/>
  <c r="F98" i="19"/>
  <c r="AA52" i="45" s="1"/>
  <c r="E98" i="19"/>
  <c r="AA51" i="45" s="1"/>
  <c r="D98" i="19"/>
  <c r="AA50" i="45" s="1"/>
  <c r="F96" i="19"/>
  <c r="Y52" i="45" s="1"/>
  <c r="E96" i="19"/>
  <c r="Y51" i="45" s="1"/>
  <c r="D96" i="19"/>
  <c r="Y50" i="45" s="1"/>
  <c r="F93" i="19"/>
  <c r="V52" i="45" s="1"/>
  <c r="E93" i="19"/>
  <c r="V51" i="45" s="1"/>
  <c r="D93" i="19"/>
  <c r="V50" i="45" s="1"/>
  <c r="F91" i="19"/>
  <c r="T52" i="45" s="1"/>
  <c r="E91" i="19"/>
  <c r="T51" i="45" s="1"/>
  <c r="D91" i="19"/>
  <c r="T50" i="45" s="1"/>
  <c r="F90" i="19"/>
  <c r="S52" i="45" s="1"/>
  <c r="E90" i="19"/>
  <c r="S51" i="45" s="1"/>
  <c r="D90" i="19"/>
  <c r="S50" i="45" s="1"/>
  <c r="E39" i="19"/>
  <c r="F72" i="32"/>
  <c r="F71" i="32"/>
  <c r="E71" i="32"/>
  <c r="D71" i="32"/>
  <c r="F70" i="32"/>
  <c r="E70" i="32"/>
  <c r="D70" i="32"/>
  <c r="G65" i="32"/>
  <c r="F65" i="32"/>
  <c r="E65" i="32"/>
  <c r="D65" i="32"/>
  <c r="G63" i="32"/>
  <c r="F63" i="32"/>
  <c r="E63" i="32"/>
  <c r="D63" i="32"/>
  <c r="G62" i="32"/>
  <c r="F62" i="32"/>
  <c r="E62" i="32"/>
  <c r="D62" i="32"/>
  <c r="G41" i="32"/>
  <c r="F41" i="32"/>
  <c r="G37" i="32"/>
  <c r="G40" i="32" s="1"/>
  <c r="F37" i="32"/>
  <c r="F40" i="32" s="1"/>
  <c r="E37" i="32"/>
  <c r="E40" i="32" s="1"/>
  <c r="D39" i="32"/>
  <c r="G34" i="32"/>
  <c r="F34" i="32"/>
  <c r="E34" i="32"/>
  <c r="D34" i="32"/>
  <c r="G46" i="33"/>
  <c r="F46" i="33"/>
  <c r="E46" i="33"/>
  <c r="D46" i="33"/>
  <c r="G47" i="33"/>
  <c r="F47" i="33"/>
  <c r="E47" i="33"/>
  <c r="D47" i="33"/>
  <c r="G44" i="33"/>
  <c r="F44" i="33"/>
  <c r="E44" i="33"/>
  <c r="D44" i="33"/>
  <c r="D45" i="33" s="1"/>
  <c r="G42" i="33"/>
  <c r="G39" i="33"/>
  <c r="G45" i="33" s="1"/>
  <c r="F39" i="33"/>
  <c r="E39" i="33"/>
  <c r="D41" i="33"/>
  <c r="D68" i="33" s="1"/>
  <c r="V132" i="47" s="1"/>
  <c r="G38" i="33"/>
  <c r="F38" i="33"/>
  <c r="E38" i="33"/>
  <c r="D38" i="33"/>
  <c r="G76" i="33"/>
  <c r="AD133" i="47" s="1"/>
  <c r="F76" i="33"/>
  <c r="E76" i="33"/>
  <c r="D76" i="33"/>
  <c r="AD132" i="47" s="1"/>
  <c r="G75" i="33"/>
  <c r="AC133" i="47" s="1"/>
  <c r="F75" i="33"/>
  <c r="E75" i="33"/>
  <c r="D75" i="33"/>
  <c r="AC132" i="47" s="1"/>
  <c r="G74" i="33"/>
  <c r="AB133" i="47" s="1"/>
  <c r="F74" i="33"/>
  <c r="E74" i="33"/>
  <c r="D74" i="33"/>
  <c r="AB132" i="47" s="1"/>
  <c r="G73" i="33"/>
  <c r="AA133" i="47" s="1"/>
  <c r="F73" i="33"/>
  <c r="E73" i="33"/>
  <c r="D73" i="33"/>
  <c r="AA132" i="47" s="1"/>
  <c r="G71" i="33"/>
  <c r="Y133" i="47" s="1"/>
  <c r="F71" i="33"/>
  <c r="G66" i="33"/>
  <c r="T133" i="47" s="1"/>
  <c r="F66" i="33"/>
  <c r="E66" i="33"/>
  <c r="D66" i="33"/>
  <c r="T132" i="47" s="1"/>
  <c r="G65" i="33"/>
  <c r="S133" i="47" s="1"/>
  <c r="F65" i="33"/>
  <c r="E65" i="33"/>
  <c r="D65" i="33"/>
  <c r="S132" i="47" s="1"/>
  <c r="G86" i="35"/>
  <c r="F86" i="35"/>
  <c r="E86" i="35"/>
  <c r="G87" i="35"/>
  <c r="F87" i="35"/>
  <c r="E87" i="35"/>
  <c r="G85" i="35"/>
  <c r="F85" i="35"/>
  <c r="E85" i="35"/>
  <c r="G81" i="35"/>
  <c r="F81" i="35"/>
  <c r="E81" i="35"/>
  <c r="D81" i="35"/>
  <c r="G82" i="35"/>
  <c r="F82" i="35"/>
  <c r="E82" i="35"/>
  <c r="D82" i="35"/>
  <c r="G77" i="35"/>
  <c r="G84" i="35" s="1"/>
  <c r="F77" i="35"/>
  <c r="F84" i="35" s="1"/>
  <c r="E77" i="35"/>
  <c r="E84" i="35" s="1"/>
  <c r="D77" i="35"/>
  <c r="D84" i="35" s="1"/>
  <c r="F79" i="35"/>
  <c r="E79" i="35"/>
  <c r="D79" i="35"/>
  <c r="G75" i="35"/>
  <c r="F75" i="35"/>
  <c r="E75" i="35"/>
  <c r="D75" i="35"/>
  <c r="G117" i="35"/>
  <c r="AD80" i="46" s="1"/>
  <c r="F117" i="35"/>
  <c r="AD79" i="46" s="1"/>
  <c r="E117" i="35"/>
  <c r="D117" i="35"/>
  <c r="AD78" i="46" s="1"/>
  <c r="G116" i="35"/>
  <c r="AC80" i="46" s="1"/>
  <c r="F116" i="35"/>
  <c r="AC79" i="46" s="1"/>
  <c r="E116" i="35"/>
  <c r="G115" i="35"/>
  <c r="AB80" i="46" s="1"/>
  <c r="F115" i="35"/>
  <c r="AB79" i="46" s="1"/>
  <c r="E115" i="35"/>
  <c r="D115" i="35"/>
  <c r="AB78" i="46" s="1"/>
  <c r="G114" i="35"/>
  <c r="AA80" i="46" s="1"/>
  <c r="F114" i="35"/>
  <c r="AA79" i="46" s="1"/>
  <c r="E114" i="35"/>
  <c r="D114" i="35"/>
  <c r="AA78" i="46" s="1"/>
  <c r="E112" i="35"/>
  <c r="G107" i="35"/>
  <c r="T80" i="46" s="1"/>
  <c r="F107" i="35"/>
  <c r="T79" i="46" s="1"/>
  <c r="E107" i="35"/>
  <c r="D107" i="35"/>
  <c r="T78" i="46" s="1"/>
  <c r="N70" i="35"/>
  <c r="M70" i="35"/>
  <c r="L70" i="35"/>
  <c r="K70" i="35"/>
  <c r="N69" i="35"/>
  <c r="M69" i="35"/>
  <c r="L69" i="35"/>
  <c r="N68" i="35"/>
  <c r="M68" i="35"/>
  <c r="L68" i="35"/>
  <c r="N67" i="35"/>
  <c r="M67" i="35"/>
  <c r="F78" i="35" s="1"/>
  <c r="L67" i="35"/>
  <c r="E78" i="35" s="1"/>
  <c r="K67" i="35"/>
  <c r="D78" i="35" s="1"/>
  <c r="D22" i="35"/>
  <c r="D25" i="35" s="1"/>
  <c r="D21" i="35"/>
  <c r="D24" i="35" s="1"/>
  <c r="G100" i="31"/>
  <c r="AD94" i="46" s="1"/>
  <c r="F100" i="31"/>
  <c r="E100" i="31"/>
  <c r="D100" i="31"/>
  <c r="AD93" i="46" s="1"/>
  <c r="G99" i="31"/>
  <c r="AC94" i="46" s="1"/>
  <c r="F99" i="31"/>
  <c r="E99" i="31"/>
  <c r="D99" i="31"/>
  <c r="G98" i="31"/>
  <c r="AB94" i="46" s="1"/>
  <c r="F98" i="31"/>
  <c r="E98" i="31"/>
  <c r="D98" i="31"/>
  <c r="AB93" i="46" s="1"/>
  <c r="G97" i="31"/>
  <c r="AA94" i="46" s="1"/>
  <c r="F97" i="31"/>
  <c r="E97" i="31"/>
  <c r="D97" i="31"/>
  <c r="AA93" i="46" s="1"/>
  <c r="G90" i="31"/>
  <c r="T94" i="46" s="1"/>
  <c r="F90" i="31"/>
  <c r="E90" i="31"/>
  <c r="D90" i="31"/>
  <c r="T93" i="46" s="1"/>
  <c r="G89" i="31"/>
  <c r="S94" i="46" s="1"/>
  <c r="F89" i="31"/>
  <c r="E89" i="31"/>
  <c r="D89" i="31"/>
  <c r="S93" i="46" s="1"/>
  <c r="G57" i="31"/>
  <c r="F57" i="31"/>
  <c r="E57" i="31"/>
  <c r="D57" i="31"/>
  <c r="G56" i="31"/>
  <c r="F56" i="31"/>
  <c r="E56" i="31"/>
  <c r="D56" i="31"/>
  <c r="F55" i="31"/>
  <c r="E55" i="31"/>
  <c r="D55" i="31"/>
  <c r="G54" i="31"/>
  <c r="F54" i="31"/>
  <c r="D54" i="31"/>
  <c r="E36" i="31"/>
  <c r="D36" i="31"/>
  <c r="D27" i="31"/>
  <c r="D28" i="31" s="1"/>
  <c r="D30" i="31" s="1"/>
  <c r="D31" i="31" s="1"/>
  <c r="E353" i="24"/>
  <c r="Y128" i="47" s="1"/>
  <c r="S353" i="24"/>
  <c r="S281" i="24"/>
  <c r="R281" i="24"/>
  <c r="Q281" i="24"/>
  <c r="P281" i="24"/>
  <c r="O281" i="24"/>
  <c r="N281" i="24"/>
  <c r="M281" i="24"/>
  <c r="L281" i="24"/>
  <c r="K281" i="24"/>
  <c r="J281" i="24"/>
  <c r="I281" i="24"/>
  <c r="H281" i="24"/>
  <c r="G281" i="24"/>
  <c r="F281" i="24"/>
  <c r="E281" i="24"/>
  <c r="D314" i="24" s="1"/>
  <c r="C235" i="24"/>
  <c r="C234" i="24"/>
  <c r="S348" i="24" s="1"/>
  <c r="R197" i="24"/>
  <c r="Q197" i="24"/>
  <c r="P197" i="24"/>
  <c r="O197" i="24"/>
  <c r="AD127" i="47" s="1"/>
  <c r="N197" i="24"/>
  <c r="AD126" i="47" s="1"/>
  <c r="M197" i="24"/>
  <c r="AD125" i="47" s="1"/>
  <c r="L197" i="24"/>
  <c r="K197" i="24"/>
  <c r="J197" i="24"/>
  <c r="I197" i="24"/>
  <c r="H197" i="24"/>
  <c r="G197" i="24"/>
  <c r="F197" i="24"/>
  <c r="E197" i="24"/>
  <c r="D197" i="24"/>
  <c r="R196" i="24"/>
  <c r="Q196" i="24"/>
  <c r="P196" i="24"/>
  <c r="O196" i="24"/>
  <c r="AC127" i="47" s="1"/>
  <c r="N196" i="24"/>
  <c r="AC126" i="47" s="1"/>
  <c r="M196" i="24"/>
  <c r="L196" i="24"/>
  <c r="K196" i="24"/>
  <c r="J196" i="24"/>
  <c r="I196" i="24"/>
  <c r="H196" i="24"/>
  <c r="G196" i="24"/>
  <c r="F196" i="24"/>
  <c r="E196" i="24"/>
  <c r="D196" i="24"/>
  <c r="R195" i="24"/>
  <c r="Q195" i="24"/>
  <c r="P195" i="24"/>
  <c r="O195" i="24"/>
  <c r="AB127" i="47" s="1"/>
  <c r="N195" i="24"/>
  <c r="AB126" i="47" s="1"/>
  <c r="M195" i="24"/>
  <c r="AB125" i="47" s="1"/>
  <c r="L195" i="24"/>
  <c r="K195" i="24"/>
  <c r="J195" i="24"/>
  <c r="I195" i="24"/>
  <c r="H195" i="24"/>
  <c r="G195" i="24"/>
  <c r="F195" i="24"/>
  <c r="E195" i="24"/>
  <c r="D195" i="24"/>
  <c r="R194" i="24"/>
  <c r="Q194" i="24"/>
  <c r="P194" i="24"/>
  <c r="O194" i="24"/>
  <c r="AA127" i="47" s="1"/>
  <c r="N194" i="24"/>
  <c r="AA126" i="47" s="1"/>
  <c r="M194" i="24"/>
  <c r="AA125" i="47" s="1"/>
  <c r="L194" i="24"/>
  <c r="K194" i="24"/>
  <c r="J194" i="24"/>
  <c r="I194" i="24"/>
  <c r="H194" i="24"/>
  <c r="G194" i="24"/>
  <c r="F194" i="24"/>
  <c r="E194" i="24"/>
  <c r="D194" i="24"/>
  <c r="Q159" i="24"/>
  <c r="Q189" i="24" s="1"/>
  <c r="P159" i="24"/>
  <c r="P189" i="24" s="1"/>
  <c r="O159" i="24"/>
  <c r="O189" i="24" s="1"/>
  <c r="V127" i="47" s="1"/>
  <c r="N159" i="24"/>
  <c r="N189" i="24" s="1"/>
  <c r="V126" i="47" s="1"/>
  <c r="M159" i="24"/>
  <c r="M189" i="24" s="1"/>
  <c r="V125" i="47" s="1"/>
  <c r="L159" i="24"/>
  <c r="L189" i="24" s="1"/>
  <c r="K159" i="24"/>
  <c r="K189" i="24" s="1"/>
  <c r="J159" i="24"/>
  <c r="J189" i="24" s="1"/>
  <c r="I159" i="24"/>
  <c r="H159" i="24"/>
  <c r="G159" i="24"/>
  <c r="G189" i="24" s="1"/>
  <c r="F159" i="24"/>
  <c r="F189" i="24" s="1"/>
  <c r="E159" i="24"/>
  <c r="E189" i="24" s="1"/>
  <c r="D159" i="24"/>
  <c r="D189" i="24" s="1"/>
  <c r="R187" i="24"/>
  <c r="Q187" i="24"/>
  <c r="P187" i="24"/>
  <c r="O187" i="24"/>
  <c r="T127" i="47" s="1"/>
  <c r="N187" i="24"/>
  <c r="T126" i="47" s="1"/>
  <c r="M187" i="24"/>
  <c r="T125" i="47" s="1"/>
  <c r="L187" i="24"/>
  <c r="K187" i="24"/>
  <c r="J187" i="24"/>
  <c r="I187" i="24"/>
  <c r="H187" i="24"/>
  <c r="G187" i="24"/>
  <c r="F187" i="24"/>
  <c r="E187" i="24"/>
  <c r="D187" i="24"/>
  <c r="R186" i="24"/>
  <c r="Q186" i="24"/>
  <c r="P186" i="24"/>
  <c r="O186" i="24"/>
  <c r="S127" i="47" s="1"/>
  <c r="N186" i="24"/>
  <c r="S126" i="47" s="1"/>
  <c r="M186" i="24"/>
  <c r="S125" i="47" s="1"/>
  <c r="L186" i="24"/>
  <c r="K186" i="24"/>
  <c r="K160" i="24" s="1"/>
  <c r="J186" i="24"/>
  <c r="I186" i="24"/>
  <c r="H186" i="24"/>
  <c r="G186" i="24"/>
  <c r="F186" i="24"/>
  <c r="E186" i="24"/>
  <c r="D186" i="24"/>
  <c r="C140" i="24"/>
  <c r="C130" i="24"/>
  <c r="C128" i="24"/>
  <c r="C126" i="24"/>
  <c r="I92" i="24"/>
  <c r="H92" i="24"/>
  <c r="G92" i="24"/>
  <c r="F92" i="24"/>
  <c r="E92" i="24"/>
  <c r="D92" i="24"/>
  <c r="I91" i="24"/>
  <c r="H91" i="24"/>
  <c r="G91" i="24"/>
  <c r="F91" i="24"/>
  <c r="E91" i="24"/>
  <c r="D91" i="24"/>
  <c r="C37" i="24"/>
  <c r="C32" i="24"/>
  <c r="C33" i="24" s="1"/>
  <c r="I25" i="24"/>
  <c r="I24" i="24"/>
  <c r="I23" i="24"/>
  <c r="I22" i="24"/>
  <c r="I21" i="24"/>
  <c r="I20" i="24"/>
  <c r="H55" i="28"/>
  <c r="H56" i="28" s="1"/>
  <c r="G55" i="28"/>
  <c r="G56" i="28" s="1"/>
  <c r="F57" i="28" s="1"/>
  <c r="J77" i="28"/>
  <c r="I77" i="28"/>
  <c r="H77" i="28"/>
  <c r="G77" i="28"/>
  <c r="F77" i="28"/>
  <c r="E77" i="28"/>
  <c r="J73" i="28"/>
  <c r="J74" i="28" s="1"/>
  <c r="I73" i="28"/>
  <c r="I74" i="28" s="1"/>
  <c r="H73" i="28"/>
  <c r="H74" i="28" s="1"/>
  <c r="G73" i="28"/>
  <c r="G74" i="28" s="1"/>
  <c r="F73" i="28"/>
  <c r="F74" i="28" s="1"/>
  <c r="E73" i="28"/>
  <c r="E74" i="28" s="1"/>
  <c r="J71" i="28"/>
  <c r="J58" i="28" s="1"/>
  <c r="I71" i="28"/>
  <c r="I58" i="28" s="1"/>
  <c r="H71" i="28"/>
  <c r="H58" i="28" s="1"/>
  <c r="G71" i="28"/>
  <c r="F71" i="28"/>
  <c r="F58" i="28" s="1"/>
  <c r="E71" i="28"/>
  <c r="E58" i="28" s="1"/>
  <c r="J68" i="28"/>
  <c r="I68" i="28"/>
  <c r="H68" i="28"/>
  <c r="G68" i="28"/>
  <c r="F68" i="28"/>
  <c r="E68" i="28"/>
  <c r="J67" i="28"/>
  <c r="I67" i="28"/>
  <c r="H67" i="28"/>
  <c r="G67" i="28"/>
  <c r="F67" i="28"/>
  <c r="E67" i="28"/>
  <c r="D67" i="28"/>
  <c r="J66" i="28"/>
  <c r="I66" i="28"/>
  <c r="H66" i="28"/>
  <c r="G66" i="28"/>
  <c r="F66" i="28"/>
  <c r="E66" i="28"/>
  <c r="D66" i="28"/>
  <c r="J65" i="28"/>
  <c r="I65" i="28"/>
  <c r="H65" i="28"/>
  <c r="G65" i="28"/>
  <c r="F65" i="28"/>
  <c r="E65" i="28"/>
  <c r="D65" i="28"/>
  <c r="E35" i="28"/>
  <c r="K31" i="28"/>
  <c r="AI119" i="36"/>
  <c r="H52" i="11"/>
  <c r="AI117" i="47" s="1"/>
  <c r="F52" i="11"/>
  <c r="AI115" i="47" s="1"/>
  <c r="J48" i="11"/>
  <c r="H48" i="11"/>
  <c r="H49" i="11" s="1"/>
  <c r="H54" i="11" s="1"/>
  <c r="AK117" i="47" s="1"/>
  <c r="F48" i="11"/>
  <c r="F49" i="11" s="1"/>
  <c r="K45" i="11"/>
  <c r="J45" i="11"/>
  <c r="I45" i="11"/>
  <c r="H45" i="11"/>
  <c r="G45" i="11"/>
  <c r="F45" i="11"/>
  <c r="E45" i="11"/>
  <c r="D45" i="11"/>
  <c r="K44" i="11"/>
  <c r="J44" i="11"/>
  <c r="I44" i="11"/>
  <c r="H44" i="11"/>
  <c r="G44" i="11"/>
  <c r="F44" i="11"/>
  <c r="E44" i="11"/>
  <c r="D44" i="11"/>
  <c r="K43" i="11"/>
  <c r="J43" i="11"/>
  <c r="I43" i="11"/>
  <c r="H43" i="11"/>
  <c r="G43" i="11"/>
  <c r="F43" i="11"/>
  <c r="E43" i="11"/>
  <c r="D43" i="11"/>
  <c r="K42" i="11"/>
  <c r="J42" i="11"/>
  <c r="I42" i="11"/>
  <c r="H42" i="11"/>
  <c r="G42" i="11"/>
  <c r="F42" i="11"/>
  <c r="E42" i="11"/>
  <c r="D42" i="11"/>
  <c r="K41" i="11"/>
  <c r="J41" i="11"/>
  <c r="I41" i="11"/>
  <c r="H41" i="11"/>
  <c r="G41" i="11"/>
  <c r="F41" i="11"/>
  <c r="E41" i="11"/>
  <c r="D41" i="11"/>
  <c r="K83" i="11"/>
  <c r="J83" i="11"/>
  <c r="I83" i="11"/>
  <c r="H83" i="11"/>
  <c r="G83" i="11"/>
  <c r="F83" i="11"/>
  <c r="E83" i="11"/>
  <c r="D83" i="11"/>
  <c r="K79" i="11"/>
  <c r="AD118" i="47" s="1"/>
  <c r="J79" i="11"/>
  <c r="AD119" i="47" s="1"/>
  <c r="I79" i="11"/>
  <c r="AD116" i="47" s="1"/>
  <c r="H79" i="11"/>
  <c r="AD117" i="47" s="1"/>
  <c r="G79" i="11"/>
  <c r="AD114" i="47" s="1"/>
  <c r="F79" i="11"/>
  <c r="AD115" i="47" s="1"/>
  <c r="E79" i="11"/>
  <c r="D79" i="11"/>
  <c r="D81" i="11"/>
  <c r="K80" i="11"/>
  <c r="AE118" i="47" s="1"/>
  <c r="J80" i="11"/>
  <c r="AE119" i="47" s="1"/>
  <c r="I80" i="11"/>
  <c r="AE116" i="47" s="1"/>
  <c r="H80" i="11"/>
  <c r="AE117" i="47" s="1"/>
  <c r="G80" i="11"/>
  <c r="AE114" i="47" s="1"/>
  <c r="F80" i="11"/>
  <c r="AE115" i="47" s="1"/>
  <c r="E80" i="11"/>
  <c r="D80" i="11"/>
  <c r="J78" i="11"/>
  <c r="AC119" i="47" s="1"/>
  <c r="H78" i="11"/>
  <c r="AC117" i="47" s="1"/>
  <c r="F78" i="11"/>
  <c r="AC115" i="47" s="1"/>
  <c r="K77" i="11"/>
  <c r="AB118" i="47" s="1"/>
  <c r="J77" i="11"/>
  <c r="AB119" i="47" s="1"/>
  <c r="I77" i="11"/>
  <c r="AB116" i="47" s="1"/>
  <c r="H77" i="11"/>
  <c r="AB117" i="47" s="1"/>
  <c r="G77" i="11"/>
  <c r="AB114" i="47" s="1"/>
  <c r="F77" i="11"/>
  <c r="AB115" i="47" s="1"/>
  <c r="E77" i="11"/>
  <c r="D77" i="11"/>
  <c r="K76" i="11"/>
  <c r="AA118" i="47" s="1"/>
  <c r="J76" i="11"/>
  <c r="AA119" i="47" s="1"/>
  <c r="I76" i="11"/>
  <c r="AA116" i="47" s="1"/>
  <c r="H76" i="11"/>
  <c r="AA117" i="47" s="1"/>
  <c r="G76" i="11"/>
  <c r="AA114" i="47" s="1"/>
  <c r="F76" i="11"/>
  <c r="AA115" i="47" s="1"/>
  <c r="E76" i="11"/>
  <c r="D76" i="11"/>
  <c r="K74" i="11"/>
  <c r="Y118" i="47" s="1"/>
  <c r="J74" i="11"/>
  <c r="Y119" i="47" s="1"/>
  <c r="I74" i="11"/>
  <c r="Y116" i="47" s="1"/>
  <c r="H74" i="11"/>
  <c r="Y117" i="47" s="1"/>
  <c r="G74" i="11"/>
  <c r="Y114" i="47" s="1"/>
  <c r="F74" i="11"/>
  <c r="Y115" i="47" s="1"/>
  <c r="E74" i="11"/>
  <c r="D74" i="11"/>
  <c r="K71" i="11"/>
  <c r="V118" i="47" s="1"/>
  <c r="J71" i="11"/>
  <c r="V119" i="47" s="1"/>
  <c r="I71" i="11"/>
  <c r="V116" i="47" s="1"/>
  <c r="H71" i="11"/>
  <c r="V117" i="47" s="1"/>
  <c r="G71" i="11"/>
  <c r="V114" i="47" s="1"/>
  <c r="F71" i="11"/>
  <c r="V115" i="47" s="1"/>
  <c r="E71" i="11"/>
  <c r="D71" i="11"/>
  <c r="Q132" i="9"/>
  <c r="Q137" i="9" s="1"/>
  <c r="AK64" i="45" s="1"/>
  <c r="O132" i="9"/>
  <c r="O133" i="9" s="1"/>
  <c r="M132" i="9"/>
  <c r="M133" i="9" s="1"/>
  <c r="AG62" i="45" s="1"/>
  <c r="K132" i="9"/>
  <c r="K137" i="9" s="1"/>
  <c r="I132" i="9"/>
  <c r="I133" i="9" s="1"/>
  <c r="G132" i="9"/>
  <c r="G133" i="9" s="1"/>
  <c r="E132" i="9"/>
  <c r="E133" i="9" s="1"/>
  <c r="K129" i="9"/>
  <c r="J129" i="9"/>
  <c r="I129" i="9"/>
  <c r="H129" i="9"/>
  <c r="I136" i="9" s="1"/>
  <c r="G129" i="9"/>
  <c r="F129" i="9"/>
  <c r="G136" i="9" s="1"/>
  <c r="E129" i="9"/>
  <c r="D129" i="9"/>
  <c r="E136" i="9" s="1"/>
  <c r="Q128" i="9"/>
  <c r="P128" i="9"/>
  <c r="O128" i="9"/>
  <c r="N128" i="9"/>
  <c r="M128" i="9"/>
  <c r="L128" i="9"/>
  <c r="K128" i="9"/>
  <c r="J128" i="9"/>
  <c r="I128" i="9"/>
  <c r="H128" i="9"/>
  <c r="G128" i="9"/>
  <c r="F128" i="9"/>
  <c r="E128" i="9"/>
  <c r="D128" i="9"/>
  <c r="Q161" i="9"/>
  <c r="AD64" i="45" s="1"/>
  <c r="P161" i="9"/>
  <c r="AD63" i="45" s="1"/>
  <c r="O161" i="9"/>
  <c r="N161" i="9"/>
  <c r="M161" i="9"/>
  <c r="AD62" i="45" s="1"/>
  <c r="L161" i="9"/>
  <c r="AD61" i="45" s="1"/>
  <c r="K161" i="9"/>
  <c r="J161" i="9"/>
  <c r="I161" i="9"/>
  <c r="H161" i="9"/>
  <c r="G161" i="9"/>
  <c r="F161" i="9"/>
  <c r="E161" i="9"/>
  <c r="D161" i="9"/>
  <c r="H163" i="9"/>
  <c r="O129" i="9"/>
  <c r="I46" i="9"/>
  <c r="I47" i="9" s="1"/>
  <c r="H44" i="9"/>
  <c r="G44" i="9"/>
  <c r="F44" i="9"/>
  <c r="E44" i="9"/>
  <c r="I42" i="9"/>
  <c r="H42" i="9"/>
  <c r="G42" i="9"/>
  <c r="F42" i="9"/>
  <c r="E42" i="9"/>
  <c r="D42" i="9"/>
  <c r="I45" i="9" s="1"/>
  <c r="I39" i="9"/>
  <c r="H39" i="9"/>
  <c r="G39" i="9"/>
  <c r="F39" i="9"/>
  <c r="E39" i="9"/>
  <c r="D39" i="9"/>
  <c r="I77" i="9"/>
  <c r="H77" i="9"/>
  <c r="G77" i="9"/>
  <c r="F77" i="9"/>
  <c r="E77" i="9"/>
  <c r="D77" i="9"/>
  <c r="I74" i="9"/>
  <c r="H74" i="9"/>
  <c r="G74" i="9"/>
  <c r="AD60" i="45" s="1"/>
  <c r="F74" i="9"/>
  <c r="E74" i="9"/>
  <c r="D74" i="9"/>
  <c r="AD59" i="45" s="1"/>
  <c r="I72" i="9"/>
  <c r="H72" i="9"/>
  <c r="G72" i="9"/>
  <c r="AB60" i="45" s="1"/>
  <c r="F72" i="9"/>
  <c r="E72" i="9"/>
  <c r="D72" i="9"/>
  <c r="AB59" i="45" s="1"/>
  <c r="I71" i="9"/>
  <c r="H71" i="9"/>
  <c r="G71" i="9"/>
  <c r="AA60" i="45" s="1"/>
  <c r="F71" i="9"/>
  <c r="E71" i="9"/>
  <c r="D71" i="9"/>
  <c r="AA59" i="45" s="1"/>
  <c r="I69" i="9"/>
  <c r="I41" i="9" s="1"/>
  <c r="H69" i="9"/>
  <c r="H41" i="9" s="1"/>
  <c r="G69" i="9"/>
  <c r="Y60" i="45" s="1"/>
  <c r="F69" i="9"/>
  <c r="F41" i="9" s="1"/>
  <c r="E69" i="9"/>
  <c r="E41" i="9" s="1"/>
  <c r="I66" i="9"/>
  <c r="H66" i="9"/>
  <c r="G66" i="9"/>
  <c r="V60" i="45" s="1"/>
  <c r="F66" i="9"/>
  <c r="E66" i="9"/>
  <c r="D66" i="9"/>
  <c r="V59" i="45" s="1"/>
  <c r="I36" i="9"/>
  <c r="H36" i="9"/>
  <c r="G36" i="9"/>
  <c r="F36" i="9"/>
  <c r="E36" i="9"/>
  <c r="D36" i="9"/>
  <c r="T146" i="4"/>
  <c r="R146" i="4"/>
  <c r="P146" i="4"/>
  <c r="N146" i="4"/>
  <c r="T138" i="4"/>
  <c r="S138" i="4"/>
  <c r="R138" i="4"/>
  <c r="Q138" i="4"/>
  <c r="P138" i="4"/>
  <c r="O138" i="4"/>
  <c r="N138" i="4"/>
  <c r="M138" i="4"/>
  <c r="K138" i="4"/>
  <c r="J138" i="4"/>
  <c r="I138" i="4"/>
  <c r="H138" i="4"/>
  <c r="G138" i="4"/>
  <c r="F138" i="4"/>
  <c r="E138" i="4"/>
  <c r="D138" i="4"/>
  <c r="T176" i="4"/>
  <c r="S176" i="4"/>
  <c r="R176" i="4"/>
  <c r="Q176" i="4"/>
  <c r="P176" i="4"/>
  <c r="O176" i="4"/>
  <c r="N176" i="4"/>
  <c r="AD91" i="46" s="1"/>
  <c r="M176" i="4"/>
  <c r="AD92" i="46" s="1"/>
  <c r="L176" i="4"/>
  <c r="K176" i="4"/>
  <c r="J176" i="4"/>
  <c r="I176" i="4"/>
  <c r="AD89" i="46" s="1"/>
  <c r="H176" i="4"/>
  <c r="AD90" i="46" s="1"/>
  <c r="G176" i="4"/>
  <c r="F176" i="4"/>
  <c r="E176" i="4"/>
  <c r="D176" i="4"/>
  <c r="T174" i="4"/>
  <c r="S174" i="4"/>
  <c r="R174" i="4"/>
  <c r="Q174" i="4"/>
  <c r="P174" i="4"/>
  <c r="O174" i="4"/>
  <c r="N174" i="4"/>
  <c r="AB91" i="46" s="1"/>
  <c r="M174" i="4"/>
  <c r="AB92" i="46" s="1"/>
  <c r="K174" i="4"/>
  <c r="J174" i="4"/>
  <c r="I174" i="4"/>
  <c r="AB89" i="46" s="1"/>
  <c r="H174" i="4"/>
  <c r="AB90" i="46" s="1"/>
  <c r="G174" i="4"/>
  <c r="F174" i="4"/>
  <c r="E174" i="4"/>
  <c r="D174" i="4"/>
  <c r="T173" i="4"/>
  <c r="S173" i="4"/>
  <c r="R173" i="4"/>
  <c r="Q173" i="4"/>
  <c r="P173" i="4"/>
  <c r="O173" i="4"/>
  <c r="N173" i="4"/>
  <c r="AA91" i="46" s="1"/>
  <c r="M173" i="4"/>
  <c r="AA92" i="46" s="1"/>
  <c r="K173" i="4"/>
  <c r="J173" i="4"/>
  <c r="I173" i="4"/>
  <c r="AA89" i="46" s="1"/>
  <c r="H173" i="4"/>
  <c r="AA90" i="46" s="1"/>
  <c r="G173" i="4"/>
  <c r="F173" i="4"/>
  <c r="E173" i="4"/>
  <c r="D173" i="4"/>
  <c r="T171" i="4"/>
  <c r="S171" i="4"/>
  <c r="R171" i="4"/>
  <c r="Q171" i="4"/>
  <c r="P171" i="4"/>
  <c r="O171" i="4"/>
  <c r="N171" i="4"/>
  <c r="Y91" i="46" s="1"/>
  <c r="M171" i="4"/>
  <c r="Y92" i="46" s="1"/>
  <c r="K171" i="4"/>
  <c r="J171" i="4"/>
  <c r="I171" i="4"/>
  <c r="Y89" i="46" s="1"/>
  <c r="H171" i="4"/>
  <c r="Y90" i="46" s="1"/>
  <c r="G171" i="4"/>
  <c r="F171" i="4"/>
  <c r="E171" i="4"/>
  <c r="T168" i="4"/>
  <c r="S168" i="4"/>
  <c r="R168" i="4"/>
  <c r="Q168" i="4"/>
  <c r="P168" i="4"/>
  <c r="O168" i="4"/>
  <c r="N168" i="4"/>
  <c r="V91" i="46" s="1"/>
  <c r="M168" i="4"/>
  <c r="V92" i="46" s="1"/>
  <c r="K168" i="4"/>
  <c r="J168" i="4"/>
  <c r="I168" i="4"/>
  <c r="V89" i="46" s="1"/>
  <c r="H168" i="4"/>
  <c r="V90" i="46" s="1"/>
  <c r="G168" i="4"/>
  <c r="F168" i="4"/>
  <c r="E168" i="4"/>
  <c r="D168" i="4"/>
  <c r="T134" i="4"/>
  <c r="S134" i="4"/>
  <c r="R134" i="4"/>
  <c r="Q134" i="4"/>
  <c r="P134" i="4"/>
  <c r="O134" i="4"/>
  <c r="N134" i="4"/>
  <c r="M134" i="4"/>
  <c r="K134" i="4"/>
  <c r="J134" i="4"/>
  <c r="I134" i="4"/>
  <c r="H134" i="4"/>
  <c r="G134" i="4"/>
  <c r="F134" i="4"/>
  <c r="E134" i="4"/>
  <c r="D134" i="4"/>
  <c r="G54" i="4"/>
  <c r="G53" i="4"/>
  <c r="E53" i="4"/>
  <c r="G52" i="4"/>
  <c r="E52" i="4"/>
  <c r="G63" i="4"/>
  <c r="F63" i="4"/>
  <c r="E63" i="4"/>
  <c r="D63" i="4"/>
  <c r="G60" i="4"/>
  <c r="F60" i="4"/>
  <c r="E60" i="4"/>
  <c r="D60" i="4"/>
  <c r="D43" i="4"/>
  <c r="G94" i="4"/>
  <c r="AD11" i="44" s="1"/>
  <c r="F94" i="4"/>
  <c r="AD10" i="44" s="1"/>
  <c r="E94" i="4"/>
  <c r="AD9" i="44" s="1"/>
  <c r="D94" i="4"/>
  <c r="AD8" i="44" s="1"/>
  <c r="G93" i="4"/>
  <c r="AC11" i="44" s="1"/>
  <c r="E93" i="4"/>
  <c r="AC9" i="44" s="1"/>
  <c r="G92" i="4"/>
  <c r="AB11" i="44" s="1"/>
  <c r="F92" i="4"/>
  <c r="AB10" i="44" s="1"/>
  <c r="E92" i="4"/>
  <c r="AB9" i="44" s="1"/>
  <c r="D92" i="4"/>
  <c r="AB8" i="44" s="1"/>
  <c r="G91" i="4"/>
  <c r="AA11" i="44" s="1"/>
  <c r="F91" i="4"/>
  <c r="AA10" i="44" s="1"/>
  <c r="E91" i="4"/>
  <c r="AA9" i="44" s="1"/>
  <c r="D91" i="4"/>
  <c r="AA8" i="44" s="1"/>
  <c r="G62" i="4"/>
  <c r="E62" i="4"/>
  <c r="G89" i="4"/>
  <c r="Y11" i="44" s="1"/>
  <c r="F89" i="4"/>
  <c r="Y10" i="44" s="1"/>
  <c r="E89" i="4"/>
  <c r="Y9" i="44" s="1"/>
  <c r="G44" i="4"/>
  <c r="E44" i="4"/>
  <c r="G86" i="4"/>
  <c r="V11" i="44" s="1"/>
  <c r="F86" i="4"/>
  <c r="V10" i="44" s="1"/>
  <c r="E86" i="4"/>
  <c r="V9" i="44" s="1"/>
  <c r="D86" i="4"/>
  <c r="V8" i="44" s="1"/>
  <c r="F46" i="34"/>
  <c r="E46" i="34"/>
  <c r="F45" i="34"/>
  <c r="E45" i="34"/>
  <c r="D45" i="34"/>
  <c r="F44" i="34"/>
  <c r="F72" i="34" s="1"/>
  <c r="Y14" i="44" s="1"/>
  <c r="E44" i="34"/>
  <c r="E72" i="34" s="1"/>
  <c r="Y13" i="44" s="1"/>
  <c r="D44" i="34"/>
  <c r="F43" i="34"/>
  <c r="E43" i="34"/>
  <c r="D43" i="34"/>
  <c r="D42" i="34"/>
  <c r="D69" i="34" s="1"/>
  <c r="V12" i="44" s="1"/>
  <c r="F41" i="34"/>
  <c r="E41" i="34"/>
  <c r="D41" i="34"/>
  <c r="F77" i="34"/>
  <c r="AD14" i="44" s="1"/>
  <c r="E77" i="34"/>
  <c r="AD13" i="44" s="1"/>
  <c r="D77" i="34"/>
  <c r="AD12" i="44" s="1"/>
  <c r="F76" i="34"/>
  <c r="AC14" i="44" s="1"/>
  <c r="E76" i="34"/>
  <c r="AC13" i="44" s="1"/>
  <c r="F75" i="34"/>
  <c r="AB14" i="44" s="1"/>
  <c r="E75" i="34"/>
  <c r="AB13" i="44" s="1"/>
  <c r="D75" i="34"/>
  <c r="AB12" i="44" s="1"/>
  <c r="F74" i="34"/>
  <c r="AA14" i="44" s="1"/>
  <c r="E74" i="34"/>
  <c r="AA13" i="44" s="1"/>
  <c r="D74" i="34"/>
  <c r="AA12" i="44" s="1"/>
  <c r="D37" i="34"/>
  <c r="E66" i="34" s="1"/>
  <c r="N95" i="14"/>
  <c r="I95" i="14"/>
  <c r="G95" i="14"/>
  <c r="AD18" i="44" s="1"/>
  <c r="F95" i="14"/>
  <c r="E95" i="14"/>
  <c r="D95" i="14"/>
  <c r="AD17" i="44" s="1"/>
  <c r="N94" i="14"/>
  <c r="M94" i="14"/>
  <c r="AC19" i="44" s="1"/>
  <c r="I94" i="14"/>
  <c r="G94" i="14"/>
  <c r="AC18" i="44" s="1"/>
  <c r="N93" i="14"/>
  <c r="I93" i="14"/>
  <c r="N92" i="14"/>
  <c r="M92" i="14"/>
  <c r="AA19" i="44" s="1"/>
  <c r="I92" i="14"/>
  <c r="N85" i="14"/>
  <c r="M85" i="14"/>
  <c r="I85" i="14"/>
  <c r="G85" i="14"/>
  <c r="F85" i="14"/>
  <c r="E85" i="14"/>
  <c r="D85" i="14"/>
  <c r="T17" i="44" s="1"/>
  <c r="N66" i="14"/>
  <c r="I66" i="14"/>
  <c r="N62" i="14"/>
  <c r="M62" i="14"/>
  <c r="I62" i="14"/>
  <c r="N59" i="14"/>
  <c r="M59" i="14"/>
  <c r="I59" i="14"/>
  <c r="M55" i="14"/>
  <c r="M93" i="14" s="1"/>
  <c r="AB19" i="44" s="1"/>
  <c r="G55" i="14"/>
  <c r="F55" i="14"/>
  <c r="E55" i="14"/>
  <c r="E93" i="14" s="1"/>
  <c r="D55" i="14"/>
  <c r="G54" i="14"/>
  <c r="G92" i="14" s="1"/>
  <c r="AA18" i="44" s="1"/>
  <c r="F54" i="14"/>
  <c r="E54" i="14"/>
  <c r="E57" i="14" s="1"/>
  <c r="D54" i="14"/>
  <c r="D92" i="14" s="1"/>
  <c r="AA17" i="44" s="1"/>
  <c r="N52" i="14"/>
  <c r="N53" i="14" s="1"/>
  <c r="M52" i="14"/>
  <c r="M53" i="14" s="1"/>
  <c r="I52" i="14"/>
  <c r="I53" i="14" s="1"/>
  <c r="G52" i="14"/>
  <c r="F52" i="14"/>
  <c r="E52" i="14"/>
  <c r="D52" i="14"/>
  <c r="D53" i="14" s="1"/>
  <c r="M49" i="14"/>
  <c r="L49" i="14"/>
  <c r="K49" i="14"/>
  <c r="J49" i="14"/>
  <c r="I49" i="14"/>
  <c r="N47" i="14"/>
  <c r="M47" i="14"/>
  <c r="L47" i="14"/>
  <c r="K47" i="14"/>
  <c r="J47" i="14"/>
  <c r="I47" i="14"/>
  <c r="G47" i="14"/>
  <c r="F47" i="14"/>
  <c r="E47" i="14"/>
  <c r="D47" i="14"/>
  <c r="D36" i="14"/>
  <c r="D27" i="14"/>
  <c r="D25" i="14"/>
  <c r="D31" i="14" s="1"/>
  <c r="D21" i="14"/>
  <c r="D23" i="14" s="1"/>
  <c r="D29" i="14" s="1"/>
  <c r="G261" i="23"/>
  <c r="G271" i="23" s="1"/>
  <c r="F261" i="23"/>
  <c r="F271" i="23" s="1"/>
  <c r="AG30" i="44" s="1"/>
  <c r="E261" i="23"/>
  <c r="E271" i="23" s="1"/>
  <c r="AG29" i="44" s="1"/>
  <c r="D261" i="23"/>
  <c r="G298" i="23"/>
  <c r="F298" i="23"/>
  <c r="AD30" i="44" s="1"/>
  <c r="E298" i="23"/>
  <c r="AD29" i="44" s="1"/>
  <c r="D298" i="23"/>
  <c r="AD28" i="44" s="1"/>
  <c r="G300" i="23"/>
  <c r="F300" i="23"/>
  <c r="AF30" i="44" s="1"/>
  <c r="E300" i="23"/>
  <c r="AF29" i="44" s="1"/>
  <c r="D300" i="23"/>
  <c r="AF28" i="44" s="1"/>
  <c r="G299" i="23"/>
  <c r="F299" i="23"/>
  <c r="AE30" i="44" s="1"/>
  <c r="E299" i="23"/>
  <c r="AE29" i="44" s="1"/>
  <c r="D299" i="23"/>
  <c r="AE28" i="44" s="1"/>
  <c r="G290" i="23"/>
  <c r="F290" i="23"/>
  <c r="V30" i="44" s="1"/>
  <c r="E290" i="23"/>
  <c r="V29" i="44" s="1"/>
  <c r="D290" i="23"/>
  <c r="V28" i="44" s="1"/>
  <c r="D225" i="23"/>
  <c r="D226" i="23" s="1"/>
  <c r="K160" i="23"/>
  <c r="J160" i="23"/>
  <c r="J169" i="23" s="1"/>
  <c r="I160" i="23"/>
  <c r="G160" i="23"/>
  <c r="E160" i="23"/>
  <c r="E169" i="23" s="1"/>
  <c r="AG24" i="44" s="1"/>
  <c r="K196" i="23"/>
  <c r="AD27" i="44" s="1"/>
  <c r="J196" i="23"/>
  <c r="I196" i="23"/>
  <c r="H196" i="23"/>
  <c r="AD26" i="44" s="1"/>
  <c r="G196" i="23"/>
  <c r="AD25" i="44" s="1"/>
  <c r="F196" i="23"/>
  <c r="E196" i="23"/>
  <c r="AD24" i="44" s="1"/>
  <c r="D196" i="23"/>
  <c r="AD23" i="44" s="1"/>
  <c r="K197" i="23"/>
  <c r="AE27" i="44" s="1"/>
  <c r="J197" i="23"/>
  <c r="I197" i="23"/>
  <c r="H197" i="23"/>
  <c r="AE26" i="44" s="1"/>
  <c r="G197" i="23"/>
  <c r="AE25" i="44" s="1"/>
  <c r="F197" i="23"/>
  <c r="E197" i="23"/>
  <c r="AE24" i="44" s="1"/>
  <c r="D197" i="23"/>
  <c r="AE23" i="44" s="1"/>
  <c r="H195" i="23"/>
  <c r="D195" i="23"/>
  <c r="K188" i="23"/>
  <c r="V27" i="44" s="1"/>
  <c r="J188" i="23"/>
  <c r="I188" i="23"/>
  <c r="H188" i="23"/>
  <c r="V26" i="44" s="1"/>
  <c r="G188" i="23"/>
  <c r="V25" i="44" s="1"/>
  <c r="F188" i="23"/>
  <c r="E188" i="23"/>
  <c r="V24" i="44" s="1"/>
  <c r="D188" i="23"/>
  <c r="V23" i="44" s="1"/>
  <c r="K185" i="23"/>
  <c r="S27" i="44" s="1"/>
  <c r="J185" i="23"/>
  <c r="I185" i="23"/>
  <c r="I161" i="23" s="1"/>
  <c r="H185" i="23"/>
  <c r="S26" i="44" s="1"/>
  <c r="G185" i="23"/>
  <c r="F185" i="23"/>
  <c r="S25" i="44" s="1"/>
  <c r="E185" i="23"/>
  <c r="S24" i="44" s="1"/>
  <c r="D185" i="23"/>
  <c r="S23" i="44" s="1"/>
  <c r="K154" i="23"/>
  <c r="J154" i="23"/>
  <c r="I154" i="23"/>
  <c r="H154" i="23"/>
  <c r="G154" i="23"/>
  <c r="F154" i="23"/>
  <c r="E154" i="23"/>
  <c r="D154" i="23"/>
  <c r="D122" i="23"/>
  <c r="H58" i="23"/>
  <c r="H67" i="23" s="1"/>
  <c r="AG22" i="44" s="1"/>
  <c r="G58" i="23"/>
  <c r="F58" i="23"/>
  <c r="E58" i="23"/>
  <c r="E67" i="23" s="1"/>
  <c r="H94" i="23"/>
  <c r="AD22" i="44" s="1"/>
  <c r="G94" i="23"/>
  <c r="AD21" i="44" s="1"/>
  <c r="F94" i="23"/>
  <c r="E94" i="23"/>
  <c r="D94" i="23"/>
  <c r="AD20" i="44" s="1"/>
  <c r="H95" i="23"/>
  <c r="AE22" i="44" s="1"/>
  <c r="G95" i="23"/>
  <c r="AE21" i="44" s="1"/>
  <c r="F95" i="23"/>
  <c r="E95" i="23"/>
  <c r="D95" i="23"/>
  <c r="AE20" i="44" s="1"/>
  <c r="D93" i="23"/>
  <c r="H86" i="23"/>
  <c r="V22" i="44" s="1"/>
  <c r="G86" i="23"/>
  <c r="V21" i="44" s="1"/>
  <c r="F86" i="23"/>
  <c r="E86" i="23"/>
  <c r="D86" i="23"/>
  <c r="V20" i="44" s="1"/>
  <c r="H52" i="23"/>
  <c r="G52" i="23"/>
  <c r="F52" i="23"/>
  <c r="E52" i="23"/>
  <c r="D52" i="23"/>
  <c r="D24" i="23"/>
  <c r="D26" i="23" s="1"/>
  <c r="J355" i="3"/>
  <c r="H355" i="3"/>
  <c r="F355" i="3"/>
  <c r="D355" i="3"/>
  <c r="K354" i="3"/>
  <c r="J354" i="3"/>
  <c r="I354" i="3"/>
  <c r="H354" i="3"/>
  <c r="G354" i="3"/>
  <c r="F354" i="3"/>
  <c r="E354" i="3"/>
  <c r="D354" i="3"/>
  <c r="K352" i="3"/>
  <c r="K385" i="3" s="1"/>
  <c r="Y136" i="47" s="1"/>
  <c r="J352" i="3"/>
  <c r="I352" i="3"/>
  <c r="I385" i="3" s="1"/>
  <c r="Y134" i="47" s="1"/>
  <c r="H352" i="3"/>
  <c r="H385" i="3" s="1"/>
  <c r="Y135" i="47" s="1"/>
  <c r="G352" i="3"/>
  <c r="G385" i="3" s="1"/>
  <c r="F352" i="3"/>
  <c r="E352" i="3"/>
  <c r="E385" i="3" s="1"/>
  <c r="D352" i="3"/>
  <c r="D385" i="3" s="1"/>
  <c r="K351" i="3"/>
  <c r="J351" i="3"/>
  <c r="I351" i="3"/>
  <c r="H351" i="3"/>
  <c r="G351" i="3"/>
  <c r="E351" i="3"/>
  <c r="D351" i="3"/>
  <c r="K348" i="3"/>
  <c r="J348" i="3"/>
  <c r="I348" i="3"/>
  <c r="H348" i="3"/>
  <c r="G348" i="3"/>
  <c r="F348" i="3"/>
  <c r="E348" i="3"/>
  <c r="D348" i="3"/>
  <c r="K390" i="3"/>
  <c r="AD136" i="47" s="1"/>
  <c r="J390" i="3"/>
  <c r="AD137" i="47" s="1"/>
  <c r="I390" i="3"/>
  <c r="AD134" i="47" s="1"/>
  <c r="H390" i="3"/>
  <c r="AD135" i="47" s="1"/>
  <c r="G390" i="3"/>
  <c r="F390" i="3"/>
  <c r="E390" i="3"/>
  <c r="D390" i="3"/>
  <c r="K392" i="3"/>
  <c r="AF136" i="47" s="1"/>
  <c r="J392" i="3"/>
  <c r="AF137" i="47" s="1"/>
  <c r="I392" i="3"/>
  <c r="AF134" i="47" s="1"/>
  <c r="H392" i="3"/>
  <c r="AF135" i="47" s="1"/>
  <c r="G392" i="3"/>
  <c r="F392" i="3"/>
  <c r="E392" i="3"/>
  <c r="D392" i="3"/>
  <c r="K389" i="3"/>
  <c r="J389" i="3"/>
  <c r="AC137" i="47" s="1"/>
  <c r="I389" i="3"/>
  <c r="H389" i="3"/>
  <c r="AC135" i="47" s="1"/>
  <c r="G389" i="3"/>
  <c r="F389" i="3"/>
  <c r="E389" i="3"/>
  <c r="D389" i="3"/>
  <c r="K388" i="3"/>
  <c r="AB136" i="47" s="1"/>
  <c r="J388" i="3"/>
  <c r="AB137" i="47" s="1"/>
  <c r="I388" i="3"/>
  <c r="AB134" i="47" s="1"/>
  <c r="G388" i="3"/>
  <c r="F388" i="3"/>
  <c r="E388" i="3"/>
  <c r="D388" i="3"/>
  <c r="K387" i="3"/>
  <c r="AA136" i="47" s="1"/>
  <c r="J387" i="3"/>
  <c r="AA137" i="47" s="1"/>
  <c r="I387" i="3"/>
  <c r="AA134" i="47" s="1"/>
  <c r="H387" i="3"/>
  <c r="AA135" i="47" s="1"/>
  <c r="G387" i="3"/>
  <c r="F387" i="3"/>
  <c r="E387" i="3"/>
  <c r="D387" i="3"/>
  <c r="K380" i="3"/>
  <c r="T136" i="47" s="1"/>
  <c r="J380" i="3"/>
  <c r="T137" i="47" s="1"/>
  <c r="I380" i="3"/>
  <c r="T134" i="47" s="1"/>
  <c r="H380" i="3"/>
  <c r="T135" i="47" s="1"/>
  <c r="G380" i="3"/>
  <c r="F380" i="3"/>
  <c r="E380" i="3"/>
  <c r="D380" i="3"/>
  <c r="D326" i="3"/>
  <c r="H261" i="3"/>
  <c r="F261" i="3"/>
  <c r="D261" i="3"/>
  <c r="I259" i="3"/>
  <c r="H259" i="3"/>
  <c r="G259" i="3"/>
  <c r="F259" i="3"/>
  <c r="E259" i="3"/>
  <c r="D259" i="3"/>
  <c r="I254" i="3"/>
  <c r="H254" i="3"/>
  <c r="G254" i="3"/>
  <c r="F254" i="3"/>
  <c r="E254" i="3"/>
  <c r="D254" i="3"/>
  <c r="I252" i="3"/>
  <c r="H252" i="3"/>
  <c r="G252" i="3"/>
  <c r="F252" i="3"/>
  <c r="F287" i="3" s="1"/>
  <c r="E252" i="3"/>
  <c r="E287" i="3" s="1"/>
  <c r="D252" i="3"/>
  <c r="I250" i="3"/>
  <c r="H250" i="3"/>
  <c r="G250" i="3"/>
  <c r="F250" i="3"/>
  <c r="E250" i="3"/>
  <c r="D250" i="3"/>
  <c r="I292" i="3"/>
  <c r="AD37" i="44" s="1"/>
  <c r="H292" i="3"/>
  <c r="AD38" i="44" s="1"/>
  <c r="G292" i="3"/>
  <c r="F292" i="3"/>
  <c r="E292" i="3"/>
  <c r="D292" i="3"/>
  <c r="I294" i="3"/>
  <c r="AF37" i="44" s="1"/>
  <c r="H294" i="3"/>
  <c r="AF38" i="44" s="1"/>
  <c r="G294" i="3"/>
  <c r="F294" i="3"/>
  <c r="E294" i="3"/>
  <c r="D294" i="3"/>
  <c r="I290" i="3"/>
  <c r="AB37" i="44" s="1"/>
  <c r="H290" i="3"/>
  <c r="AB38" i="44" s="1"/>
  <c r="G290" i="3"/>
  <c r="F290" i="3"/>
  <c r="E290" i="3"/>
  <c r="D290" i="3"/>
  <c r="I289" i="3"/>
  <c r="AA37" i="44" s="1"/>
  <c r="H289" i="3"/>
  <c r="AA38" i="44" s="1"/>
  <c r="G289" i="3"/>
  <c r="F289" i="3"/>
  <c r="E289" i="3"/>
  <c r="D289" i="3"/>
  <c r="I287" i="3"/>
  <c r="Y37" i="44" s="1"/>
  <c r="H233" i="3"/>
  <c r="H167" i="3"/>
  <c r="AI36" i="44" s="1"/>
  <c r="F167" i="3"/>
  <c r="AI34" i="44" s="1"/>
  <c r="D167" i="3"/>
  <c r="AI32" i="44" s="1"/>
  <c r="H166" i="3"/>
  <c r="AH36" i="44" s="1"/>
  <c r="F166" i="3"/>
  <c r="AH34" i="44" s="1"/>
  <c r="D166" i="3"/>
  <c r="AH32" i="44" s="1"/>
  <c r="H163" i="3"/>
  <c r="F163" i="3"/>
  <c r="D163" i="3"/>
  <c r="H162" i="3"/>
  <c r="F162" i="3"/>
  <c r="D162" i="3"/>
  <c r="H158" i="3"/>
  <c r="F158" i="3"/>
  <c r="D158" i="3"/>
  <c r="H157" i="3"/>
  <c r="F157" i="3"/>
  <c r="D157" i="3"/>
  <c r="I193" i="3"/>
  <c r="AD35" i="44" s="1"/>
  <c r="H193" i="3"/>
  <c r="AD36" i="44" s="1"/>
  <c r="G193" i="3"/>
  <c r="AD33" i="44" s="1"/>
  <c r="F193" i="3"/>
  <c r="AD34" i="44" s="1"/>
  <c r="E193" i="3"/>
  <c r="AD31" i="44" s="1"/>
  <c r="D193" i="3"/>
  <c r="AD32" i="44" s="1"/>
  <c r="I195" i="3"/>
  <c r="AF35" i="44" s="1"/>
  <c r="H195" i="3"/>
  <c r="AF36" i="44" s="1"/>
  <c r="G195" i="3"/>
  <c r="AF33" i="44" s="1"/>
  <c r="F195" i="3"/>
  <c r="AF34" i="44" s="1"/>
  <c r="E195" i="3"/>
  <c r="AF31" i="44" s="1"/>
  <c r="D195" i="3"/>
  <c r="AF32" i="44" s="1"/>
  <c r="I194" i="3"/>
  <c r="AE35" i="44" s="1"/>
  <c r="H194" i="3"/>
  <c r="AE36" i="44" s="1"/>
  <c r="I192" i="3"/>
  <c r="AC35" i="44" s="1"/>
  <c r="H192" i="3"/>
  <c r="AC36" i="44" s="1"/>
  <c r="G192" i="3"/>
  <c r="AC33" i="44" s="1"/>
  <c r="F192" i="3"/>
  <c r="AC34" i="44" s="1"/>
  <c r="E192" i="3"/>
  <c r="AC31" i="44" s="1"/>
  <c r="D192" i="3"/>
  <c r="AC32" i="44" s="1"/>
  <c r="I191" i="3"/>
  <c r="AB35" i="44" s="1"/>
  <c r="H191" i="3"/>
  <c r="AB36" i="44" s="1"/>
  <c r="G191" i="3"/>
  <c r="AB33" i="44" s="1"/>
  <c r="F191" i="3"/>
  <c r="AB34" i="44" s="1"/>
  <c r="E191" i="3"/>
  <c r="AB31" i="44" s="1"/>
  <c r="D191" i="3"/>
  <c r="AB32" i="44" s="1"/>
  <c r="I190" i="3"/>
  <c r="AA35" i="44" s="1"/>
  <c r="H190" i="3"/>
  <c r="AA36" i="44" s="1"/>
  <c r="G190" i="3"/>
  <c r="AA33" i="44" s="1"/>
  <c r="F190" i="3"/>
  <c r="AA34" i="44" s="1"/>
  <c r="E190" i="3"/>
  <c r="AA31" i="44" s="1"/>
  <c r="D190" i="3"/>
  <c r="AA32" i="44" s="1"/>
  <c r="I188" i="3"/>
  <c r="Y35" i="44" s="1"/>
  <c r="H188" i="3"/>
  <c r="Y36" i="44" s="1"/>
  <c r="G188" i="3"/>
  <c r="Y33" i="44" s="1"/>
  <c r="F188" i="3"/>
  <c r="Y34" i="44" s="1"/>
  <c r="E188" i="3"/>
  <c r="Y31" i="44" s="1"/>
  <c r="D188" i="3"/>
  <c r="Y32" i="44" s="1"/>
  <c r="D183" i="3"/>
  <c r="E183" i="3" s="1"/>
  <c r="T31" i="44" s="1"/>
  <c r="C134" i="3"/>
  <c r="C133" i="3"/>
  <c r="C132" i="3"/>
  <c r="D182" i="3" s="1"/>
  <c r="I128" i="3"/>
  <c r="H128" i="3"/>
  <c r="G128" i="3"/>
  <c r="I127" i="3"/>
  <c r="H127" i="3"/>
  <c r="G127" i="3"/>
  <c r="I126" i="3"/>
  <c r="H126" i="3"/>
  <c r="G126" i="3"/>
  <c r="I125" i="3"/>
  <c r="H125" i="3"/>
  <c r="G125" i="3"/>
  <c r="D66" i="3"/>
  <c r="D61" i="3"/>
  <c r="D71" i="3" s="1"/>
  <c r="D60" i="3"/>
  <c r="D70" i="3" s="1"/>
  <c r="AH7" i="44" s="1"/>
  <c r="D58" i="3"/>
  <c r="D67" i="3" s="1"/>
  <c r="E56" i="3"/>
  <c r="E64" i="3" s="1"/>
  <c r="D56" i="3"/>
  <c r="D64" i="3" s="1"/>
  <c r="E55" i="3"/>
  <c r="E63" i="3" s="1"/>
  <c r="D55" i="3"/>
  <c r="D63" i="3" s="1"/>
  <c r="D54" i="3"/>
  <c r="D53" i="3"/>
  <c r="E52" i="3"/>
  <c r="E62" i="3" s="1"/>
  <c r="D52" i="3"/>
  <c r="E96" i="3"/>
  <c r="AD6" i="44" s="1"/>
  <c r="D96" i="3"/>
  <c r="AD7" i="44" s="1"/>
  <c r="E98" i="3"/>
  <c r="AF6" i="44" s="1"/>
  <c r="D98" i="3"/>
  <c r="AF7" i="44" s="1"/>
  <c r="E97" i="3"/>
  <c r="AE6" i="44" s="1"/>
  <c r="D97" i="3"/>
  <c r="AE7" i="44" s="1"/>
  <c r="E95" i="3"/>
  <c r="D95" i="3"/>
  <c r="AC7" i="44" s="1"/>
  <c r="E94" i="3"/>
  <c r="AB6" i="44" s="1"/>
  <c r="D94" i="3"/>
  <c r="AB7" i="44" s="1"/>
  <c r="E93" i="3"/>
  <c r="AA6" i="44" s="1"/>
  <c r="D93" i="3"/>
  <c r="AA7" i="44" s="1"/>
  <c r="E91" i="3"/>
  <c r="Y6" i="44" s="1"/>
  <c r="D91" i="3"/>
  <c r="Y7" i="44" s="1"/>
  <c r="D35" i="3"/>
  <c r="D28" i="3"/>
  <c r="D29" i="3" s="1"/>
  <c r="D25" i="3"/>
  <c r="AF85" i="36"/>
  <c r="E89" i="27"/>
  <c r="AC86" i="46" s="1"/>
  <c r="E88" i="27"/>
  <c r="AB86" i="46" s="1"/>
  <c r="D88" i="27"/>
  <c r="AB85" i="46" s="1"/>
  <c r="E87" i="27"/>
  <c r="AA86" i="46" s="1"/>
  <c r="D87" i="27"/>
  <c r="AA85" i="46" s="1"/>
  <c r="O323" i="22"/>
  <c r="M323" i="22"/>
  <c r="K323" i="22"/>
  <c r="I323" i="22"/>
  <c r="G323" i="22"/>
  <c r="O303" i="22"/>
  <c r="M303" i="22"/>
  <c r="K303" i="22"/>
  <c r="I303" i="22"/>
  <c r="G303" i="22"/>
  <c r="O299" i="22"/>
  <c r="N299" i="22"/>
  <c r="M299" i="22"/>
  <c r="L299" i="22"/>
  <c r="K299" i="22"/>
  <c r="J299" i="22"/>
  <c r="I299" i="22"/>
  <c r="H299" i="22"/>
  <c r="G299" i="22"/>
  <c r="F299" i="22"/>
  <c r="E299" i="22"/>
  <c r="D299" i="22"/>
  <c r="O296" i="22"/>
  <c r="N296" i="22"/>
  <c r="M296" i="22"/>
  <c r="L296" i="22"/>
  <c r="K296" i="22"/>
  <c r="K305" i="22" s="1"/>
  <c r="J296" i="22"/>
  <c r="I296" i="22"/>
  <c r="I306" i="22" s="1"/>
  <c r="H296" i="22"/>
  <c r="G296" i="22"/>
  <c r="F296" i="22"/>
  <c r="E296" i="22"/>
  <c r="E306" i="22" s="1"/>
  <c r="D296" i="22"/>
  <c r="O294" i="22"/>
  <c r="N294" i="22"/>
  <c r="M294" i="22"/>
  <c r="L294" i="22"/>
  <c r="K294" i="22"/>
  <c r="J294" i="22"/>
  <c r="J292" i="22" s="1"/>
  <c r="I294" i="22"/>
  <c r="H294" i="22"/>
  <c r="G294" i="22"/>
  <c r="F294" i="22"/>
  <c r="E294" i="22"/>
  <c r="D294" i="22"/>
  <c r="O292" i="22"/>
  <c r="O291" i="22"/>
  <c r="N291" i="22"/>
  <c r="M291" i="22"/>
  <c r="L291" i="22"/>
  <c r="K291" i="22"/>
  <c r="J291" i="22"/>
  <c r="I291" i="22"/>
  <c r="H291" i="22"/>
  <c r="G291" i="22"/>
  <c r="F291" i="22"/>
  <c r="E291" i="22"/>
  <c r="D291" i="22"/>
  <c r="O355" i="22"/>
  <c r="AD40" i="44" s="1"/>
  <c r="N355" i="22"/>
  <c r="M355" i="22"/>
  <c r="L355" i="22"/>
  <c r="K355" i="22"/>
  <c r="J355" i="22"/>
  <c r="I355" i="22"/>
  <c r="H355" i="22"/>
  <c r="G355" i="22"/>
  <c r="F355" i="22"/>
  <c r="E355" i="22"/>
  <c r="AD39" i="44" s="1"/>
  <c r="D355" i="22"/>
  <c r="O357" i="22"/>
  <c r="AF40" i="44" s="1"/>
  <c r="N357" i="22"/>
  <c r="M357" i="22"/>
  <c r="L357" i="22"/>
  <c r="K357" i="22"/>
  <c r="J357" i="22"/>
  <c r="I357" i="22"/>
  <c r="H357" i="22"/>
  <c r="G357" i="22"/>
  <c r="F357" i="22"/>
  <c r="E357" i="22"/>
  <c r="AF39" i="44" s="1"/>
  <c r="D357" i="22"/>
  <c r="O356" i="22"/>
  <c r="AE40" i="44" s="1"/>
  <c r="N356" i="22"/>
  <c r="M356" i="22"/>
  <c r="L356" i="22"/>
  <c r="K356" i="22"/>
  <c r="J356" i="22"/>
  <c r="I356" i="22"/>
  <c r="H356" i="22"/>
  <c r="G356" i="22"/>
  <c r="F356" i="22"/>
  <c r="E356" i="22"/>
  <c r="AE39" i="44" s="1"/>
  <c r="D356" i="22"/>
  <c r="O354" i="22"/>
  <c r="AC40" i="44" s="1"/>
  <c r="N354" i="22"/>
  <c r="M354" i="22"/>
  <c r="L354" i="22"/>
  <c r="K354" i="22"/>
  <c r="J354" i="22"/>
  <c r="I354" i="22"/>
  <c r="H354" i="22"/>
  <c r="G354" i="22"/>
  <c r="F354" i="22"/>
  <c r="E354" i="22"/>
  <c r="D354" i="22"/>
  <c r="O353" i="22"/>
  <c r="AB40" i="44" s="1"/>
  <c r="N353" i="22"/>
  <c r="M353" i="22"/>
  <c r="L353" i="22"/>
  <c r="K353" i="22"/>
  <c r="J353" i="22"/>
  <c r="I353" i="22"/>
  <c r="H353" i="22"/>
  <c r="G353" i="22"/>
  <c r="F353" i="22"/>
  <c r="E353" i="22"/>
  <c r="AB39" i="44" s="1"/>
  <c r="D353" i="22"/>
  <c r="O352" i="22"/>
  <c r="AA40" i="44" s="1"/>
  <c r="N352" i="22"/>
  <c r="M352" i="22"/>
  <c r="L352" i="22"/>
  <c r="K352" i="22"/>
  <c r="J352" i="22"/>
  <c r="I352" i="22"/>
  <c r="H352" i="22"/>
  <c r="G352" i="22"/>
  <c r="F352" i="22"/>
  <c r="E352" i="22"/>
  <c r="AA39" i="44" s="1"/>
  <c r="D352" i="22"/>
  <c r="O347" i="22"/>
  <c r="V40" i="44" s="1"/>
  <c r="N347" i="22"/>
  <c r="M347" i="22"/>
  <c r="L347" i="22"/>
  <c r="K347" i="22"/>
  <c r="J347" i="22"/>
  <c r="I347" i="22"/>
  <c r="H347" i="22"/>
  <c r="G347" i="22"/>
  <c r="F347" i="22"/>
  <c r="E347" i="22"/>
  <c r="V39" i="44" s="1"/>
  <c r="D347" i="22"/>
  <c r="O286" i="22"/>
  <c r="O324" i="22" s="1"/>
  <c r="M286" i="22"/>
  <c r="M324" i="22" s="1"/>
  <c r="K286" i="22"/>
  <c r="K324" i="22" s="1"/>
  <c r="I286" i="22"/>
  <c r="I324" i="22" s="1"/>
  <c r="G286" i="22"/>
  <c r="C254" i="22"/>
  <c r="E253" i="22"/>
  <c r="D253" i="22"/>
  <c r="C253" i="22"/>
  <c r="G249" i="22"/>
  <c r="F249" i="22"/>
  <c r="E249" i="22"/>
  <c r="D249" i="22"/>
  <c r="E254" i="22" s="1"/>
  <c r="C249" i="22"/>
  <c r="G248" i="22"/>
  <c r="F248" i="22"/>
  <c r="E248" i="22"/>
  <c r="D248" i="22"/>
  <c r="D254" i="22" s="1"/>
  <c r="C248" i="22"/>
  <c r="J181" i="22"/>
  <c r="I181" i="22"/>
  <c r="H181" i="22"/>
  <c r="G181" i="22"/>
  <c r="F181" i="22"/>
  <c r="E181" i="22"/>
  <c r="F182" i="22"/>
  <c r="D182" i="22"/>
  <c r="J178" i="22"/>
  <c r="I178" i="22"/>
  <c r="H178" i="22"/>
  <c r="G178" i="22"/>
  <c r="F178" i="22"/>
  <c r="E178" i="22"/>
  <c r="D178" i="22"/>
  <c r="J176" i="22"/>
  <c r="J177" i="22" s="1"/>
  <c r="I176" i="22"/>
  <c r="I177" i="22" s="1"/>
  <c r="H176" i="22"/>
  <c r="H177" i="22" s="1"/>
  <c r="G176" i="22"/>
  <c r="G177" i="22" s="1"/>
  <c r="F176" i="22"/>
  <c r="F177" i="22" s="1"/>
  <c r="E176" i="22"/>
  <c r="E177" i="22" s="1"/>
  <c r="D176" i="22"/>
  <c r="D177" i="22" s="1"/>
  <c r="J175" i="22"/>
  <c r="I175" i="22"/>
  <c r="H175" i="22"/>
  <c r="G175" i="22"/>
  <c r="F175" i="22"/>
  <c r="E175" i="22"/>
  <c r="D175" i="22"/>
  <c r="J174" i="22"/>
  <c r="I174" i="22"/>
  <c r="H174" i="22"/>
  <c r="G174" i="22"/>
  <c r="F174" i="22"/>
  <c r="E174" i="22"/>
  <c r="D174" i="22"/>
  <c r="J173" i="22"/>
  <c r="I173" i="22"/>
  <c r="H173" i="22"/>
  <c r="G173" i="22"/>
  <c r="F173" i="22"/>
  <c r="E173" i="22"/>
  <c r="D173" i="22"/>
  <c r="J172" i="22"/>
  <c r="I172" i="22"/>
  <c r="H172" i="22"/>
  <c r="G172" i="22"/>
  <c r="F172" i="22"/>
  <c r="E172" i="22"/>
  <c r="D172" i="22"/>
  <c r="J171" i="22"/>
  <c r="J202" i="22" s="1"/>
  <c r="I171" i="22"/>
  <c r="I202" i="22" s="1"/>
  <c r="H171" i="22"/>
  <c r="H202" i="22" s="1"/>
  <c r="G171" i="22"/>
  <c r="G202" i="22" s="1"/>
  <c r="F171" i="22"/>
  <c r="F202" i="22" s="1"/>
  <c r="E171" i="22"/>
  <c r="E202" i="22" s="1"/>
  <c r="D171" i="22"/>
  <c r="D202" i="22" s="1"/>
  <c r="S15" i="44" s="1"/>
  <c r="J170" i="22"/>
  <c r="I170" i="22"/>
  <c r="H170" i="22"/>
  <c r="G170" i="22"/>
  <c r="F170" i="22"/>
  <c r="E170" i="22"/>
  <c r="D170" i="22"/>
  <c r="J213" i="22"/>
  <c r="I213" i="22"/>
  <c r="H213" i="22"/>
  <c r="AD16" i="44" s="1"/>
  <c r="G213" i="22"/>
  <c r="F213" i="22"/>
  <c r="E213" i="22"/>
  <c r="D213" i="22"/>
  <c r="AD15" i="44" s="1"/>
  <c r="J214" i="22"/>
  <c r="I214" i="22"/>
  <c r="H214" i="22"/>
  <c r="AE16" i="44" s="1"/>
  <c r="G214" i="22"/>
  <c r="F214" i="22"/>
  <c r="E214" i="22"/>
  <c r="D214" i="22"/>
  <c r="AE15" i="44" s="1"/>
  <c r="J212" i="22"/>
  <c r="I212" i="22"/>
  <c r="H212" i="22"/>
  <c r="AC16" i="44" s="1"/>
  <c r="G212" i="22"/>
  <c r="F212" i="22"/>
  <c r="E212" i="22"/>
  <c r="D212" i="22"/>
  <c r="J211" i="22"/>
  <c r="I211" i="22"/>
  <c r="H211" i="22"/>
  <c r="AB16" i="44" s="1"/>
  <c r="G211" i="22"/>
  <c r="F211" i="22"/>
  <c r="E211" i="22"/>
  <c r="D211" i="22"/>
  <c r="AB15" i="44" s="1"/>
  <c r="J210" i="22"/>
  <c r="I210" i="22"/>
  <c r="H210" i="22"/>
  <c r="AA16" i="44" s="1"/>
  <c r="G210" i="22"/>
  <c r="F210" i="22"/>
  <c r="E210" i="22"/>
  <c r="D210" i="22"/>
  <c r="AA15" i="44" s="1"/>
  <c r="J208" i="22"/>
  <c r="I208" i="22"/>
  <c r="H208" i="22"/>
  <c r="Y16" i="44" s="1"/>
  <c r="G208" i="22"/>
  <c r="F208" i="22"/>
  <c r="E208" i="22"/>
  <c r="D208" i="22"/>
  <c r="Y15" i="44" s="1"/>
  <c r="J205" i="22"/>
  <c r="I205" i="22"/>
  <c r="H205" i="22"/>
  <c r="V16" i="44" s="1"/>
  <c r="G205" i="22"/>
  <c r="F205" i="22"/>
  <c r="E205" i="22"/>
  <c r="D205" i="22"/>
  <c r="V15" i="44" s="1"/>
  <c r="E164" i="22"/>
  <c r="I164" i="22" s="1"/>
  <c r="I182" i="22" s="1"/>
  <c r="D160" i="22"/>
  <c r="E159" i="22"/>
  <c r="E160" i="22" s="1"/>
  <c r="F129" i="22"/>
  <c r="E129" i="22"/>
  <c r="D128" i="22"/>
  <c r="D126" i="22"/>
  <c r="D120" i="22"/>
  <c r="D119" i="22"/>
  <c r="E90" i="22"/>
  <c r="AD110" i="46" s="1"/>
  <c r="D90" i="22"/>
  <c r="AD109" i="46" s="1"/>
  <c r="E89" i="22"/>
  <c r="AC110" i="46" s="1"/>
  <c r="D89" i="22"/>
  <c r="E88" i="22"/>
  <c r="AB110" i="46" s="1"/>
  <c r="D88" i="22"/>
  <c r="AB109" i="46" s="1"/>
  <c r="D87" i="22"/>
  <c r="AA109" i="46" s="1"/>
  <c r="D49" i="22"/>
  <c r="E47" i="22"/>
  <c r="E45" i="22"/>
  <c r="H37" i="22"/>
  <c r="H38" i="22" s="1"/>
  <c r="C28" i="22"/>
  <c r="C21" i="22"/>
  <c r="C22" i="22" s="1"/>
  <c r="B39" i="36"/>
  <c r="B85" i="36"/>
  <c r="AE38" i="36"/>
  <c r="AC38" i="36"/>
  <c r="AE37" i="36"/>
  <c r="B37" i="36"/>
  <c r="B31" i="36"/>
  <c r="E26" i="36"/>
  <c r="B23" i="36"/>
  <c r="B20" i="36"/>
  <c r="AD19" i="36"/>
  <c r="B17" i="36"/>
  <c r="B15" i="36"/>
  <c r="B12" i="36"/>
  <c r="E10" i="36"/>
  <c r="B8" i="36"/>
  <c r="B6" i="36"/>
  <c r="L163" i="9" l="1"/>
  <c r="AF61" i="45" s="1"/>
  <c r="G72" i="28"/>
  <c r="G312" i="22"/>
  <c r="O312" i="22"/>
  <c r="AI7" i="36"/>
  <c r="AI7" i="44"/>
  <c r="AG75" i="36"/>
  <c r="AG75" i="46"/>
  <c r="AG77" i="36"/>
  <c r="AG77" i="46"/>
  <c r="AH77" i="36"/>
  <c r="AH77" i="46"/>
  <c r="H47" i="26"/>
  <c r="D47" i="26"/>
  <c r="I47" i="26"/>
  <c r="K47" i="26"/>
  <c r="G47" i="26"/>
  <c r="E47" i="26"/>
  <c r="J47" i="26"/>
  <c r="F47" i="26"/>
  <c r="U62" i="36"/>
  <c r="U62" i="45"/>
  <c r="AJ60" i="36"/>
  <c r="AJ60" i="45"/>
  <c r="K136" i="9"/>
  <c r="K135" i="9"/>
  <c r="U64" i="36"/>
  <c r="U64" i="45"/>
  <c r="M307" i="22"/>
  <c r="K292" i="22"/>
  <c r="K312" i="22"/>
  <c r="G307" i="22"/>
  <c r="O307" i="22"/>
  <c r="I307" i="22"/>
  <c r="I312" i="22"/>
  <c r="M292" i="22"/>
  <c r="M312" i="22"/>
  <c r="K307" i="22"/>
  <c r="H194" i="22"/>
  <c r="AP16" i="44" s="1"/>
  <c r="I194" i="22"/>
  <c r="F194" i="22"/>
  <c r="J194" i="22"/>
  <c r="G194" i="22"/>
  <c r="F157" i="4"/>
  <c r="J157" i="4"/>
  <c r="O157" i="4"/>
  <c r="S157" i="4"/>
  <c r="AH90" i="46"/>
  <c r="H157" i="4"/>
  <c r="AH92" i="46"/>
  <c r="M157" i="4"/>
  <c r="AO92" i="46" s="1"/>
  <c r="Q157" i="4"/>
  <c r="F152" i="4"/>
  <c r="J152" i="4"/>
  <c r="O152" i="4"/>
  <c r="S152" i="4"/>
  <c r="H152" i="4"/>
  <c r="M152" i="4"/>
  <c r="Q152" i="4"/>
  <c r="G65" i="4"/>
  <c r="G58" i="4"/>
  <c r="E74" i="27"/>
  <c r="AR86" i="46" s="1"/>
  <c r="E73" i="27"/>
  <c r="AQ86" i="46" s="1"/>
  <c r="E63" i="27"/>
  <c r="E67" i="27"/>
  <c r="H85" i="36"/>
  <c r="H85" i="46"/>
  <c r="J68" i="26"/>
  <c r="AH112" i="36"/>
  <c r="AH112" i="46"/>
  <c r="H54" i="26"/>
  <c r="H61" i="26"/>
  <c r="H68" i="26" s="1"/>
  <c r="H59" i="26"/>
  <c r="AH75" i="36"/>
  <c r="E54" i="26"/>
  <c r="G76" i="4"/>
  <c r="AP11" i="44" s="1"/>
  <c r="H158" i="4"/>
  <c r="AP90" i="46" s="1"/>
  <c r="M158" i="4"/>
  <c r="AP92" i="46" s="1"/>
  <c r="F47" i="17"/>
  <c r="I67" i="12"/>
  <c r="G58" i="16"/>
  <c r="D64" i="13"/>
  <c r="E33" i="15"/>
  <c r="E44" i="15" s="1"/>
  <c r="I33" i="15"/>
  <c r="I44" i="15" s="1"/>
  <c r="F33" i="15"/>
  <c r="F44" i="15" s="1"/>
  <c r="J33" i="15"/>
  <c r="J44" i="15" s="1"/>
  <c r="E73" i="17"/>
  <c r="Y139" i="47" s="1"/>
  <c r="E47" i="17"/>
  <c r="D73" i="17"/>
  <c r="Y138" i="47" s="1"/>
  <c r="D47" i="17"/>
  <c r="F60" i="17" s="1"/>
  <c r="F41" i="33"/>
  <c r="F68" i="33" s="1"/>
  <c r="F45" i="33"/>
  <c r="E71" i="33"/>
  <c r="E45" i="33"/>
  <c r="M23" i="11"/>
  <c r="U86" i="36"/>
  <c r="AB94" i="36"/>
  <c r="E92" i="35"/>
  <c r="F92" i="35"/>
  <c r="AJ79" i="46" s="1"/>
  <c r="G92" i="35"/>
  <c r="AJ80" i="46" s="1"/>
  <c r="F67" i="12"/>
  <c r="AP73" i="36"/>
  <c r="E92" i="19"/>
  <c r="U51" i="45" s="1"/>
  <c r="AJ51" i="36"/>
  <c r="F92" i="19"/>
  <c r="U52" i="45" s="1"/>
  <c r="AJ52" i="36"/>
  <c r="E72" i="16"/>
  <c r="AI47" i="45" s="1"/>
  <c r="G62" i="16"/>
  <c r="D58" i="16"/>
  <c r="H92" i="16"/>
  <c r="H58" i="16"/>
  <c r="E92" i="16"/>
  <c r="Y47" i="45" s="1"/>
  <c r="E58" i="16"/>
  <c r="E79" i="16" s="1"/>
  <c r="AP47" i="45" s="1"/>
  <c r="U47" i="36"/>
  <c r="F92" i="16"/>
  <c r="Y48" i="45" s="1"/>
  <c r="F58" i="16"/>
  <c r="G79" i="16" s="1"/>
  <c r="AP49" i="45" s="1"/>
  <c r="U49" i="36"/>
  <c r="I346" i="22"/>
  <c r="K346" i="22"/>
  <c r="AJ16" i="36"/>
  <c r="M346" i="22"/>
  <c r="O346" i="22"/>
  <c r="U40" i="44" s="1"/>
  <c r="AJ88" i="36"/>
  <c r="AJ82" i="36"/>
  <c r="Q158" i="4"/>
  <c r="F167" i="4"/>
  <c r="J167" i="4"/>
  <c r="O167" i="4"/>
  <c r="S167" i="4"/>
  <c r="H167" i="4"/>
  <c r="U90" i="46" s="1"/>
  <c r="AJ90" i="46"/>
  <c r="M167" i="4"/>
  <c r="U92" i="46" s="1"/>
  <c r="AJ92" i="46"/>
  <c r="Q167" i="4"/>
  <c r="U75" i="36"/>
  <c r="U77" i="36"/>
  <c r="E80" i="13"/>
  <c r="F80" i="13"/>
  <c r="Y128" i="36"/>
  <c r="G86" i="14"/>
  <c r="U18" i="44" s="1"/>
  <c r="I86" i="14"/>
  <c r="E86" i="14"/>
  <c r="J86" i="14"/>
  <c r="L86" i="14"/>
  <c r="M86" i="14"/>
  <c r="U19" i="44" s="1"/>
  <c r="F86" i="14"/>
  <c r="K86" i="14"/>
  <c r="F173" i="3"/>
  <c r="AO34" i="44" s="1"/>
  <c r="E350" i="3"/>
  <c r="E349" i="3"/>
  <c r="I350" i="3"/>
  <c r="I349" i="3"/>
  <c r="D350" i="3"/>
  <c r="D349" i="3"/>
  <c r="F350" i="3"/>
  <c r="F349" i="3"/>
  <c r="J350" i="3"/>
  <c r="J349" i="3"/>
  <c r="H349" i="3"/>
  <c r="H350" i="3"/>
  <c r="G350" i="3"/>
  <c r="G349" i="3"/>
  <c r="K350" i="3"/>
  <c r="K349" i="3"/>
  <c r="D173" i="3"/>
  <c r="AO32" i="44" s="1"/>
  <c r="V116" i="36"/>
  <c r="Y116" i="36"/>
  <c r="AA116" i="36"/>
  <c r="AB116" i="36"/>
  <c r="AC117" i="36"/>
  <c r="AD116" i="36"/>
  <c r="V115" i="36"/>
  <c r="V119" i="36"/>
  <c r="Y119" i="36"/>
  <c r="AA115" i="36"/>
  <c r="AA119" i="36"/>
  <c r="AB115" i="36"/>
  <c r="AB119" i="36"/>
  <c r="AC119" i="36"/>
  <c r="AD115" i="36"/>
  <c r="AD119" i="36"/>
  <c r="V114" i="36"/>
  <c r="V118" i="36"/>
  <c r="Y114" i="36"/>
  <c r="Y118" i="36"/>
  <c r="AA114" i="36"/>
  <c r="AA118" i="36"/>
  <c r="AB114" i="36"/>
  <c r="AB118" i="36"/>
  <c r="AD114" i="36"/>
  <c r="AD118" i="36"/>
  <c r="AI115" i="36"/>
  <c r="Y117" i="36"/>
  <c r="AA117" i="36"/>
  <c r="AB117" i="36"/>
  <c r="AC115" i="36"/>
  <c r="AD117" i="36"/>
  <c r="AI117" i="36"/>
  <c r="M80" i="13"/>
  <c r="J80" i="13"/>
  <c r="E64" i="13"/>
  <c r="I64" i="13"/>
  <c r="M64" i="13"/>
  <c r="K80" i="13"/>
  <c r="H80" i="13"/>
  <c r="G80" i="13"/>
  <c r="L80" i="13"/>
  <c r="E314" i="24"/>
  <c r="G314" i="24"/>
  <c r="I314" i="24"/>
  <c r="K314" i="24"/>
  <c r="E51" i="17"/>
  <c r="AG139" i="47" s="1"/>
  <c r="E69" i="17"/>
  <c r="U139" i="47" s="1"/>
  <c r="F51" i="17"/>
  <c r="AG140" i="47" s="1"/>
  <c r="F69" i="17"/>
  <c r="U140" i="47" s="1"/>
  <c r="T139" i="36"/>
  <c r="AA140" i="36"/>
  <c r="AD138" i="36"/>
  <c r="Y138" i="36"/>
  <c r="AA139" i="36"/>
  <c r="AG139" i="36"/>
  <c r="T140" i="36"/>
  <c r="AB138" i="36"/>
  <c r="AD139" i="36"/>
  <c r="Y139" i="36"/>
  <c r="T138" i="36"/>
  <c r="AB140" i="36"/>
  <c r="AA138" i="36"/>
  <c r="AB139" i="36"/>
  <c r="AD140" i="36"/>
  <c r="S133" i="36"/>
  <c r="T133" i="36"/>
  <c r="AA132" i="36"/>
  <c r="AB132" i="36"/>
  <c r="AC132" i="36"/>
  <c r="AD132" i="36"/>
  <c r="V132" i="36"/>
  <c r="S132" i="36"/>
  <c r="T132" i="36"/>
  <c r="Y133" i="36"/>
  <c r="AA133" i="36"/>
  <c r="AB133" i="36"/>
  <c r="AC133" i="36"/>
  <c r="AD133" i="36"/>
  <c r="F289" i="23"/>
  <c r="U30" i="44" s="1"/>
  <c r="G289" i="23"/>
  <c r="E289" i="23"/>
  <c r="U29" i="44" s="1"/>
  <c r="G187" i="23"/>
  <c r="U25" i="44" s="1"/>
  <c r="E187" i="23"/>
  <c r="U24" i="44" s="1"/>
  <c r="I187" i="23"/>
  <c r="K187" i="23"/>
  <c r="U27" i="44" s="1"/>
  <c r="F187" i="23"/>
  <c r="J187" i="23"/>
  <c r="K161" i="23"/>
  <c r="K162" i="23" s="1"/>
  <c r="T23" i="36"/>
  <c r="S20" i="36"/>
  <c r="AE21" i="36"/>
  <c r="AD23" i="36"/>
  <c r="AD26" i="36"/>
  <c r="AD21" i="36"/>
  <c r="V25" i="36"/>
  <c r="V29" i="36"/>
  <c r="AD29" i="36"/>
  <c r="V21" i="36"/>
  <c r="AD20" i="36"/>
  <c r="AD22" i="36"/>
  <c r="H161" i="23"/>
  <c r="I170" i="23" s="1"/>
  <c r="V23" i="36"/>
  <c r="V30" i="36"/>
  <c r="AD30" i="36"/>
  <c r="AG30" i="36"/>
  <c r="T20" i="36"/>
  <c r="S28" i="36"/>
  <c r="F161" i="23"/>
  <c r="F162" i="23" s="1"/>
  <c r="AG24" i="36"/>
  <c r="AD28" i="36"/>
  <c r="AE24" i="36"/>
  <c r="AD24" i="36"/>
  <c r="AG29" i="36"/>
  <c r="V20" i="36"/>
  <c r="V22" i="36"/>
  <c r="V24" i="36"/>
  <c r="AD25" i="36"/>
  <c r="AD27" i="36"/>
  <c r="T28" i="36"/>
  <c r="J57" i="26"/>
  <c r="T112" i="36"/>
  <c r="AC112" i="36"/>
  <c r="AF112" i="36"/>
  <c r="AD112" i="36"/>
  <c r="AA111" i="36"/>
  <c r="AD111" i="36"/>
  <c r="Y111" i="36"/>
  <c r="Y112" i="36"/>
  <c r="AA112" i="36"/>
  <c r="AB112" i="36"/>
  <c r="T111" i="36"/>
  <c r="AB111" i="36"/>
  <c r="AF111" i="36"/>
  <c r="AA85" i="36"/>
  <c r="AC86" i="36"/>
  <c r="AF86" i="36"/>
  <c r="AA86" i="36"/>
  <c r="Y86" i="36"/>
  <c r="T85" i="36"/>
  <c r="T86" i="36"/>
  <c r="AB86" i="36"/>
  <c r="AD85" i="36"/>
  <c r="F64" i="32"/>
  <c r="F48" i="32"/>
  <c r="G64" i="32"/>
  <c r="F38" i="32"/>
  <c r="G38" i="32"/>
  <c r="E38" i="32"/>
  <c r="G48" i="32" s="1"/>
  <c r="G68" i="32"/>
  <c r="F68" i="32"/>
  <c r="E68" i="32"/>
  <c r="AB84" i="36"/>
  <c r="S84" i="36"/>
  <c r="T84" i="36"/>
  <c r="V84" i="36"/>
  <c r="AA84" i="36"/>
  <c r="AC84" i="36"/>
  <c r="S83" i="36"/>
  <c r="T83" i="36"/>
  <c r="V83" i="36"/>
  <c r="AA83" i="36"/>
  <c r="AB83" i="36"/>
  <c r="F61" i="31"/>
  <c r="F82" i="31" s="1"/>
  <c r="E61" i="31"/>
  <c r="E82" i="31" s="1"/>
  <c r="D61" i="31"/>
  <c r="G61" i="31"/>
  <c r="G82" i="31" s="1"/>
  <c r="AP94" i="46" s="1"/>
  <c r="AA93" i="36"/>
  <c r="T93" i="36"/>
  <c r="AB93" i="36"/>
  <c r="AD93" i="36"/>
  <c r="T94" i="36"/>
  <c r="AA94" i="36"/>
  <c r="AC94" i="36"/>
  <c r="AD94" i="36"/>
  <c r="N71" i="35"/>
  <c r="G78" i="35"/>
  <c r="G112" i="35"/>
  <c r="Y80" i="46" s="1"/>
  <c r="AA78" i="36"/>
  <c r="AB78" i="36"/>
  <c r="T78" i="36"/>
  <c r="AA80" i="36"/>
  <c r="AB80" i="36"/>
  <c r="AD78" i="36"/>
  <c r="T79" i="36"/>
  <c r="AC79" i="36"/>
  <c r="AD79" i="36"/>
  <c r="T80" i="36"/>
  <c r="AA79" i="36"/>
  <c r="AB79" i="36"/>
  <c r="AC80" i="36"/>
  <c r="AD80" i="36"/>
  <c r="F64" i="13"/>
  <c r="F81" i="13" s="1"/>
  <c r="J64" i="13"/>
  <c r="H95" i="13"/>
  <c r="Y75" i="46" s="1"/>
  <c r="H64" i="13"/>
  <c r="L95" i="13"/>
  <c r="L64" i="13"/>
  <c r="G95" i="13"/>
  <c r="G64" i="13"/>
  <c r="K95" i="13"/>
  <c r="K64" i="13"/>
  <c r="J66" i="13"/>
  <c r="J91" i="13"/>
  <c r="K66" i="13"/>
  <c r="K91" i="13"/>
  <c r="G71" i="13"/>
  <c r="G91" i="13"/>
  <c r="L71" i="13"/>
  <c r="L91" i="13"/>
  <c r="E66" i="13"/>
  <c r="E91" i="13"/>
  <c r="F66" i="13"/>
  <c r="F91" i="13"/>
  <c r="T74" i="36"/>
  <c r="AD75" i="36"/>
  <c r="T76" i="36"/>
  <c r="AD77" i="36"/>
  <c r="AC75" i="36"/>
  <c r="G77" i="13"/>
  <c r="L77" i="13"/>
  <c r="T75" i="36"/>
  <c r="AD74" i="36"/>
  <c r="T77" i="36"/>
  <c r="AD76" i="36"/>
  <c r="AC77" i="36"/>
  <c r="V72" i="36"/>
  <c r="AA72" i="36"/>
  <c r="AA73" i="36"/>
  <c r="AC73" i="36"/>
  <c r="Y71" i="36"/>
  <c r="Y73" i="36"/>
  <c r="AB71" i="36"/>
  <c r="AB73" i="36"/>
  <c r="AD71" i="36"/>
  <c r="AD73" i="36"/>
  <c r="V71" i="36"/>
  <c r="V73" i="36"/>
  <c r="AA71" i="36"/>
  <c r="Y72" i="36"/>
  <c r="AB72" i="36"/>
  <c r="AD72" i="36"/>
  <c r="F46" i="9"/>
  <c r="F47" i="9" s="1"/>
  <c r="F45" i="9"/>
  <c r="G46" i="9"/>
  <c r="G47" i="9" s="1"/>
  <c r="AG60" i="45" s="1"/>
  <c r="G45" i="9"/>
  <c r="H45" i="9"/>
  <c r="E46" i="9"/>
  <c r="E45" i="9"/>
  <c r="G43" i="9"/>
  <c r="G65" i="9" s="1"/>
  <c r="G41" i="9"/>
  <c r="G48" i="9" s="1"/>
  <c r="AH60" i="45" s="1"/>
  <c r="AB60" i="36"/>
  <c r="AD62" i="36"/>
  <c r="AD64" i="36"/>
  <c r="AB59" i="36"/>
  <c r="AK64" i="36"/>
  <c r="AK60" i="36"/>
  <c r="V60" i="36"/>
  <c r="AA60" i="36"/>
  <c r="AD60" i="36"/>
  <c r="Y62" i="36"/>
  <c r="Y64" i="36"/>
  <c r="AF61" i="36"/>
  <c r="V59" i="36"/>
  <c r="AA59" i="36"/>
  <c r="AD59" i="36"/>
  <c r="AB61" i="36"/>
  <c r="AD61" i="36"/>
  <c r="AD63" i="36"/>
  <c r="AG62" i="36"/>
  <c r="S50" i="36"/>
  <c r="T51" i="36"/>
  <c r="V52" i="36"/>
  <c r="AA50" i="36"/>
  <c r="AC52" i="36"/>
  <c r="S51" i="36"/>
  <c r="T52" i="36"/>
  <c r="Y50" i="36"/>
  <c r="AA51" i="36"/>
  <c r="AD50" i="36"/>
  <c r="S52" i="36"/>
  <c r="V50" i="36"/>
  <c r="E66" i="19"/>
  <c r="AA52" i="36"/>
  <c r="AD51" i="36"/>
  <c r="T50" i="36"/>
  <c r="V51" i="36"/>
  <c r="F66" i="19"/>
  <c r="AC51" i="36"/>
  <c r="AD52" i="36"/>
  <c r="AA49" i="36"/>
  <c r="AB49" i="36"/>
  <c r="AD47" i="36"/>
  <c r="G73" i="16"/>
  <c r="AJ49" i="45" s="1"/>
  <c r="V46" i="36"/>
  <c r="AA46" i="36"/>
  <c r="AB46" i="36"/>
  <c r="AC47" i="36"/>
  <c r="AD48" i="36"/>
  <c r="Y48" i="36"/>
  <c r="AA47" i="36"/>
  <c r="AB47" i="36"/>
  <c r="AC49" i="36"/>
  <c r="AD49" i="36"/>
  <c r="T46" i="36"/>
  <c r="V48" i="36"/>
  <c r="AA48" i="36"/>
  <c r="AB48" i="36"/>
  <c r="AD46" i="36"/>
  <c r="I183" i="22"/>
  <c r="I184" i="22" s="1"/>
  <c r="G183" i="22"/>
  <c r="H183" i="22"/>
  <c r="E183" i="22"/>
  <c r="E184" i="22" s="1"/>
  <c r="E194" i="22"/>
  <c r="F183" i="22"/>
  <c r="F184" i="22" s="1"/>
  <c r="J183" i="22"/>
  <c r="E85" i="4"/>
  <c r="U9" i="44" s="1"/>
  <c r="E70" i="4"/>
  <c r="AJ9" i="44" s="1"/>
  <c r="G85" i="4"/>
  <c r="U11" i="44" s="1"/>
  <c r="G70" i="4"/>
  <c r="AJ11" i="44" s="1"/>
  <c r="F158" i="4"/>
  <c r="J158" i="4"/>
  <c r="O158" i="4"/>
  <c r="S158" i="4"/>
  <c r="AO90" i="46"/>
  <c r="N63" i="14"/>
  <c r="N77" i="14"/>
  <c r="I77" i="14"/>
  <c r="M77" i="14"/>
  <c r="AP19" i="44" s="1"/>
  <c r="H263" i="3"/>
  <c r="H264" i="3" s="1"/>
  <c r="AG38" i="44" s="1"/>
  <c r="H267" i="3"/>
  <c r="AJ38" i="44" s="1"/>
  <c r="D263" i="3"/>
  <c r="D264" i="3" s="1"/>
  <c r="D267" i="3"/>
  <c r="F263" i="3"/>
  <c r="F268" i="3" s="1"/>
  <c r="F267" i="3"/>
  <c r="H184" i="3"/>
  <c r="U36" i="44" s="1"/>
  <c r="H168" i="3"/>
  <c r="AJ36" i="44" s="1"/>
  <c r="D184" i="3"/>
  <c r="U32" i="44" s="1"/>
  <c r="D168" i="3"/>
  <c r="AJ32" i="44" s="1"/>
  <c r="D65" i="3"/>
  <c r="F184" i="3"/>
  <c r="U34" i="44" s="1"/>
  <c r="F168" i="3"/>
  <c r="AJ34" i="44" s="1"/>
  <c r="E65" i="3"/>
  <c r="D77" i="3"/>
  <c r="AO7" i="44" s="1"/>
  <c r="D87" i="3"/>
  <c r="U7" i="44" s="1"/>
  <c r="D72" i="3"/>
  <c r="AJ7" i="44" s="1"/>
  <c r="AA81" i="36"/>
  <c r="AA12" i="36"/>
  <c r="T88" i="36"/>
  <c r="AA82" i="36"/>
  <c r="AC88" i="36"/>
  <c r="AC14" i="36"/>
  <c r="T82" i="36"/>
  <c r="T87" i="36"/>
  <c r="AA13" i="36"/>
  <c r="S81" i="36"/>
  <c r="S87" i="36"/>
  <c r="AC82" i="36"/>
  <c r="AD87" i="36"/>
  <c r="T12" i="36"/>
  <c r="Y13" i="36"/>
  <c r="S88" i="36"/>
  <c r="AA14" i="36"/>
  <c r="AC13" i="36"/>
  <c r="AD14" i="36"/>
  <c r="V12" i="36"/>
  <c r="T81" i="36"/>
  <c r="S82" i="36"/>
  <c r="AA87" i="36"/>
  <c r="AD81" i="36"/>
  <c r="AD88" i="36"/>
  <c r="E76" i="4"/>
  <c r="AP9" i="44" s="1"/>
  <c r="V8" i="36"/>
  <c r="AA9" i="36"/>
  <c r="AD11" i="36"/>
  <c r="Y91" i="36"/>
  <c r="AA91" i="36"/>
  <c r="AB89" i="36"/>
  <c r="AD89" i="36"/>
  <c r="V9" i="36"/>
  <c r="AA10" i="36"/>
  <c r="AB10" i="36"/>
  <c r="AD8" i="36"/>
  <c r="AD91" i="36"/>
  <c r="T10" i="36"/>
  <c r="AB9" i="36"/>
  <c r="AC11" i="36"/>
  <c r="Y8" i="36"/>
  <c r="AI90" i="36"/>
  <c r="V10" i="36"/>
  <c r="Y9" i="36"/>
  <c r="AA11" i="36"/>
  <c r="AB11" i="36"/>
  <c r="AD9" i="36"/>
  <c r="AG90" i="36"/>
  <c r="AG92" i="36"/>
  <c r="Y11" i="36"/>
  <c r="Y89" i="36"/>
  <c r="AA89" i="36"/>
  <c r="AB91" i="36"/>
  <c r="AD92" i="36"/>
  <c r="AI92" i="36"/>
  <c r="V11" i="36"/>
  <c r="Y10" i="36"/>
  <c r="AA8" i="36"/>
  <c r="AB8" i="36"/>
  <c r="AC9" i="36"/>
  <c r="AD10" i="36"/>
  <c r="Y90" i="36"/>
  <c r="Y92" i="36"/>
  <c r="AA90" i="36"/>
  <c r="AA92" i="36"/>
  <c r="AB90" i="36"/>
  <c r="AB92" i="36"/>
  <c r="AD90" i="36"/>
  <c r="T8" i="36"/>
  <c r="AA17" i="36"/>
  <c r="AB19" i="36"/>
  <c r="AD18" i="36"/>
  <c r="AC19" i="36"/>
  <c r="T17" i="36"/>
  <c r="AA19" i="36"/>
  <c r="AC18" i="36"/>
  <c r="AD17" i="36"/>
  <c r="AA18" i="36"/>
  <c r="D62" i="3"/>
  <c r="H173" i="3"/>
  <c r="AO36" i="44" s="1"/>
  <c r="G161" i="3"/>
  <c r="D161" i="3"/>
  <c r="H161" i="3"/>
  <c r="E161" i="3"/>
  <c r="I161" i="3"/>
  <c r="F161" i="3"/>
  <c r="AA31" i="36"/>
  <c r="AB33" i="36"/>
  <c r="AC35" i="36"/>
  <c r="AF35" i="36"/>
  <c r="AD33" i="36"/>
  <c r="AH34" i="36"/>
  <c r="Y37" i="36"/>
  <c r="AB37" i="36"/>
  <c r="AA137" i="36"/>
  <c r="Y136" i="36"/>
  <c r="AB6" i="36"/>
  <c r="Y32" i="36"/>
  <c r="AB32" i="36"/>
  <c r="AE36" i="36"/>
  <c r="AD32" i="36"/>
  <c r="AA38" i="36"/>
  <c r="AA136" i="36"/>
  <c r="AC135" i="36"/>
  <c r="AF135" i="36"/>
  <c r="Y135" i="36"/>
  <c r="T37" i="36"/>
  <c r="Y6" i="36"/>
  <c r="AD6" i="36"/>
  <c r="AA34" i="36"/>
  <c r="AA7" i="36"/>
  <c r="AC7" i="36"/>
  <c r="Y31" i="36"/>
  <c r="Y35" i="36"/>
  <c r="AA33" i="36"/>
  <c r="AB31" i="36"/>
  <c r="AB35" i="36"/>
  <c r="AC33" i="36"/>
  <c r="AE35" i="36"/>
  <c r="AF33" i="36"/>
  <c r="AD31" i="36"/>
  <c r="AD35" i="36"/>
  <c r="AI32" i="36"/>
  <c r="AA37" i="36"/>
  <c r="AF37" i="36"/>
  <c r="T135" i="36"/>
  <c r="AA135" i="36"/>
  <c r="AF134" i="36"/>
  <c r="Y134" i="36"/>
  <c r="Y7" i="36"/>
  <c r="AB7" i="36"/>
  <c r="AD7" i="36"/>
  <c r="Y33" i="36"/>
  <c r="AA35" i="36"/>
  <c r="AC31" i="36"/>
  <c r="AF31" i="36"/>
  <c r="AI36" i="36"/>
  <c r="AD37" i="36"/>
  <c r="T137" i="36"/>
  <c r="AF136" i="36"/>
  <c r="Y36" i="36"/>
  <c r="AB36" i="36"/>
  <c r="AC34" i="36"/>
  <c r="AF34" i="36"/>
  <c r="AD36" i="36"/>
  <c r="AH36" i="36"/>
  <c r="AF38" i="36"/>
  <c r="T136" i="36"/>
  <c r="AA6" i="36"/>
  <c r="AH7" i="36"/>
  <c r="Y34" i="36"/>
  <c r="AA32" i="36"/>
  <c r="AA36" i="36"/>
  <c r="AB34" i="36"/>
  <c r="AC32" i="36"/>
  <c r="AC36" i="36"/>
  <c r="AF32" i="36"/>
  <c r="AF36" i="36"/>
  <c r="AD34" i="36"/>
  <c r="AH32" i="36"/>
  <c r="AI34" i="36"/>
  <c r="AB38" i="36"/>
  <c r="AD38" i="36"/>
  <c r="T134" i="36"/>
  <c r="AA134" i="36"/>
  <c r="AC137" i="36"/>
  <c r="AF137" i="36"/>
  <c r="S37" i="36"/>
  <c r="AB109" i="36"/>
  <c r="AD109" i="36"/>
  <c r="V15" i="36"/>
  <c r="V16" i="36"/>
  <c r="AC16" i="36"/>
  <c r="S15" i="36"/>
  <c r="V39" i="36"/>
  <c r="AA39" i="36"/>
  <c r="AB39" i="36"/>
  <c r="AE39" i="36"/>
  <c r="AF39" i="36"/>
  <c r="AD39" i="36"/>
  <c r="AB110" i="36"/>
  <c r="AD110" i="36"/>
  <c r="AB15" i="36"/>
  <c r="AA109" i="36"/>
  <c r="AC110" i="36"/>
  <c r="T39" i="36"/>
  <c r="AB16" i="36"/>
  <c r="AA15" i="36"/>
  <c r="AA16" i="36"/>
  <c r="AD15" i="36"/>
  <c r="AD16" i="36"/>
  <c r="AA40" i="36"/>
  <c r="AB40" i="36"/>
  <c r="AC40" i="36"/>
  <c r="AE40" i="36"/>
  <c r="AF40" i="36"/>
  <c r="AD40" i="36"/>
  <c r="T15" i="36"/>
  <c r="F314" i="24"/>
  <c r="H314" i="24"/>
  <c r="J314" i="24"/>
  <c r="S127" i="36"/>
  <c r="V125" i="36"/>
  <c r="AA127" i="36"/>
  <c r="AD126" i="36"/>
  <c r="T125" i="36"/>
  <c r="V126" i="36"/>
  <c r="AB125" i="36"/>
  <c r="AC126" i="36"/>
  <c r="AD127" i="36"/>
  <c r="S125" i="36"/>
  <c r="T126" i="36"/>
  <c r="V127" i="36"/>
  <c r="AA125" i="36"/>
  <c r="AB126" i="36"/>
  <c r="AC127" i="36"/>
  <c r="S126" i="36"/>
  <c r="T127" i="36"/>
  <c r="AA126" i="36"/>
  <c r="AB127" i="36"/>
  <c r="AD125" i="36"/>
  <c r="F347" i="24"/>
  <c r="F287" i="24"/>
  <c r="J347" i="24"/>
  <c r="J287" i="24"/>
  <c r="N347" i="24"/>
  <c r="S129" i="47" s="1"/>
  <c r="N287" i="24"/>
  <c r="R347" i="24"/>
  <c r="S131" i="47" s="1"/>
  <c r="R287" i="24"/>
  <c r="G347" i="24"/>
  <c r="G287" i="24"/>
  <c r="K347" i="24"/>
  <c r="K287" i="24"/>
  <c r="O347" i="24"/>
  <c r="O287" i="24"/>
  <c r="S347" i="24"/>
  <c r="S287" i="24"/>
  <c r="H347" i="24"/>
  <c r="H287" i="24"/>
  <c r="L347" i="24"/>
  <c r="L287" i="24"/>
  <c r="P347" i="24"/>
  <c r="S130" i="47" s="1"/>
  <c r="P287" i="24"/>
  <c r="E347" i="24"/>
  <c r="S128" i="47" s="1"/>
  <c r="E287" i="24"/>
  <c r="I347" i="24"/>
  <c r="I287" i="24"/>
  <c r="M347" i="24"/>
  <c r="M287" i="24"/>
  <c r="Q347" i="24"/>
  <c r="Q287" i="24"/>
  <c r="H353" i="24"/>
  <c r="L353" i="24"/>
  <c r="P353" i="24"/>
  <c r="Y130" i="47" s="1"/>
  <c r="I353" i="24"/>
  <c r="I354" i="24" s="1"/>
  <c r="M353" i="24"/>
  <c r="M354" i="24" s="1"/>
  <c r="Q353" i="24"/>
  <c r="Q354" i="24" s="1"/>
  <c r="F353" i="24"/>
  <c r="J353" i="24"/>
  <c r="N353" i="24"/>
  <c r="Y129" i="47" s="1"/>
  <c r="R353" i="24"/>
  <c r="Y131" i="47" s="1"/>
  <c r="G353" i="24"/>
  <c r="G354" i="24" s="1"/>
  <c r="K353" i="24"/>
  <c r="K354" i="24" s="1"/>
  <c r="O353" i="24"/>
  <c r="O354" i="24" s="1"/>
  <c r="D353" i="24"/>
  <c r="H189" i="24"/>
  <c r="H161" i="24"/>
  <c r="H162" i="24" s="1"/>
  <c r="H191" i="24" s="1"/>
  <c r="I189" i="24"/>
  <c r="I161" i="24"/>
  <c r="I162" i="24" s="1"/>
  <c r="I191" i="24" s="1"/>
  <c r="D160" i="24"/>
  <c r="E292" i="22"/>
  <c r="D161" i="23"/>
  <c r="D162" i="23" s="1"/>
  <c r="G172" i="23" s="1"/>
  <c r="AJ25" i="44" s="1"/>
  <c r="S23" i="36"/>
  <c r="E161" i="23"/>
  <c r="E162" i="23" s="1"/>
  <c r="S24" i="36"/>
  <c r="M77" i="13"/>
  <c r="D103" i="13"/>
  <c r="S74" i="36"/>
  <c r="H103" i="13"/>
  <c r="S75" i="36"/>
  <c r="E77" i="13"/>
  <c r="J77" i="13"/>
  <c r="I103" i="13"/>
  <c r="S76" i="36"/>
  <c r="M103" i="13"/>
  <c r="S77" i="36"/>
  <c r="F77" i="13"/>
  <c r="K77" i="13"/>
  <c r="F90" i="35"/>
  <c r="AH79" i="46" s="1"/>
  <c r="G88" i="35"/>
  <c r="G93" i="35" s="1"/>
  <c r="AK80" i="46" s="1"/>
  <c r="E79" i="27"/>
  <c r="S86" i="46" s="1"/>
  <c r="E61" i="27"/>
  <c r="F59" i="26"/>
  <c r="G66" i="32"/>
  <c r="G67" i="32" s="1"/>
  <c r="S93" i="36"/>
  <c r="S94" i="36"/>
  <c r="V92" i="36"/>
  <c r="V89" i="36"/>
  <c r="V91" i="36"/>
  <c r="V90" i="36"/>
  <c r="H77" i="13"/>
  <c r="F77" i="12"/>
  <c r="F54" i="12"/>
  <c r="F55" i="12" s="1"/>
  <c r="G77" i="12"/>
  <c r="G61" i="12" s="1"/>
  <c r="G54" i="12"/>
  <c r="G55" i="12" s="1"/>
  <c r="H57" i="12"/>
  <c r="H62" i="12" s="1"/>
  <c r="AK73" i="46" s="1"/>
  <c r="H54" i="12"/>
  <c r="I77" i="12"/>
  <c r="I54" i="12"/>
  <c r="H76" i="9"/>
  <c r="I31" i="18"/>
  <c r="F24" i="18"/>
  <c r="F26" i="18" s="1"/>
  <c r="F119" i="35"/>
  <c r="AF79" i="46" s="1"/>
  <c r="J31" i="18"/>
  <c r="J24" i="18"/>
  <c r="J26" i="18" s="1"/>
  <c r="D20" i="18"/>
  <c r="H20" i="18"/>
  <c r="D25" i="18"/>
  <c r="H25" i="18"/>
  <c r="K29" i="18"/>
  <c r="K20" i="18"/>
  <c r="G25" i="18"/>
  <c r="K25" i="18"/>
  <c r="K24" i="18"/>
  <c r="K26" i="18" s="1"/>
  <c r="P163" i="9"/>
  <c r="AF63" i="45" s="1"/>
  <c r="H81" i="11"/>
  <c r="AF117" i="47" s="1"/>
  <c r="E20" i="18"/>
  <c r="I20" i="18"/>
  <c r="E24" i="18"/>
  <c r="E26" i="18" s="1"/>
  <c r="I24" i="18"/>
  <c r="I26" i="18" s="1"/>
  <c r="G24" i="18"/>
  <c r="G26" i="18" s="1"/>
  <c r="F29" i="18"/>
  <c r="G20" i="18"/>
  <c r="H215" i="22"/>
  <c r="AF16" i="44" s="1"/>
  <c r="D76" i="9"/>
  <c r="AF59" i="45" s="1"/>
  <c r="D163" i="9"/>
  <c r="D78" i="28"/>
  <c r="F20" i="18"/>
  <c r="J20" i="18"/>
  <c r="G29" i="18"/>
  <c r="E76" i="9"/>
  <c r="I76" i="9"/>
  <c r="E163" i="9"/>
  <c r="I163" i="9"/>
  <c r="M163" i="9"/>
  <c r="AF62" i="45" s="1"/>
  <c r="Q163" i="9"/>
  <c r="AF64" i="45" s="1"/>
  <c r="E81" i="11"/>
  <c r="I81" i="11"/>
  <c r="AF116" i="47" s="1"/>
  <c r="E78" i="28"/>
  <c r="I78" i="28"/>
  <c r="E21" i="18"/>
  <c r="I21" i="18"/>
  <c r="D24" i="18"/>
  <c r="H24" i="18"/>
  <c r="H26" i="18" s="1"/>
  <c r="D29" i="18"/>
  <c r="H29" i="18"/>
  <c r="C135" i="34"/>
  <c r="G135" i="34"/>
  <c r="K135" i="34"/>
  <c r="C149" i="34"/>
  <c r="G149" i="34"/>
  <c r="K149" i="34"/>
  <c r="O149" i="34"/>
  <c r="S149" i="34"/>
  <c r="W149" i="34"/>
  <c r="H198" i="23"/>
  <c r="AF26" i="44" s="1"/>
  <c r="D198" i="23"/>
  <c r="AF23" i="44" s="1"/>
  <c r="E96" i="23"/>
  <c r="E198" i="23"/>
  <c r="AF24" i="44" s="1"/>
  <c r="K198" i="23"/>
  <c r="AF27" i="44" s="1"/>
  <c r="G198" i="23"/>
  <c r="AF25" i="44" s="1"/>
  <c r="H96" i="23"/>
  <c r="AF22" i="44" s="1"/>
  <c r="D96" i="23"/>
  <c r="AF20" i="44" s="1"/>
  <c r="I198" i="23"/>
  <c r="F96" i="23"/>
  <c r="J198" i="23"/>
  <c r="F198" i="23"/>
  <c r="G96" i="23"/>
  <c r="AF21" i="44" s="1"/>
  <c r="D21" i="18"/>
  <c r="H21" i="18"/>
  <c r="L23" i="18"/>
  <c r="F25" i="18"/>
  <c r="J25" i="18"/>
  <c r="J135" i="34"/>
  <c r="F149" i="34"/>
  <c r="N149" i="34"/>
  <c r="V149" i="34"/>
  <c r="D119" i="35"/>
  <c r="AF78" i="46" s="1"/>
  <c r="I215" i="22"/>
  <c r="D215" i="22"/>
  <c r="AF15" i="44" s="1"/>
  <c r="F215" i="22"/>
  <c r="J215" i="22"/>
  <c r="AE23" i="36"/>
  <c r="F76" i="9"/>
  <c r="F163" i="9"/>
  <c r="J163" i="9"/>
  <c r="N163" i="9"/>
  <c r="F81" i="11"/>
  <c r="AF115" i="47" s="1"/>
  <c r="J81" i="11"/>
  <c r="AF119" i="47" s="1"/>
  <c r="F78" i="28"/>
  <c r="J78" i="28"/>
  <c r="F21" i="18"/>
  <c r="J21" i="18"/>
  <c r="E29" i="18"/>
  <c r="D31" i="18"/>
  <c r="D135" i="34"/>
  <c r="H135" i="34"/>
  <c r="L135" i="34"/>
  <c r="D149" i="34"/>
  <c r="H149" i="34"/>
  <c r="L149" i="34"/>
  <c r="P149" i="34"/>
  <c r="T149" i="34"/>
  <c r="G119" i="35"/>
  <c r="AF80" i="46" s="1"/>
  <c r="F135" i="34"/>
  <c r="N135" i="34"/>
  <c r="J149" i="34"/>
  <c r="R149" i="34"/>
  <c r="AE25" i="36"/>
  <c r="G215" i="22"/>
  <c r="G76" i="9"/>
  <c r="AF60" i="45" s="1"/>
  <c r="G163" i="9"/>
  <c r="K163" i="9"/>
  <c r="O163" i="9"/>
  <c r="G81" i="11"/>
  <c r="AF114" i="47" s="1"/>
  <c r="K81" i="11"/>
  <c r="AF118" i="47" s="1"/>
  <c r="G78" i="28"/>
  <c r="G21" i="18"/>
  <c r="K21" i="18"/>
  <c r="E25" i="18"/>
  <c r="I25" i="18"/>
  <c r="E135" i="34"/>
  <c r="I135" i="34"/>
  <c r="M135" i="34"/>
  <c r="E149" i="34"/>
  <c r="I149" i="34"/>
  <c r="M149" i="34"/>
  <c r="Q149" i="34"/>
  <c r="U149" i="34"/>
  <c r="E119" i="35"/>
  <c r="F61" i="12"/>
  <c r="I61" i="12"/>
  <c r="J110" i="10"/>
  <c r="X102" i="46" s="1"/>
  <c r="W102" i="36"/>
  <c r="K110" i="10"/>
  <c r="X104" i="46" s="1"/>
  <c r="W104" i="36"/>
  <c r="H110" i="10"/>
  <c r="X96" i="46" s="1"/>
  <c r="W96" i="36"/>
  <c r="L110" i="10"/>
  <c r="X97" i="46" s="1"/>
  <c r="W97" i="36"/>
  <c r="I110" i="10"/>
  <c r="X99" i="46" s="1"/>
  <c r="W99" i="36"/>
  <c r="M110" i="10"/>
  <c r="X100" i="46" s="1"/>
  <c r="W100" i="36"/>
  <c r="V40" i="36"/>
  <c r="F183" i="3"/>
  <c r="G183" i="3" s="1"/>
  <c r="T33" i="44" s="1"/>
  <c r="T31" i="36"/>
  <c r="V27" i="36"/>
  <c r="V26" i="36"/>
  <c r="C25" i="22"/>
  <c r="C26" i="22" s="1"/>
  <c r="M148" i="4"/>
  <c r="M160" i="4" s="1"/>
  <c r="AR92" i="46" s="1"/>
  <c r="Q148" i="4"/>
  <c r="Q160" i="4" s="1"/>
  <c r="O148" i="4"/>
  <c r="O160" i="4" s="1"/>
  <c r="S148" i="4"/>
  <c r="S160" i="4" s="1"/>
  <c r="E61" i="4"/>
  <c r="E68" i="4" s="1"/>
  <c r="J155" i="4"/>
  <c r="H72" i="11"/>
  <c r="W117" i="47" s="1"/>
  <c r="V117" i="36"/>
  <c r="AE115" i="36"/>
  <c r="AE117" i="36"/>
  <c r="AE116" i="36"/>
  <c r="H50" i="11"/>
  <c r="AG117" i="47" s="1"/>
  <c r="AK117" i="36"/>
  <c r="AE119" i="36"/>
  <c r="F75" i="11"/>
  <c r="Z115" i="47" s="1"/>
  <c r="Y115" i="36"/>
  <c r="AE114" i="36"/>
  <c r="AE118" i="36"/>
  <c r="AE6" i="36"/>
  <c r="AF7" i="36"/>
  <c r="AE7" i="36"/>
  <c r="AF6" i="36"/>
  <c r="G186" i="34"/>
  <c r="G159" i="34"/>
  <c r="J186" i="34"/>
  <c r="Y87" i="46" s="1"/>
  <c r="AD82" i="36"/>
  <c r="D186" i="34"/>
  <c r="E186" i="34"/>
  <c r="Y81" i="46" s="1"/>
  <c r="K159" i="34"/>
  <c r="F162" i="34"/>
  <c r="AH82" i="46" s="1"/>
  <c r="F159" i="34"/>
  <c r="H148" i="4"/>
  <c r="H153" i="4" s="1"/>
  <c r="AK90" i="46" s="1"/>
  <c r="H154" i="4"/>
  <c r="AL90" i="46" s="1"/>
  <c r="AH90" i="36"/>
  <c r="M154" i="4"/>
  <c r="AL92" i="46" s="1"/>
  <c r="AH92" i="36"/>
  <c r="Q154" i="4"/>
  <c r="O155" i="4"/>
  <c r="S155" i="4"/>
  <c r="D77" i="17"/>
  <c r="AC138" i="47" s="1"/>
  <c r="F52" i="17"/>
  <c r="AH140" i="47" s="1"/>
  <c r="E74" i="17"/>
  <c r="Z139" i="47" s="1"/>
  <c r="G72" i="33"/>
  <c r="Z133" i="47" s="1"/>
  <c r="G41" i="33"/>
  <c r="G68" i="33" s="1"/>
  <c r="V133" i="47" s="1"/>
  <c r="G50" i="33"/>
  <c r="AH133" i="47" s="1"/>
  <c r="AB135" i="36"/>
  <c r="AD135" i="36"/>
  <c r="AB134" i="36"/>
  <c r="AD134" i="36"/>
  <c r="AB136" i="36"/>
  <c r="AD136" i="36"/>
  <c r="AB137" i="36"/>
  <c r="AD137" i="36"/>
  <c r="F84" i="26"/>
  <c r="F57" i="26"/>
  <c r="H84" i="26"/>
  <c r="H57" i="26"/>
  <c r="D50" i="22"/>
  <c r="D51" i="22" s="1"/>
  <c r="D52" i="22" s="1"/>
  <c r="D79" i="22" s="1"/>
  <c r="S109" i="46" s="1"/>
  <c r="E57" i="22"/>
  <c r="E60" i="22"/>
  <c r="E61" i="22" s="1"/>
  <c r="D259" i="23"/>
  <c r="G62" i="23"/>
  <c r="D68" i="32"/>
  <c r="G46" i="32"/>
  <c r="J148" i="4"/>
  <c r="J153" i="4" s="1"/>
  <c r="J154" i="4"/>
  <c r="O154" i="4"/>
  <c r="S154" i="4"/>
  <c r="H155" i="4"/>
  <c r="AM90" i="46" s="1"/>
  <c r="M155" i="4"/>
  <c r="AM92" i="46" s="1"/>
  <c r="Q155" i="4"/>
  <c r="S156" i="4"/>
  <c r="Q156" i="4"/>
  <c r="O156" i="4"/>
  <c r="M156" i="4"/>
  <c r="AN92" i="46" s="1"/>
  <c r="J156" i="4"/>
  <c r="H156" i="4"/>
  <c r="AN90" i="46" s="1"/>
  <c r="G61" i="4"/>
  <c r="G68" i="4" s="1"/>
  <c r="E45" i="4"/>
  <c r="M71" i="35"/>
  <c r="E90" i="35"/>
  <c r="E97" i="35" s="1"/>
  <c r="F75" i="12"/>
  <c r="D76" i="12"/>
  <c r="T71" i="46" s="1"/>
  <c r="H60" i="12"/>
  <c r="AI73" i="46" s="1"/>
  <c r="H76" i="12"/>
  <c r="T73" i="46" s="1"/>
  <c r="H82" i="12"/>
  <c r="Z73" i="46" s="1"/>
  <c r="G75" i="12"/>
  <c r="E76" i="12"/>
  <c r="T72" i="46" s="1"/>
  <c r="I76" i="12"/>
  <c r="H77" i="12"/>
  <c r="U73" i="46" s="1"/>
  <c r="D75" i="12"/>
  <c r="S71" i="46" s="1"/>
  <c r="H75" i="12"/>
  <c r="S73" i="46" s="1"/>
  <c r="F76" i="12"/>
  <c r="E75" i="12"/>
  <c r="S72" i="46" s="1"/>
  <c r="I75" i="12"/>
  <c r="F79" i="12"/>
  <c r="F80" i="12" s="1"/>
  <c r="G68" i="13"/>
  <c r="G97" i="13" s="1"/>
  <c r="D69" i="13"/>
  <c r="D110" i="13" s="1"/>
  <c r="D112" i="13" s="1"/>
  <c r="L69" i="13"/>
  <c r="L110" i="13" s="1"/>
  <c r="I92" i="13"/>
  <c r="V76" i="46" s="1"/>
  <c r="F92" i="13"/>
  <c r="L67" i="13"/>
  <c r="L96" i="13" s="1"/>
  <c r="E92" i="13"/>
  <c r="M92" i="13"/>
  <c r="V77" i="46" s="1"/>
  <c r="J92" i="13"/>
  <c r="D92" i="13"/>
  <c r="V74" i="46" s="1"/>
  <c r="H92" i="13"/>
  <c r="V75" i="46" s="1"/>
  <c r="L92" i="13"/>
  <c r="D95" i="13"/>
  <c r="Y74" i="46" s="1"/>
  <c r="G92" i="13"/>
  <c r="K92" i="13"/>
  <c r="E95" i="13"/>
  <c r="I95" i="13"/>
  <c r="Y76" i="46" s="1"/>
  <c r="M95" i="13"/>
  <c r="Y77" i="46" s="1"/>
  <c r="F95" i="13"/>
  <c r="J95" i="13"/>
  <c r="F48" i="13"/>
  <c r="J74" i="13"/>
  <c r="J78" i="13" s="1"/>
  <c r="M65" i="13"/>
  <c r="M71" i="13" s="1"/>
  <c r="M76" i="13" s="1"/>
  <c r="H62" i="30"/>
  <c r="I137" i="9"/>
  <c r="N67" i="14"/>
  <c r="N68" i="14" s="1"/>
  <c r="D60" i="14"/>
  <c r="D90" i="14" s="1"/>
  <c r="Y17" i="44" s="1"/>
  <c r="I67" i="14"/>
  <c r="I72" i="14" s="1"/>
  <c r="N86" i="14"/>
  <c r="G69" i="4"/>
  <c r="AI11" i="44" s="1"/>
  <c r="AA61" i="36"/>
  <c r="E137" i="9"/>
  <c r="M137" i="9"/>
  <c r="AK62" i="45" s="1"/>
  <c r="Y61" i="36"/>
  <c r="G137" i="9"/>
  <c r="O137" i="9"/>
  <c r="AA62" i="36"/>
  <c r="Y63" i="36"/>
  <c r="AA63" i="36"/>
  <c r="AB63" i="36"/>
  <c r="AA64" i="36"/>
  <c r="Y59" i="36"/>
  <c r="Y60" i="36"/>
  <c r="H48" i="9"/>
  <c r="Q169" i="4"/>
  <c r="Q170" i="4" s="1"/>
  <c r="F169" i="4"/>
  <c r="F170" i="4" s="1"/>
  <c r="J169" i="4"/>
  <c r="J170" i="4" s="1"/>
  <c r="O169" i="4"/>
  <c r="O170" i="4" s="1"/>
  <c r="S169" i="4"/>
  <c r="S170" i="4" s="1"/>
  <c r="G45" i="4"/>
  <c r="E92" i="14"/>
  <c r="H62" i="23"/>
  <c r="F85" i="23"/>
  <c r="G85" i="23"/>
  <c r="U21" i="44" s="1"/>
  <c r="H85" i="23"/>
  <c r="U22" i="44" s="1"/>
  <c r="H283" i="3"/>
  <c r="U38" i="44" s="1"/>
  <c r="D283" i="3"/>
  <c r="F283" i="3"/>
  <c r="J353" i="3"/>
  <c r="J386" i="3" s="1"/>
  <c r="Z137" i="47" s="1"/>
  <c r="D172" i="3"/>
  <c r="AN32" i="44" s="1"/>
  <c r="J48" i="13"/>
  <c r="K67" i="13"/>
  <c r="K96" i="13" s="1"/>
  <c r="D68" i="13"/>
  <c r="D97" i="13" s="1"/>
  <c r="AA74" i="46" s="1"/>
  <c r="H67" i="13"/>
  <c r="E71" i="13"/>
  <c r="E30" i="13"/>
  <c r="C30" i="13"/>
  <c r="F47" i="13"/>
  <c r="G67" i="13"/>
  <c r="E26" i="13"/>
  <c r="J47" i="13"/>
  <c r="G60" i="13"/>
  <c r="E69" i="13"/>
  <c r="E98" i="13" s="1"/>
  <c r="I69" i="13"/>
  <c r="I110" i="13" s="1"/>
  <c r="I112" i="13" s="1"/>
  <c r="F71" i="13"/>
  <c r="E20" i="13"/>
  <c r="D30" i="13"/>
  <c r="K47" i="13"/>
  <c r="K48" i="13"/>
  <c r="H65" i="13"/>
  <c r="H68" i="13" s="1"/>
  <c r="H97" i="13" s="1"/>
  <c r="AA75" i="46" s="1"/>
  <c r="F74" i="13"/>
  <c r="J71" i="13"/>
  <c r="E47" i="13"/>
  <c r="E48" i="13"/>
  <c r="E67" i="13"/>
  <c r="E96" i="13" s="1"/>
  <c r="J69" i="13"/>
  <c r="K71" i="13"/>
  <c r="M67" i="13"/>
  <c r="L60" i="13"/>
  <c r="K74" i="13"/>
  <c r="G61" i="13"/>
  <c r="F67" i="13"/>
  <c r="F68" i="13"/>
  <c r="F97" i="13" s="1"/>
  <c r="J67" i="13"/>
  <c r="J68" i="13"/>
  <c r="J97" i="13" s="1"/>
  <c r="H74" i="13"/>
  <c r="L68" i="13"/>
  <c r="L97" i="13" s="1"/>
  <c r="G66" i="13"/>
  <c r="G74" i="13"/>
  <c r="L61" i="13"/>
  <c r="F69" i="13"/>
  <c r="L66" i="13"/>
  <c r="L74" i="13"/>
  <c r="M60" i="13"/>
  <c r="K69" i="13"/>
  <c r="M74" i="13"/>
  <c r="H21" i="13"/>
  <c r="G47" i="13"/>
  <c r="L47" i="13"/>
  <c r="G48" i="13"/>
  <c r="L48" i="13"/>
  <c r="E60" i="13"/>
  <c r="J60" i="13"/>
  <c r="E61" i="13"/>
  <c r="J61" i="13"/>
  <c r="E74" i="13"/>
  <c r="H60" i="13"/>
  <c r="H61" i="13"/>
  <c r="M61" i="13"/>
  <c r="E68" i="13"/>
  <c r="E97" i="13" s="1"/>
  <c r="I68" i="13"/>
  <c r="I97" i="13" s="1"/>
  <c r="AA76" i="46" s="1"/>
  <c r="G69" i="13"/>
  <c r="H47" i="13"/>
  <c r="H48" i="13"/>
  <c r="F60" i="13"/>
  <c r="K60" i="13"/>
  <c r="F61" i="13"/>
  <c r="K61" i="13"/>
  <c r="K68" i="13"/>
  <c r="K97" i="13" s="1"/>
  <c r="E77" i="17"/>
  <c r="AC139" i="47" s="1"/>
  <c r="F50" i="17"/>
  <c r="F55" i="17" s="1"/>
  <c r="AK140" i="47" s="1"/>
  <c r="F77" i="17"/>
  <c r="AC140" i="47" s="1"/>
  <c r="F73" i="17"/>
  <c r="Y140" i="47" s="1"/>
  <c r="F82" i="17"/>
  <c r="F70" i="17"/>
  <c r="V140" i="47" s="1"/>
  <c r="E54" i="17"/>
  <c r="F54" i="17"/>
  <c r="D67" i="17"/>
  <c r="S138" i="47" s="1"/>
  <c r="E52" i="17"/>
  <c r="AH139" i="47" s="1"/>
  <c r="E67" i="17"/>
  <c r="E50" i="17"/>
  <c r="E55" i="17" s="1"/>
  <c r="AK139" i="47" s="1"/>
  <c r="G82" i="12"/>
  <c r="G59" i="12" s="1"/>
  <c r="G66" i="12" s="1"/>
  <c r="D24" i="12"/>
  <c r="G79" i="12"/>
  <c r="G80" i="12" s="1"/>
  <c r="I82" i="12"/>
  <c r="I59" i="12" s="1"/>
  <c r="I66" i="12" s="1"/>
  <c r="G60" i="12"/>
  <c r="H79" i="12"/>
  <c r="W73" i="46" s="1"/>
  <c r="F82" i="12"/>
  <c r="F59" i="12" s="1"/>
  <c r="F66" i="12" s="1"/>
  <c r="I79" i="12"/>
  <c r="I80" i="12" s="1"/>
  <c r="D40" i="12"/>
  <c r="F57" i="12"/>
  <c r="F60" i="12"/>
  <c r="I57" i="12"/>
  <c r="I62" i="12" s="1"/>
  <c r="I60" i="12"/>
  <c r="G57" i="12"/>
  <c r="G62" i="12" s="1"/>
  <c r="E50" i="26"/>
  <c r="F61" i="26"/>
  <c r="F68" i="26" s="1"/>
  <c r="J84" i="26"/>
  <c r="Z112" i="46" s="1"/>
  <c r="I50" i="26"/>
  <c r="I54" i="26"/>
  <c r="F50" i="26"/>
  <c r="J50" i="26"/>
  <c r="F49" i="26"/>
  <c r="F54" i="26"/>
  <c r="F69" i="26" s="1"/>
  <c r="J54" i="26"/>
  <c r="J69" i="26" s="1"/>
  <c r="G49" i="26"/>
  <c r="K49" i="26"/>
  <c r="D49" i="26"/>
  <c r="H50" i="26"/>
  <c r="F36" i="15"/>
  <c r="J36" i="15"/>
  <c r="G33" i="15"/>
  <c r="G44" i="15" s="1"/>
  <c r="G36" i="15"/>
  <c r="D33" i="15"/>
  <c r="D44" i="15" s="1"/>
  <c r="H33" i="15"/>
  <c r="H44" i="15" s="1"/>
  <c r="D36" i="15"/>
  <c r="H36" i="15"/>
  <c r="F66" i="32"/>
  <c r="F46" i="32"/>
  <c r="G48" i="33"/>
  <c r="G49" i="33" s="1"/>
  <c r="AG133" i="47" s="1"/>
  <c r="D71" i="33"/>
  <c r="Y132" i="47" s="1"/>
  <c r="D48" i="33"/>
  <c r="D53" i="33" s="1"/>
  <c r="AK132" i="47" s="1"/>
  <c r="E48" i="33"/>
  <c r="E49" i="33" s="1"/>
  <c r="F48" i="33"/>
  <c r="F49" i="33" s="1"/>
  <c r="E41" i="33"/>
  <c r="E68" i="33" s="1"/>
  <c r="G90" i="35"/>
  <c r="AH80" i="46" s="1"/>
  <c r="G91" i="35"/>
  <c r="AI80" i="46" s="1"/>
  <c r="E88" i="35"/>
  <c r="E93" i="35" s="1"/>
  <c r="F112" i="35"/>
  <c r="Y79" i="46" s="1"/>
  <c r="L71" i="35"/>
  <c r="F88" i="35"/>
  <c r="G76" i="35"/>
  <c r="G80" i="35" s="1"/>
  <c r="G106" i="35"/>
  <c r="S80" i="46" s="1"/>
  <c r="D106" i="35"/>
  <c r="S78" i="46" s="1"/>
  <c r="F76" i="35"/>
  <c r="F80" i="35" s="1"/>
  <c r="F106" i="35"/>
  <c r="S79" i="46" s="1"/>
  <c r="E76" i="35"/>
  <c r="E106" i="35"/>
  <c r="D76" i="35"/>
  <c r="D80" i="35" s="1"/>
  <c r="E91" i="35"/>
  <c r="F91" i="35"/>
  <c r="AI79" i="46" s="1"/>
  <c r="D112" i="35"/>
  <c r="Y78" i="46" s="1"/>
  <c r="F71" i="31"/>
  <c r="G60" i="31"/>
  <c r="G67" i="31" s="1"/>
  <c r="G59" i="31"/>
  <c r="G58" i="31"/>
  <c r="E71" i="31"/>
  <c r="F60" i="31"/>
  <c r="F67" i="31" s="1"/>
  <c r="F59" i="31"/>
  <c r="F58" i="31"/>
  <c r="E59" i="31"/>
  <c r="D60" i="31"/>
  <c r="D59" i="31"/>
  <c r="E60" i="31"/>
  <c r="E67" i="31" s="1"/>
  <c r="E58" i="31"/>
  <c r="G71" i="31"/>
  <c r="G69" i="28"/>
  <c r="G70" i="28" s="1"/>
  <c r="F59" i="28"/>
  <c r="H69" i="28"/>
  <c r="H70" i="28" s="1"/>
  <c r="G58" i="28"/>
  <c r="H72" i="28"/>
  <c r="J72" i="11"/>
  <c r="W119" i="47" s="1"/>
  <c r="H75" i="11"/>
  <c r="Z117" i="47" s="1"/>
  <c r="J49" i="11"/>
  <c r="F61" i="11"/>
  <c r="AR115" i="47" s="1"/>
  <c r="F72" i="11"/>
  <c r="W115" i="47" s="1"/>
  <c r="J75" i="11"/>
  <c r="Z119" i="47" s="1"/>
  <c r="F54" i="11"/>
  <c r="AK115" i="47" s="1"/>
  <c r="H61" i="11"/>
  <c r="AR117" i="47" s="1"/>
  <c r="E48" i="9"/>
  <c r="I48" i="9"/>
  <c r="F48" i="9"/>
  <c r="F55" i="9" s="1"/>
  <c r="G70" i="9"/>
  <c r="Z60" i="45" s="1"/>
  <c r="I157" i="9"/>
  <c r="G157" i="9"/>
  <c r="O157" i="9"/>
  <c r="G135" i="9"/>
  <c r="G144" i="9" s="1"/>
  <c r="K144" i="9"/>
  <c r="K155" i="9"/>
  <c r="F43" i="9"/>
  <c r="F65" i="9" s="1"/>
  <c r="F49" i="9"/>
  <c r="E157" i="9"/>
  <c r="M157" i="9"/>
  <c r="Z62" i="45" s="1"/>
  <c r="I135" i="9"/>
  <c r="I144" i="9" s="1"/>
  <c r="I49" i="9"/>
  <c r="I53" i="9" s="1"/>
  <c r="G155" i="9"/>
  <c r="O155" i="9"/>
  <c r="G49" i="9"/>
  <c r="AI60" i="45" s="1"/>
  <c r="E154" i="9"/>
  <c r="E155" i="9" s="1"/>
  <c r="I155" i="9"/>
  <c r="K157" i="9"/>
  <c r="K141" i="9" s="1"/>
  <c r="I70" i="9"/>
  <c r="E47" i="9"/>
  <c r="F70" i="9"/>
  <c r="E70" i="9"/>
  <c r="H49" i="9"/>
  <c r="H58" i="9" s="1"/>
  <c r="I43" i="9"/>
  <c r="I65" i="9" s="1"/>
  <c r="E43" i="9"/>
  <c r="E65" i="9" s="1"/>
  <c r="H43" i="9"/>
  <c r="H65" i="9" s="1"/>
  <c r="E49" i="9"/>
  <c r="E58" i="9" s="1"/>
  <c r="E135" i="9"/>
  <c r="Q133" i="9"/>
  <c r="AG64" i="45" s="1"/>
  <c r="H70" i="9"/>
  <c r="K133" i="9"/>
  <c r="H46" i="9"/>
  <c r="H47" i="9" s="1"/>
  <c r="E69" i="4"/>
  <c r="AI9" i="44" s="1"/>
  <c r="E55" i="4"/>
  <c r="J172" i="4"/>
  <c r="G55" i="4"/>
  <c r="H172" i="4"/>
  <c r="Z90" i="46" s="1"/>
  <c r="M172" i="4"/>
  <c r="Z92" i="46" s="1"/>
  <c r="Q172" i="4"/>
  <c r="G64" i="4"/>
  <c r="F148" i="4"/>
  <c r="F153" i="4" s="1"/>
  <c r="E64" i="4"/>
  <c r="H169" i="4"/>
  <c r="W90" i="46" s="1"/>
  <c r="M169" i="4"/>
  <c r="W92" i="46" s="1"/>
  <c r="N72" i="14"/>
  <c r="N84" i="14"/>
  <c r="F84" i="14"/>
  <c r="M84" i="14"/>
  <c r="E84" i="14"/>
  <c r="I84" i="14"/>
  <c r="D84" i="14"/>
  <c r="S17" i="44" s="1"/>
  <c r="G84" i="14"/>
  <c r="E53" i="14"/>
  <c r="E77" i="14" s="1"/>
  <c r="F92" i="14"/>
  <c r="F57" i="14"/>
  <c r="F93" i="14"/>
  <c r="F66" i="14"/>
  <c r="F67" i="14" s="1"/>
  <c r="N60" i="14"/>
  <c r="D63" i="14"/>
  <c r="N71" i="14" s="1"/>
  <c r="I60" i="14"/>
  <c r="I63" i="14"/>
  <c r="M60" i="14"/>
  <c r="M63" i="14"/>
  <c r="G66" i="14"/>
  <c r="G67" i="14" s="1"/>
  <c r="G93" i="14"/>
  <c r="AB18" i="44" s="1"/>
  <c r="G57" i="14"/>
  <c r="D93" i="14"/>
  <c r="AB17" i="44" s="1"/>
  <c r="D57" i="14"/>
  <c r="E66" i="14"/>
  <c r="E67" i="14" s="1"/>
  <c r="M66" i="14"/>
  <c r="M67" i="14" s="1"/>
  <c r="E259" i="23"/>
  <c r="H353" i="3"/>
  <c r="H386" i="3" s="1"/>
  <c r="Z135" i="47" s="1"/>
  <c r="D30" i="3"/>
  <c r="D31" i="3" s="1"/>
  <c r="F189" i="3"/>
  <c r="Z34" i="44" s="1"/>
  <c r="F164" i="3"/>
  <c r="F176" i="3" s="1"/>
  <c r="AR34" i="44" s="1"/>
  <c r="D266" i="3"/>
  <c r="H266" i="3"/>
  <c r="AI38" i="44" s="1"/>
  <c r="D164" i="3"/>
  <c r="D175" i="3" s="1"/>
  <c r="AQ32" i="44" s="1"/>
  <c r="D189" i="3"/>
  <c r="Z32" i="44" s="1"/>
  <c r="H189" i="3"/>
  <c r="Z36" i="44" s="1"/>
  <c r="D59" i="3"/>
  <c r="D79" i="3" s="1"/>
  <c r="AQ7" i="44" s="1"/>
  <c r="H164" i="3"/>
  <c r="H165" i="3" s="1"/>
  <c r="AG36" i="44" s="1"/>
  <c r="F172" i="3"/>
  <c r="AN34" i="44" s="1"/>
  <c r="I253" i="3"/>
  <c r="I284" i="3" s="1"/>
  <c r="V37" i="44" s="1"/>
  <c r="D92" i="3"/>
  <c r="Z7" i="44" s="1"/>
  <c r="H172" i="3"/>
  <c r="AN36" i="44" s="1"/>
  <c r="F253" i="3"/>
  <c r="F255" i="3" s="1"/>
  <c r="F285" i="3" s="1"/>
  <c r="D179" i="22"/>
  <c r="I204" i="22"/>
  <c r="E204" i="22"/>
  <c r="E179" i="22"/>
  <c r="I179" i="22"/>
  <c r="H179" i="22"/>
  <c r="F179" i="22"/>
  <c r="J179" i="22"/>
  <c r="G179" i="22"/>
  <c r="E182" i="22"/>
  <c r="D49" i="30"/>
  <c r="E67" i="30"/>
  <c r="E155" i="34"/>
  <c r="E189" i="34" s="1"/>
  <c r="AB81" i="46" s="1"/>
  <c r="D155" i="34"/>
  <c r="F155" i="34"/>
  <c r="F189" i="34" s="1"/>
  <c r="AB82" i="46" s="1"/>
  <c r="G155" i="34"/>
  <c r="G189" i="34" s="1"/>
  <c r="E73" i="16"/>
  <c r="AJ47" i="45" s="1"/>
  <c r="E90" i="16"/>
  <c r="W47" i="45" s="1"/>
  <c r="G90" i="16"/>
  <c r="W49" i="45" s="1"/>
  <c r="I72" i="16"/>
  <c r="G71" i="16"/>
  <c r="AH49" i="45" s="1"/>
  <c r="G72" i="16"/>
  <c r="AI49" i="45" s="1"/>
  <c r="H90" i="16"/>
  <c r="H91" i="16" s="1"/>
  <c r="AI47" i="36"/>
  <c r="V49" i="36"/>
  <c r="I71" i="16"/>
  <c r="I78" i="16" s="1"/>
  <c r="G92" i="16"/>
  <c r="Y49" i="45" s="1"/>
  <c r="V47" i="36"/>
  <c r="D92" i="16"/>
  <c r="Y46" i="45" s="1"/>
  <c r="Y51" i="36"/>
  <c r="Y52" i="36"/>
  <c r="AB51" i="36"/>
  <c r="AB52" i="36"/>
  <c r="AB50" i="36"/>
  <c r="F62" i="19"/>
  <c r="F56" i="19"/>
  <c r="F59" i="19" s="1"/>
  <c r="F70" i="19" s="1"/>
  <c r="E94" i="19"/>
  <c r="W51" i="45" s="1"/>
  <c r="D62" i="19"/>
  <c r="F94" i="19"/>
  <c r="W52" i="45" s="1"/>
  <c r="E62" i="19"/>
  <c r="D56" i="19"/>
  <c r="D57" i="19" s="1"/>
  <c r="D65" i="19" s="1"/>
  <c r="D61" i="19" s="1"/>
  <c r="E97" i="19"/>
  <c r="Z51" i="45" s="1"/>
  <c r="E56" i="19"/>
  <c r="E57" i="19" s="1"/>
  <c r="E65" i="19" s="1"/>
  <c r="F57" i="19"/>
  <c r="F65" i="19" s="1"/>
  <c r="E69" i="19"/>
  <c r="E72" i="19" s="1"/>
  <c r="F69" i="19"/>
  <c r="D66" i="19"/>
  <c r="F97" i="19"/>
  <c r="Z52" i="45" s="1"/>
  <c r="E71" i="16"/>
  <c r="AH47" i="45" s="1"/>
  <c r="H62" i="16"/>
  <c r="E62" i="16"/>
  <c r="E59" i="16"/>
  <c r="G59" i="16"/>
  <c r="G69" i="16" s="1"/>
  <c r="C25" i="16"/>
  <c r="H59" i="16"/>
  <c r="L161" i="24"/>
  <c r="L162" i="24" s="1"/>
  <c r="L191" i="24" s="1"/>
  <c r="N161" i="24"/>
  <c r="N162" i="24" s="1"/>
  <c r="N191" i="24" s="1"/>
  <c r="X126" i="47" s="1"/>
  <c r="P348" i="24"/>
  <c r="T130" i="47" s="1"/>
  <c r="K161" i="24"/>
  <c r="K162" i="24" s="1"/>
  <c r="K191" i="24" s="1"/>
  <c r="G65" i="24"/>
  <c r="C38" i="24"/>
  <c r="S354" i="24"/>
  <c r="E160" i="24"/>
  <c r="M160" i="24"/>
  <c r="Q160" i="24"/>
  <c r="D348" i="24"/>
  <c r="G288" i="24"/>
  <c r="K288" i="24"/>
  <c r="O288" i="24"/>
  <c r="S288" i="24"/>
  <c r="Q161" i="24"/>
  <c r="Q162" i="24" s="1"/>
  <c r="Q191" i="24" s="1"/>
  <c r="H348" i="24"/>
  <c r="H288" i="24"/>
  <c r="L288" i="24"/>
  <c r="P288" i="24"/>
  <c r="L348" i="24"/>
  <c r="E288" i="24"/>
  <c r="D321" i="24" s="1"/>
  <c r="I288" i="24"/>
  <c r="M288" i="24"/>
  <c r="Q288" i="24"/>
  <c r="H160" i="24"/>
  <c r="F160" i="24"/>
  <c r="J160" i="24"/>
  <c r="N160" i="24"/>
  <c r="P160" i="24"/>
  <c r="F288" i="24"/>
  <c r="N288" i="24"/>
  <c r="L160" i="24"/>
  <c r="R288" i="24"/>
  <c r="O161" i="24"/>
  <c r="O162" i="24" s="1"/>
  <c r="O191" i="24" s="1"/>
  <c r="X127" i="47" s="1"/>
  <c r="G160" i="24"/>
  <c r="O160" i="24"/>
  <c r="J288" i="24"/>
  <c r="I160" i="24"/>
  <c r="E348" i="24"/>
  <c r="T128" i="47" s="1"/>
  <c r="I348" i="24"/>
  <c r="M348" i="24"/>
  <c r="Q348" i="24"/>
  <c r="F348" i="24"/>
  <c r="J348" i="24"/>
  <c r="N348" i="24"/>
  <c r="T129" i="47" s="1"/>
  <c r="R348" i="24"/>
  <c r="T131" i="47" s="1"/>
  <c r="D350" i="24"/>
  <c r="G348" i="24"/>
  <c r="K348" i="24"/>
  <c r="O348" i="24"/>
  <c r="K155" i="34"/>
  <c r="K189" i="34" s="1"/>
  <c r="AB88" i="46" s="1"/>
  <c r="AA88" i="36"/>
  <c r="F186" i="34"/>
  <c r="Y82" i="46" s="1"/>
  <c r="K162" i="34"/>
  <c r="AH88" i="46" s="1"/>
  <c r="K186" i="34"/>
  <c r="Y88" i="46" s="1"/>
  <c r="F62" i="30"/>
  <c r="G62" i="30"/>
  <c r="D65" i="30"/>
  <c r="D62" i="30" s="1"/>
  <c r="F67" i="30"/>
  <c r="G67" i="30"/>
  <c r="E49" i="30"/>
  <c r="D67" i="30"/>
  <c r="H67" i="30"/>
  <c r="H49" i="30"/>
  <c r="F49" i="30"/>
  <c r="G49" i="30"/>
  <c r="H40" i="30"/>
  <c r="F40" i="30"/>
  <c r="E40" i="30"/>
  <c r="D40" i="30"/>
  <c r="G40" i="30"/>
  <c r="AB13" i="36"/>
  <c r="D183" i="34"/>
  <c r="F187" i="34"/>
  <c r="Z82" i="46" s="1"/>
  <c r="G183" i="34"/>
  <c r="F183" i="34"/>
  <c r="V82" i="46" s="1"/>
  <c r="AB14" i="36"/>
  <c r="E183" i="34"/>
  <c r="V81" i="46" s="1"/>
  <c r="K183" i="34"/>
  <c r="V88" i="46" s="1"/>
  <c r="J155" i="34"/>
  <c r="J189" i="34" s="1"/>
  <c r="AB87" i="46" s="1"/>
  <c r="F155" i="4"/>
  <c r="S172" i="4"/>
  <c r="F156" i="4"/>
  <c r="F172" i="4"/>
  <c r="O172" i="4"/>
  <c r="F154" i="4"/>
  <c r="D76" i="3"/>
  <c r="AN7" i="44" s="1"/>
  <c r="E182" i="3"/>
  <c r="S31" i="44" s="1"/>
  <c r="D185" i="3"/>
  <c r="V32" i="44" s="1"/>
  <c r="D196" i="3"/>
  <c r="E86" i="3"/>
  <c r="T6" i="44" s="1"/>
  <c r="D86" i="3"/>
  <c r="G86" i="3"/>
  <c r="I256" i="3"/>
  <c r="E256" i="3"/>
  <c r="H253" i="3"/>
  <c r="D253" i="3"/>
  <c r="G253" i="3"/>
  <c r="G284" i="3" s="1"/>
  <c r="E253" i="3"/>
  <c r="E284" i="3" s="1"/>
  <c r="E251" i="3" s="1"/>
  <c r="F256" i="3"/>
  <c r="F257" i="3" s="1"/>
  <c r="F265" i="3" s="1"/>
  <c r="F272" i="3" s="1"/>
  <c r="G287" i="3"/>
  <c r="F288" i="3" s="1"/>
  <c r="F258" i="3"/>
  <c r="G256" i="3"/>
  <c r="D258" i="3"/>
  <c r="D287" i="3"/>
  <c r="D288" i="3" s="1"/>
  <c r="H287" i="3"/>
  <c r="Y38" i="44" s="1"/>
  <c r="H258" i="3"/>
  <c r="I379" i="3"/>
  <c r="S134" i="47" s="1"/>
  <c r="E379" i="3"/>
  <c r="E356" i="3" s="1"/>
  <c r="E382" i="3" s="1"/>
  <c r="H379" i="3"/>
  <c r="D379" i="3"/>
  <c r="D356" i="3" s="1"/>
  <c r="J379" i="3"/>
  <c r="G379" i="3"/>
  <c r="G356" i="3" s="1"/>
  <c r="G382" i="3" s="1"/>
  <c r="K379" i="3"/>
  <c r="S136" i="47" s="1"/>
  <c r="F379" i="3"/>
  <c r="F356" i="3" s="1"/>
  <c r="F353" i="3"/>
  <c r="F386" i="3" s="1"/>
  <c r="F385" i="3"/>
  <c r="J385" i="3"/>
  <c r="Y137" i="47" s="1"/>
  <c r="D256" i="3"/>
  <c r="D257" i="3" s="1"/>
  <c r="D265" i="3" s="1"/>
  <c r="D272" i="3" s="1"/>
  <c r="H256" i="3"/>
  <c r="H257" i="3" s="1"/>
  <c r="H265" i="3" s="1"/>
  <c r="AH38" i="44" s="1"/>
  <c r="D268" i="3"/>
  <c r="F266" i="3"/>
  <c r="D353" i="3"/>
  <c r="D386" i="3" s="1"/>
  <c r="K187" i="34"/>
  <c r="Z88" i="46" s="1"/>
  <c r="J183" i="34"/>
  <c r="V87" i="46" s="1"/>
  <c r="AD13" i="36"/>
  <c r="D72" i="34"/>
  <c r="Y12" i="44" s="1"/>
  <c r="AB12" i="36"/>
  <c r="F52" i="34"/>
  <c r="AI14" i="44" s="1"/>
  <c r="AD12" i="36"/>
  <c r="F66" i="34"/>
  <c r="Y14" i="36"/>
  <c r="E42" i="34"/>
  <c r="E48" i="34"/>
  <c r="E51" i="34"/>
  <c r="AH13" i="44" s="1"/>
  <c r="E52" i="34"/>
  <c r="AI13" i="44" s="1"/>
  <c r="D66" i="34"/>
  <c r="S12" i="44" s="1"/>
  <c r="F51" i="34"/>
  <c r="AH14" i="44" s="1"/>
  <c r="F266" i="23"/>
  <c r="G266" i="23"/>
  <c r="F62" i="23"/>
  <c r="E62" i="23"/>
  <c r="E164" i="23"/>
  <c r="D191" i="23"/>
  <c r="Y23" i="44" s="1"/>
  <c r="G161" i="23"/>
  <c r="G162" i="23" s="1"/>
  <c r="AE26" i="36"/>
  <c r="D25" i="23"/>
  <c r="D27" i="23" s="1"/>
  <c r="E266" i="23"/>
  <c r="S27" i="36"/>
  <c r="AE30" i="36"/>
  <c r="G291" i="23"/>
  <c r="G292" i="23" s="1"/>
  <c r="AF30" i="36"/>
  <c r="AE29" i="36"/>
  <c r="V28" i="36"/>
  <c r="AF28" i="36"/>
  <c r="I164" i="23"/>
  <c r="K191" i="23"/>
  <c r="Y27" i="44" s="1"/>
  <c r="AE28" i="36"/>
  <c r="AF29" i="36"/>
  <c r="D228" i="23"/>
  <c r="D229" i="23" s="1"/>
  <c r="S26" i="36"/>
  <c r="H89" i="23"/>
  <c r="Y22" i="44" s="1"/>
  <c r="K189" i="23"/>
  <c r="W27" i="44" s="1"/>
  <c r="AE27" i="36"/>
  <c r="D89" i="23"/>
  <c r="Y20" i="44" s="1"/>
  <c r="F87" i="23"/>
  <c r="F90" i="23" s="1"/>
  <c r="E71" i="23"/>
  <c r="G164" i="23"/>
  <c r="H191" i="23"/>
  <c r="Y26" i="44" s="1"/>
  <c r="G189" i="23"/>
  <c r="W25" i="44" s="1"/>
  <c r="H87" i="23"/>
  <c r="W22" i="44" s="1"/>
  <c r="H71" i="23"/>
  <c r="AK22" i="44" s="1"/>
  <c r="G191" i="23"/>
  <c r="Y25" i="44" s="1"/>
  <c r="J161" i="23"/>
  <c r="J162" i="23" s="1"/>
  <c r="F291" i="23"/>
  <c r="W30" i="44" s="1"/>
  <c r="F89" i="23"/>
  <c r="F59" i="23" s="1"/>
  <c r="E173" i="23"/>
  <c r="AK24" i="44" s="1"/>
  <c r="F191" i="23"/>
  <c r="F189" i="23"/>
  <c r="F190" i="23" s="1"/>
  <c r="J189" i="23"/>
  <c r="J190" i="23" s="1"/>
  <c r="J191" i="23"/>
  <c r="S25" i="36"/>
  <c r="D124" i="23"/>
  <c r="D123" i="23"/>
  <c r="AE20" i="36"/>
  <c r="AE22" i="36"/>
  <c r="F71" i="23"/>
  <c r="F67" i="23"/>
  <c r="J164" i="23"/>
  <c r="J173" i="23"/>
  <c r="F173" i="23"/>
  <c r="F169" i="23"/>
  <c r="K173" i="23"/>
  <c r="AK27" i="44" s="1"/>
  <c r="E89" i="23"/>
  <c r="E59" i="23" s="1"/>
  <c r="E87" i="23"/>
  <c r="G67" i="23"/>
  <c r="AG21" i="44" s="1"/>
  <c r="G71" i="23"/>
  <c r="AK21" i="44" s="1"/>
  <c r="G173" i="23"/>
  <c r="AK25" i="44" s="1"/>
  <c r="G169" i="23"/>
  <c r="AG25" i="44" s="1"/>
  <c r="I173" i="23"/>
  <c r="AG22" i="36"/>
  <c r="E275" i="23"/>
  <c r="AK29" i="44" s="1"/>
  <c r="G89" i="23"/>
  <c r="Y21" i="44" s="1"/>
  <c r="G87" i="23"/>
  <c r="W21" i="44" s="1"/>
  <c r="I162" i="23"/>
  <c r="E191" i="23"/>
  <c r="Y24" i="44" s="1"/>
  <c r="E189" i="23"/>
  <c r="W24" i="44" s="1"/>
  <c r="I191" i="23"/>
  <c r="I189" i="23"/>
  <c r="I190" i="23" s="1"/>
  <c r="K169" i="23"/>
  <c r="AG27" i="44" s="1"/>
  <c r="F275" i="23"/>
  <c r="AK30" i="44" s="1"/>
  <c r="K164" i="23"/>
  <c r="K165" i="23" s="1"/>
  <c r="K166" i="23" s="1"/>
  <c r="K193" i="23" s="1"/>
  <c r="AA27" i="44" s="1"/>
  <c r="F164" i="23"/>
  <c r="H189" i="23"/>
  <c r="W26" i="44" s="1"/>
  <c r="Y30" i="36"/>
  <c r="I169" i="23"/>
  <c r="E291" i="23"/>
  <c r="W29" i="44" s="1"/>
  <c r="Y29" i="36"/>
  <c r="G275" i="23"/>
  <c r="G206" i="22"/>
  <c r="G207" i="22" s="1"/>
  <c r="AE15" i="36"/>
  <c r="E206" i="22"/>
  <c r="E207" i="22" s="1"/>
  <c r="F186" i="22"/>
  <c r="J186" i="22"/>
  <c r="D297" i="22"/>
  <c r="H297" i="22"/>
  <c r="L297" i="22"/>
  <c r="F206" i="22"/>
  <c r="F207" i="22" s="1"/>
  <c r="G186" i="22"/>
  <c r="I292" i="22"/>
  <c r="E209" i="22"/>
  <c r="J164" i="22"/>
  <c r="I348" i="22"/>
  <c r="I349" i="22" s="1"/>
  <c r="M348" i="22"/>
  <c r="M349" i="22" s="1"/>
  <c r="E256" i="22"/>
  <c r="H206" i="22"/>
  <c r="W16" i="44" s="1"/>
  <c r="H209" i="22"/>
  <c r="Z16" i="44" s="1"/>
  <c r="I206" i="22"/>
  <c r="I207" i="22" s="1"/>
  <c r="K348" i="22"/>
  <c r="K306" i="22"/>
  <c r="J206" i="22"/>
  <c r="J207" i="22" s="1"/>
  <c r="I186" i="22"/>
  <c r="H292" i="22"/>
  <c r="O306" i="22"/>
  <c r="Y16" i="36"/>
  <c r="D292" i="22"/>
  <c r="G297" i="22"/>
  <c r="K297" i="22"/>
  <c r="O297" i="22"/>
  <c r="K301" i="22"/>
  <c r="K302" i="22" s="1"/>
  <c r="O305" i="22"/>
  <c r="O301" i="22" s="1"/>
  <c r="O302" i="22" s="1"/>
  <c r="Y15" i="36"/>
  <c r="F209" i="22"/>
  <c r="J209" i="22"/>
  <c r="D256" i="22"/>
  <c r="I209" i="22"/>
  <c r="G209" i="22"/>
  <c r="E186" i="22"/>
  <c r="E255" i="22"/>
  <c r="K344" i="22" s="1"/>
  <c r="K308" i="22" s="1"/>
  <c r="K309" i="22" s="1"/>
  <c r="G292" i="22"/>
  <c r="L292" i="22"/>
  <c r="E297" i="22"/>
  <c r="I297" i="22"/>
  <c r="M297" i="22"/>
  <c r="M306" i="22"/>
  <c r="G305" i="22"/>
  <c r="D122" i="22"/>
  <c r="D255" i="22"/>
  <c r="E86" i="22"/>
  <c r="Z110" i="46" s="1"/>
  <c r="D123" i="22"/>
  <c r="G164" i="22"/>
  <c r="G204" i="22" s="1"/>
  <c r="E215" i="22"/>
  <c r="H186" i="22"/>
  <c r="C255" i="22"/>
  <c r="C256" i="22"/>
  <c r="J297" i="22"/>
  <c r="F297" i="22"/>
  <c r="F292" i="22"/>
  <c r="V297" i="22"/>
  <c r="N292" i="22"/>
  <c r="F306" i="22"/>
  <c r="F305" i="22"/>
  <c r="F298" i="22" s="1"/>
  <c r="F295" i="22" s="1"/>
  <c r="J306" i="22"/>
  <c r="J305" i="22"/>
  <c r="J301" i="22" s="1"/>
  <c r="J302" i="22" s="1"/>
  <c r="J300" i="22" s="1"/>
  <c r="N306" i="22"/>
  <c r="N305" i="22"/>
  <c r="N298" i="22" s="1"/>
  <c r="N295" i="22" s="1"/>
  <c r="X297" i="22"/>
  <c r="H164" i="22"/>
  <c r="H204" i="22" s="1"/>
  <c r="U16" i="44" s="1"/>
  <c r="AE16" i="36"/>
  <c r="G324" i="22"/>
  <c r="G348" i="22"/>
  <c r="G349" i="22" s="1"/>
  <c r="O348" i="22"/>
  <c r="W40" i="44" s="1"/>
  <c r="N297" i="22"/>
  <c r="K298" i="22"/>
  <c r="K295" i="22" s="1"/>
  <c r="G306" i="22"/>
  <c r="D306" i="22"/>
  <c r="H306" i="22"/>
  <c r="L306" i="22"/>
  <c r="D305" i="22"/>
  <c r="D298" i="22" s="1"/>
  <c r="D295" i="22" s="1"/>
  <c r="H305" i="22"/>
  <c r="H298" i="22" s="1"/>
  <c r="H295" i="22" s="1"/>
  <c r="L305" i="22"/>
  <c r="L298" i="22" s="1"/>
  <c r="L295" i="22" s="1"/>
  <c r="E305" i="22"/>
  <c r="E301" i="22" s="1"/>
  <c r="I305" i="22"/>
  <c r="M305" i="22"/>
  <c r="M79" i="27"/>
  <c r="M82" i="27" s="1"/>
  <c r="M69" i="27"/>
  <c r="AB85" i="36"/>
  <c r="AE85" i="36"/>
  <c r="M73" i="27"/>
  <c r="M74" i="27"/>
  <c r="L79" i="27"/>
  <c r="L82" i="27" s="1"/>
  <c r="M70" i="27"/>
  <c r="M68" i="27"/>
  <c r="D79" i="27"/>
  <c r="S85" i="46" s="1"/>
  <c r="D40" i="27"/>
  <c r="AD86" i="36"/>
  <c r="E86" i="27"/>
  <c r="Z86" i="46" s="1"/>
  <c r="Y85" i="36"/>
  <c r="AJ140" i="47" l="1"/>
  <c r="AJ140" i="36"/>
  <c r="AJ139" i="36"/>
  <c r="AJ139" i="47"/>
  <c r="E60" i="17"/>
  <c r="AP140" i="47"/>
  <c r="AP140" i="36"/>
  <c r="D49" i="33"/>
  <c r="AG132" i="47" s="1"/>
  <c r="E62" i="31"/>
  <c r="E76" i="31"/>
  <c r="I79" i="16"/>
  <c r="Y47" i="36"/>
  <c r="H268" i="3"/>
  <c r="AK38" i="44" s="1"/>
  <c r="AI77" i="36"/>
  <c r="AI77" i="46"/>
  <c r="AL77" i="36"/>
  <c r="AL77" i="46"/>
  <c r="AO77" i="36"/>
  <c r="AO77" i="46"/>
  <c r="AK77" i="36"/>
  <c r="AK77" i="46"/>
  <c r="AL75" i="36"/>
  <c r="AL75" i="46"/>
  <c r="AI75" i="36"/>
  <c r="AI75" i="46"/>
  <c r="AO75" i="36"/>
  <c r="AO75" i="46"/>
  <c r="F51" i="26"/>
  <c r="F80" i="26" s="1"/>
  <c r="F77" i="26"/>
  <c r="K51" i="26"/>
  <c r="K80" i="26" s="1"/>
  <c r="K77" i="26"/>
  <c r="J51" i="26"/>
  <c r="J80" i="26" s="1"/>
  <c r="J77" i="26"/>
  <c r="I77" i="26"/>
  <c r="I51" i="26"/>
  <c r="I80" i="26" s="1"/>
  <c r="E51" i="26"/>
  <c r="E80" i="26" s="1"/>
  <c r="E77" i="26"/>
  <c r="D51" i="26"/>
  <c r="D80" i="26" s="1"/>
  <c r="D77" i="26"/>
  <c r="G51" i="26"/>
  <c r="G80" i="26" s="1"/>
  <c r="G77" i="26"/>
  <c r="H51" i="26"/>
  <c r="H80" i="26" s="1"/>
  <c r="H81" i="26" s="1"/>
  <c r="H82" i="26" s="1"/>
  <c r="H77" i="26"/>
  <c r="U60" i="36"/>
  <c r="U60" i="45"/>
  <c r="K317" i="22"/>
  <c r="K311" i="22"/>
  <c r="K313" i="22" s="1"/>
  <c r="K310" i="22"/>
  <c r="I193" i="22"/>
  <c r="G193" i="22"/>
  <c r="F189" i="22"/>
  <c r="F185" i="22" s="1"/>
  <c r="F195" i="22" s="1"/>
  <c r="J193" i="22"/>
  <c r="AH16" i="44"/>
  <c r="H193" i="22"/>
  <c r="F193" i="22"/>
  <c r="I189" i="22"/>
  <c r="I185" i="22" s="1"/>
  <c r="AP11" i="36"/>
  <c r="AP90" i="36"/>
  <c r="AH11" i="36"/>
  <c r="AH11" i="44"/>
  <c r="AH9" i="44"/>
  <c r="AH9" i="36"/>
  <c r="AK86" i="46"/>
  <c r="AK86" i="36"/>
  <c r="AG86" i="36"/>
  <c r="AG86" i="46"/>
  <c r="E69" i="27"/>
  <c r="AM86" i="46" s="1"/>
  <c r="E68" i="27"/>
  <c r="AL86" i="46" s="1"/>
  <c r="S111" i="46"/>
  <c r="S112" i="46"/>
  <c r="H69" i="26"/>
  <c r="AP112" i="46"/>
  <c r="AP112" i="36"/>
  <c r="AO112" i="36"/>
  <c r="AO112" i="46"/>
  <c r="J58" i="26"/>
  <c r="J60" i="26"/>
  <c r="J64" i="26"/>
  <c r="H64" i="26"/>
  <c r="H58" i="26"/>
  <c r="H60" i="26"/>
  <c r="H65" i="26" s="1"/>
  <c r="F64" i="26"/>
  <c r="F58" i="26"/>
  <c r="L129" i="9"/>
  <c r="M129" i="9"/>
  <c r="F60" i="26"/>
  <c r="F65" i="26" s="1"/>
  <c r="AP92" i="36"/>
  <c r="G43" i="33"/>
  <c r="G69" i="33" s="1"/>
  <c r="W133" i="47" s="1"/>
  <c r="AG60" i="36"/>
  <c r="AF16" i="36"/>
  <c r="G81" i="13"/>
  <c r="H81" i="13"/>
  <c r="K78" i="13"/>
  <c r="E81" i="13"/>
  <c r="S350" i="24"/>
  <c r="Q350" i="24"/>
  <c r="I350" i="24"/>
  <c r="P350" i="24"/>
  <c r="H350" i="24"/>
  <c r="H351" i="24" s="1"/>
  <c r="H352" i="24" s="1"/>
  <c r="O350" i="24"/>
  <c r="G350" i="24"/>
  <c r="N350" i="24"/>
  <c r="F350" i="24"/>
  <c r="F351" i="24" s="1"/>
  <c r="F352" i="24" s="1"/>
  <c r="J160" i="4"/>
  <c r="H160" i="4"/>
  <c r="AR90" i="46" s="1"/>
  <c r="M159" i="4"/>
  <c r="AQ92" i="46" s="1"/>
  <c r="F170" i="23"/>
  <c r="F179" i="23" s="1"/>
  <c r="F264" i="3"/>
  <c r="F270" i="3" s="1"/>
  <c r="Y75" i="36"/>
  <c r="U139" i="36"/>
  <c r="U140" i="36"/>
  <c r="F53" i="17"/>
  <c r="AI140" i="47" s="1"/>
  <c r="F59" i="17"/>
  <c r="AG140" i="36"/>
  <c r="F57" i="11"/>
  <c r="AN115" i="47" s="1"/>
  <c r="H56" i="11"/>
  <c r="AM117" i="47" s="1"/>
  <c r="AR115" i="36"/>
  <c r="E82" i="27"/>
  <c r="V86" i="46" s="1"/>
  <c r="AO86" i="36"/>
  <c r="AJ84" i="36"/>
  <c r="Y84" i="36"/>
  <c r="U84" i="36"/>
  <c r="F53" i="32"/>
  <c r="G53" i="32"/>
  <c r="F76" i="31"/>
  <c r="AP94" i="36"/>
  <c r="Y80" i="36"/>
  <c r="AJ80" i="36"/>
  <c r="G97" i="35"/>
  <c r="AO80" i="46" s="1"/>
  <c r="F97" i="35"/>
  <c r="AO79" i="46" s="1"/>
  <c r="AJ79" i="36"/>
  <c r="H61" i="12"/>
  <c r="AJ73" i="46" s="1"/>
  <c r="U73" i="36"/>
  <c r="G138" i="9"/>
  <c r="G141" i="9"/>
  <c r="E138" i="9"/>
  <c r="E139" i="9" s="1"/>
  <c r="E141" i="9"/>
  <c r="G55" i="9"/>
  <c r="AO60" i="45" s="1"/>
  <c r="I138" i="9"/>
  <c r="I139" i="9" s="1"/>
  <c r="I141" i="9"/>
  <c r="P129" i="9"/>
  <c r="O138" i="9"/>
  <c r="U52" i="36"/>
  <c r="U51" i="36"/>
  <c r="AP49" i="36"/>
  <c r="E78" i="16"/>
  <c r="AO47" i="45" s="1"/>
  <c r="G78" i="16"/>
  <c r="AO49" i="45" s="1"/>
  <c r="AJ47" i="36"/>
  <c r="AJ49" i="36"/>
  <c r="AP47" i="36"/>
  <c r="K163" i="23"/>
  <c r="U21" i="36"/>
  <c r="U24" i="36"/>
  <c r="U30" i="36"/>
  <c r="AJ25" i="36"/>
  <c r="U25" i="36"/>
  <c r="U22" i="36"/>
  <c r="AF26" i="36"/>
  <c r="U27" i="36"/>
  <c r="U29" i="36"/>
  <c r="U16" i="36"/>
  <c r="AP16" i="36"/>
  <c r="G346" i="22"/>
  <c r="U40" i="36"/>
  <c r="F58" i="34"/>
  <c r="AO14" i="44" s="1"/>
  <c r="AO90" i="36"/>
  <c r="U9" i="36"/>
  <c r="AJ90" i="36"/>
  <c r="AJ11" i="36"/>
  <c r="U90" i="36"/>
  <c r="G75" i="4"/>
  <c r="AO11" i="44" s="1"/>
  <c r="O159" i="4"/>
  <c r="AP9" i="36"/>
  <c r="U11" i="36"/>
  <c r="AJ92" i="36"/>
  <c r="AO92" i="36"/>
  <c r="AJ9" i="36"/>
  <c r="U92" i="36"/>
  <c r="I71" i="14"/>
  <c r="J71" i="14"/>
  <c r="T128" i="36"/>
  <c r="Y129" i="36"/>
  <c r="T131" i="36"/>
  <c r="S128" i="36"/>
  <c r="S131" i="36"/>
  <c r="T129" i="36"/>
  <c r="T130" i="36"/>
  <c r="Y130" i="36"/>
  <c r="Y131" i="36"/>
  <c r="S130" i="36"/>
  <c r="S129" i="36"/>
  <c r="AP19" i="36"/>
  <c r="F71" i="14"/>
  <c r="L71" i="14"/>
  <c r="E71" i="14"/>
  <c r="G71" i="14"/>
  <c r="AJ18" i="44" s="1"/>
  <c r="U19" i="36"/>
  <c r="K71" i="14"/>
  <c r="M71" i="14"/>
  <c r="AJ19" i="44" s="1"/>
  <c r="U18" i="36"/>
  <c r="H272" i="3"/>
  <c r="AO38" i="44" s="1"/>
  <c r="AQ32" i="36"/>
  <c r="AJ7" i="36"/>
  <c r="AJ34" i="36"/>
  <c r="U32" i="36"/>
  <c r="U38" i="36"/>
  <c r="AG38" i="36"/>
  <c r="U7" i="36"/>
  <c r="U34" i="36"/>
  <c r="AJ36" i="36"/>
  <c r="AO32" i="36"/>
  <c r="AO36" i="36"/>
  <c r="AO7" i="36"/>
  <c r="U36" i="36"/>
  <c r="AJ32" i="36"/>
  <c r="AJ38" i="36"/>
  <c r="AO34" i="36"/>
  <c r="D270" i="3"/>
  <c r="AF116" i="36"/>
  <c r="AN115" i="36"/>
  <c r="AG117" i="36"/>
  <c r="Z119" i="36"/>
  <c r="AF118" i="36"/>
  <c r="AF117" i="36"/>
  <c r="AR117" i="36"/>
  <c r="Z115" i="36"/>
  <c r="F51" i="11"/>
  <c r="AH115" i="47" s="1"/>
  <c r="E78" i="13"/>
  <c r="I98" i="13"/>
  <c r="AB76" i="46" s="1"/>
  <c r="K81" i="13"/>
  <c r="L81" i="13"/>
  <c r="J81" i="13"/>
  <c r="M81" i="13"/>
  <c r="G321" i="24"/>
  <c r="F321" i="24"/>
  <c r="K321" i="24"/>
  <c r="I321" i="24"/>
  <c r="H321" i="24"/>
  <c r="E59" i="17"/>
  <c r="AK139" i="36"/>
  <c r="AC140" i="36"/>
  <c r="AC138" i="36"/>
  <c r="AK140" i="36"/>
  <c r="Z139" i="36"/>
  <c r="V140" i="36"/>
  <c r="AC139" i="36"/>
  <c r="S138" i="36"/>
  <c r="AH140" i="36"/>
  <c r="AG133" i="36"/>
  <c r="W133" i="36"/>
  <c r="AH133" i="36"/>
  <c r="V133" i="36"/>
  <c r="AG132" i="36"/>
  <c r="AK132" i="36"/>
  <c r="Y132" i="36"/>
  <c r="Z133" i="36"/>
  <c r="I179" i="23"/>
  <c r="E172" i="23"/>
  <c r="AJ24" i="44" s="1"/>
  <c r="E171" i="23"/>
  <c r="AI24" i="44" s="1"/>
  <c r="D163" i="23"/>
  <c r="E170" i="23"/>
  <c r="AH24" i="44" s="1"/>
  <c r="H162" i="23"/>
  <c r="K171" i="23" s="1"/>
  <c r="AI27" i="44" s="1"/>
  <c r="D165" i="23"/>
  <c r="D166" i="23" s="1"/>
  <c r="D193" i="23" s="1"/>
  <c r="AA23" i="44" s="1"/>
  <c r="F172" i="23"/>
  <c r="K170" i="23"/>
  <c r="AH27" i="44" s="1"/>
  <c r="Y24" i="36"/>
  <c r="W21" i="36"/>
  <c r="AK21" i="36"/>
  <c r="AK22" i="36"/>
  <c r="W27" i="36"/>
  <c r="AK27" i="36"/>
  <c r="AK30" i="36"/>
  <c r="AG21" i="36"/>
  <c r="F171" i="23"/>
  <c r="AA27" i="36"/>
  <c r="W25" i="36"/>
  <c r="Y21" i="36"/>
  <c r="AG25" i="36"/>
  <c r="AK24" i="36"/>
  <c r="W22" i="36"/>
  <c r="Y26" i="36"/>
  <c r="Y22" i="36"/>
  <c r="Y23" i="36"/>
  <c r="AK29" i="36"/>
  <c r="AK25" i="36"/>
  <c r="Y25" i="36"/>
  <c r="D59" i="23"/>
  <c r="E68" i="23" s="1"/>
  <c r="AF21" i="36"/>
  <c r="Y27" i="36"/>
  <c r="AF20" i="36"/>
  <c r="AF24" i="36"/>
  <c r="Z112" i="36"/>
  <c r="AR86" i="36"/>
  <c r="AQ86" i="36"/>
  <c r="AN86" i="36"/>
  <c r="S86" i="36"/>
  <c r="Z86" i="36"/>
  <c r="S85" i="36"/>
  <c r="E39" i="32"/>
  <c r="G69" i="32"/>
  <c r="AH84" i="36"/>
  <c r="G91" i="31"/>
  <c r="U94" i="46" s="1"/>
  <c r="G76" i="31"/>
  <c r="AJ94" i="46" s="1"/>
  <c r="D62" i="31"/>
  <c r="F62" i="31"/>
  <c r="G62" i="31"/>
  <c r="G109" i="35"/>
  <c r="V80" i="46" s="1"/>
  <c r="G89" i="35"/>
  <c r="AG80" i="46" s="1"/>
  <c r="F109" i="35"/>
  <c r="V79" i="46" s="1"/>
  <c r="D109" i="35"/>
  <c r="V78" i="46" s="1"/>
  <c r="E80" i="35"/>
  <c r="AH79" i="36"/>
  <c r="F99" i="35"/>
  <c r="AQ79" i="46" s="1"/>
  <c r="S79" i="36"/>
  <c r="S78" i="36"/>
  <c r="AF80" i="36"/>
  <c r="AF78" i="36"/>
  <c r="AF79" i="36"/>
  <c r="AI79" i="36"/>
  <c r="AK80" i="36"/>
  <c r="S80" i="36"/>
  <c r="Y79" i="36"/>
  <c r="G96" i="13"/>
  <c r="F78" i="13"/>
  <c r="AA74" i="36"/>
  <c r="Y76" i="36"/>
  <c r="Y74" i="36"/>
  <c r="V77" i="36"/>
  <c r="V75" i="36"/>
  <c r="V76" i="36"/>
  <c r="AA76" i="36"/>
  <c r="AA75" i="36"/>
  <c r="Y77" i="36"/>
  <c r="V74" i="36"/>
  <c r="H55" i="12"/>
  <c r="F44" i="12"/>
  <c r="G44" i="12"/>
  <c r="I44" i="12"/>
  <c r="I55" i="12"/>
  <c r="H58" i="12"/>
  <c r="AG73" i="46" s="1"/>
  <c r="S72" i="36"/>
  <c r="Z73" i="36"/>
  <c r="T73" i="36"/>
  <c r="AK73" i="36"/>
  <c r="W73" i="36"/>
  <c r="S73" i="36"/>
  <c r="T72" i="36"/>
  <c r="AI73" i="36"/>
  <c r="AG73" i="36"/>
  <c r="S71" i="36"/>
  <c r="T71" i="36"/>
  <c r="X99" i="36"/>
  <c r="X96" i="36"/>
  <c r="X102" i="36"/>
  <c r="X100" i="36"/>
  <c r="X97" i="36"/>
  <c r="X104" i="36"/>
  <c r="K143" i="9"/>
  <c r="Q129" i="9"/>
  <c r="E57" i="9"/>
  <c r="E55" i="9"/>
  <c r="H57" i="9"/>
  <c r="H55" i="9"/>
  <c r="I57" i="9"/>
  <c r="I55" i="9"/>
  <c r="F67" i="9"/>
  <c r="F68" i="9" s="1"/>
  <c r="AG64" i="36"/>
  <c r="AF64" i="36"/>
  <c r="Z60" i="36"/>
  <c r="AK62" i="36"/>
  <c r="AF60" i="36"/>
  <c r="AF62" i="36"/>
  <c r="AF63" i="36"/>
  <c r="V61" i="36"/>
  <c r="AB64" i="36"/>
  <c r="G52" i="9"/>
  <c r="AL60" i="45" s="1"/>
  <c r="AF59" i="36"/>
  <c r="V63" i="36"/>
  <c r="AB62" i="36"/>
  <c r="F72" i="19"/>
  <c r="F73" i="19" s="1"/>
  <c r="AG52" i="45" s="1"/>
  <c r="Z51" i="36"/>
  <c r="Z52" i="36"/>
  <c r="AI49" i="36"/>
  <c r="W47" i="36"/>
  <c r="W49" i="36"/>
  <c r="AH49" i="36"/>
  <c r="AH47" i="36"/>
  <c r="Y46" i="36"/>
  <c r="AO16" i="44"/>
  <c r="E193" i="22"/>
  <c r="H187" i="22"/>
  <c r="AI16" i="44" s="1"/>
  <c r="G187" i="22"/>
  <c r="G192" i="22" s="1"/>
  <c r="I187" i="22"/>
  <c r="I192" i="22" s="1"/>
  <c r="E187" i="22"/>
  <c r="J187" i="22"/>
  <c r="J192" i="22" s="1"/>
  <c r="F187" i="22"/>
  <c r="F196" i="22" s="1"/>
  <c r="E64" i="22"/>
  <c r="AI110" i="46" s="1"/>
  <c r="E58" i="22"/>
  <c r="E71" i="22" s="1"/>
  <c r="AP110" i="46" s="1"/>
  <c r="E68" i="34"/>
  <c r="U13" i="44" s="1"/>
  <c r="E53" i="34"/>
  <c r="AJ13" i="44" s="1"/>
  <c r="D78" i="3"/>
  <c r="AP7" i="44" s="1"/>
  <c r="D189" i="34"/>
  <c r="E58" i="34"/>
  <c r="AO13" i="44" s="1"/>
  <c r="Y88" i="36"/>
  <c r="Z88" i="36"/>
  <c r="S12" i="36"/>
  <c r="V81" i="36"/>
  <c r="Z82" i="36"/>
  <c r="AB82" i="36"/>
  <c r="V88" i="36"/>
  <c r="AH82" i="36"/>
  <c r="Y12" i="36"/>
  <c r="V87" i="36"/>
  <c r="Y82" i="36"/>
  <c r="Y81" i="36"/>
  <c r="Y87" i="36"/>
  <c r="AI14" i="36"/>
  <c r="V82" i="36"/>
  <c r="AB81" i="36"/>
  <c r="E75" i="4"/>
  <c r="AO9" i="44" s="1"/>
  <c r="H159" i="4"/>
  <c r="AQ90" i="46" s="1"/>
  <c r="Z90" i="36"/>
  <c r="E66" i="4"/>
  <c r="E71" i="4" s="1"/>
  <c r="AK9" i="44" s="1"/>
  <c r="G66" i="4"/>
  <c r="G78" i="4" s="1"/>
  <c r="AR11" i="44" s="1"/>
  <c r="AI11" i="36"/>
  <c r="AN90" i="36"/>
  <c r="AN92" i="36"/>
  <c r="AM90" i="36"/>
  <c r="E90" i="4"/>
  <c r="Z9" i="44" s="1"/>
  <c r="AI9" i="36"/>
  <c r="AM92" i="36"/>
  <c r="AL92" i="36"/>
  <c r="J159" i="4"/>
  <c r="AL90" i="36"/>
  <c r="AR92" i="36"/>
  <c r="Z92" i="36"/>
  <c r="AK90" i="36"/>
  <c r="AB17" i="36"/>
  <c r="Y17" i="36"/>
  <c r="AB18" i="36"/>
  <c r="S17" i="36"/>
  <c r="H174" i="3"/>
  <c r="AP36" i="44" s="1"/>
  <c r="F174" i="3"/>
  <c r="AP34" i="44" s="1"/>
  <c r="D174" i="3"/>
  <c r="AP32" i="44" s="1"/>
  <c r="H270" i="3"/>
  <c r="AM38" i="44" s="1"/>
  <c r="Z135" i="36"/>
  <c r="Z137" i="36"/>
  <c r="T6" i="36"/>
  <c r="Z7" i="36"/>
  <c r="S31" i="36"/>
  <c r="AN36" i="36"/>
  <c r="Z36" i="36"/>
  <c r="AR34" i="36"/>
  <c r="Y137" i="36"/>
  <c r="AN7" i="36"/>
  <c r="AN34" i="36"/>
  <c r="Z32" i="36"/>
  <c r="Z34" i="36"/>
  <c r="AK38" i="36"/>
  <c r="V32" i="36"/>
  <c r="AQ7" i="36"/>
  <c r="AN32" i="36"/>
  <c r="D82" i="22"/>
  <c r="V109" i="46" s="1"/>
  <c r="Z110" i="36"/>
  <c r="Z16" i="36"/>
  <c r="AH16" i="36"/>
  <c r="W16" i="36"/>
  <c r="E321" i="24"/>
  <c r="L350" i="24"/>
  <c r="L351" i="24" s="1"/>
  <c r="L352" i="24" s="1"/>
  <c r="H320" i="24"/>
  <c r="J350" i="24"/>
  <c r="J351" i="24" s="1"/>
  <c r="J352" i="24" s="1"/>
  <c r="G320" i="24"/>
  <c r="J321" i="24"/>
  <c r="J320" i="24"/>
  <c r="F320" i="24"/>
  <c r="I320" i="24"/>
  <c r="E350" i="24"/>
  <c r="D320" i="24"/>
  <c r="E320" i="24"/>
  <c r="K350" i="24"/>
  <c r="R350" i="24"/>
  <c r="V131" i="47" s="1"/>
  <c r="K320" i="24"/>
  <c r="M350" i="24"/>
  <c r="F354" i="24"/>
  <c r="H354" i="24"/>
  <c r="X126" i="36"/>
  <c r="X127" i="36"/>
  <c r="J354" i="24"/>
  <c r="P354" i="24"/>
  <c r="Z130" i="47" s="1"/>
  <c r="R354" i="24"/>
  <c r="Z131" i="47" s="1"/>
  <c r="N354" i="24"/>
  <c r="Z129" i="47" s="1"/>
  <c r="L354" i="24"/>
  <c r="K305" i="24"/>
  <c r="K308" i="24"/>
  <c r="K303" i="24"/>
  <c r="R308" i="24"/>
  <c r="AQ131" i="47" s="1"/>
  <c r="R305" i="24"/>
  <c r="AN131" i="47" s="1"/>
  <c r="R303" i="24"/>
  <c r="AL131" i="47" s="1"/>
  <c r="J308" i="24"/>
  <c r="J303" i="24"/>
  <c r="J305" i="24"/>
  <c r="Q308" i="24"/>
  <c r="Q303" i="24"/>
  <c r="Q305" i="24"/>
  <c r="I308" i="24"/>
  <c r="I305" i="24"/>
  <c r="I303" i="24"/>
  <c r="L308" i="24"/>
  <c r="L305" i="24"/>
  <c r="L303" i="24"/>
  <c r="S305" i="24"/>
  <c r="S308" i="24"/>
  <c r="S303" i="24"/>
  <c r="O305" i="24"/>
  <c r="O308" i="24"/>
  <c r="O303" i="24"/>
  <c r="G305" i="24"/>
  <c r="G303" i="24"/>
  <c r="G308" i="24"/>
  <c r="N308" i="24"/>
  <c r="AQ129" i="47" s="1"/>
  <c r="N303" i="24"/>
  <c r="AL129" i="47" s="1"/>
  <c r="N305" i="24"/>
  <c r="AN129" i="47" s="1"/>
  <c r="F303" i="24"/>
  <c r="F305" i="24"/>
  <c r="F308" i="24"/>
  <c r="M308" i="24"/>
  <c r="M303" i="24"/>
  <c r="M305" i="24"/>
  <c r="P308" i="24"/>
  <c r="AQ130" i="47" s="1"/>
  <c r="P303" i="24"/>
  <c r="AL130" i="47" s="1"/>
  <c r="P305" i="24"/>
  <c r="AN130" i="47" s="1"/>
  <c r="H308" i="24"/>
  <c r="H303" i="24"/>
  <c r="H305" i="24"/>
  <c r="L190" i="24"/>
  <c r="O190" i="24"/>
  <c r="W127" i="47" s="1"/>
  <c r="Q190" i="24"/>
  <c r="I190" i="24"/>
  <c r="H190" i="24"/>
  <c r="K190" i="24"/>
  <c r="N190" i="24"/>
  <c r="W126" i="47" s="1"/>
  <c r="I192" i="23"/>
  <c r="E190" i="23"/>
  <c r="X24" i="44" s="1"/>
  <c r="W24" i="36"/>
  <c r="E179" i="23"/>
  <c r="AQ24" i="44" s="1"/>
  <c r="AH24" i="36"/>
  <c r="K193" i="34"/>
  <c r="AF88" i="46" s="1"/>
  <c r="F67" i="32"/>
  <c r="W84" i="36"/>
  <c r="F69" i="32"/>
  <c r="Y83" i="36"/>
  <c r="E72" i="31"/>
  <c r="E91" i="31"/>
  <c r="F72" i="31"/>
  <c r="F77" i="31" s="1"/>
  <c r="F91" i="31"/>
  <c r="Q159" i="4"/>
  <c r="S159" i="4"/>
  <c r="M153" i="4"/>
  <c r="AK92" i="46" s="1"/>
  <c r="O153" i="4"/>
  <c r="Q153" i="4"/>
  <c r="S153" i="4"/>
  <c r="D98" i="13"/>
  <c r="AB74" i="46" s="1"/>
  <c r="G93" i="13"/>
  <c r="G94" i="13" s="1"/>
  <c r="E93" i="13"/>
  <c r="E94" i="13" s="1"/>
  <c r="F62" i="12"/>
  <c r="AF22" i="36"/>
  <c r="AF114" i="36"/>
  <c r="AF119" i="36"/>
  <c r="D193" i="34"/>
  <c r="AF115" i="36"/>
  <c r="J193" i="34"/>
  <c r="AF87" i="46" s="1"/>
  <c r="F193" i="34"/>
  <c r="AF82" i="46" s="1"/>
  <c r="G193" i="34"/>
  <c r="E193" i="34"/>
  <c r="AF81" i="46" s="1"/>
  <c r="L25" i="18"/>
  <c r="AF15" i="36"/>
  <c r="AF27" i="36"/>
  <c r="D26" i="18"/>
  <c r="L26" i="18" s="1"/>
  <c r="L24" i="18"/>
  <c r="AF25" i="36"/>
  <c r="AF23" i="36"/>
  <c r="L29" i="18"/>
  <c r="H69" i="12"/>
  <c r="AR73" i="46" s="1"/>
  <c r="H171" i="3"/>
  <c r="AM36" i="44" s="1"/>
  <c r="AG36" i="36"/>
  <c r="H183" i="3"/>
  <c r="I183" i="3" s="1"/>
  <c r="T35" i="44" s="1"/>
  <c r="T33" i="36"/>
  <c r="V37" i="36"/>
  <c r="F156" i="34"/>
  <c r="F50" i="11"/>
  <c r="AG115" i="47" s="1"/>
  <c r="AK115" i="36"/>
  <c r="H51" i="11"/>
  <c r="AH117" i="47" s="1"/>
  <c r="Z117" i="36"/>
  <c r="F73" i="11"/>
  <c r="X115" i="47" s="1"/>
  <c r="W115" i="36"/>
  <c r="J73" i="11"/>
  <c r="X119" i="47" s="1"/>
  <c r="W119" i="36"/>
  <c r="H73" i="11"/>
  <c r="X117" i="47" s="1"/>
  <c r="W117" i="36"/>
  <c r="F57" i="17"/>
  <c r="F56" i="17"/>
  <c r="AL140" i="47" s="1"/>
  <c r="E56" i="17"/>
  <c r="AL139" i="47" s="1"/>
  <c r="AH139" i="36"/>
  <c r="F74" i="17"/>
  <c r="Z140" i="47" s="1"/>
  <c r="Y140" i="36"/>
  <c r="S109" i="36"/>
  <c r="E156" i="34"/>
  <c r="G156" i="34"/>
  <c r="G157" i="34" s="1"/>
  <c r="K156" i="34"/>
  <c r="K157" i="34" s="1"/>
  <c r="D156" i="34"/>
  <c r="D157" i="34" s="1"/>
  <c r="J156" i="34"/>
  <c r="M170" i="4"/>
  <c r="X92" i="46" s="1"/>
  <c r="W92" i="36"/>
  <c r="G90" i="4"/>
  <c r="Z11" i="44" s="1"/>
  <c r="H170" i="4"/>
  <c r="X90" i="46" s="1"/>
  <c r="W90" i="36"/>
  <c r="G70" i="33"/>
  <c r="X133" i="47" s="1"/>
  <c r="G53" i="33"/>
  <c r="AK133" i="47" s="1"/>
  <c r="G59" i="33"/>
  <c r="AQ133" i="47" s="1"/>
  <c r="G54" i="33"/>
  <c r="AL133" i="47" s="1"/>
  <c r="E53" i="33"/>
  <c r="K356" i="3"/>
  <c r="K382" i="3" s="1"/>
  <c r="V136" i="47" s="1"/>
  <c r="S136" i="36"/>
  <c r="H356" i="3"/>
  <c r="H382" i="3" s="1"/>
  <c r="V135" i="47" s="1"/>
  <c r="J356" i="3"/>
  <c r="I356" i="3"/>
  <c r="I382" i="3" s="1"/>
  <c r="V134" i="47" s="1"/>
  <c r="S134" i="36"/>
  <c r="H57" i="11"/>
  <c r="AN117" i="47" s="1"/>
  <c r="F81" i="26"/>
  <c r="F82" i="26" s="1"/>
  <c r="V111" i="46"/>
  <c r="S111" i="36"/>
  <c r="V112" i="46"/>
  <c r="S112" i="36"/>
  <c r="G50" i="26"/>
  <c r="E79" i="22"/>
  <c r="E82" i="22" s="1"/>
  <c r="V110" i="46" s="1"/>
  <c r="D76" i="22"/>
  <c r="E62" i="22"/>
  <c r="AG110" i="46" s="1"/>
  <c r="E66" i="22"/>
  <c r="AK110" i="46" s="1"/>
  <c r="E72" i="22"/>
  <c r="AQ110" i="46" s="1"/>
  <c r="F160" i="4"/>
  <c r="F159" i="4"/>
  <c r="G100" i="35"/>
  <c r="AR80" i="46" s="1"/>
  <c r="AI80" i="36"/>
  <c r="G113" i="35"/>
  <c r="Z80" i="46" s="1"/>
  <c r="Y78" i="36"/>
  <c r="G99" i="35"/>
  <c r="AQ80" i="46" s="1"/>
  <c r="AH80" i="36"/>
  <c r="E99" i="35"/>
  <c r="F93" i="35"/>
  <c r="AK79" i="46" s="1"/>
  <c r="F89" i="35"/>
  <c r="AG79" i="46" s="1"/>
  <c r="G96" i="35"/>
  <c r="AN80" i="46" s="1"/>
  <c r="H59" i="12"/>
  <c r="AH73" i="46" s="1"/>
  <c r="H80" i="12"/>
  <c r="X73" i="46" s="1"/>
  <c r="F45" i="12"/>
  <c r="I65" i="12"/>
  <c r="F65" i="12"/>
  <c r="G65" i="12"/>
  <c r="L98" i="13"/>
  <c r="E110" i="13"/>
  <c r="E112" i="13" s="1"/>
  <c r="M79" i="13"/>
  <c r="M96" i="13"/>
  <c r="Z77" i="46" s="1"/>
  <c r="K79" i="13"/>
  <c r="H96" i="13"/>
  <c r="Z75" i="46" s="1"/>
  <c r="F93" i="13"/>
  <c r="F94" i="13" s="1"/>
  <c r="H93" i="13"/>
  <c r="W75" i="46" s="1"/>
  <c r="H79" i="13"/>
  <c r="M68" i="13"/>
  <c r="M97" i="13" s="1"/>
  <c r="AA77" i="46" s="1"/>
  <c r="M66" i="13"/>
  <c r="M78" i="13" s="1"/>
  <c r="M69" i="13"/>
  <c r="M98" i="13" s="1"/>
  <c r="AB77" i="46" s="1"/>
  <c r="I68" i="14"/>
  <c r="D87" i="14"/>
  <c r="V17" i="44" s="1"/>
  <c r="E88" i="4"/>
  <c r="X9" i="44" s="1"/>
  <c r="E87" i="4"/>
  <c r="W9" i="44" s="1"/>
  <c r="G88" i="4"/>
  <c r="X11" i="44" s="1"/>
  <c r="G87" i="4"/>
  <c r="W11" i="44" s="1"/>
  <c r="G74" i="4"/>
  <c r="AN11" i="44" s="1"/>
  <c r="H207" i="22"/>
  <c r="X16" i="44" s="1"/>
  <c r="H176" i="3"/>
  <c r="AR36" i="44" s="1"/>
  <c r="D82" i="27"/>
  <c r="V85" i="46" s="1"/>
  <c r="F58" i="19"/>
  <c r="F64" i="19" s="1"/>
  <c r="F67" i="19" s="1"/>
  <c r="Z64" i="36"/>
  <c r="H54" i="9"/>
  <c r="I52" i="9"/>
  <c r="V64" i="36"/>
  <c r="Z62" i="36"/>
  <c r="I67" i="9"/>
  <c r="I68" i="9" s="1"/>
  <c r="H52" i="9"/>
  <c r="K138" i="9"/>
  <c r="K139" i="9" s="1"/>
  <c r="I143" i="9"/>
  <c r="V62" i="36"/>
  <c r="H67" i="9"/>
  <c r="H68" i="9" s="1"/>
  <c r="G140" i="9"/>
  <c r="K140" i="9"/>
  <c r="G57" i="9"/>
  <c r="AQ60" i="45" s="1"/>
  <c r="AH60" i="36"/>
  <c r="G53" i="9"/>
  <c r="AM60" i="45" s="1"/>
  <c r="AI60" i="36"/>
  <c r="E67" i="9"/>
  <c r="E68" i="9" s="1"/>
  <c r="G58" i="9"/>
  <c r="AR60" i="45" s="1"/>
  <c r="F54" i="9"/>
  <c r="F57" i="9"/>
  <c r="I58" i="9"/>
  <c r="E52" i="9"/>
  <c r="I140" i="9"/>
  <c r="G67" i="9"/>
  <c r="W60" i="45" s="1"/>
  <c r="E143" i="9"/>
  <c r="G54" i="9"/>
  <c r="AN60" i="45" s="1"/>
  <c r="G143" i="9"/>
  <c r="F52" i="9"/>
  <c r="F284" i="3"/>
  <c r="D275" i="3"/>
  <c r="D169" i="3"/>
  <c r="AK32" i="44" s="1"/>
  <c r="H175" i="3"/>
  <c r="AQ36" i="44" s="1"/>
  <c r="D85" i="3"/>
  <c r="D176" i="3"/>
  <c r="AR32" i="44" s="1"/>
  <c r="H169" i="3"/>
  <c r="AK36" i="44" s="1"/>
  <c r="L93" i="13"/>
  <c r="L94" i="13" s="1"/>
  <c r="E79" i="13"/>
  <c r="M93" i="13"/>
  <c r="W77" i="46" s="1"/>
  <c r="G78" i="13"/>
  <c r="I111" i="13"/>
  <c r="I113" i="13" s="1"/>
  <c r="I114" i="13" s="1"/>
  <c r="H66" i="13"/>
  <c r="H69" i="13"/>
  <c r="H98" i="13" s="1"/>
  <c r="AB75" i="46" s="1"/>
  <c r="J110" i="13"/>
  <c r="J98" i="13"/>
  <c r="D111" i="13"/>
  <c r="L78" i="13"/>
  <c r="H71" i="13"/>
  <c r="H76" i="13" s="1"/>
  <c r="AK75" i="46" s="1"/>
  <c r="G79" i="13"/>
  <c r="J79" i="13"/>
  <c r="J96" i="13"/>
  <c r="L112" i="13"/>
  <c r="L111" i="13"/>
  <c r="K110" i="13"/>
  <c r="K98" i="13"/>
  <c r="F98" i="13"/>
  <c r="F110" i="13"/>
  <c r="J93" i="13"/>
  <c r="J94" i="13" s="1"/>
  <c r="G110" i="13"/>
  <c r="G98" i="13"/>
  <c r="K93" i="13"/>
  <c r="K94" i="13" s="1"/>
  <c r="L79" i="13"/>
  <c r="F79" i="13"/>
  <c r="F96" i="13"/>
  <c r="E58" i="17"/>
  <c r="E53" i="17"/>
  <c r="AI139" i="47" s="1"/>
  <c r="D82" i="17"/>
  <c r="D70" i="17"/>
  <c r="V138" i="47" s="1"/>
  <c r="F58" i="17"/>
  <c r="E82" i="17"/>
  <c r="E70" i="17"/>
  <c r="V139" i="47" s="1"/>
  <c r="H64" i="12"/>
  <c r="AM73" i="46" s="1"/>
  <c r="E41" i="12"/>
  <c r="D41" i="12"/>
  <c r="G69" i="12"/>
  <c r="G68" i="12"/>
  <c r="G58" i="12"/>
  <c r="I69" i="12"/>
  <c r="I68" i="12"/>
  <c r="I58" i="12"/>
  <c r="I63" i="12" s="1"/>
  <c r="I45" i="12"/>
  <c r="F69" i="12"/>
  <c r="F68" i="12"/>
  <c r="F58" i="12"/>
  <c r="F63" i="12" s="1"/>
  <c r="G45" i="12"/>
  <c r="H49" i="26"/>
  <c r="K50" i="26"/>
  <c r="E49" i="26"/>
  <c r="D50" i="26"/>
  <c r="J49" i="26"/>
  <c r="F42" i="32"/>
  <c r="F44" i="32" s="1"/>
  <c r="G42" i="32"/>
  <c r="G44" i="32" s="1"/>
  <c r="F53" i="33"/>
  <c r="E100" i="35"/>
  <c r="E89" i="35"/>
  <c r="E96" i="35"/>
  <c r="E113" i="35"/>
  <c r="F100" i="35"/>
  <c r="AR79" i="46" s="1"/>
  <c r="F96" i="35"/>
  <c r="AN79" i="46" s="1"/>
  <c r="F113" i="35"/>
  <c r="Z79" i="46" s="1"/>
  <c r="G63" i="31"/>
  <c r="G95" i="31"/>
  <c r="Y94" i="46" s="1"/>
  <c r="G69" i="31"/>
  <c r="G70" i="31" s="1"/>
  <c r="G75" i="31" s="1"/>
  <c r="AI94" i="46" s="1"/>
  <c r="E69" i="31"/>
  <c r="E70" i="31" s="1"/>
  <c r="E75" i="31" s="1"/>
  <c r="E84" i="31" s="1"/>
  <c r="F69" i="31"/>
  <c r="F70" i="31" s="1"/>
  <c r="F75" i="31" s="1"/>
  <c r="D67" i="31"/>
  <c r="F95" i="31"/>
  <c r="F63" i="31"/>
  <c r="E73" i="31"/>
  <c r="E77" i="31"/>
  <c r="E95" i="31"/>
  <c r="E63" i="31"/>
  <c r="E65" i="31"/>
  <c r="E66" i="31" s="1"/>
  <c r="E74" i="31" s="1"/>
  <c r="E81" i="31" s="1"/>
  <c r="G65" i="31"/>
  <c r="G66" i="31" s="1"/>
  <c r="G74" i="31" s="1"/>
  <c r="AH94" i="46" s="1"/>
  <c r="F65" i="31"/>
  <c r="F66" i="31" s="1"/>
  <c r="F74" i="31" s="1"/>
  <c r="F81" i="31" s="1"/>
  <c r="D63" i="31"/>
  <c r="D92" i="31" s="1"/>
  <c r="V93" i="46" s="1"/>
  <c r="D95" i="31"/>
  <c r="Y93" i="46" s="1"/>
  <c r="G72" i="31"/>
  <c r="J61" i="11"/>
  <c r="AR119" i="47" s="1"/>
  <c r="J54" i="11"/>
  <c r="AK119" i="47" s="1"/>
  <c r="J57" i="11"/>
  <c r="AN119" i="47" s="1"/>
  <c r="J51" i="11"/>
  <c r="AH119" i="47" s="1"/>
  <c r="O143" i="9"/>
  <c r="E140" i="9"/>
  <c r="G139" i="9"/>
  <c r="I54" i="9"/>
  <c r="N129" i="9"/>
  <c r="F58" i="9"/>
  <c r="F53" i="9"/>
  <c r="E53" i="9"/>
  <c r="E144" i="9"/>
  <c r="E54" i="9"/>
  <c r="H53" i="9"/>
  <c r="M72" i="14"/>
  <c r="AK19" i="44" s="1"/>
  <c r="M68" i="14"/>
  <c r="AG19" i="44" s="1"/>
  <c r="E72" i="14"/>
  <c r="E68" i="14"/>
  <c r="F68" i="14"/>
  <c r="F72" i="14"/>
  <c r="G68" i="14"/>
  <c r="AG18" i="44" s="1"/>
  <c r="G72" i="14"/>
  <c r="AK18" i="44" s="1"/>
  <c r="M90" i="14"/>
  <c r="Y19" i="44" s="1"/>
  <c r="M69" i="14"/>
  <c r="AH19" i="44" s="1"/>
  <c r="M87" i="14"/>
  <c r="V19" i="44" s="1"/>
  <c r="N90" i="14"/>
  <c r="N91" i="14" s="1"/>
  <c r="N69" i="14"/>
  <c r="N76" i="14" s="1"/>
  <c r="N87" i="14"/>
  <c r="I87" i="14"/>
  <c r="I90" i="14"/>
  <c r="I91" i="14" s="1"/>
  <c r="I69" i="14"/>
  <c r="I76" i="14" s="1"/>
  <c r="E60" i="14"/>
  <c r="E63" i="14"/>
  <c r="F53" i="14"/>
  <c r="F77" i="14" s="1"/>
  <c r="M70" i="14"/>
  <c r="AI19" i="44" s="1"/>
  <c r="I70" i="14"/>
  <c r="N70" i="14"/>
  <c r="H275" i="3"/>
  <c r="AR38" i="44" s="1"/>
  <c r="F165" i="3"/>
  <c r="AG34" i="44" s="1"/>
  <c r="F175" i="3"/>
  <c r="AQ34" i="44" s="1"/>
  <c r="E85" i="3"/>
  <c r="S6" i="44" s="1"/>
  <c r="F169" i="3"/>
  <c r="AK34" i="44" s="1"/>
  <c r="AI38" i="36"/>
  <c r="D68" i="3"/>
  <c r="D69" i="3" s="1"/>
  <c r="AG7" i="44" s="1"/>
  <c r="D165" i="3"/>
  <c r="AG32" i="44" s="1"/>
  <c r="I251" i="3"/>
  <c r="H170" i="3"/>
  <c r="AL36" i="44" s="1"/>
  <c r="J184" i="22"/>
  <c r="J204" i="22"/>
  <c r="E91" i="16"/>
  <c r="X47" i="45" s="1"/>
  <c r="G91" i="16"/>
  <c r="X49" i="45" s="1"/>
  <c r="G77" i="16"/>
  <c r="AN49" i="45" s="1"/>
  <c r="I77" i="16"/>
  <c r="E69" i="16"/>
  <c r="E74" i="16" s="1"/>
  <c r="AK47" i="45" s="1"/>
  <c r="E77" i="16"/>
  <c r="AN47" i="45" s="1"/>
  <c r="G93" i="16"/>
  <c r="Z49" i="45" s="1"/>
  <c r="Y49" i="36"/>
  <c r="E93" i="16"/>
  <c r="Z47" i="45" s="1"/>
  <c r="G81" i="16"/>
  <c r="AR49" i="45" s="1"/>
  <c r="I69" i="16"/>
  <c r="G70" i="16"/>
  <c r="AG49" i="45" s="1"/>
  <c r="G74" i="16"/>
  <c r="AK49" i="45" s="1"/>
  <c r="G80" i="16"/>
  <c r="AQ49" i="45" s="1"/>
  <c r="H93" i="16"/>
  <c r="D59" i="19"/>
  <c r="D70" i="19" s="1"/>
  <c r="D58" i="19"/>
  <c r="D64" i="19" s="1"/>
  <c r="E95" i="19"/>
  <c r="X51" i="45" s="1"/>
  <c r="W51" i="36"/>
  <c r="F95" i="19"/>
  <c r="X52" i="45" s="1"/>
  <c r="W52" i="36"/>
  <c r="E58" i="19"/>
  <c r="E64" i="19" s="1"/>
  <c r="E67" i="19" s="1"/>
  <c r="E59" i="19"/>
  <c r="E70" i="19" s="1"/>
  <c r="E73" i="19"/>
  <c r="AG51" i="45" s="1"/>
  <c r="E78" i="19"/>
  <c r="AK51" i="45" s="1"/>
  <c r="E61" i="19"/>
  <c r="E74" i="19" s="1"/>
  <c r="AH51" i="45" s="1"/>
  <c r="E71" i="19"/>
  <c r="D69" i="19"/>
  <c r="D71" i="19"/>
  <c r="F61" i="19"/>
  <c r="F74" i="19" s="1"/>
  <c r="AH52" i="45" s="1"/>
  <c r="F71" i="19"/>
  <c r="F52" i="16"/>
  <c r="E52" i="16"/>
  <c r="G52" i="16"/>
  <c r="G86" i="16" s="1"/>
  <c r="H52" i="16"/>
  <c r="H86" i="16" s="1"/>
  <c r="D52" i="16"/>
  <c r="N351" i="24"/>
  <c r="W129" i="47" s="1"/>
  <c r="Q292" i="24"/>
  <c r="Q283" i="24" s="1"/>
  <c r="P292" i="24"/>
  <c r="P283" i="24" s="1"/>
  <c r="G292" i="24"/>
  <c r="G283" i="24" s="1"/>
  <c r="N292" i="24"/>
  <c r="N283" i="24" s="1"/>
  <c r="M292" i="24"/>
  <c r="M283" i="24" s="1"/>
  <c r="L292" i="24"/>
  <c r="L283" i="24" s="1"/>
  <c r="S292" i="24"/>
  <c r="S283" i="24" s="1"/>
  <c r="F292" i="24"/>
  <c r="F283" i="24" s="1"/>
  <c r="I292" i="24"/>
  <c r="I283" i="24" s="1"/>
  <c r="H292" i="24"/>
  <c r="H283" i="24" s="1"/>
  <c r="O292" i="24"/>
  <c r="O283" i="24" s="1"/>
  <c r="J292" i="24"/>
  <c r="J283" i="24" s="1"/>
  <c r="E292" i="24"/>
  <c r="E283" i="24" s="1"/>
  <c r="D292" i="24"/>
  <c r="D283" i="24" s="1"/>
  <c r="K292" i="24"/>
  <c r="K283" i="24" s="1"/>
  <c r="R292" i="24"/>
  <c r="R283" i="24" s="1"/>
  <c r="F184" i="34"/>
  <c r="W82" i="46" s="1"/>
  <c r="AH88" i="36"/>
  <c r="H271" i="3"/>
  <c r="AN38" i="44" s="1"/>
  <c r="H269" i="3"/>
  <c r="AL38" i="44" s="1"/>
  <c r="AH38" i="36"/>
  <c r="H274" i="3"/>
  <c r="AQ38" i="44" s="1"/>
  <c r="D269" i="3"/>
  <c r="D271" i="3"/>
  <c r="D274" i="3"/>
  <c r="F357" i="3"/>
  <c r="F383" i="3" s="1"/>
  <c r="F384" i="3" s="1"/>
  <c r="F382" i="3"/>
  <c r="H284" i="3"/>
  <c r="V38" i="44" s="1"/>
  <c r="H255" i="3"/>
  <c r="H285" i="3" s="1"/>
  <c r="W38" i="44" s="1"/>
  <c r="D357" i="3"/>
  <c r="D383" i="3" s="1"/>
  <c r="D384" i="3" s="1"/>
  <c r="D382" i="3"/>
  <c r="H288" i="3"/>
  <c r="Z38" i="44" s="1"/>
  <c r="Y38" i="36"/>
  <c r="F286" i="3"/>
  <c r="F275" i="3"/>
  <c r="G251" i="3"/>
  <c r="E196" i="3"/>
  <c r="E185" i="3"/>
  <c r="V31" i="44" s="1"/>
  <c r="F182" i="3"/>
  <c r="D255" i="3"/>
  <c r="D285" i="3" s="1"/>
  <c r="D286" i="3" s="1"/>
  <c r="D284" i="3"/>
  <c r="F269" i="3"/>
  <c r="F271" i="3"/>
  <c r="F274" i="3"/>
  <c r="AB87" i="36"/>
  <c r="K184" i="34"/>
  <c r="W88" i="46" s="1"/>
  <c r="AB88" i="36"/>
  <c r="F73" i="34"/>
  <c r="Z14" i="44" s="1"/>
  <c r="E73" i="34"/>
  <c r="Z13" i="44" s="1"/>
  <c r="K319" i="22"/>
  <c r="E49" i="34"/>
  <c r="F48" i="34"/>
  <c r="F53" i="34" s="1"/>
  <c r="AJ14" i="44" s="1"/>
  <c r="E69" i="34"/>
  <c r="V13" i="44" s="1"/>
  <c r="F42" i="34"/>
  <c r="F69" i="34" s="1"/>
  <c r="V14" i="44" s="1"/>
  <c r="AI13" i="36"/>
  <c r="AH14" i="36"/>
  <c r="F57" i="34"/>
  <c r="AN14" i="44" s="1"/>
  <c r="AH13" i="36"/>
  <c r="E57" i="34"/>
  <c r="AN13" i="44" s="1"/>
  <c r="G170" i="23"/>
  <c r="AH25" i="44" s="1"/>
  <c r="G254" i="23"/>
  <c r="D254" i="23"/>
  <c r="F254" i="23"/>
  <c r="E254" i="23"/>
  <c r="K190" i="23"/>
  <c r="X27" i="44" s="1"/>
  <c r="E163" i="23"/>
  <c r="E178" i="23" s="1"/>
  <c r="AP24" i="44" s="1"/>
  <c r="I165" i="23"/>
  <c r="I166" i="23" s="1"/>
  <c r="I193" i="23" s="1"/>
  <c r="H59" i="23"/>
  <c r="F88" i="23"/>
  <c r="H88" i="23"/>
  <c r="X22" i="44" s="1"/>
  <c r="I163" i="23"/>
  <c r="F192" i="23"/>
  <c r="G190" i="23"/>
  <c r="X25" i="44" s="1"/>
  <c r="E192" i="23"/>
  <c r="Z24" i="44" s="1"/>
  <c r="Y20" i="36"/>
  <c r="J192" i="23"/>
  <c r="H192" i="23"/>
  <c r="Z26" i="44" s="1"/>
  <c r="D167" i="23"/>
  <c r="D194" i="23" s="1"/>
  <c r="AB23" i="44" s="1"/>
  <c r="G294" i="23"/>
  <c r="Y28" i="36"/>
  <c r="K192" i="23"/>
  <c r="Z27" i="44" s="1"/>
  <c r="F292" i="23"/>
  <c r="X30" i="44" s="1"/>
  <c r="W30" i="36"/>
  <c r="E292" i="23"/>
  <c r="X29" i="44" s="1"/>
  <c r="W29" i="36"/>
  <c r="F68" i="23"/>
  <c r="H90" i="23"/>
  <c r="Z22" i="44" s="1"/>
  <c r="E294" i="23"/>
  <c r="Z29" i="44" s="1"/>
  <c r="H163" i="23"/>
  <c r="F294" i="23"/>
  <c r="Z30" i="44" s="1"/>
  <c r="E174" i="23"/>
  <c r="AL24" i="44" s="1"/>
  <c r="F60" i="23"/>
  <c r="F63" i="23" s="1"/>
  <c r="J170" i="23"/>
  <c r="D125" i="23"/>
  <c r="G192" i="23"/>
  <c r="Z25" i="44" s="1"/>
  <c r="H190" i="23"/>
  <c r="X26" i="44" s="1"/>
  <c r="W26" i="36"/>
  <c r="G90" i="23"/>
  <c r="Z21" i="44" s="1"/>
  <c r="G88" i="23"/>
  <c r="X21" i="44" s="1"/>
  <c r="E175" i="23"/>
  <c r="AM24" i="44" s="1"/>
  <c r="K168" i="23"/>
  <c r="K195" i="23" s="1"/>
  <c r="AC27" i="44" s="1"/>
  <c r="G59" i="23"/>
  <c r="E60" i="23"/>
  <c r="G165" i="23"/>
  <c r="K179" i="23"/>
  <c r="AQ27" i="44" s="1"/>
  <c r="G171" i="23"/>
  <c r="AI25" i="44" s="1"/>
  <c r="K167" i="23"/>
  <c r="J165" i="23"/>
  <c r="J166" i="23" s="1"/>
  <c r="J193" i="23" s="1"/>
  <c r="J163" i="23"/>
  <c r="J178" i="23" s="1"/>
  <c r="F163" i="23"/>
  <c r="I174" i="23"/>
  <c r="G163" i="23"/>
  <c r="K174" i="23"/>
  <c r="AL27" i="44" s="1"/>
  <c r="AG27" i="36"/>
  <c r="E88" i="23"/>
  <c r="E90" i="23"/>
  <c r="E165" i="23"/>
  <c r="E166" i="23" s="1"/>
  <c r="E193" i="23" s="1"/>
  <c r="AA24" i="44" s="1"/>
  <c r="F165" i="23"/>
  <c r="F166" i="23" s="1"/>
  <c r="F193" i="23" s="1"/>
  <c r="J344" i="22"/>
  <c r="J350" i="22" s="1"/>
  <c r="O349" i="22"/>
  <c r="X40" i="44" s="1"/>
  <c r="W40" i="36"/>
  <c r="O298" i="22"/>
  <c r="O295" i="22" s="1"/>
  <c r="K350" i="22"/>
  <c r="J182" i="22"/>
  <c r="N301" i="22"/>
  <c r="N302" i="22" s="1"/>
  <c r="N300" i="22" s="1"/>
  <c r="K300" i="22"/>
  <c r="K349" i="22"/>
  <c r="M301" i="22"/>
  <c r="M302" i="22" s="1"/>
  <c r="M304" i="22" s="1"/>
  <c r="I301" i="22"/>
  <c r="I302" i="22" s="1"/>
  <c r="M298" i="22"/>
  <c r="M295" i="22" s="1"/>
  <c r="G298" i="22"/>
  <c r="G293" i="22" s="1"/>
  <c r="I298" i="22"/>
  <c r="I295" i="22" s="1"/>
  <c r="J298" i="22"/>
  <c r="J295" i="22" s="1"/>
  <c r="O304" i="22"/>
  <c r="G301" i="22"/>
  <c r="G302" i="22" s="1"/>
  <c r="G300" i="22" s="1"/>
  <c r="F293" i="22"/>
  <c r="E302" i="22"/>
  <c r="L293" i="22"/>
  <c r="E298" i="22"/>
  <c r="E295" i="22" s="1"/>
  <c r="E189" i="22"/>
  <c r="M344" i="22"/>
  <c r="M308" i="22" s="1"/>
  <c r="M309" i="22" s="1"/>
  <c r="I344" i="22"/>
  <c r="I308" i="22" s="1"/>
  <c r="I309" i="22" s="1"/>
  <c r="E344" i="22"/>
  <c r="S39" i="44" s="1"/>
  <c r="L344" i="22"/>
  <c r="H344" i="22"/>
  <c r="D344" i="22"/>
  <c r="O344" i="22"/>
  <c r="O308" i="22" s="1"/>
  <c r="O309" i="22" s="1"/>
  <c r="G344" i="22"/>
  <c r="G308" i="22" s="1"/>
  <c r="G309" i="22" s="1"/>
  <c r="G317" i="22" s="1"/>
  <c r="F344" i="22"/>
  <c r="N344" i="22"/>
  <c r="J169" i="22"/>
  <c r="F169" i="22"/>
  <c r="I169" i="22"/>
  <c r="D169" i="22"/>
  <c r="G169" i="22"/>
  <c r="H169" i="22"/>
  <c r="E169" i="22"/>
  <c r="H301" i="22"/>
  <c r="K293" i="22"/>
  <c r="G184" i="22"/>
  <c r="G182" i="22"/>
  <c r="H293" i="22"/>
  <c r="K304" i="22"/>
  <c r="H184" i="22"/>
  <c r="H182" i="22"/>
  <c r="L301" i="22"/>
  <c r="D301" i="22"/>
  <c r="D293" i="22"/>
  <c r="F301" i="22"/>
  <c r="O300" i="22"/>
  <c r="N293" i="22"/>
  <c r="M83" i="27"/>
  <c r="M84" i="27" s="1"/>
  <c r="AN140" i="36" l="1"/>
  <c r="AN140" i="47"/>
  <c r="AN139" i="47"/>
  <c r="AN139" i="36"/>
  <c r="AO139" i="36"/>
  <c r="AO139" i="47"/>
  <c r="AM140" i="47"/>
  <c r="AM140" i="36"/>
  <c r="AO140" i="36"/>
  <c r="AO140" i="47"/>
  <c r="AP139" i="47"/>
  <c r="AP139" i="36"/>
  <c r="F176" i="23"/>
  <c r="AI24" i="36"/>
  <c r="F177" i="23"/>
  <c r="F174" i="23"/>
  <c r="E176" i="23"/>
  <c r="AN24" i="44" s="1"/>
  <c r="E180" i="23"/>
  <c r="AR24" i="44" s="1"/>
  <c r="F190" i="22"/>
  <c r="G304" i="22"/>
  <c r="E78" i="4"/>
  <c r="AR9" i="44" s="1"/>
  <c r="AN75" i="36"/>
  <c r="AN75" i="46"/>
  <c r="AP77" i="36"/>
  <c r="AP77" i="46"/>
  <c r="AP75" i="36"/>
  <c r="AP75" i="46"/>
  <c r="AM77" i="36"/>
  <c r="AM77" i="46"/>
  <c r="AN77" i="36"/>
  <c r="AN77" i="46"/>
  <c r="V129" i="36"/>
  <c r="V129" i="47"/>
  <c r="V130" i="36"/>
  <c r="V130" i="47"/>
  <c r="O351" i="24"/>
  <c r="O352" i="24" s="1"/>
  <c r="V128" i="47"/>
  <c r="Q136" i="9"/>
  <c r="Q135" i="9"/>
  <c r="AI64" i="45" s="1"/>
  <c r="M136" i="9"/>
  <c r="M135" i="9"/>
  <c r="AI62" i="45" s="1"/>
  <c r="O136" i="9"/>
  <c r="O135" i="9"/>
  <c r="O139" i="9" s="1"/>
  <c r="G311" i="22"/>
  <c r="G313" i="22" s="1"/>
  <c r="G310" i="22"/>
  <c r="I310" i="22"/>
  <c r="I317" i="22"/>
  <c r="I311" i="22"/>
  <c r="I313" i="22" s="1"/>
  <c r="M317" i="22"/>
  <c r="M310" i="22"/>
  <c r="M311" i="22"/>
  <c r="M313" i="22" s="1"/>
  <c r="I314" i="22"/>
  <c r="I318" i="22" s="1"/>
  <c r="G314" i="22"/>
  <c r="G318" i="22" s="1"/>
  <c r="K314" i="22"/>
  <c r="M314" i="22"/>
  <c r="O314" i="22"/>
  <c r="H192" i="22"/>
  <c r="O311" i="22"/>
  <c r="O313" i="22" s="1"/>
  <c r="O310" i="22"/>
  <c r="O317" i="22"/>
  <c r="O318" i="22"/>
  <c r="J196" i="22"/>
  <c r="J189" i="22"/>
  <c r="G196" i="22"/>
  <c r="G189" i="22"/>
  <c r="G185" i="22" s="1"/>
  <c r="I196" i="22"/>
  <c r="H196" i="22"/>
  <c r="H189" i="22"/>
  <c r="AK16" i="44" s="1"/>
  <c r="F191" i="22"/>
  <c r="F192" i="22"/>
  <c r="I195" i="22"/>
  <c r="I191" i="22"/>
  <c r="I190" i="22"/>
  <c r="AK112" i="36"/>
  <c r="AK112" i="46"/>
  <c r="J65" i="26"/>
  <c r="AG112" i="46"/>
  <c r="AG112" i="36"/>
  <c r="AB76" i="36"/>
  <c r="AK75" i="36"/>
  <c r="AQ92" i="36"/>
  <c r="AI140" i="36"/>
  <c r="V80" i="36"/>
  <c r="AI64" i="36"/>
  <c r="F78" i="19"/>
  <c r="AK52" i="45" s="1"/>
  <c r="AH27" i="36"/>
  <c r="AR90" i="36"/>
  <c r="G67" i="4"/>
  <c r="AG11" i="44" s="1"/>
  <c r="P351" i="24"/>
  <c r="W130" i="47" s="1"/>
  <c r="V86" i="36"/>
  <c r="E83" i="27"/>
  <c r="W86" i="46" s="1"/>
  <c r="AG80" i="36"/>
  <c r="Q144" i="9"/>
  <c r="AR64" i="45" s="1"/>
  <c r="K178" i="23"/>
  <c r="AP27" i="44" s="1"/>
  <c r="G178" i="23"/>
  <c r="AP25" i="44" s="1"/>
  <c r="F178" i="23"/>
  <c r="E69" i="22"/>
  <c r="AN110" i="46" s="1"/>
  <c r="E73" i="22"/>
  <c r="AR110" i="46" s="1"/>
  <c r="AI110" i="36"/>
  <c r="J58" i="11"/>
  <c r="AO119" i="47" s="1"/>
  <c r="AM117" i="36"/>
  <c r="H58" i="11"/>
  <c r="AO117" i="47" s="1"/>
  <c r="AO84" i="36"/>
  <c r="AJ94" i="36"/>
  <c r="U94" i="36"/>
  <c r="G81" i="31"/>
  <c r="AO94" i="46" s="1"/>
  <c r="AO79" i="36"/>
  <c r="V79" i="36"/>
  <c r="AO80" i="36"/>
  <c r="H66" i="12"/>
  <c r="AO73" i="46" s="1"/>
  <c r="AJ73" i="36"/>
  <c r="M141" i="9"/>
  <c r="AO62" i="45" s="1"/>
  <c r="O141" i="9"/>
  <c r="Q141" i="9"/>
  <c r="AO64" i="45" s="1"/>
  <c r="AO60" i="36"/>
  <c r="D67" i="19"/>
  <c r="F83" i="19" s="1"/>
  <c r="AP52" i="45" s="1"/>
  <c r="E76" i="19"/>
  <c r="F76" i="19"/>
  <c r="AO47" i="36"/>
  <c r="AO49" i="36"/>
  <c r="AP24" i="36"/>
  <c r="AA23" i="36"/>
  <c r="AJ24" i="36"/>
  <c r="AP27" i="36"/>
  <c r="E177" i="23"/>
  <c r="AO24" i="44" s="1"/>
  <c r="V109" i="36"/>
  <c r="AP110" i="36"/>
  <c r="AO16" i="36"/>
  <c r="AO14" i="36"/>
  <c r="AO13" i="36"/>
  <c r="AJ13" i="36"/>
  <c r="AJ14" i="36"/>
  <c r="U13" i="36"/>
  <c r="G77" i="4"/>
  <c r="AQ11" i="44" s="1"/>
  <c r="AO9" i="36"/>
  <c r="AO11" i="36"/>
  <c r="G71" i="4"/>
  <c r="AK11" i="44" s="1"/>
  <c r="AQ90" i="36"/>
  <c r="K325" i="24"/>
  <c r="K316" i="24" s="1"/>
  <c r="AN130" i="36"/>
  <c r="Z129" i="36"/>
  <c r="AL130" i="36"/>
  <c r="AN129" i="36"/>
  <c r="AL131" i="36"/>
  <c r="Z131" i="36"/>
  <c r="P352" i="24"/>
  <c r="X130" i="47" s="1"/>
  <c r="W130" i="36"/>
  <c r="AQ130" i="36"/>
  <c r="AL129" i="36"/>
  <c r="AN131" i="36"/>
  <c r="Z130" i="36"/>
  <c r="R351" i="24"/>
  <c r="W131" i="47" s="1"/>
  <c r="V131" i="36"/>
  <c r="I351" i="24"/>
  <c r="I352" i="24" s="1"/>
  <c r="V128" i="36"/>
  <c r="N352" i="24"/>
  <c r="X129" i="47" s="1"/>
  <c r="W129" i="36"/>
  <c r="AQ129" i="36"/>
  <c r="AQ131" i="36"/>
  <c r="I88" i="14"/>
  <c r="I89" i="14" s="1"/>
  <c r="AJ19" i="36"/>
  <c r="AJ18" i="36"/>
  <c r="AP36" i="36"/>
  <c r="AP32" i="36"/>
  <c r="AP7" i="36"/>
  <c r="AP34" i="36"/>
  <c r="AO38" i="36"/>
  <c r="F62" i="11"/>
  <c r="F58" i="11"/>
  <c r="AO115" i="47" s="1"/>
  <c r="AH115" i="36"/>
  <c r="X117" i="36"/>
  <c r="F63" i="11"/>
  <c r="AN119" i="36"/>
  <c r="AH117" i="36"/>
  <c r="AN117" i="36"/>
  <c r="F60" i="11"/>
  <c r="AQ115" i="47" s="1"/>
  <c r="AR119" i="36"/>
  <c r="X119" i="36"/>
  <c r="X115" i="36"/>
  <c r="Q351" i="24"/>
  <c r="Q352" i="24" s="1"/>
  <c r="K351" i="24"/>
  <c r="K352" i="24" s="1"/>
  <c r="S351" i="24"/>
  <c r="S352" i="24" s="1"/>
  <c r="M351" i="24"/>
  <c r="M352" i="24" s="1"/>
  <c r="G351" i="24"/>
  <c r="G352" i="24" s="1"/>
  <c r="E325" i="24"/>
  <c r="E316" i="24" s="1"/>
  <c r="H325" i="24"/>
  <c r="H316" i="24" s="1"/>
  <c r="J325" i="24"/>
  <c r="J316" i="24" s="1"/>
  <c r="Z140" i="36"/>
  <c r="AL139" i="36"/>
  <c r="AI139" i="36"/>
  <c r="AL140" i="36"/>
  <c r="V138" i="36"/>
  <c r="AQ133" i="36"/>
  <c r="AK133" i="36"/>
  <c r="AL133" i="36"/>
  <c r="X133" i="36"/>
  <c r="I178" i="23"/>
  <c r="G177" i="23"/>
  <c r="AO25" i="44" s="1"/>
  <c r="J174" i="23"/>
  <c r="J177" i="23"/>
  <c r="H165" i="23"/>
  <c r="K172" i="23"/>
  <c r="AJ27" i="44" s="1"/>
  <c r="I172" i="23"/>
  <c r="J172" i="23"/>
  <c r="I177" i="23"/>
  <c r="K177" i="23"/>
  <c r="AO27" i="44" s="1"/>
  <c r="J171" i="23"/>
  <c r="J176" i="23" s="1"/>
  <c r="I171" i="23"/>
  <c r="I175" i="23" s="1"/>
  <c r="D60" i="23"/>
  <c r="H68" i="23"/>
  <c r="AH22" i="44" s="1"/>
  <c r="F77" i="23"/>
  <c r="X21" i="36"/>
  <c r="Z27" i="36"/>
  <c r="X25" i="36"/>
  <c r="X27" i="36"/>
  <c r="AC27" i="36"/>
  <c r="Z21" i="36"/>
  <c r="AN24" i="36"/>
  <c r="Z29" i="36"/>
  <c r="X29" i="36"/>
  <c r="X24" i="36"/>
  <c r="Z25" i="36"/>
  <c r="Z26" i="36"/>
  <c r="AA24" i="36"/>
  <c r="AI25" i="36"/>
  <c r="AR24" i="36"/>
  <c r="AL24" i="36"/>
  <c r="Z22" i="36"/>
  <c r="AL27" i="36"/>
  <c r="AQ27" i="36"/>
  <c r="AM24" i="36"/>
  <c r="X26" i="36"/>
  <c r="Z30" i="36"/>
  <c r="X30" i="36"/>
  <c r="AB23" i="36"/>
  <c r="Z24" i="36"/>
  <c r="X22" i="36"/>
  <c r="AQ24" i="36"/>
  <c r="V111" i="36"/>
  <c r="V85" i="36"/>
  <c r="F47" i="32"/>
  <c r="F39" i="32"/>
  <c r="G47" i="32"/>
  <c r="G52" i="32" s="1"/>
  <c r="G39" i="32"/>
  <c r="Z84" i="36"/>
  <c r="X84" i="36"/>
  <c r="F84" i="31"/>
  <c r="Y93" i="36"/>
  <c r="Y94" i="36"/>
  <c r="AH94" i="36"/>
  <c r="AI94" i="36"/>
  <c r="F73" i="31"/>
  <c r="F78" i="31" s="1"/>
  <c r="V93" i="36"/>
  <c r="E94" i="35"/>
  <c r="G94" i="35"/>
  <c r="AL80" i="46" s="1"/>
  <c r="G95" i="35"/>
  <c r="AM80" i="46" s="1"/>
  <c r="E109" i="35"/>
  <c r="E110" i="35" s="1"/>
  <c r="E111" i="35" s="1"/>
  <c r="G110" i="35"/>
  <c r="W80" i="46" s="1"/>
  <c r="V78" i="36"/>
  <c r="F110" i="35"/>
  <c r="W79" i="46" s="1"/>
  <c r="AN79" i="36"/>
  <c r="AK79" i="36"/>
  <c r="AQ79" i="36"/>
  <c r="AR80" i="36"/>
  <c r="Z80" i="36"/>
  <c r="AQ80" i="36"/>
  <c r="Z79" i="36"/>
  <c r="AR79" i="36"/>
  <c r="F95" i="35"/>
  <c r="AM79" i="46" s="1"/>
  <c r="AN80" i="36"/>
  <c r="H110" i="13"/>
  <c r="H112" i="13" s="1"/>
  <c r="H113" i="13" s="1"/>
  <c r="H114" i="13" s="1"/>
  <c r="Z75" i="36"/>
  <c r="AB75" i="36"/>
  <c r="AB77" i="36"/>
  <c r="AA77" i="36"/>
  <c r="AB74" i="36"/>
  <c r="E113" i="13"/>
  <c r="E114" i="13" s="1"/>
  <c r="Z77" i="36"/>
  <c r="AR73" i="36"/>
  <c r="X73" i="36"/>
  <c r="AH73" i="36"/>
  <c r="AM73" i="36"/>
  <c r="Q140" i="9"/>
  <c r="AN64" i="45" s="1"/>
  <c r="Q138" i="9"/>
  <c r="AL64" i="45" s="1"/>
  <c r="AQ60" i="36"/>
  <c r="AN60" i="36"/>
  <c r="AR60" i="36"/>
  <c r="AM60" i="36"/>
  <c r="AI62" i="36"/>
  <c r="AL60" i="36"/>
  <c r="F82" i="19"/>
  <c r="AO52" i="45" s="1"/>
  <c r="AG52" i="36"/>
  <c r="AK51" i="36"/>
  <c r="AG51" i="36"/>
  <c r="X51" i="36"/>
  <c r="X52" i="36"/>
  <c r="AQ49" i="36"/>
  <c r="AR49" i="36"/>
  <c r="Z49" i="36"/>
  <c r="X49" i="36"/>
  <c r="AN47" i="36"/>
  <c r="AK47" i="36"/>
  <c r="X47" i="36"/>
  <c r="AN49" i="36"/>
  <c r="Z47" i="36"/>
  <c r="AI16" i="36"/>
  <c r="E192" i="22"/>
  <c r="AR16" i="44"/>
  <c r="AN16" i="44"/>
  <c r="E196" i="22"/>
  <c r="K322" i="22"/>
  <c r="K325" i="22" s="1"/>
  <c r="K330" i="22" s="1"/>
  <c r="K169" i="34"/>
  <c r="AO88" i="46" s="1"/>
  <c r="K158" i="34"/>
  <c r="K182" i="34" s="1"/>
  <c r="U88" i="46" s="1"/>
  <c r="J157" i="34"/>
  <c r="K170" i="34" s="1"/>
  <c r="AP88" i="46" s="1"/>
  <c r="F158" i="34"/>
  <c r="F182" i="34" s="1"/>
  <c r="U82" i="46" s="1"/>
  <c r="E157" i="34"/>
  <c r="G158" i="34"/>
  <c r="F157" i="34"/>
  <c r="M76" i="14"/>
  <c r="AO19" i="44" s="1"/>
  <c r="F169" i="34"/>
  <c r="AO82" i="46" s="1"/>
  <c r="AN13" i="36"/>
  <c r="AF81" i="36"/>
  <c r="AF87" i="36"/>
  <c r="AN14" i="36"/>
  <c r="Z13" i="36"/>
  <c r="AF82" i="36"/>
  <c r="AF88" i="36"/>
  <c r="Z14" i="36"/>
  <c r="E67" i="4"/>
  <c r="AG9" i="44" s="1"/>
  <c r="X92" i="36"/>
  <c r="AR9" i="36"/>
  <c r="W9" i="36"/>
  <c r="X90" i="36"/>
  <c r="X9" i="36"/>
  <c r="Z11" i="36"/>
  <c r="AK92" i="36"/>
  <c r="X11" i="36"/>
  <c r="AR11" i="36"/>
  <c r="AN11" i="36"/>
  <c r="W11" i="36"/>
  <c r="Z9" i="36"/>
  <c r="AK9" i="36"/>
  <c r="AG19" i="36"/>
  <c r="E70" i="14"/>
  <c r="E74" i="14" s="1"/>
  <c r="AK19" i="36"/>
  <c r="V17" i="36"/>
  <c r="V19" i="36"/>
  <c r="AG18" i="36"/>
  <c r="AK18" i="36"/>
  <c r="AR38" i="36"/>
  <c r="AK36" i="36"/>
  <c r="AL36" i="36"/>
  <c r="S6" i="36"/>
  <c r="AQ36" i="36"/>
  <c r="V134" i="36"/>
  <c r="V136" i="36"/>
  <c r="AQ38" i="36"/>
  <c r="AK34" i="36"/>
  <c r="AL38" i="36"/>
  <c r="AG7" i="36"/>
  <c r="AQ34" i="36"/>
  <c r="AR32" i="36"/>
  <c r="AK32" i="36"/>
  <c r="AM36" i="36"/>
  <c r="Z38" i="36"/>
  <c r="AN38" i="36"/>
  <c r="AG34" i="36"/>
  <c r="AR36" i="36"/>
  <c r="V135" i="36"/>
  <c r="T35" i="36"/>
  <c r="AM38" i="36"/>
  <c r="S39" i="36"/>
  <c r="X16" i="36"/>
  <c r="AQ110" i="36"/>
  <c r="X40" i="36"/>
  <c r="AK110" i="36"/>
  <c r="V110" i="36"/>
  <c r="G325" i="24"/>
  <c r="G316" i="24" s="1"/>
  <c r="F325" i="24"/>
  <c r="F316" i="24" s="1"/>
  <c r="I325" i="24"/>
  <c r="I316" i="24" s="1"/>
  <c r="D325" i="24"/>
  <c r="D316" i="24" s="1"/>
  <c r="W126" i="36"/>
  <c r="W127" i="36"/>
  <c r="G174" i="23"/>
  <c r="AL25" i="44" s="1"/>
  <c r="AH25" i="36"/>
  <c r="K163" i="34"/>
  <c r="AI88" i="46" s="1"/>
  <c r="H62" i="11"/>
  <c r="H60" i="11"/>
  <c r="AQ117" i="47" s="1"/>
  <c r="H55" i="11"/>
  <c r="AL117" i="47" s="1"/>
  <c r="H63" i="11"/>
  <c r="AI84" i="36"/>
  <c r="L113" i="13"/>
  <c r="L114" i="13" s="1"/>
  <c r="E70" i="16"/>
  <c r="AG47" i="45" s="1"/>
  <c r="J357" i="3"/>
  <c r="J383" i="3" s="1"/>
  <c r="W137" i="47" s="1"/>
  <c r="D186" i="3"/>
  <c r="W32" i="44" s="1"/>
  <c r="V31" i="36"/>
  <c r="D170" i="3"/>
  <c r="AL32" i="44" s="1"/>
  <c r="AG32" i="36"/>
  <c r="J382" i="3"/>
  <c r="V137" i="47" s="1"/>
  <c r="V38" i="36"/>
  <c r="F56" i="11"/>
  <c r="AM115" i="47" s="1"/>
  <c r="AG115" i="36"/>
  <c r="J60" i="11"/>
  <c r="AQ119" i="47" s="1"/>
  <c r="AH119" i="36"/>
  <c r="F55" i="11"/>
  <c r="AL115" i="47" s="1"/>
  <c r="J50" i="11"/>
  <c r="AG119" i="47" s="1"/>
  <c r="AK119" i="36"/>
  <c r="E71" i="17"/>
  <c r="W139" i="47" s="1"/>
  <c r="V139" i="36"/>
  <c r="E57" i="17"/>
  <c r="M78" i="14"/>
  <c r="AQ19" i="44" s="1"/>
  <c r="AH19" i="36"/>
  <c r="H357" i="3"/>
  <c r="H383" i="3" s="1"/>
  <c r="W135" i="47" s="1"/>
  <c r="E67" i="22"/>
  <c r="AL110" i="46" s="1"/>
  <c r="AG110" i="36"/>
  <c r="F185" i="34"/>
  <c r="X82" i="46" s="1"/>
  <c r="W82" i="36"/>
  <c r="E88" i="3"/>
  <c r="V6" i="44" s="1"/>
  <c r="V112" i="36"/>
  <c r="J81" i="26"/>
  <c r="W112" i="46" s="1"/>
  <c r="E76" i="22"/>
  <c r="E83" i="22" s="1"/>
  <c r="W110" i="46" s="1"/>
  <c r="E68" i="22"/>
  <c r="AM110" i="46" s="1"/>
  <c r="F94" i="35"/>
  <c r="AL79" i="46" s="1"/>
  <c r="AG79" i="36"/>
  <c r="E79" i="31"/>
  <c r="H65" i="12"/>
  <c r="AN73" i="46" s="1"/>
  <c r="H44" i="12"/>
  <c r="H68" i="12"/>
  <c r="AQ73" i="46" s="1"/>
  <c r="H45" i="12"/>
  <c r="H63" i="12"/>
  <c r="AL73" i="46" s="1"/>
  <c r="E111" i="13"/>
  <c r="M94" i="13"/>
  <c r="X77" i="46" s="1"/>
  <c r="W77" i="36"/>
  <c r="D113" i="13"/>
  <c r="D114" i="13" s="1"/>
  <c r="H94" i="13"/>
  <c r="X75" i="46" s="1"/>
  <c r="W75" i="36"/>
  <c r="H78" i="13"/>
  <c r="M110" i="13"/>
  <c r="M111" i="13" s="1"/>
  <c r="N88" i="14"/>
  <c r="N89" i="14" s="1"/>
  <c r="D171" i="3"/>
  <c r="AM32" i="44" s="1"/>
  <c r="Q143" i="9"/>
  <c r="AQ64" i="45" s="1"/>
  <c r="AH64" i="36"/>
  <c r="M143" i="9"/>
  <c r="AQ62" i="45" s="1"/>
  <c r="AH62" i="36"/>
  <c r="M138" i="9"/>
  <c r="AL62" i="45" s="1"/>
  <c r="M155" i="9"/>
  <c r="X62" i="45" s="1"/>
  <c r="W62" i="36"/>
  <c r="Q155" i="9"/>
  <c r="X64" i="45" s="1"/>
  <c r="W64" i="36"/>
  <c r="G68" i="9"/>
  <c r="X60" i="45" s="1"/>
  <c r="W60" i="36"/>
  <c r="G70" i="23"/>
  <c r="AJ21" i="44" s="1"/>
  <c r="D73" i="3"/>
  <c r="AK7" i="44" s="1"/>
  <c r="D80" i="3"/>
  <c r="AR7" i="44" s="1"/>
  <c r="D88" i="3"/>
  <c r="V7" i="44" s="1"/>
  <c r="J112" i="13"/>
  <c r="J113" i="13" s="1"/>
  <c r="J114" i="13" s="1"/>
  <c r="J111" i="13"/>
  <c r="K112" i="13"/>
  <c r="K113" i="13" s="1"/>
  <c r="K114" i="13" s="1"/>
  <c r="K111" i="13"/>
  <c r="G112" i="13"/>
  <c r="G113" i="13" s="1"/>
  <c r="G114" i="13" s="1"/>
  <c r="G111" i="13"/>
  <c r="F112" i="13"/>
  <c r="F113" i="13" s="1"/>
  <c r="F114" i="13" s="1"/>
  <c r="F111" i="13"/>
  <c r="F71" i="17"/>
  <c r="W140" i="47" s="1"/>
  <c r="F64" i="12"/>
  <c r="G64" i="12"/>
  <c r="G63" i="12"/>
  <c r="I64" i="12"/>
  <c r="G49" i="32"/>
  <c r="G45" i="32" s="1"/>
  <c r="G50" i="32" s="1"/>
  <c r="G55" i="32"/>
  <c r="F55" i="32"/>
  <c r="F56" i="32"/>
  <c r="F49" i="32"/>
  <c r="E95" i="35"/>
  <c r="G96" i="31"/>
  <c r="Z94" i="46" s="1"/>
  <c r="G80" i="31"/>
  <c r="AN94" i="46" s="1"/>
  <c r="E92" i="31"/>
  <c r="E64" i="31"/>
  <c r="E93" i="31" s="1"/>
  <c r="E94" i="31" s="1"/>
  <c r="F80" i="31"/>
  <c r="F96" i="31"/>
  <c r="E80" i="31"/>
  <c r="E96" i="31"/>
  <c r="E78" i="31"/>
  <c r="G83" i="31"/>
  <c r="AQ94" i="46" s="1"/>
  <c r="G84" i="31"/>
  <c r="AR94" i="46" s="1"/>
  <c r="G77" i="31"/>
  <c r="AK94" i="46" s="1"/>
  <c r="G73" i="31"/>
  <c r="AG94" i="46" s="1"/>
  <c r="F83" i="31"/>
  <c r="G68" i="31"/>
  <c r="F68" i="31"/>
  <c r="E68" i="31"/>
  <c r="E83" i="31"/>
  <c r="F92" i="31"/>
  <c r="F64" i="31"/>
  <c r="F93" i="31" s="1"/>
  <c r="F94" i="31" s="1"/>
  <c r="G92" i="31"/>
  <c r="V94" i="46" s="1"/>
  <c r="G64" i="31"/>
  <c r="G93" i="31" s="1"/>
  <c r="W94" i="46" s="1"/>
  <c r="J55" i="11"/>
  <c r="AL119" i="47" s="1"/>
  <c r="J63" i="11"/>
  <c r="J62" i="11"/>
  <c r="O144" i="9"/>
  <c r="O140" i="9"/>
  <c r="F63" i="14"/>
  <c r="F70" i="14" s="1"/>
  <c r="G53" i="14"/>
  <c r="G77" i="14" s="1"/>
  <c r="AP18" i="44" s="1"/>
  <c r="F60" i="14"/>
  <c r="I74" i="14"/>
  <c r="I79" i="14"/>
  <c r="M88" i="14"/>
  <c r="W19" i="44" s="1"/>
  <c r="N74" i="14"/>
  <c r="N79" i="14"/>
  <c r="E90" i="14"/>
  <c r="E91" i="14" s="1"/>
  <c r="E69" i="14"/>
  <c r="E76" i="14" s="1"/>
  <c r="E87" i="14"/>
  <c r="E88" i="14" s="1"/>
  <c r="E89" i="14" s="1"/>
  <c r="M75" i="14"/>
  <c r="AN19" i="44" s="1"/>
  <c r="M73" i="14"/>
  <c r="AL19" i="44" s="1"/>
  <c r="AI19" i="36"/>
  <c r="M74" i="14"/>
  <c r="AM19" i="44" s="1"/>
  <c r="I75" i="14"/>
  <c r="I73" i="14"/>
  <c r="I78" i="14"/>
  <c r="N73" i="14"/>
  <c r="N75" i="14"/>
  <c r="N78" i="14"/>
  <c r="M91" i="14"/>
  <c r="Z19" i="44" s="1"/>
  <c r="Y19" i="36"/>
  <c r="M79" i="14"/>
  <c r="AR19" i="44" s="1"/>
  <c r="G179" i="23"/>
  <c r="AQ25" i="44" s="1"/>
  <c r="G176" i="23"/>
  <c r="AN25" i="44" s="1"/>
  <c r="F171" i="3"/>
  <c r="AM34" i="44" s="1"/>
  <c r="F170" i="3"/>
  <c r="AL34" i="44" s="1"/>
  <c r="J185" i="22"/>
  <c r="K351" i="22"/>
  <c r="K321" i="22"/>
  <c r="J319" i="22"/>
  <c r="J321" i="22" s="1"/>
  <c r="F49" i="34"/>
  <c r="F60" i="34" s="1"/>
  <c r="AQ14" i="44" s="1"/>
  <c r="F68" i="34"/>
  <c r="U14" i="44" s="1"/>
  <c r="F163" i="34"/>
  <c r="AI82" i="46" s="1"/>
  <c r="E80" i="16"/>
  <c r="AQ47" i="45" s="1"/>
  <c r="E81" i="16"/>
  <c r="AR47" i="45" s="1"/>
  <c r="E56" i="16"/>
  <c r="E86" i="16"/>
  <c r="G76" i="16"/>
  <c r="AM49" i="45" s="1"/>
  <c r="I70" i="16"/>
  <c r="AG49" i="36"/>
  <c r="G75" i="16"/>
  <c r="AL49" i="45" s="1"/>
  <c r="D56" i="16"/>
  <c r="D86" i="16"/>
  <c r="S46" i="45" s="1"/>
  <c r="F56" i="16"/>
  <c r="F86" i="16"/>
  <c r="I81" i="16"/>
  <c r="I80" i="16"/>
  <c r="E76" i="16"/>
  <c r="AM47" i="45" s="1"/>
  <c r="AG47" i="36"/>
  <c r="AK49" i="36"/>
  <c r="I74" i="16"/>
  <c r="E75" i="16"/>
  <c r="AL47" i="45" s="1"/>
  <c r="F75" i="19"/>
  <c r="AI52" i="45" s="1"/>
  <c r="E75" i="19"/>
  <c r="AI51" i="45" s="1"/>
  <c r="E82" i="19"/>
  <c r="AO51" i="45" s="1"/>
  <c r="H56" i="16"/>
  <c r="H63" i="16"/>
  <c r="E63" i="16"/>
  <c r="G56" i="16"/>
  <c r="G63" i="16"/>
  <c r="E64" i="16"/>
  <c r="H286" i="3"/>
  <c r="X38" i="44" s="1"/>
  <c r="W38" i="36"/>
  <c r="D74" i="3"/>
  <c r="AL7" i="44" s="1"/>
  <c r="D75" i="3"/>
  <c r="AM7" i="44" s="1"/>
  <c r="F196" i="3"/>
  <c r="F185" i="3"/>
  <c r="V34" i="44" s="1"/>
  <c r="G182" i="3"/>
  <c r="S33" i="44" s="1"/>
  <c r="W88" i="36"/>
  <c r="K185" i="34"/>
  <c r="X88" i="46" s="1"/>
  <c r="J293" i="22"/>
  <c r="K320" i="22"/>
  <c r="E60" i="34"/>
  <c r="AQ13" i="44" s="1"/>
  <c r="E61" i="34"/>
  <c r="AR13" i="44" s="1"/>
  <c r="E54" i="34"/>
  <c r="AK13" i="44" s="1"/>
  <c r="V14" i="36"/>
  <c r="F70" i="34"/>
  <c r="W14" i="44" s="1"/>
  <c r="V13" i="36"/>
  <c r="E70" i="34"/>
  <c r="W13" i="44" s="1"/>
  <c r="I168" i="23"/>
  <c r="I195" i="23" s="1"/>
  <c r="I167" i="23"/>
  <c r="I194" i="23" s="1"/>
  <c r="H60" i="23"/>
  <c r="H61" i="23" s="1"/>
  <c r="F72" i="23"/>
  <c r="D263" i="23"/>
  <c r="E263" i="23"/>
  <c r="F263" i="23"/>
  <c r="J179" i="23"/>
  <c r="G263" i="23"/>
  <c r="F66" i="23"/>
  <c r="F93" i="23" s="1"/>
  <c r="F64" i="23"/>
  <c r="F91" i="23" s="1"/>
  <c r="F65" i="23"/>
  <c r="J168" i="23"/>
  <c r="J195" i="23" s="1"/>
  <c r="J167" i="23"/>
  <c r="J194" i="23" s="1"/>
  <c r="F61" i="23"/>
  <c r="F54" i="23"/>
  <c r="F168" i="23"/>
  <c r="F195" i="23" s="1"/>
  <c r="E54" i="23"/>
  <c r="F167" i="23"/>
  <c r="K175" i="23"/>
  <c r="AM27" i="44" s="1"/>
  <c r="AI27" i="36"/>
  <c r="K180" i="23"/>
  <c r="AR27" i="44" s="1"/>
  <c r="G168" i="23"/>
  <c r="G195" i="23" s="1"/>
  <c r="AC25" i="44" s="1"/>
  <c r="G166" i="23"/>
  <c r="G193" i="23" s="1"/>
  <c r="AA25" i="44" s="1"/>
  <c r="K176" i="23"/>
  <c r="AN27" i="44" s="1"/>
  <c r="G167" i="23"/>
  <c r="G175" i="23"/>
  <c r="AM25" i="44" s="1"/>
  <c r="G180" i="23"/>
  <c r="AR25" i="44" s="1"/>
  <c r="AH22" i="36"/>
  <c r="H72" i="23"/>
  <c r="AL22" i="44" s="1"/>
  <c r="H77" i="23"/>
  <c r="AQ22" i="44" s="1"/>
  <c r="E77" i="23"/>
  <c r="E72" i="23"/>
  <c r="G68" i="23"/>
  <c r="AH21" i="44" s="1"/>
  <c r="G60" i="23"/>
  <c r="K194" i="23"/>
  <c r="AB27" i="44" s="1"/>
  <c r="F175" i="23"/>
  <c r="F180" i="23"/>
  <c r="E167" i="23"/>
  <c r="E168" i="23"/>
  <c r="E195" i="23" s="1"/>
  <c r="AC24" i="44" s="1"/>
  <c r="E61" i="23"/>
  <c r="E63" i="23"/>
  <c r="M293" i="22"/>
  <c r="O293" i="22"/>
  <c r="G295" i="22"/>
  <c r="I293" i="22"/>
  <c r="I300" i="22"/>
  <c r="E300" i="22"/>
  <c r="M300" i="22"/>
  <c r="F302" i="22"/>
  <c r="F300" i="22" s="1"/>
  <c r="H350" i="22"/>
  <c r="H319" i="22"/>
  <c r="H320" i="22" s="1"/>
  <c r="I304" i="22"/>
  <c r="D302" i="22"/>
  <c r="D300" i="22" s="1"/>
  <c r="L302" i="22"/>
  <c r="L300" i="22" s="1"/>
  <c r="G350" i="22"/>
  <c r="G319" i="22"/>
  <c r="L350" i="22"/>
  <c r="L319" i="22"/>
  <c r="L320" i="22" s="1"/>
  <c r="E293" i="22"/>
  <c r="F350" i="22"/>
  <c r="F319" i="22"/>
  <c r="F320" i="22" s="1"/>
  <c r="M350" i="22"/>
  <c r="M319" i="22"/>
  <c r="O350" i="22"/>
  <c r="Y40" i="44" s="1"/>
  <c r="O319" i="22"/>
  <c r="E350" i="22"/>
  <c r="Y39" i="44" s="1"/>
  <c r="E319" i="22"/>
  <c r="E321" i="22" s="1"/>
  <c r="H302" i="22"/>
  <c r="H300" i="22" s="1"/>
  <c r="N319" i="22"/>
  <c r="N350" i="22"/>
  <c r="D350" i="22"/>
  <c r="D319" i="22"/>
  <c r="D320" i="22" s="1"/>
  <c r="I350" i="22"/>
  <c r="I319" i="22"/>
  <c r="E185" i="22"/>
  <c r="E191" i="22" s="1"/>
  <c r="E84" i="27"/>
  <c r="X86" i="46" s="1"/>
  <c r="W86" i="36"/>
  <c r="AM139" i="36" l="1"/>
  <c r="AM139" i="47"/>
  <c r="J180" i="23"/>
  <c r="AP25" i="36"/>
  <c r="E75" i="23"/>
  <c r="E69" i="23"/>
  <c r="E78" i="23" s="1"/>
  <c r="AM75" i="36"/>
  <c r="AM75" i="46"/>
  <c r="AJ62" i="36"/>
  <c r="AJ62" i="45"/>
  <c r="M140" i="9"/>
  <c r="AN62" i="45" s="1"/>
  <c r="M144" i="9"/>
  <c r="AR62" i="45" s="1"/>
  <c r="AJ64" i="36"/>
  <c r="AJ64" i="45"/>
  <c r="M315" i="22"/>
  <c r="M316" i="22"/>
  <c r="K315" i="22"/>
  <c r="K316" i="22"/>
  <c r="K318" i="22"/>
  <c r="G315" i="22"/>
  <c r="G316" i="22"/>
  <c r="O315" i="22"/>
  <c r="O316" i="22"/>
  <c r="I315" i="22"/>
  <c r="I316" i="22"/>
  <c r="M318" i="22"/>
  <c r="I335" i="22"/>
  <c r="AK52" i="36"/>
  <c r="E83" i="19"/>
  <c r="AP51" i="45" s="1"/>
  <c r="AR110" i="36"/>
  <c r="J195" i="22"/>
  <c r="J191" i="22"/>
  <c r="J190" i="22"/>
  <c r="G195" i="22"/>
  <c r="G191" i="22"/>
  <c r="G190" i="22"/>
  <c r="G72" i="4"/>
  <c r="AL11" i="44" s="1"/>
  <c r="G73" i="4"/>
  <c r="AM11" i="44" s="1"/>
  <c r="E73" i="4"/>
  <c r="AM9" i="44" s="1"/>
  <c r="AK11" i="36"/>
  <c r="AG11" i="36"/>
  <c r="AL112" i="46"/>
  <c r="AL112" i="36"/>
  <c r="Q139" i="9"/>
  <c r="AM64" i="45" s="1"/>
  <c r="AR64" i="36"/>
  <c r="G56" i="32"/>
  <c r="W80" i="36"/>
  <c r="J175" i="23"/>
  <c r="F160" i="34"/>
  <c r="F161" i="34" s="1"/>
  <c r="AG82" i="46" s="1"/>
  <c r="K160" i="34"/>
  <c r="K172" i="34" s="1"/>
  <c r="AR88" i="46" s="1"/>
  <c r="AQ11" i="36"/>
  <c r="AN110" i="36"/>
  <c r="G111" i="35"/>
  <c r="X80" i="46" s="1"/>
  <c r="AN64" i="36"/>
  <c r="AL64" i="36"/>
  <c r="F70" i="23"/>
  <c r="D63" i="23"/>
  <c r="D64" i="23" s="1"/>
  <c r="D91" i="23" s="1"/>
  <c r="AA20" i="44" s="1"/>
  <c r="D61" i="23"/>
  <c r="E76" i="23" s="1"/>
  <c r="D54" i="23"/>
  <c r="E70" i="23"/>
  <c r="F69" i="23"/>
  <c r="F73" i="23" s="1"/>
  <c r="H70" i="23"/>
  <c r="F170" i="34"/>
  <c r="AQ119" i="36"/>
  <c r="AQ115" i="36"/>
  <c r="AO115" i="36"/>
  <c r="AO117" i="36"/>
  <c r="AO119" i="36"/>
  <c r="G43" i="32"/>
  <c r="G54" i="32"/>
  <c r="F52" i="32"/>
  <c r="F43" i="32"/>
  <c r="F54" i="32"/>
  <c r="AO94" i="36"/>
  <c r="AM80" i="36"/>
  <c r="AL80" i="36"/>
  <c r="AO73" i="36"/>
  <c r="AO64" i="36"/>
  <c r="AO62" i="36"/>
  <c r="AO52" i="36"/>
  <c r="AO51" i="36"/>
  <c r="AP52" i="36"/>
  <c r="I180" i="23"/>
  <c r="I176" i="23"/>
  <c r="G75" i="23"/>
  <c r="AO21" i="44" s="1"/>
  <c r="AJ21" i="36"/>
  <c r="AO27" i="36"/>
  <c r="AJ27" i="36"/>
  <c r="AO25" i="36"/>
  <c r="AO24" i="36"/>
  <c r="I329" i="22"/>
  <c r="O329" i="22"/>
  <c r="AJ40" i="44" s="1"/>
  <c r="K329" i="22"/>
  <c r="M329" i="22"/>
  <c r="G329" i="22"/>
  <c r="AP88" i="36"/>
  <c r="U14" i="36"/>
  <c r="U88" i="36"/>
  <c r="AO82" i="36"/>
  <c r="AO88" i="36"/>
  <c r="U82" i="36"/>
  <c r="AG9" i="36"/>
  <c r="R352" i="24"/>
  <c r="X131" i="47" s="1"/>
  <c r="W131" i="36"/>
  <c r="X129" i="36"/>
  <c r="X130" i="36"/>
  <c r="AO19" i="36"/>
  <c r="AP18" i="36"/>
  <c r="E79" i="14"/>
  <c r="J384" i="3"/>
  <c r="X137" i="47" s="1"/>
  <c r="W137" i="36"/>
  <c r="AL115" i="36"/>
  <c r="AM115" i="36"/>
  <c r="AL117" i="36"/>
  <c r="AL119" i="36"/>
  <c r="AQ117" i="36"/>
  <c r="H111" i="13"/>
  <c r="F75" i="23"/>
  <c r="H166" i="23"/>
  <c r="H193" i="23" s="1"/>
  <c r="AA26" i="44" s="1"/>
  <c r="H167" i="23"/>
  <c r="H75" i="23"/>
  <c r="AO22" i="44" s="1"/>
  <c r="AQ25" i="36"/>
  <c r="AN27" i="36"/>
  <c r="AQ22" i="36"/>
  <c r="AR27" i="36"/>
  <c r="AL25" i="36"/>
  <c r="AC25" i="36"/>
  <c r="AH21" i="36"/>
  <c r="AL22" i="36"/>
  <c r="AR25" i="36"/>
  <c r="AC24" i="36"/>
  <c r="AB27" i="36"/>
  <c r="AM25" i="36"/>
  <c r="AA25" i="36"/>
  <c r="AM27" i="36"/>
  <c r="AN25" i="36"/>
  <c r="X86" i="36"/>
  <c r="AL86" i="36"/>
  <c r="AM86" i="36"/>
  <c r="AR84" i="36"/>
  <c r="AQ84" i="36"/>
  <c r="F79" i="31"/>
  <c r="V94" i="36"/>
  <c r="AQ94" i="36"/>
  <c r="AK94" i="36"/>
  <c r="Z94" i="36"/>
  <c r="AR94" i="36"/>
  <c r="W79" i="36"/>
  <c r="F111" i="35"/>
  <c r="X79" i="46" s="1"/>
  <c r="AL79" i="36"/>
  <c r="AM79" i="36"/>
  <c r="X77" i="36"/>
  <c r="X75" i="36"/>
  <c r="AL73" i="36"/>
  <c r="AN73" i="36"/>
  <c r="AQ73" i="36"/>
  <c r="AQ62" i="36"/>
  <c r="AQ64" i="36"/>
  <c r="X60" i="36"/>
  <c r="X62" i="36"/>
  <c r="AR62" i="36"/>
  <c r="AM64" i="36"/>
  <c r="X64" i="36"/>
  <c r="AI51" i="36"/>
  <c r="AI52" i="36"/>
  <c r="AH52" i="36"/>
  <c r="AH51" i="36"/>
  <c r="AL49" i="36"/>
  <c r="AM49" i="36"/>
  <c r="AR47" i="36"/>
  <c r="AL47" i="36"/>
  <c r="AM47" i="36"/>
  <c r="AQ47" i="36"/>
  <c r="S46" i="36"/>
  <c r="AN16" i="36"/>
  <c r="AR16" i="36"/>
  <c r="K326" i="22"/>
  <c r="O335" i="22"/>
  <c r="AP40" i="44" s="1"/>
  <c r="K335" i="22"/>
  <c r="M335" i="22"/>
  <c r="G322" i="22"/>
  <c r="G325" i="22" s="1"/>
  <c r="G335" i="22"/>
  <c r="AI88" i="36"/>
  <c r="G182" i="34"/>
  <c r="G160" i="34"/>
  <c r="F54" i="34"/>
  <c r="AK14" i="44" s="1"/>
  <c r="AQ14" i="36"/>
  <c r="AR13" i="36"/>
  <c r="K168" i="34"/>
  <c r="AN88" i="46" s="1"/>
  <c r="AQ13" i="36"/>
  <c r="X88" i="36"/>
  <c r="X82" i="36"/>
  <c r="AM19" i="36"/>
  <c r="Z19" i="36"/>
  <c r="AQ19" i="36"/>
  <c r="AN19" i="36"/>
  <c r="AR19" i="36"/>
  <c r="AL19" i="36"/>
  <c r="X38" i="36"/>
  <c r="AL34" i="36"/>
  <c r="AM32" i="36"/>
  <c r="V34" i="36"/>
  <c r="AM34" i="36"/>
  <c r="AK7" i="36"/>
  <c r="V6" i="36"/>
  <c r="AL32" i="36"/>
  <c r="AM7" i="36"/>
  <c r="V137" i="36"/>
  <c r="S33" i="36"/>
  <c r="AL7" i="36"/>
  <c r="AR7" i="36"/>
  <c r="V7" i="36"/>
  <c r="H384" i="3"/>
  <c r="X135" i="47" s="1"/>
  <c r="Y40" i="36"/>
  <c r="AL110" i="36"/>
  <c r="Y39" i="36"/>
  <c r="AM110" i="36"/>
  <c r="F45" i="32"/>
  <c r="AK84" i="36"/>
  <c r="G94" i="31"/>
  <c r="X94" i="46" s="1"/>
  <c r="W94" i="36"/>
  <c r="G78" i="31"/>
  <c r="AL94" i="46" s="1"/>
  <c r="AG94" i="36"/>
  <c r="AN94" i="36"/>
  <c r="D187" i="3"/>
  <c r="X32" i="44" s="1"/>
  <c r="W32" i="36"/>
  <c r="J56" i="11"/>
  <c r="AM119" i="47" s="1"/>
  <c r="AG119" i="36"/>
  <c r="F72" i="17"/>
  <c r="X140" i="47" s="1"/>
  <c r="W140" i="36"/>
  <c r="E72" i="17"/>
  <c r="X139" i="47" s="1"/>
  <c r="W139" i="36"/>
  <c r="W135" i="36"/>
  <c r="E84" i="22"/>
  <c r="X110" i="46" s="1"/>
  <c r="W110" i="36"/>
  <c r="F168" i="34"/>
  <c r="AN82" i="46" s="1"/>
  <c r="AI82" i="36"/>
  <c r="F171" i="34"/>
  <c r="AQ82" i="46" s="1"/>
  <c r="D89" i="3"/>
  <c r="W7" i="44" s="1"/>
  <c r="J82" i="26"/>
  <c r="X112" i="46" s="1"/>
  <c r="W112" i="36"/>
  <c r="H185" i="22"/>
  <c r="AK16" i="36"/>
  <c r="G79" i="31"/>
  <c r="AM94" i="46" s="1"/>
  <c r="M112" i="13"/>
  <c r="M113" i="13" s="1"/>
  <c r="M114" i="13" s="1"/>
  <c r="F61" i="34"/>
  <c r="AR14" i="44" s="1"/>
  <c r="M139" i="9"/>
  <c r="AM62" i="45" s="1"/>
  <c r="AL62" i="36"/>
  <c r="G51" i="32"/>
  <c r="E75" i="14"/>
  <c r="E73" i="14"/>
  <c r="E78" i="14"/>
  <c r="F87" i="14"/>
  <c r="F88" i="14" s="1"/>
  <c r="F89" i="14" s="1"/>
  <c r="F90" i="14"/>
  <c r="F91" i="14" s="1"/>
  <c r="F69" i="14"/>
  <c r="F76" i="14" s="1"/>
  <c r="W19" i="36"/>
  <c r="M89" i="14"/>
  <c r="X19" i="44" s="1"/>
  <c r="G63" i="14"/>
  <c r="G70" i="14" s="1"/>
  <c r="AI18" i="44" s="1"/>
  <c r="G60" i="14"/>
  <c r="F74" i="14"/>
  <c r="F79" i="14"/>
  <c r="H54" i="23"/>
  <c r="J320" i="22"/>
  <c r="I76" i="16"/>
  <c r="I75" i="16"/>
  <c r="E65" i="16"/>
  <c r="E79" i="19"/>
  <c r="AL51" i="45" s="1"/>
  <c r="E81" i="19"/>
  <c r="AN51" i="45" s="1"/>
  <c r="E84" i="19"/>
  <c r="AQ51" i="45" s="1"/>
  <c r="E80" i="19"/>
  <c r="AM51" i="45" s="1"/>
  <c r="E85" i="19"/>
  <c r="AR51" i="45" s="1"/>
  <c r="F80" i="19"/>
  <c r="AM52" i="45" s="1"/>
  <c r="F85" i="19"/>
  <c r="AR52" i="45" s="1"/>
  <c r="F79" i="19"/>
  <c r="AL52" i="45" s="1"/>
  <c r="F81" i="19"/>
  <c r="AN52" i="45" s="1"/>
  <c r="F84" i="19"/>
  <c r="AQ52" i="45" s="1"/>
  <c r="G196" i="3"/>
  <c r="G185" i="3"/>
  <c r="V33" i="44" s="1"/>
  <c r="H182" i="3"/>
  <c r="E71" i="34"/>
  <c r="X13" i="44" s="1"/>
  <c r="W13" i="36"/>
  <c r="E50" i="34"/>
  <c r="AG13" i="44" s="1"/>
  <c r="AK13" i="36"/>
  <c r="W14" i="36"/>
  <c r="F71" i="34"/>
  <c r="X14" i="44" s="1"/>
  <c r="H63" i="23"/>
  <c r="H66" i="23" s="1"/>
  <c r="H93" i="23" s="1"/>
  <c r="AC22" i="44" s="1"/>
  <c r="H69" i="23"/>
  <c r="AI22" i="44" s="1"/>
  <c r="F92" i="23"/>
  <c r="F264" i="23"/>
  <c r="F265" i="23" s="1"/>
  <c r="F272" i="23"/>
  <c r="AH30" i="44" s="1"/>
  <c r="D264" i="23"/>
  <c r="E272" i="23"/>
  <c r="AH29" i="44" s="1"/>
  <c r="E264" i="23"/>
  <c r="E265" i="23" s="1"/>
  <c r="G272" i="23"/>
  <c r="G264" i="23"/>
  <c r="G267" i="23" s="1"/>
  <c r="E66" i="23"/>
  <c r="E93" i="23" s="1"/>
  <c r="E64" i="23"/>
  <c r="E91" i="23" s="1"/>
  <c r="G54" i="23"/>
  <c r="E194" i="23"/>
  <c r="AB24" i="44" s="1"/>
  <c r="G194" i="23"/>
  <c r="AB25" i="44" s="1"/>
  <c r="F194" i="23"/>
  <c r="E65" i="23"/>
  <c r="F78" i="23"/>
  <c r="F74" i="23"/>
  <c r="G63" i="23"/>
  <c r="G65" i="23" s="1"/>
  <c r="G77" i="23"/>
  <c r="AQ21" i="44" s="1"/>
  <c r="G72" i="23"/>
  <c r="AL21" i="44" s="1"/>
  <c r="G61" i="23"/>
  <c r="G76" i="23" s="1"/>
  <c r="AP21" i="44" s="1"/>
  <c r="G69" i="23"/>
  <c r="AI21" i="44" s="1"/>
  <c r="K328" i="22"/>
  <c r="H321" i="22"/>
  <c r="E320" i="22"/>
  <c r="K327" i="22" s="1"/>
  <c r="K334" i="22" s="1"/>
  <c r="M351" i="22"/>
  <c r="E190" i="22"/>
  <c r="E195" i="22"/>
  <c r="I322" i="22"/>
  <c r="I325" i="22" s="1"/>
  <c r="I321" i="22"/>
  <c r="I328" i="22" s="1"/>
  <c r="I320" i="22"/>
  <c r="N320" i="22"/>
  <c r="N321" i="22"/>
  <c r="O321" i="22"/>
  <c r="O328" i="22" s="1"/>
  <c r="AI40" i="44" s="1"/>
  <c r="O322" i="22"/>
  <c r="O325" i="22" s="1"/>
  <c r="O320" i="22"/>
  <c r="M322" i="22"/>
  <c r="M325" i="22" s="1"/>
  <c r="M320" i="22"/>
  <c r="M321" i="22"/>
  <c r="M328" i="22" s="1"/>
  <c r="I351" i="22"/>
  <c r="O351" i="22"/>
  <c r="Z40" i="44" s="1"/>
  <c r="G321" i="22"/>
  <c r="G328" i="22" s="1"/>
  <c r="G320" i="22"/>
  <c r="L321" i="22"/>
  <c r="G351" i="22"/>
  <c r="D321" i="22"/>
  <c r="F321" i="22"/>
  <c r="D65" i="23" l="1"/>
  <c r="AA20" i="36"/>
  <c r="H76" i="23"/>
  <c r="AP22" i="44" s="1"/>
  <c r="F76" i="23"/>
  <c r="AJ22" i="36"/>
  <c r="AJ22" i="44"/>
  <c r="E73" i="23"/>
  <c r="E74" i="23"/>
  <c r="F165" i="34"/>
  <c r="AK82" i="46" s="1"/>
  <c r="AN62" i="36"/>
  <c r="AP51" i="36"/>
  <c r="AG16" i="44"/>
  <c r="H195" i="22"/>
  <c r="AQ16" i="44" s="1"/>
  <c r="H191" i="22"/>
  <c r="AM16" i="44" s="1"/>
  <c r="H190" i="22"/>
  <c r="AL16" i="44" s="1"/>
  <c r="AM11" i="36"/>
  <c r="AL11" i="36"/>
  <c r="AM9" i="36"/>
  <c r="AP82" i="36"/>
  <c r="AP82" i="46"/>
  <c r="X80" i="36"/>
  <c r="F172" i="34"/>
  <c r="AR82" i="46" s="1"/>
  <c r="K161" i="34"/>
  <c r="AG88" i="46" s="1"/>
  <c r="K171" i="34"/>
  <c r="AQ88" i="46" s="1"/>
  <c r="K165" i="34"/>
  <c r="AK88" i="46" s="1"/>
  <c r="D90" i="3"/>
  <c r="X7" i="44" s="1"/>
  <c r="F51" i="32"/>
  <c r="AR88" i="36"/>
  <c r="AP84" i="36"/>
  <c r="AN84" i="36"/>
  <c r="X79" i="36"/>
  <c r="AN52" i="36"/>
  <c r="AP21" i="36"/>
  <c r="E279" i="23"/>
  <c r="AO29" i="44" s="1"/>
  <c r="AP22" i="36"/>
  <c r="AO21" i="36"/>
  <c r="G279" i="23"/>
  <c r="F279" i="23"/>
  <c r="AO30" i="44" s="1"/>
  <c r="AO22" i="36"/>
  <c r="AJ40" i="36"/>
  <c r="AP40" i="36"/>
  <c r="X131" i="36"/>
  <c r="X137" i="36"/>
  <c r="AM119" i="36"/>
  <c r="X139" i="36"/>
  <c r="X140" i="36"/>
  <c r="AA26" i="36"/>
  <c r="H194" i="23"/>
  <c r="AB26" i="44" s="1"/>
  <c r="G274" i="23"/>
  <c r="E274" i="23"/>
  <c r="AJ29" i="44" s="1"/>
  <c r="F274" i="23"/>
  <c r="AJ30" i="44" s="1"/>
  <c r="AL21" i="36"/>
  <c r="AB24" i="36"/>
  <c r="G74" i="23"/>
  <c r="AN21" i="44" s="1"/>
  <c r="AI21" i="36"/>
  <c r="AQ21" i="36"/>
  <c r="AB25" i="36"/>
  <c r="H74" i="23"/>
  <c r="AN22" i="44" s="1"/>
  <c r="AC22" i="36"/>
  <c r="X112" i="36"/>
  <c r="AL94" i="36"/>
  <c r="X94" i="36"/>
  <c r="AM62" i="36"/>
  <c r="AQ52" i="36"/>
  <c r="AM52" i="36"/>
  <c r="AN51" i="36"/>
  <c r="AR51" i="36"/>
  <c r="AL51" i="36"/>
  <c r="AL52" i="36"/>
  <c r="AM51" i="36"/>
  <c r="AR52" i="36"/>
  <c r="AQ51" i="36"/>
  <c r="E66" i="16"/>
  <c r="K332" i="22"/>
  <c r="F50" i="34"/>
  <c r="AG14" i="44" s="1"/>
  <c r="AK14" i="36"/>
  <c r="G165" i="34"/>
  <c r="G161" i="34"/>
  <c r="X14" i="36"/>
  <c r="AR14" i="36"/>
  <c r="X13" i="36"/>
  <c r="AN82" i="36"/>
  <c r="AN88" i="36"/>
  <c r="AG82" i="36"/>
  <c r="AQ82" i="36"/>
  <c r="AI18" i="36"/>
  <c r="X19" i="36"/>
  <c r="X135" i="36"/>
  <c r="W7" i="36"/>
  <c r="X32" i="36"/>
  <c r="X110" i="36"/>
  <c r="Z40" i="36"/>
  <c r="AI40" i="36"/>
  <c r="F50" i="32"/>
  <c r="AG84" i="36"/>
  <c r="AM94" i="36"/>
  <c r="F186" i="3"/>
  <c r="W34" i="44" s="1"/>
  <c r="V33" i="36"/>
  <c r="F166" i="34"/>
  <c r="AL82" i="46" s="1"/>
  <c r="F167" i="34"/>
  <c r="AM82" i="46" s="1"/>
  <c r="AK82" i="36"/>
  <c r="AG16" i="36"/>
  <c r="D265" i="23"/>
  <c r="F280" i="23" s="1"/>
  <c r="AP30" i="44" s="1"/>
  <c r="G87" i="14"/>
  <c r="V18" i="44" s="1"/>
  <c r="G90" i="14"/>
  <c r="Y18" i="44" s="1"/>
  <c r="G69" i="14"/>
  <c r="AH18" i="44" s="1"/>
  <c r="F73" i="14"/>
  <c r="F75" i="14"/>
  <c r="F78" i="14"/>
  <c r="G74" i="14"/>
  <c r="AM18" i="44" s="1"/>
  <c r="G79" i="14"/>
  <c r="AR18" i="44" s="1"/>
  <c r="I182" i="3"/>
  <c r="S35" i="44" s="1"/>
  <c r="H196" i="3"/>
  <c r="H185" i="3"/>
  <c r="V36" i="44" s="1"/>
  <c r="AG13" i="36"/>
  <c r="E55" i="34"/>
  <c r="AL13" i="44" s="1"/>
  <c r="E56" i="34"/>
  <c r="AM13" i="44" s="1"/>
  <c r="H65" i="23"/>
  <c r="H73" i="23"/>
  <c r="AM22" i="44" s="1"/>
  <c r="H78" i="23"/>
  <c r="AR22" i="44" s="1"/>
  <c r="AI22" i="36"/>
  <c r="H64" i="23"/>
  <c r="H91" i="23" s="1"/>
  <c r="AA22" i="44" s="1"/>
  <c r="G265" i="23"/>
  <c r="G280" i="23" s="1"/>
  <c r="D267" i="23"/>
  <c r="D269" i="23" s="1"/>
  <c r="G276" i="23"/>
  <c r="G281" i="23"/>
  <c r="AH29" i="36"/>
  <c r="E276" i="23"/>
  <c r="AL29" i="44" s="1"/>
  <c r="E281" i="23"/>
  <c r="AQ29" i="44" s="1"/>
  <c r="G268" i="23"/>
  <c r="G295" i="23" s="1"/>
  <c r="G270" i="23"/>
  <c r="G297" i="23" s="1"/>
  <c r="AH30" i="36"/>
  <c r="F276" i="23"/>
  <c r="AL30" i="44" s="1"/>
  <c r="F281" i="23"/>
  <c r="AQ30" i="44" s="1"/>
  <c r="G269" i="23"/>
  <c r="E267" i="23"/>
  <c r="F273" i="23"/>
  <c r="AI30" i="44" s="1"/>
  <c r="E273" i="23"/>
  <c r="AI29" i="44" s="1"/>
  <c r="G273" i="23"/>
  <c r="F267" i="23"/>
  <c r="F269" i="23" s="1"/>
  <c r="D92" i="23"/>
  <c r="AB20" i="44" s="1"/>
  <c r="G92" i="23"/>
  <c r="AB21" i="44" s="1"/>
  <c r="G73" i="23"/>
  <c r="AM21" i="44" s="1"/>
  <c r="G78" i="23"/>
  <c r="AR21" i="44" s="1"/>
  <c r="G66" i="23"/>
  <c r="G93" i="23" s="1"/>
  <c r="AC21" i="44" s="1"/>
  <c r="G64" i="23"/>
  <c r="G91" i="23" s="1"/>
  <c r="AA21" i="44" s="1"/>
  <c r="E92" i="23"/>
  <c r="G327" i="22"/>
  <c r="K337" i="22"/>
  <c r="I337" i="22"/>
  <c r="I330" i="22"/>
  <c r="I326" i="22"/>
  <c r="I332" i="22" s="1"/>
  <c r="M327" i="22"/>
  <c r="I327" i="22"/>
  <c r="O326" i="22"/>
  <c r="AG40" i="44" s="1"/>
  <c r="O337" i="22"/>
  <c r="AR40" i="44" s="1"/>
  <c r="O330" i="22"/>
  <c r="AK40" i="44" s="1"/>
  <c r="K333" i="22"/>
  <c r="K336" i="22"/>
  <c r="K331" i="22"/>
  <c r="M326" i="22"/>
  <c r="M332" i="22" s="1"/>
  <c r="M337" i="22"/>
  <c r="M330" i="22"/>
  <c r="O327" i="22"/>
  <c r="AH40" i="44" s="1"/>
  <c r="G326" i="22"/>
  <c r="G332" i="22" s="1"/>
  <c r="G337" i="22"/>
  <c r="G330" i="22"/>
  <c r="AG14" i="36" l="1"/>
  <c r="AR82" i="36"/>
  <c r="F55" i="34"/>
  <c r="AL14" i="44" s="1"/>
  <c r="F56" i="34"/>
  <c r="AM14" i="44" s="1"/>
  <c r="AK88" i="36"/>
  <c r="AQ88" i="36"/>
  <c r="K167" i="34"/>
  <c r="AM88" i="46" s="1"/>
  <c r="K166" i="34"/>
  <c r="AL88" i="46" s="1"/>
  <c r="AG88" i="36"/>
  <c r="X7" i="36"/>
  <c r="AP30" i="36"/>
  <c r="E280" i="23"/>
  <c r="AP29" i="44" s="1"/>
  <c r="AJ29" i="36"/>
  <c r="AO30" i="36"/>
  <c r="AJ30" i="36"/>
  <c r="AO29" i="36"/>
  <c r="AQ16" i="36"/>
  <c r="O334" i="22"/>
  <c r="AO40" i="44" s="1"/>
  <c r="G76" i="14"/>
  <c r="AO18" i="44" s="1"/>
  <c r="AB26" i="36"/>
  <c r="AA21" i="36"/>
  <c r="AB21" i="36"/>
  <c r="AN22" i="36"/>
  <c r="AC21" i="36"/>
  <c r="AR21" i="36"/>
  <c r="E278" i="23"/>
  <c r="AN29" i="44" s="1"/>
  <c r="AQ30" i="36"/>
  <c r="AR22" i="36"/>
  <c r="AM21" i="36"/>
  <c r="AB20" i="36"/>
  <c r="AL30" i="36"/>
  <c r="AQ29" i="36"/>
  <c r="AM22" i="36"/>
  <c r="AL29" i="36"/>
  <c r="AA22" i="36"/>
  <c r="AN21" i="36"/>
  <c r="AL84" i="36"/>
  <c r="E67" i="16"/>
  <c r="AM16" i="36"/>
  <c r="G333" i="22"/>
  <c r="G334" i="22"/>
  <c r="M336" i="22"/>
  <c r="M334" i="22"/>
  <c r="I336" i="22"/>
  <c r="I334" i="22"/>
  <c r="AL14" i="36"/>
  <c r="AL13" i="36"/>
  <c r="AM82" i="36"/>
  <c r="AL82" i="36"/>
  <c r="AM13" i="36"/>
  <c r="AM18" i="36"/>
  <c r="Y18" i="36"/>
  <c r="AH18" i="36"/>
  <c r="V18" i="36"/>
  <c r="AR18" i="36"/>
  <c r="V36" i="36"/>
  <c r="S35" i="36"/>
  <c r="AK40" i="36"/>
  <c r="AH40" i="36"/>
  <c r="AR40" i="36"/>
  <c r="AL16" i="36"/>
  <c r="F187" i="3"/>
  <c r="X34" i="44" s="1"/>
  <c r="W34" i="36"/>
  <c r="G73" i="14"/>
  <c r="AL18" i="44" s="1"/>
  <c r="G75" i="14"/>
  <c r="AN18" i="44" s="1"/>
  <c r="G78" i="14"/>
  <c r="AQ18" i="44" s="1"/>
  <c r="G91" i="14"/>
  <c r="Z18" i="44" s="1"/>
  <c r="G88" i="14"/>
  <c r="W18" i="44" s="1"/>
  <c r="G336" i="22"/>
  <c r="I196" i="3"/>
  <c r="I185" i="3"/>
  <c r="V35" i="44" s="1"/>
  <c r="G331" i="22"/>
  <c r="H92" i="23"/>
  <c r="AB22" i="44" s="1"/>
  <c r="D268" i="23"/>
  <c r="D295" i="23" s="1"/>
  <c r="AA28" i="44" s="1"/>
  <c r="F270" i="23"/>
  <c r="F297" i="23" s="1"/>
  <c r="AC30" i="44" s="1"/>
  <c r="F268" i="23"/>
  <c r="F295" i="23" s="1"/>
  <c r="AA30" i="44" s="1"/>
  <c r="F282" i="23"/>
  <c r="AR30" i="44" s="1"/>
  <c r="AI30" i="36"/>
  <c r="F277" i="23"/>
  <c r="AM30" i="44" s="1"/>
  <c r="F278" i="23"/>
  <c r="AN30" i="44" s="1"/>
  <c r="G278" i="23"/>
  <c r="G277" i="23"/>
  <c r="G282" i="23"/>
  <c r="E270" i="23"/>
  <c r="E297" i="23" s="1"/>
  <c r="AC29" i="44" s="1"/>
  <c r="E268" i="23"/>
  <c r="E295" i="23" s="1"/>
  <c r="AA29" i="44" s="1"/>
  <c r="F296" i="23"/>
  <c r="AB30" i="44" s="1"/>
  <c r="AI29" i="36"/>
  <c r="E282" i="23"/>
  <c r="AR29" i="44" s="1"/>
  <c r="E277" i="23"/>
  <c r="AM29" i="44" s="1"/>
  <c r="G296" i="23"/>
  <c r="D296" i="23"/>
  <c r="AB28" i="44" s="1"/>
  <c r="E269" i="23"/>
  <c r="O332" i="22"/>
  <c r="AM40" i="44" s="1"/>
  <c r="AG40" i="36"/>
  <c r="O333" i="22"/>
  <c r="AN40" i="44" s="1"/>
  <c r="O331" i="22"/>
  <c r="AL40" i="44" s="1"/>
  <c r="O336" i="22"/>
  <c r="AQ40" i="44" s="1"/>
  <c r="I331" i="22"/>
  <c r="I333" i="22"/>
  <c r="M333" i="22"/>
  <c r="M331" i="22"/>
  <c r="AM14" i="36" l="1"/>
  <c r="AL88" i="36"/>
  <c r="AM88" i="36"/>
  <c r="AP29" i="36"/>
  <c r="AO40" i="36"/>
  <c r="AO18" i="36"/>
  <c r="AB28" i="36"/>
  <c r="AR29" i="36"/>
  <c r="AA29" i="36"/>
  <c r="AR30" i="36"/>
  <c r="AA28" i="36"/>
  <c r="AC29" i="36"/>
  <c r="AN30" i="36"/>
  <c r="AA30" i="36"/>
  <c r="AN29" i="36"/>
  <c r="AM30" i="36"/>
  <c r="AC30" i="36"/>
  <c r="AM29" i="36"/>
  <c r="AB30" i="36"/>
  <c r="AB22" i="36"/>
  <c r="AN18" i="36"/>
  <c r="W18" i="36"/>
  <c r="AL18" i="36"/>
  <c r="Z18" i="36"/>
  <c r="AQ18" i="36"/>
  <c r="V35" i="36"/>
  <c r="X34" i="36"/>
  <c r="AQ40" i="36"/>
  <c r="AM40" i="36"/>
  <c r="AL40" i="36"/>
  <c r="AN40" i="36"/>
  <c r="G89" i="14"/>
  <c r="X18" i="44" s="1"/>
  <c r="H186" i="3"/>
  <c r="W36" i="44" s="1"/>
  <c r="E296" i="23"/>
  <c r="AB29" i="44" s="1"/>
  <c r="AB29" i="36" l="1"/>
  <c r="X18" i="36"/>
  <c r="W36" i="36"/>
  <c r="H187" i="3"/>
  <c r="X36" i="44" s="1"/>
  <c r="X36" i="36" l="1"/>
  <c r="E72" i="4" l="1"/>
  <c r="AL9" i="44" s="1"/>
  <c r="E77" i="4"/>
  <c r="AQ9" i="44" s="1"/>
  <c r="E74" i="4"/>
  <c r="AN9" i="44" s="1"/>
  <c r="AL9" i="36" l="1"/>
  <c r="AN9" i="36"/>
  <c r="AQ9" i="36"/>
  <c r="E47" i="34" l="1"/>
  <c r="F47" i="34"/>
  <c r="F59" i="34" s="1"/>
  <c r="AP14" i="44" s="1"/>
  <c r="D47" i="34"/>
  <c r="E59" i="34" l="1"/>
  <c r="AP13" i="44" s="1"/>
  <c r="AP14" i="36"/>
  <c r="AP13" i="36" l="1"/>
</calcChain>
</file>

<file path=xl/sharedStrings.xml><?xml version="1.0" encoding="utf-8"?>
<sst xmlns="http://schemas.openxmlformats.org/spreadsheetml/2006/main" count="10578" uniqueCount="2347">
  <si>
    <t>Adds 5% H2 and 95% N2</t>
  </si>
  <si>
    <t xml:space="preserve">CH4 increase CH4 (from 417.6 to 468.3 NmL-CH4/gVSadded </t>
  </si>
  <si>
    <t>CO2 decrease from 227.1 to 138.7 NmL-CO2/gVSadded</t>
  </si>
  <si>
    <t>CH4</t>
  </si>
  <si>
    <t>mL CH4/g VS</t>
  </si>
  <si>
    <t>diff</t>
  </si>
  <si>
    <t>mL CO2/g VS</t>
  </si>
  <si>
    <t>Inoculum</t>
  </si>
  <si>
    <t>i/s</t>
  </si>
  <si>
    <t>Reactor vol</t>
  </si>
  <si>
    <t>mL</t>
  </si>
  <si>
    <t>working vol</t>
  </si>
  <si>
    <t>headspace</t>
  </si>
  <si>
    <t>H2</t>
  </si>
  <si>
    <t>VS</t>
  </si>
  <si>
    <t>FW VS</t>
  </si>
  <si>
    <t>g VS</t>
  </si>
  <si>
    <t>mg/L</t>
  </si>
  <si>
    <t>mL H2</t>
  </si>
  <si>
    <t>total</t>
  </si>
  <si>
    <t>mL CH4</t>
  </si>
  <si>
    <t>g</t>
  </si>
  <si>
    <t>L</t>
  </si>
  <si>
    <t>g WW</t>
  </si>
  <si>
    <t>months</t>
  </si>
  <si>
    <t>days</t>
  </si>
  <si>
    <t>HRT</t>
  </si>
  <si>
    <t>TS</t>
  </si>
  <si>
    <t>g TS/kgWW</t>
  </si>
  <si>
    <t>diluted to</t>
  </si>
  <si>
    <t>g VS/L</t>
  </si>
  <si>
    <t>mL/day</t>
  </si>
  <si>
    <t>Working vol</t>
  </si>
  <si>
    <t>OLR</t>
  </si>
  <si>
    <t>g VS/day</t>
  </si>
  <si>
    <t>pH</t>
  </si>
  <si>
    <t>pCO2</t>
  </si>
  <si>
    <t>FW</t>
  </si>
  <si>
    <t>pred pH</t>
  </si>
  <si>
    <t>at pCO2</t>
  </si>
  <si>
    <t>check</t>
  </si>
  <si>
    <t>R2</t>
  </si>
  <si>
    <t>a</t>
  </si>
  <si>
    <t>lower</t>
  </si>
  <si>
    <t>Substrates</t>
  </si>
  <si>
    <t>Cattle Manure</t>
  </si>
  <si>
    <t>Whey</t>
  </si>
  <si>
    <t>g/L</t>
  </si>
  <si>
    <t>COD</t>
  </si>
  <si>
    <t>Mix</t>
  </si>
  <si>
    <t>Whey diluted x 4 then mixed in ratio 2/3</t>
  </si>
  <si>
    <t>TKN</t>
  </si>
  <si>
    <t>TAN</t>
  </si>
  <si>
    <t>Period 1-4</t>
  </si>
  <si>
    <t>Inoc</t>
  </si>
  <si>
    <t>Initial H2 conc</t>
  </si>
  <si>
    <t>At wt H2</t>
  </si>
  <si>
    <t>mole/L</t>
  </si>
  <si>
    <t>L/L</t>
  </si>
  <si>
    <t>L/mol</t>
  </si>
  <si>
    <t>% Vol</t>
  </si>
  <si>
    <t>Stoich ratio</t>
  </si>
  <si>
    <t>mL CO2</t>
  </si>
  <si>
    <t>CO2/CH4</t>
  </si>
  <si>
    <t>Blank</t>
  </si>
  <si>
    <t>Test</t>
  </si>
  <si>
    <t>gVS/L</t>
  </si>
  <si>
    <t>Inoculum predicted VS</t>
  </si>
  <si>
    <t>Assumed inoc</t>
  </si>
  <si>
    <t>Combined</t>
  </si>
  <si>
    <t>Control</t>
  </si>
  <si>
    <t>Measured</t>
  </si>
  <si>
    <t>Water</t>
  </si>
  <si>
    <t>Thesis</t>
  </si>
  <si>
    <t>inoc VS</t>
  </si>
  <si>
    <t>FW vs</t>
  </si>
  <si>
    <t>g TS/L</t>
  </si>
  <si>
    <t>should be</t>
  </si>
  <si>
    <t>In trial?</t>
  </si>
  <si>
    <t>g TS</t>
  </si>
  <si>
    <t>Actual</t>
  </si>
  <si>
    <t>So assume this was not used</t>
  </si>
  <si>
    <t>Attempts:</t>
  </si>
  <si>
    <t>g WW or mL</t>
  </si>
  <si>
    <t>Test basis</t>
  </si>
  <si>
    <t>Blank basis</t>
  </si>
  <si>
    <t>Not good, use Test?</t>
  </si>
  <si>
    <t>Ratio</t>
  </si>
  <si>
    <t>If so:</t>
  </si>
  <si>
    <t>How much material?</t>
  </si>
  <si>
    <t>Methane yield</t>
  </si>
  <si>
    <t>Actual i/s</t>
  </si>
  <si>
    <t>%/100</t>
  </si>
  <si>
    <t>H2/CO2</t>
  </si>
  <si>
    <t>Molar vol</t>
  </si>
  <si>
    <t>req H2</t>
  </si>
  <si>
    <t>CO2 yield</t>
  </si>
  <si>
    <t>exp CH4</t>
  </si>
  <si>
    <t>actual</t>
  </si>
  <si>
    <t>Given</t>
  </si>
  <si>
    <t>Assumed</t>
  </si>
  <si>
    <t>Calculated</t>
  </si>
  <si>
    <t>See 'used' below</t>
  </si>
  <si>
    <t>Okay, similar</t>
  </si>
  <si>
    <t>Max extra CH4</t>
  </si>
  <si>
    <t>Or possibly wrong i/s?</t>
  </si>
  <si>
    <t>EH1_Control</t>
  </si>
  <si>
    <t>EH2_Control</t>
  </si>
  <si>
    <t>EH3_Control</t>
  </si>
  <si>
    <t>mL CO2/gVS</t>
  </si>
  <si>
    <t>%CH4</t>
  </si>
  <si>
    <t>EH1_Test</t>
  </si>
  <si>
    <t>EH2_Test</t>
  </si>
  <si>
    <t>EH3_Test</t>
  </si>
  <si>
    <t>Feed</t>
  </si>
  <si>
    <t>EH1_diff</t>
  </si>
  <si>
    <t>EH2_diff</t>
  </si>
  <si>
    <t>EH3_diff</t>
  </si>
  <si>
    <t>Approx mL H2</t>
  </si>
  <si>
    <t>Max CH4</t>
  </si>
  <si>
    <t>FW fed</t>
  </si>
  <si>
    <t>Available H2</t>
  </si>
  <si>
    <t>New CH4 yield</t>
  </si>
  <si>
    <t>and not</t>
  </si>
  <si>
    <t>i.e. does not match</t>
  </si>
  <si>
    <t>stoic ratio</t>
  </si>
  <si>
    <t>upper</t>
  </si>
  <si>
    <t>kWh/m3 H2</t>
  </si>
  <si>
    <t>Assumed H2 production energy input</t>
  </si>
  <si>
    <t>%CH4/100</t>
  </si>
  <si>
    <t>CV</t>
  </si>
  <si>
    <t>mL CH4/g VS added</t>
  </si>
  <si>
    <t>mL biogas/g VS added</t>
  </si>
  <si>
    <t>Paper</t>
  </si>
  <si>
    <t>g VS/kg WW</t>
  </si>
  <si>
    <t>calc</t>
  </si>
  <si>
    <t>FW TS</t>
  </si>
  <si>
    <t>g VTS/kg WW</t>
  </si>
  <si>
    <t>VS/TS</t>
  </si>
  <si>
    <t>stated</t>
  </si>
  <si>
    <t>m3 biogas/tonne TS</t>
  </si>
  <si>
    <t>m3 CH4/tonne TS</t>
  </si>
  <si>
    <t>Extra CH4</t>
  </si>
  <si>
    <t>Extra H2</t>
  </si>
  <si>
    <t>Calorific value</t>
  </si>
  <si>
    <t>MJ/m3</t>
  </si>
  <si>
    <t>from paper</t>
  </si>
  <si>
    <t>MJ/tonne TS</t>
  </si>
  <si>
    <t>output fuel</t>
  </si>
  <si>
    <t>output el</t>
  </si>
  <si>
    <t>elec eff</t>
  </si>
  <si>
    <t>fuel eff</t>
  </si>
  <si>
    <t>MWh/tonne TS</t>
  </si>
  <si>
    <t>EROI fuel</t>
  </si>
  <si>
    <t>EROI elec</t>
  </si>
  <si>
    <t>Stated</t>
  </si>
  <si>
    <t>Based on extrapolation from experimental results</t>
  </si>
  <si>
    <t>% CH4</t>
  </si>
  <si>
    <t>Energy calcs</t>
  </si>
  <si>
    <t>Start</t>
  </si>
  <si>
    <t>End</t>
  </si>
  <si>
    <t>Convert</t>
  </si>
  <si>
    <t>MJ/MWh</t>
  </si>
  <si>
    <t>In situ biometh</t>
  </si>
  <si>
    <r>
      <t xml:space="preserve">Okoro-Shekwaga, C.K., Ross, A.B. and Camargo-Valero, M.A., 2021. Enhanced in-situ biomethanation of food waste by sequential inoculum acclimation: Energy efficiency and carbon savings analysis. </t>
    </r>
    <r>
      <rPr>
        <i/>
        <sz val="11"/>
        <color theme="1"/>
        <rFont val="Calibri"/>
        <family val="2"/>
        <scheme val="minor"/>
      </rPr>
      <t>Waste Management</t>
    </r>
    <r>
      <rPr>
        <sz val="11"/>
        <color theme="1"/>
        <rFont val="Calibri"/>
        <family val="2"/>
        <scheme val="minor"/>
      </rPr>
      <t xml:space="preserve">, </t>
    </r>
    <r>
      <rPr>
        <i/>
        <sz val="11"/>
        <color theme="1"/>
        <rFont val="Calibri"/>
        <family val="2"/>
        <scheme val="minor"/>
      </rPr>
      <t>130</t>
    </r>
    <r>
      <rPr>
        <sz val="11"/>
        <color theme="1"/>
        <rFont val="Calibri"/>
        <family val="2"/>
        <scheme val="minor"/>
      </rPr>
      <t>, pp.12-22.</t>
    </r>
  </si>
  <si>
    <t>Simple version</t>
  </si>
  <si>
    <t>m3 H2/tonne TS</t>
  </si>
  <si>
    <t>Other values in paper</t>
  </si>
  <si>
    <t>mL H2 STP</t>
  </si>
  <si>
    <t>or around</t>
  </si>
  <si>
    <t>Same FW</t>
  </si>
  <si>
    <t>TVFA</t>
  </si>
  <si>
    <t>sCOD</t>
  </si>
  <si>
    <t>blank</t>
  </si>
  <si>
    <t xml:space="preserve">control </t>
  </si>
  <si>
    <t>test</t>
  </si>
  <si>
    <t>Exp2</t>
  </si>
  <si>
    <t>Exp3</t>
  </si>
  <si>
    <t>1,2</t>
  </si>
  <si>
    <t>Exp1</t>
  </si>
  <si>
    <t>Blank VS</t>
  </si>
  <si>
    <t>Control VS</t>
  </si>
  <si>
    <t>Test VS</t>
  </si>
  <si>
    <t>added VS</t>
  </si>
  <si>
    <t>g/mol</t>
  </si>
  <si>
    <t>mass ratio</t>
  </si>
  <si>
    <t>added CH4</t>
  </si>
  <si>
    <t>mg CH4/L</t>
  </si>
  <si>
    <t>CH4/H2</t>
  </si>
  <si>
    <t>mg H2/L</t>
  </si>
  <si>
    <t>Headspace</t>
  </si>
  <si>
    <t>H2 req</t>
  </si>
  <si>
    <t>mg</t>
  </si>
  <si>
    <t>mol</t>
  </si>
  <si>
    <t>Conc</t>
  </si>
  <si>
    <t>Availabe</t>
  </si>
  <si>
    <t>mL ambient</t>
  </si>
  <si>
    <t>okay</t>
  </si>
  <si>
    <r>
      <t xml:space="preserve">Okoro‐Shekwaga, C.K., Ross, A. and Camargo‐Valero, M.A., 2021. Enhancing bioenergy production from food waste by in situ biomethanation: Effect of the hydrogen injection point. </t>
    </r>
    <r>
      <rPr>
        <i/>
        <sz val="11"/>
        <color theme="1"/>
        <rFont val="Calibri"/>
        <family val="2"/>
        <scheme val="minor"/>
      </rPr>
      <t>Food and Energy Security</t>
    </r>
    <r>
      <rPr>
        <sz val="11"/>
        <color theme="1"/>
        <rFont val="Calibri"/>
        <family val="2"/>
        <scheme val="minor"/>
      </rPr>
      <t>, p.e288.</t>
    </r>
  </si>
  <si>
    <t>EH1</t>
  </si>
  <si>
    <t>EH2</t>
  </si>
  <si>
    <t>EH3</t>
  </si>
  <si>
    <t>PhD thesis says</t>
  </si>
  <si>
    <t>v/v</t>
  </si>
  <si>
    <t>Blank1 from Exp1</t>
  </si>
  <si>
    <t>We can't tell what happened</t>
  </si>
  <si>
    <t>non-inoc VS</t>
  </si>
  <si>
    <t>Added 50% 'inoc' (with food?)</t>
  </si>
  <si>
    <t>Assume</t>
  </si>
  <si>
    <t>CM</t>
  </si>
  <si>
    <t>Cattle manure</t>
  </si>
  <si>
    <t>PS</t>
  </si>
  <si>
    <t>Food waste</t>
  </si>
  <si>
    <t>W</t>
  </si>
  <si>
    <t>Glucose</t>
  </si>
  <si>
    <t>Grass silage</t>
  </si>
  <si>
    <t>PM</t>
  </si>
  <si>
    <t>Pig manure</t>
  </si>
  <si>
    <t>SS</t>
  </si>
  <si>
    <t>Sewage sludge</t>
  </si>
  <si>
    <t>WAS</t>
  </si>
  <si>
    <t>ST</t>
  </si>
  <si>
    <t>V</t>
  </si>
  <si>
    <t>OFMSW</t>
  </si>
  <si>
    <t>x = conc of 'old' inoc, g VS/L</t>
  </si>
  <si>
    <t>y = conc of new inoc, g VS/L</t>
  </si>
  <si>
    <t>z = amount of FW  added, g VS/L</t>
  </si>
  <si>
    <t>Mass bal for 1 L</t>
  </si>
  <si>
    <t>0.5 x + 0.5 y = 8.3</t>
  </si>
  <si>
    <t>0.5 x + 0.5 y = 5.7</t>
  </si>
  <si>
    <t>0.5 x + 0.5 y + z = 10.4</t>
  </si>
  <si>
    <t>0.5 x + 0.5 y + z = 8.0</t>
  </si>
  <si>
    <t>i/s ratio = 0.5 y / z = 3</t>
  </si>
  <si>
    <t>i/s ratio = 0.5 y / z = 2</t>
  </si>
  <si>
    <t>z = 0.5/3.0 y = 0.167 y</t>
  </si>
  <si>
    <t>z = 0.5/2.0 y = 0.25 y</t>
  </si>
  <si>
    <t>0.167 y = (10.4 - 8.3) = 2.1</t>
  </si>
  <si>
    <t>0.167 y = (8.0 - 5.7) = 2.3</t>
  </si>
  <si>
    <t>0.25 y = (8.0 - 5.7) = 2.3</t>
  </si>
  <si>
    <t>y = 2.1/0.167 = 12.6</t>
  </si>
  <si>
    <t>y = 2.3/0.167 = 13.8</t>
  </si>
  <si>
    <t>y = 2.3/0.25 = 9.2</t>
  </si>
  <si>
    <t>x + y = 2 x 8.3 = 16.6</t>
  </si>
  <si>
    <t>x + y = 2 x 5.7 = 11.4</t>
  </si>
  <si>
    <t>x = 16.6 - 12.6 = 4.0</t>
  </si>
  <si>
    <t>x = 11.4  - 13.8 = -2.4</t>
  </si>
  <si>
    <t>x = 11.4  - 9.2 = 2.2</t>
  </si>
  <si>
    <t>not okay</t>
  </si>
  <si>
    <t>EH3 i/s 2</t>
  </si>
  <si>
    <t>Kept</t>
  </si>
  <si>
    <t>Initial VS</t>
  </si>
  <si>
    <t>New inoc</t>
  </si>
  <si>
    <t>New FW</t>
  </si>
  <si>
    <t>New VS</t>
  </si>
  <si>
    <t>y = 2.1/0.25 = 8.4</t>
  </si>
  <si>
    <t>EH2 i/s 2</t>
  </si>
  <si>
    <t>0.25 y = (10.4 - 8.3) = 2.1</t>
  </si>
  <si>
    <t>x = 16.6 - 8.4 = 8.2</t>
  </si>
  <si>
    <t>mL H2 added</t>
  </si>
  <si>
    <t>% H2</t>
  </si>
  <si>
    <t>vol (L)</t>
  </si>
  <si>
    <t>Added FW</t>
  </si>
  <si>
    <t>%H2</t>
  </si>
  <si>
    <t>extra mL CH4</t>
  </si>
  <si>
    <t>slope</t>
  </si>
  <si>
    <t>intercept</t>
  </si>
  <si>
    <r>
      <t xml:space="preserve">Luo, G., Johansson, S., Boe, K., Xie, L., Zhou, Q. and Angelidaki, I., 2012. Simultaneous hydrogen utilization and in situ biogas upgrading in an anaerobic reactor. </t>
    </r>
    <r>
      <rPr>
        <i/>
        <sz val="11"/>
        <color theme="1"/>
        <rFont val="Calibri"/>
        <family val="2"/>
        <scheme val="minor"/>
      </rPr>
      <t>Biotechnology and bioengineering</t>
    </r>
    <r>
      <rPr>
        <sz val="11"/>
        <color theme="1"/>
        <rFont val="Calibri"/>
        <family val="2"/>
        <scheme val="minor"/>
      </rPr>
      <t xml:space="preserve">, </t>
    </r>
    <r>
      <rPr>
        <i/>
        <sz val="11"/>
        <color theme="1"/>
        <rFont val="Calibri"/>
        <family val="2"/>
        <scheme val="minor"/>
      </rPr>
      <t>109</t>
    </r>
    <r>
      <rPr>
        <sz val="11"/>
        <color theme="1"/>
        <rFont val="Calibri"/>
        <family val="2"/>
        <scheme val="minor"/>
      </rPr>
      <t>(4), pp.1088-1094.</t>
    </r>
  </si>
  <si>
    <t>Duration</t>
  </si>
  <si>
    <t>mL/feed</t>
  </si>
  <si>
    <t>Feeds/day</t>
  </si>
  <si>
    <t>g VS/L-day</t>
  </si>
  <si>
    <r>
      <t xml:space="preserve">Luo, G. and Angelidaki, I., 2012. Integrated biogas upgrading and hydrogen utilization in an anaerobic reactor containing enriched hydrogenotrophic methanogenic culture. </t>
    </r>
    <r>
      <rPr>
        <i/>
        <sz val="11"/>
        <color theme="1"/>
        <rFont val="Calibri"/>
        <family val="2"/>
        <scheme val="minor"/>
      </rPr>
      <t>Biotechnology and bioengineering</t>
    </r>
    <r>
      <rPr>
        <sz val="11"/>
        <color theme="1"/>
        <rFont val="Calibri"/>
        <family val="2"/>
        <scheme val="minor"/>
      </rPr>
      <t xml:space="preserve">, </t>
    </r>
    <r>
      <rPr>
        <i/>
        <sz val="11"/>
        <color theme="1"/>
        <rFont val="Calibri"/>
        <family val="2"/>
        <scheme val="minor"/>
      </rPr>
      <t>109</t>
    </r>
    <r>
      <rPr>
        <sz val="11"/>
        <color theme="1"/>
        <rFont val="Calibri"/>
        <family val="2"/>
        <scheme val="minor"/>
      </rPr>
      <t>(11), pp.2729-2736.</t>
    </r>
  </si>
  <si>
    <r>
      <t xml:space="preserve">Luo, G. and Angelidaki, I., 2013. Co-digestion of manure and whey for in situ biogas upgrading by the addition of H2: process performance and microbial insights. </t>
    </r>
    <r>
      <rPr>
        <i/>
        <sz val="11"/>
        <color theme="1"/>
        <rFont val="Calibri"/>
        <family val="2"/>
        <scheme val="minor"/>
      </rPr>
      <t>Applied microbiology and biotechnology</t>
    </r>
    <r>
      <rPr>
        <sz val="11"/>
        <color theme="1"/>
        <rFont val="Calibri"/>
        <family val="2"/>
        <scheme val="minor"/>
      </rPr>
      <t xml:space="preserve">, </t>
    </r>
    <r>
      <rPr>
        <i/>
        <sz val="11"/>
        <color theme="1"/>
        <rFont val="Calibri"/>
        <family val="2"/>
        <scheme val="minor"/>
      </rPr>
      <t>97</t>
    </r>
    <r>
      <rPr>
        <sz val="11"/>
        <color theme="1"/>
        <rFont val="Calibri"/>
        <family val="2"/>
        <scheme val="minor"/>
      </rPr>
      <t>(3), pp.1373-1381.</t>
    </r>
  </si>
  <si>
    <t>Phase 1</t>
  </si>
  <si>
    <t>Phase 2</t>
  </si>
  <si>
    <t>Phase 3</t>
  </si>
  <si>
    <r>
      <t xml:space="preserve">Agneessens, L.M., Ottosen, L.D.M., Voigt, N.V., Nielsen, J.L., de Jonge, N., Fischer, C.H. and Kofoed, M.V.W., 2017. In-situ biogas upgrading with pulse H2 additions: the relevance of methanogen adaption and inorganic carbon level.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233</t>
    </r>
    <r>
      <rPr>
        <sz val="11"/>
        <color theme="1"/>
        <rFont val="Calibri"/>
        <family val="2"/>
        <scheme val="minor"/>
      </rPr>
      <t>, pp.256-263.</t>
    </r>
  </si>
  <si>
    <t>CO2</t>
  </si>
  <si>
    <t>Acetic</t>
  </si>
  <si>
    <t>Propionic</t>
  </si>
  <si>
    <t>Butyric</t>
  </si>
  <si>
    <t>Total VFA</t>
  </si>
  <si>
    <r>
      <t xml:space="preserve">Agneessens, L.M., Ottosen, L.D.M., Andersen, M., Olesen, C.B., Feilberg, A. and Kofoed, M.V.W., 2018. Parameters affecting acetate concentrations during in-situ biological hydrogen methanation.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258</t>
    </r>
    <r>
      <rPr>
        <sz val="11"/>
        <color theme="1"/>
        <rFont val="Calibri"/>
        <family val="2"/>
        <scheme val="minor"/>
      </rPr>
      <t>, pp.33-40.</t>
    </r>
  </si>
  <si>
    <r>
      <t xml:space="preserve">Bassani, I., Kougias, P.G. and Angelidaki, I., 2016. In-situ biogas upgrading in thermophilic granular UASB reactor: key factors affecting the hydrogen mass transfer rate.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221</t>
    </r>
    <r>
      <rPr>
        <sz val="11"/>
        <color theme="1"/>
        <rFont val="Calibri"/>
        <family val="2"/>
        <scheme val="minor"/>
      </rPr>
      <t>, pp.485-491.</t>
    </r>
  </si>
  <si>
    <t>meso</t>
  </si>
  <si>
    <t>thermo</t>
  </si>
  <si>
    <r>
      <t xml:space="preserve">Bassani, I., Kougias, P.G., Treu, L. and Angelidaki, I., 2015. Biogas upgrading via hydrogenotrophic methanogenesis in two-stage continuous stirred tank reactors at mesophilic and thermophilic conditions.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49</t>
    </r>
    <r>
      <rPr>
        <sz val="11"/>
        <color theme="1"/>
        <rFont val="Calibri"/>
        <family val="2"/>
        <scheme val="minor"/>
      </rPr>
      <t>(20), pp.12585-12593.</t>
    </r>
  </si>
  <si>
    <t>Table 1</t>
  </si>
  <si>
    <t>Pre H2</t>
  </si>
  <si>
    <t>Post H2</t>
  </si>
  <si>
    <t>mL/L-day</t>
  </si>
  <si>
    <t>CH4 manure</t>
  </si>
  <si>
    <t>Tot CH4</t>
  </si>
  <si>
    <t>VMP</t>
  </si>
  <si>
    <t>Vol CO2</t>
  </si>
  <si>
    <t>H2 flow</t>
  </si>
  <si>
    <t>H2 consump</t>
  </si>
  <si>
    <t>pH SR1 and 2</t>
  </si>
  <si>
    <t>pH R1 &amp; 2</t>
  </si>
  <si>
    <t>total VFA R1 &amp;2</t>
  </si>
  <si>
    <t>total VFA SR1 &amp;2</t>
  </si>
  <si>
    <t>n/a</t>
  </si>
  <si>
    <t>%</t>
  </si>
  <si>
    <t>mL/g VS</t>
  </si>
  <si>
    <t>CO2 conv</t>
  </si>
  <si>
    <t>Reactor a - with H2</t>
  </si>
  <si>
    <t>Reactor b - no H2</t>
  </si>
  <si>
    <t>Table 2</t>
  </si>
  <si>
    <t>VBP</t>
  </si>
  <si>
    <t>Acetate</t>
  </si>
  <si>
    <t>Propionate</t>
  </si>
  <si>
    <t>Butyrate</t>
  </si>
  <si>
    <t>NH4+</t>
  </si>
  <si>
    <t>Significant?</t>
  </si>
  <si>
    <t>y</t>
  </si>
  <si>
    <t>mL/L-hour</t>
  </si>
  <si>
    <t>mM</t>
  </si>
  <si>
    <t>check CH4</t>
  </si>
  <si>
    <t>check CO2</t>
  </si>
  <si>
    <t>CH4 prod</t>
  </si>
  <si>
    <t>CO2 prod</t>
  </si>
  <si>
    <t>H2 input</t>
  </si>
  <si>
    <t>Given in paper</t>
  </si>
  <si>
    <t>H2 output</t>
  </si>
  <si>
    <t>A - H2</t>
  </si>
  <si>
    <t>B - no H2</t>
  </si>
  <si>
    <t>Mixing</t>
  </si>
  <si>
    <t>rpm</t>
  </si>
  <si>
    <t>Diffuser</t>
  </si>
  <si>
    <t xml:space="preserve">column </t>
  </si>
  <si>
    <t>column</t>
  </si>
  <si>
    <t>ceramic</t>
  </si>
  <si>
    <t>normalised CH4</t>
  </si>
  <si>
    <t>normalised CO2</t>
  </si>
  <si>
    <t>check VBP</t>
  </si>
  <si>
    <t xml:space="preserve">H2 </t>
  </si>
  <si>
    <t>H2 bal</t>
  </si>
  <si>
    <t>Effluent VS</t>
  </si>
  <si>
    <t>L/L-day</t>
  </si>
  <si>
    <t>but must be L/L-hour?</t>
  </si>
  <si>
    <t>VBP R1 &amp; R2</t>
  </si>
  <si>
    <t>Rashig</t>
  </si>
  <si>
    <t>Ceramic</t>
  </si>
  <si>
    <t>Liquid recirc</t>
  </si>
  <si>
    <t>Gas recirc</t>
  </si>
  <si>
    <t>Tot VFA</t>
  </si>
  <si>
    <t>% VFA</t>
  </si>
  <si>
    <t>mL/min</t>
  </si>
  <si>
    <t>L/hour</t>
  </si>
  <si>
    <t>Check gas %</t>
  </si>
  <si>
    <t>VCO2</t>
  </si>
  <si>
    <t>SMP</t>
  </si>
  <si>
    <t>SMP from H2</t>
  </si>
  <si>
    <t>increase</t>
  </si>
  <si>
    <t>R2 - control</t>
  </si>
  <si>
    <t>R1 - H2</t>
  </si>
  <si>
    <t>H2 transfer</t>
  </si>
  <si>
    <t>pH/pCO2 profile</t>
  </si>
  <si>
    <t>Started at 2.79 g VS/L-day</t>
  </si>
  <si>
    <t>Standard results</t>
  </si>
  <si>
    <t>Table 1 &amp; 2</t>
  </si>
  <si>
    <t>g COD/L-day</t>
  </si>
  <si>
    <t>g COD/g VS</t>
  </si>
  <si>
    <t>From Table S1</t>
  </si>
  <si>
    <t>should be mL/L-day as in Fig S1?</t>
  </si>
  <si>
    <t>should be mL/L-day?</t>
  </si>
  <si>
    <t>i.e. has included H2 in VBP unlike Bassani</t>
  </si>
  <si>
    <t>i.e H2 bal in Table 1</t>
  </si>
  <si>
    <t>Hydrogenotrophic conv</t>
  </si>
  <si>
    <t>Headspace CO2</t>
  </si>
  <si>
    <t>%FM</t>
  </si>
  <si>
    <t>Fed every 24-48 hours</t>
  </si>
  <si>
    <t>H2/CO2 ratio</t>
  </si>
  <si>
    <t>i.e. H2 injected to daily-produced CO2</t>
  </si>
  <si>
    <t>or</t>
  </si>
  <si>
    <t>biogas</t>
  </si>
  <si>
    <t>check H2 added</t>
  </si>
  <si>
    <t>L/g VS</t>
  </si>
  <si>
    <t>In paper</t>
  </si>
  <si>
    <t>Assuming stoic ratio 4</t>
  </si>
  <si>
    <t>Compared to control</t>
  </si>
  <si>
    <t>Assuming stoic 4</t>
  </si>
  <si>
    <t>Normalised?</t>
  </si>
  <si>
    <t>increase in SMP</t>
  </si>
  <si>
    <t>Paper says rate 0.3-1.7 (or 0.4-1.7, or 0.3-1.4)</t>
  </si>
  <si>
    <t>based on paper values but where from?</t>
  </si>
  <si>
    <t>What is this? Based on headspace pressure measurement?</t>
  </si>
  <si>
    <t>Paper says rate 0.3-1.7 (or 0.4-1.7, or 0.3-1.4), but looks like 0.3-1.5. This is L/L digestate, not L/L CO2.</t>
  </si>
  <si>
    <t>HRT stage 1</t>
  </si>
  <si>
    <t>Stirring</t>
  </si>
  <si>
    <t>stirring</t>
  </si>
  <si>
    <t>CO2 conc</t>
  </si>
  <si>
    <t>H2 inj</t>
  </si>
  <si>
    <t>2 g VS/L-day</t>
  </si>
  <si>
    <t>Initial</t>
  </si>
  <si>
    <t>pCH4</t>
  </si>
  <si>
    <t>high</t>
  </si>
  <si>
    <t>low</t>
  </si>
  <si>
    <t>pH2</t>
  </si>
  <si>
    <t>bar</t>
  </si>
  <si>
    <t>%headsp</t>
  </si>
  <si>
    <r>
      <t xml:space="preserve">Alfaro, N., Fdz-Polanco, M., Fdz-Polanco, F. and Díaz, I., 2019. H2 addition through a submerged membrane for in-situ biogas upgrading in the anaerobic digestion of sewage sludge.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280</t>
    </r>
    <r>
      <rPr>
        <sz val="11"/>
        <color theme="1"/>
        <rFont val="Calibri"/>
        <family val="2"/>
        <scheme val="minor"/>
      </rPr>
      <t>, pp.1-8.</t>
    </r>
  </si>
  <si>
    <t>MER</t>
  </si>
  <si>
    <t>Supplementary material S1</t>
  </si>
  <si>
    <t>Supplementary material S2</t>
  </si>
  <si>
    <t>i.e. initial experimental conditions, in footnote to Table 1</t>
  </si>
  <si>
    <t>&lt;7%, OLR 0.5, inj 1</t>
  </si>
  <si>
    <t>&gt;25%, OLR 0.5, inj 1</t>
  </si>
  <si>
    <t>&lt;7%, OLR 1.5, inj 1</t>
  </si>
  <si>
    <t>&gt;25%, OLR 1.5, inj 1</t>
  </si>
  <si>
    <t>&gt;25% CO2, OLR2, inj 1</t>
  </si>
  <si>
    <t>&lt;7% CO2, OLR 2, inj 1</t>
  </si>
  <si>
    <t>&lt;7% CO2, OLR 2, inj 10</t>
  </si>
  <si>
    <t>Assume as seems to be little or no H2 left- but unclear if Ch4 and CO2 concs normalised</t>
  </si>
  <si>
    <t>based on estimated CO2</t>
  </si>
  <si>
    <t>VCo2</t>
  </si>
  <si>
    <t>eta H2</t>
  </si>
  <si>
    <t>H2 transfer rate</t>
  </si>
  <si>
    <t>kLa H2</t>
  </si>
  <si>
    <t>VS removal</t>
  </si>
  <si>
    <t>NH4-N</t>
  </si>
  <si>
    <t>per hour</t>
  </si>
  <si>
    <t>g/kg</t>
  </si>
  <si>
    <t>Set-up</t>
  </si>
  <si>
    <t>Stage 1</t>
  </si>
  <si>
    <t>Stage 2</t>
  </si>
  <si>
    <t>Stage 3</t>
  </si>
  <si>
    <t>R1 - no H2</t>
  </si>
  <si>
    <t>Hmmm</t>
  </si>
  <si>
    <t>Gas recirc rate</t>
  </si>
  <si>
    <t>H2 used in growth</t>
  </si>
  <si>
    <t>Paper gives 9, 14, 18?</t>
  </si>
  <si>
    <t>near enough? Paper gives 54.6, 86.2, 93.9</t>
  </si>
  <si>
    <t>H2 transferred</t>
  </si>
  <si>
    <t>%input/100</t>
  </si>
  <si>
    <t>%transf/100</t>
  </si>
  <si>
    <t>Paper gives 16, 16, 19%</t>
  </si>
  <si>
    <r>
      <t xml:space="preserve">Kim, S., Mostafa, A., Im, S., Lee, M.K., Kang, S., Na, J.G. and Kim, D.H., 2021. Production of high-calorific biogas from food waste by integrating two approaches: Autogenerative high-pressure and hydrogen injection. </t>
    </r>
    <r>
      <rPr>
        <i/>
        <sz val="11"/>
        <color theme="1"/>
        <rFont val="Calibri"/>
        <family val="2"/>
        <scheme val="minor"/>
      </rPr>
      <t>Water Research</t>
    </r>
    <r>
      <rPr>
        <sz val="11"/>
        <color theme="1"/>
        <rFont val="Calibri"/>
        <family val="2"/>
        <scheme val="minor"/>
      </rPr>
      <t xml:space="preserve">, </t>
    </r>
    <r>
      <rPr>
        <i/>
        <sz val="11"/>
        <color theme="1"/>
        <rFont val="Calibri"/>
        <family val="2"/>
        <scheme val="minor"/>
      </rPr>
      <t>194</t>
    </r>
    <r>
      <rPr>
        <sz val="11"/>
        <color theme="1"/>
        <rFont val="Calibri"/>
        <family val="2"/>
        <scheme val="minor"/>
      </rPr>
      <t>, p.116920.</t>
    </r>
  </si>
  <si>
    <t>Total org acid</t>
  </si>
  <si>
    <t>g COD/L</t>
  </si>
  <si>
    <t>P1</t>
  </si>
  <si>
    <t>P3</t>
  </si>
  <si>
    <t>P5</t>
  </si>
  <si>
    <t>P6</t>
  </si>
  <si>
    <t>P7</t>
  </si>
  <si>
    <t>Not included all pressure-only cases, only where comparable</t>
  </si>
  <si>
    <t>Pressure</t>
  </si>
  <si>
    <t>L/g COD fed</t>
  </si>
  <si>
    <t>P8 not steady state</t>
  </si>
  <si>
    <t>3 L vol, 40 mL/day</t>
  </si>
  <si>
    <t>Substrate conc</t>
  </si>
  <si>
    <t>given in paper</t>
  </si>
  <si>
    <t>daily feed</t>
  </si>
  <si>
    <t>FW with H2 and/or pressure in CSTR</t>
  </si>
  <si>
    <t xml:space="preserve">OLR </t>
  </si>
  <si>
    <t>VMP gas</t>
  </si>
  <si>
    <t>VMP diss</t>
  </si>
  <si>
    <t>From Supp Mats</t>
  </si>
  <si>
    <t>L/day</t>
  </si>
  <si>
    <t>gas</t>
  </si>
  <si>
    <t>Expected MER</t>
  </si>
  <si>
    <t>Actual MER</t>
  </si>
  <si>
    <t>H2 transf/input</t>
  </si>
  <si>
    <t>Actual/expected MER</t>
  </si>
  <si>
    <t>Actual CH4 prod/CO2 rem</t>
  </si>
  <si>
    <t>Actual CO2 removed</t>
  </si>
  <si>
    <t>Actual/expected CO2 rem</t>
  </si>
  <si>
    <t>check CO2 conv</t>
  </si>
  <si>
    <t>Actual CO2 rem</t>
  </si>
  <si>
    <t>Decreases because of CO2 dissolution</t>
  </si>
  <si>
    <t>rather low?</t>
  </si>
  <si>
    <t>Ex situ with enriched culture from mesophilic wastewater biosolids and thermophilic manure. Changes mixing speed.</t>
  </si>
  <si>
    <t>CS &amp; Whey, semi-cts, different diffusers and mixing speeds</t>
  </si>
  <si>
    <t>Thermo and granular but organic feed. Changed diffuser and gas recirc. Reduced H2 input to suit performance</t>
  </si>
  <si>
    <t>Real - pred</t>
  </si>
  <si>
    <t>Cattle manure, CSTR, 2-stage, meso and thermo</t>
  </si>
  <si>
    <r>
      <t xml:space="preserve">Yang, Z., Liu, Y., Zhang, J., Mao, K., Kurbonova, M., Liu, G., Zhang, R. and Wang, W., 2020. Improvement of biofuel recovery from food waste by integration of anaerobic digestion, digestate pyrolysis and syngas biomethanation under mesophilic and thermophilic conditions. </t>
    </r>
    <r>
      <rPr>
        <i/>
        <sz val="11"/>
        <color theme="1"/>
        <rFont val="Calibri"/>
        <family val="2"/>
        <scheme val="minor"/>
      </rPr>
      <t>Journal of Cleaner Production</t>
    </r>
    <r>
      <rPr>
        <sz val="11"/>
        <color theme="1"/>
        <rFont val="Calibri"/>
        <family val="2"/>
        <scheme val="minor"/>
      </rPr>
      <t xml:space="preserve">, </t>
    </r>
    <r>
      <rPr>
        <i/>
        <sz val="11"/>
        <color theme="1"/>
        <rFont val="Calibri"/>
        <family val="2"/>
        <scheme val="minor"/>
      </rPr>
      <t>256</t>
    </r>
    <r>
      <rPr>
        <sz val="11"/>
        <color theme="1"/>
        <rFont val="Calibri"/>
        <family val="2"/>
        <scheme val="minor"/>
      </rPr>
      <t>, p.120594.</t>
    </r>
  </si>
  <si>
    <t>CSTR AD of FW with added syngas from digestate pyrolysis.  One at 37 oC and one 55 oC.</t>
  </si>
  <si>
    <t>maybe %?</t>
  </si>
  <si>
    <t>Stage 4</t>
  </si>
  <si>
    <t>Stage 5</t>
  </si>
  <si>
    <t>Syngas</t>
  </si>
  <si>
    <t>H2/CO</t>
  </si>
  <si>
    <t>ratio 5/4  -  v/v?</t>
  </si>
  <si>
    <t>CO</t>
  </si>
  <si>
    <t>Meso</t>
  </si>
  <si>
    <t>Thermo</t>
  </si>
  <si>
    <t>MP</t>
  </si>
  <si>
    <t>&lt; 400</t>
  </si>
  <si>
    <t>checks with graph in Fig 1</t>
  </si>
  <si>
    <t>In Methods</t>
  </si>
  <si>
    <t>In text - use these</t>
  </si>
  <si>
    <t>VS destruction</t>
  </si>
  <si>
    <t>Final VS around</t>
  </si>
  <si>
    <t>guess</t>
  </si>
  <si>
    <t>dilute</t>
  </si>
  <si>
    <t>Final TCOD</t>
  </si>
  <si>
    <t>dilution =</t>
  </si>
  <si>
    <t>reasonable?</t>
  </si>
  <si>
    <t>ratio TCOD/VS</t>
  </si>
  <si>
    <t>Final TAN meso</t>
  </si>
  <si>
    <t>Final TAN thermo</t>
  </si>
  <si>
    <t>Cattle slurry, batch and semi-cts, with or w/o H2, thermo (55 oC)</t>
  </si>
  <si>
    <t>oC</t>
  </si>
  <si>
    <t>Temp and coeff</t>
  </si>
  <si>
    <t>Syngas input</t>
  </si>
  <si>
    <t>Some values estimated from graphs</t>
  </si>
  <si>
    <t>Syngas output</t>
  </si>
  <si>
    <t>says over 97%</t>
  </si>
  <si>
    <t xml:space="preserve">Expected MER </t>
  </si>
  <si>
    <t>Expected synMP</t>
  </si>
  <si>
    <t>Actual synMP</t>
  </si>
  <si>
    <t>Syngas trans/input</t>
  </si>
  <si>
    <t>Syngas transferred</t>
  </si>
  <si>
    <t>based on expected MER</t>
  </si>
  <si>
    <t>Values in italics chosen to fit reported MER in Table 2.  Other values given in text. Fits with Fig 1</t>
  </si>
  <si>
    <t>CH4 outputs in stage 3 and 4 chosen to fit</t>
  </si>
  <si>
    <t>near enough - slight variations as syngas volumes vary slightly in text</t>
  </si>
  <si>
    <t>Depends on actual CO2 values, not given</t>
  </si>
  <si>
    <t>says 2-3%, expected MER works best with 2 and 0.2%</t>
  </si>
  <si>
    <t>Not much variation in pH as pCO2 similar - but 2 temps</t>
  </si>
  <si>
    <t>TAN changes</t>
  </si>
  <si>
    <r>
      <t xml:space="preserve">Lebranchu, A.; Blanchard, F.; Fick, M.; Pacaud, S.; Olmos, E.; Delaunay, S. Pilot-scale biomethanation of cattle manure using dense membranes. </t>
    </r>
    <r>
      <rPr>
        <i/>
        <sz val="11"/>
        <color theme="1"/>
        <rFont val="Calibri"/>
        <family val="2"/>
        <scheme val="minor"/>
      </rPr>
      <t xml:space="preserve">Bioresource technology </t>
    </r>
    <r>
      <rPr>
        <b/>
        <sz val="11"/>
        <color theme="1"/>
        <rFont val="Calibri"/>
        <family val="2"/>
        <scheme val="minor"/>
      </rPr>
      <t>2019</t>
    </r>
    <r>
      <rPr>
        <sz val="11"/>
        <color theme="1"/>
        <rFont val="Calibri"/>
        <family val="2"/>
        <scheme val="minor"/>
      </rPr>
      <t xml:space="preserve">, </t>
    </r>
    <r>
      <rPr>
        <i/>
        <sz val="11"/>
        <color theme="1"/>
        <rFont val="Calibri"/>
        <family val="2"/>
        <scheme val="minor"/>
      </rPr>
      <t>284</t>
    </r>
    <r>
      <rPr>
        <sz val="11"/>
        <color theme="1"/>
        <rFont val="Calibri"/>
        <family val="2"/>
        <scheme val="minor"/>
      </rPr>
      <t>, 430-436.</t>
    </r>
  </si>
  <si>
    <t>total vol</t>
  </si>
  <si>
    <t>near enough</t>
  </si>
  <si>
    <t>Biogas</t>
  </si>
  <si>
    <t>CH4 max</t>
  </si>
  <si>
    <t>CO2 min</t>
  </si>
  <si>
    <t>CH4 stable</t>
  </si>
  <si>
    <t>CO2 stable</t>
  </si>
  <si>
    <t>Run for</t>
  </si>
  <si>
    <t>Cattle manure, 40 oC, 100 L wv reactor, H2 addition at 4 different rates (0, 12, 20, 31 mL/min)</t>
  </si>
  <si>
    <t>L/g VS-hour</t>
  </si>
  <si>
    <t>H2 addition</t>
  </si>
  <si>
    <t>* = Approx values from graph</t>
  </si>
  <si>
    <t>Biogas*</t>
  </si>
  <si>
    <t>what is this?</t>
  </si>
  <si>
    <t>CO2 % = -0.35 * QH2 + 42.4</t>
  </si>
  <si>
    <t>pH *</t>
  </si>
  <si>
    <t>then switched to mixing expts</t>
  </si>
  <si>
    <t>Mix expts</t>
  </si>
  <si>
    <t>b</t>
  </si>
  <si>
    <t>c</t>
  </si>
  <si>
    <t>d</t>
  </si>
  <si>
    <t>e</t>
  </si>
  <si>
    <t>f</t>
  </si>
  <si>
    <t>CO2 addition</t>
  </si>
  <si>
    <t>7.7 confirmed in text for 4, change in a-f</t>
  </si>
  <si>
    <t>CO2 out</t>
  </si>
  <si>
    <t>CH4 out</t>
  </si>
  <si>
    <t>H2 out</t>
  </si>
  <si>
    <t>m3</t>
  </si>
  <si>
    <t>Expt ref</t>
  </si>
  <si>
    <t>A-E</t>
  </si>
  <si>
    <t>F-L</t>
  </si>
  <si>
    <t>M-N</t>
  </si>
  <si>
    <t>m3/m3-day</t>
  </si>
  <si>
    <t>kg VS/m3-day</t>
  </si>
  <si>
    <t>VFA</t>
  </si>
  <si>
    <t>HRT grass</t>
  </si>
  <si>
    <t>Gas ret time</t>
  </si>
  <si>
    <t>SMYth</t>
  </si>
  <si>
    <t>SMYact</t>
  </si>
  <si>
    <t>CO2 to CH4</t>
  </si>
  <si>
    <t>tot</t>
  </si>
  <si>
    <t>Fos/Tac</t>
  </si>
  <si>
    <t>day</t>
  </si>
  <si>
    <t>hour</t>
  </si>
  <si>
    <t>L/kgVS</t>
  </si>
  <si>
    <t>BIS1</t>
  </si>
  <si>
    <t>BIS4</t>
  </si>
  <si>
    <t>feed</t>
  </si>
  <si>
    <t>TS/WW</t>
  </si>
  <si>
    <t>MFR</t>
  </si>
  <si>
    <t>MFR in text</t>
  </si>
  <si>
    <t>CH4 from CO2</t>
  </si>
  <si>
    <t>CH4 from grass</t>
  </si>
  <si>
    <t>in text</t>
  </si>
  <si>
    <t>near enough -  looks likeused MFR based on SMYact not SMYth</t>
  </si>
  <si>
    <t>according to paper</t>
  </si>
  <si>
    <t>by difference</t>
  </si>
  <si>
    <t>H2 needed</t>
  </si>
  <si>
    <t>don't understand…</t>
  </si>
  <si>
    <t>or OLR</t>
  </si>
  <si>
    <t>as in text</t>
  </si>
  <si>
    <t>H2 not shown as pulse additions</t>
  </si>
  <si>
    <t>Mainly microbial and pathway results. Same feedstock and conditions as 2017 but Varied H2 additions to give low or high CO2.</t>
  </si>
  <si>
    <t>Fed on digestate.  CSTR 38 oC. Pulse addition of increasing H2 to high stoic ratios (10:1 H2:CO2)</t>
  </si>
  <si>
    <t>BIS3 - H2</t>
  </si>
  <si>
    <t>BIS5 - H2</t>
  </si>
  <si>
    <t>BIS6 - H2</t>
  </si>
  <si>
    <t>Alk</t>
  </si>
  <si>
    <t>DOC</t>
  </si>
  <si>
    <t>H2 conv</t>
  </si>
  <si>
    <t>IV (73-103)</t>
  </si>
  <si>
    <t>II (31-60)</t>
  </si>
  <si>
    <t>I (1-30)</t>
  </si>
  <si>
    <r>
      <t xml:space="preserve">Wang, W., Xie, L., Luo, G., Zhou, Q. and Angelidaki, I., 2013. Performance and microbial community analysis of the anaerobic reactor with coke oven gas biomethanation and in situ biogas upgrading.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146</t>
    </r>
    <r>
      <rPr>
        <sz val="11"/>
        <color theme="1"/>
        <rFont val="Calibri"/>
        <family val="2"/>
        <scheme val="minor"/>
      </rPr>
      <t>, pp.234-239.</t>
    </r>
  </si>
  <si>
    <t>37 oC CSTR wastewater biosolids plus increasing simulated coke oven gas (SCOG)</t>
  </si>
  <si>
    <t>SCOG H2</t>
  </si>
  <si>
    <t>SCOG CO</t>
  </si>
  <si>
    <t>Feed TS</t>
  </si>
  <si>
    <t>Feed VS</t>
  </si>
  <si>
    <t>weak - mainly WAS?</t>
  </si>
  <si>
    <t>Says pH control at 8</t>
  </si>
  <si>
    <t>assume rest SCOG?</t>
  </si>
  <si>
    <t>assume zero as in paper</t>
  </si>
  <si>
    <t>SCOG inj</t>
  </si>
  <si>
    <t>SCOG input</t>
  </si>
  <si>
    <t>SCOG output</t>
  </si>
  <si>
    <t>SCOG transferred</t>
  </si>
  <si>
    <t>SCOG transf/input</t>
  </si>
  <si>
    <t>Assuming CO + H2O &gt; CO2 + H2</t>
  </si>
  <si>
    <t>Expected CO2 rem</t>
  </si>
  <si>
    <t>based on 92% H2 in SCOG x actual MER</t>
  </si>
  <si>
    <t>pH controlled</t>
  </si>
  <si>
    <t>Other</t>
  </si>
  <si>
    <t>CO input</t>
  </si>
  <si>
    <t>H</t>
  </si>
  <si>
    <t>C</t>
  </si>
  <si>
    <t>O</t>
  </si>
  <si>
    <t>M</t>
  </si>
  <si>
    <t>N</t>
  </si>
  <si>
    <r>
      <t xml:space="preserve">Weiser, M.E. (2007) Atomic Weights of the Elements 2005. J. Physical and Chemical Reference Data </t>
    </r>
    <r>
      <rPr>
        <b/>
        <sz val="9"/>
        <rFont val="Arial"/>
        <family val="2"/>
      </rPr>
      <t>36</t>
    </r>
    <r>
      <rPr>
        <sz val="9"/>
        <rFont val="Arial"/>
        <family val="2"/>
      </rPr>
      <t>, 485 (2007); doi:10.1063/1.2717223</t>
    </r>
  </si>
  <si>
    <t>Isobutyric</t>
  </si>
  <si>
    <t>Isovaleric</t>
  </si>
  <si>
    <t>Valeric</t>
  </si>
  <si>
    <t>Hexanoic</t>
  </si>
  <si>
    <t>Heptanoic</t>
  </si>
  <si>
    <t>Total</t>
  </si>
  <si>
    <t>Formic</t>
  </si>
  <si>
    <t>HCOOH</t>
  </si>
  <si>
    <t>CH2O2</t>
  </si>
  <si>
    <t>C2</t>
  </si>
  <si>
    <t>C3</t>
  </si>
  <si>
    <t>C4</t>
  </si>
  <si>
    <t>iC4</t>
  </si>
  <si>
    <t>C5</t>
  </si>
  <si>
    <t>iC5</t>
  </si>
  <si>
    <t>C6</t>
  </si>
  <si>
    <t>C7</t>
  </si>
  <si>
    <t>CH3COOH</t>
  </si>
  <si>
    <r>
      <t>C</t>
    </r>
    <r>
      <rPr>
        <vertAlign val="subscript"/>
        <sz val="10"/>
        <rFont val="Arial"/>
        <family val="2"/>
      </rPr>
      <t>2</t>
    </r>
    <r>
      <rPr>
        <sz val="10"/>
        <rFont val="Arial"/>
        <family val="2"/>
      </rPr>
      <t>H</t>
    </r>
    <r>
      <rPr>
        <vertAlign val="subscript"/>
        <sz val="10"/>
        <rFont val="Arial"/>
        <family val="2"/>
      </rPr>
      <t>4</t>
    </r>
    <r>
      <rPr>
        <sz val="10"/>
        <rFont val="Arial"/>
        <family val="2"/>
      </rPr>
      <t>O</t>
    </r>
    <r>
      <rPr>
        <vertAlign val="subscript"/>
        <sz val="10"/>
        <rFont val="Arial"/>
        <family val="2"/>
      </rPr>
      <t>2</t>
    </r>
  </si>
  <si>
    <r>
      <t>CH</t>
    </r>
    <r>
      <rPr>
        <vertAlign val="subscript"/>
        <sz val="10"/>
        <rFont val="Arial"/>
        <family val="2"/>
      </rPr>
      <t>3</t>
    </r>
    <r>
      <rPr>
        <sz val="10"/>
        <rFont val="Arial"/>
        <family val="2"/>
      </rPr>
      <t>CH</t>
    </r>
    <r>
      <rPr>
        <vertAlign val="subscript"/>
        <sz val="10"/>
        <rFont val="Arial"/>
        <family val="2"/>
      </rPr>
      <t>2</t>
    </r>
    <r>
      <rPr>
        <sz val="10"/>
        <rFont val="Arial"/>
        <family val="2"/>
      </rPr>
      <t>COOH</t>
    </r>
  </si>
  <si>
    <t>C3H6O2</t>
  </si>
  <si>
    <r>
      <t>CH</t>
    </r>
    <r>
      <rPr>
        <vertAlign val="subscript"/>
        <sz val="10"/>
        <rFont val="Arial"/>
        <family val="2"/>
      </rPr>
      <t>3</t>
    </r>
    <r>
      <rPr>
        <sz val="10"/>
        <rFont val="Arial"/>
        <family val="2"/>
      </rPr>
      <t>(CH</t>
    </r>
    <r>
      <rPr>
        <vertAlign val="subscript"/>
        <sz val="10"/>
        <rFont val="Arial"/>
        <family val="2"/>
      </rPr>
      <t>2</t>
    </r>
    <r>
      <rPr>
        <sz val="10"/>
        <rFont val="Arial"/>
        <family val="2"/>
      </rPr>
      <t>)</t>
    </r>
    <r>
      <rPr>
        <vertAlign val="subscript"/>
        <sz val="10"/>
        <rFont val="Arial"/>
        <family val="2"/>
      </rPr>
      <t>2</t>
    </r>
    <r>
      <rPr>
        <sz val="10"/>
        <rFont val="Arial"/>
        <family val="2"/>
      </rPr>
      <t>COOH.</t>
    </r>
  </si>
  <si>
    <r>
      <t>C</t>
    </r>
    <r>
      <rPr>
        <vertAlign val="subscript"/>
        <sz val="10"/>
        <rFont val="Arial"/>
        <family val="2"/>
      </rPr>
      <t>4</t>
    </r>
    <r>
      <rPr>
        <sz val="10"/>
        <rFont val="Arial"/>
        <family val="2"/>
      </rPr>
      <t>H</t>
    </r>
    <r>
      <rPr>
        <vertAlign val="subscript"/>
        <sz val="10"/>
        <rFont val="Arial"/>
        <family val="2"/>
      </rPr>
      <t>8</t>
    </r>
    <r>
      <rPr>
        <sz val="10"/>
        <rFont val="Arial"/>
        <family val="2"/>
      </rPr>
      <t>O</t>
    </r>
    <r>
      <rPr>
        <vertAlign val="subscript"/>
        <sz val="10"/>
        <rFont val="Arial"/>
        <family val="2"/>
      </rPr>
      <t>2</t>
    </r>
  </si>
  <si>
    <t>molar mass</t>
  </si>
  <si>
    <t>gCOD/gAcid</t>
  </si>
  <si>
    <t>As C2</t>
  </si>
  <si>
    <t>example</t>
  </si>
  <si>
    <t>VFA mg/L</t>
  </si>
  <si>
    <t>COD mg/L</t>
  </si>
  <si>
    <t>C2 equiv</t>
  </si>
  <si>
    <t>Enter values</t>
  </si>
  <si>
    <t>mM/L</t>
  </si>
  <si>
    <t>VFA Conversion</t>
  </si>
  <si>
    <t>At Wt</t>
  </si>
  <si>
    <t>No TAN</t>
  </si>
  <si>
    <t>TVFA only g/L though does give % Hac</t>
  </si>
  <si>
    <t>TVFA only g/L?</t>
  </si>
  <si>
    <t>Hac only</t>
  </si>
  <si>
    <t>SCOG - or water vapour, H2S etc?</t>
  </si>
  <si>
    <t>Generally negligible from Fig 2</t>
  </si>
  <si>
    <t>Sewage sludge, 35oc so important to get right. Varies gas recirc rate from 50 - 202 L/L-day</t>
  </si>
  <si>
    <t>Yes</t>
  </si>
  <si>
    <t>TVFA - other</t>
  </si>
  <si>
    <t>Temp</t>
  </si>
  <si>
    <t>Prop</t>
  </si>
  <si>
    <t>only measured 3 times, read off graph</t>
  </si>
  <si>
    <t>Phase 4</t>
  </si>
  <si>
    <t>check H2 output</t>
  </si>
  <si>
    <t>H2 utilization</t>
  </si>
  <si>
    <t>I</t>
  </si>
  <si>
    <t>II</t>
  </si>
  <si>
    <t>III</t>
  </si>
  <si>
    <t>IV</t>
  </si>
  <si>
    <t>VI</t>
  </si>
  <si>
    <t>VII</t>
  </si>
  <si>
    <t>VIII</t>
  </si>
  <si>
    <t>TVFA but approx breakdown for BIS4, 5 and 6 visible in Fig 3</t>
  </si>
  <si>
    <t>Grass to CH4</t>
  </si>
  <si>
    <t>could estimate for BIS4, 5 and 6</t>
  </si>
  <si>
    <t>based on figures in table - slight discrepancy</t>
  </si>
  <si>
    <t>okay, uses normalised CH4</t>
  </si>
  <si>
    <t>okay, uses normalised CO2</t>
  </si>
  <si>
    <r>
      <t xml:space="preserve">Wang, H., Zhu, X., Yan, Q., Zhang, Y. and Angelidaki, I., 2020. Microbial community response to ammonia levels in hydrogen assisted biogas production and upgrading process.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296</t>
    </r>
    <r>
      <rPr>
        <sz val="11"/>
        <color theme="1"/>
        <rFont val="Calibri"/>
        <family val="2"/>
        <scheme val="minor"/>
      </rPr>
      <t>, p.122276.</t>
    </r>
  </si>
  <si>
    <t>40 mL batch reactors initially fed on cattle slurry, 37 and 55 oC.  Varied levels of ammonia and H2</t>
  </si>
  <si>
    <t>Atm</t>
  </si>
  <si>
    <t>Amm</t>
  </si>
  <si>
    <t>initial pH</t>
  </si>
  <si>
    <t>Table 1 Design</t>
  </si>
  <si>
    <t>FAN</t>
  </si>
  <si>
    <t>g N/L</t>
  </si>
  <si>
    <t>No</t>
  </si>
  <si>
    <r>
      <t xml:space="preserve">Wahid, R., Mulat, D.G., Gaby, J.C. and Horn, S.J., 2019. Effects of H2: CO2 ratio and H2 supply fluctuation on methane content and microbial community composition during in-situ biological biogas upgrading. </t>
    </r>
    <r>
      <rPr>
        <i/>
        <sz val="11"/>
        <color theme="1"/>
        <rFont val="Calibri"/>
        <family val="2"/>
        <scheme val="minor"/>
      </rPr>
      <t>Biotechnology for biofuels</t>
    </r>
    <r>
      <rPr>
        <sz val="11"/>
        <color theme="1"/>
        <rFont val="Calibri"/>
        <family val="2"/>
        <scheme val="minor"/>
      </rPr>
      <t xml:space="preserve">, </t>
    </r>
    <r>
      <rPr>
        <i/>
        <sz val="11"/>
        <color theme="1"/>
        <rFont val="Calibri"/>
        <family val="2"/>
        <scheme val="minor"/>
      </rPr>
      <t>12</t>
    </r>
    <r>
      <rPr>
        <sz val="11"/>
        <color theme="1"/>
        <rFont val="Calibri"/>
        <family val="2"/>
        <scheme val="minor"/>
      </rPr>
      <t>(1), pp.1-15.</t>
    </r>
  </si>
  <si>
    <t>Glucose, 37 oC, 21 day HRT</t>
  </si>
  <si>
    <t>CH4 from H2</t>
  </si>
  <si>
    <t>H2 consumed</t>
  </si>
  <si>
    <t>gCOD/gVS</t>
  </si>
  <si>
    <t>% w/v</t>
  </si>
  <si>
    <t>L/g COD</t>
  </si>
  <si>
    <t>g VS/l-day</t>
  </si>
  <si>
    <t>Stable phase, day 57 on</t>
  </si>
  <si>
    <t>expected CH4</t>
  </si>
  <si>
    <t>expected CH4 from glucose</t>
  </si>
  <si>
    <t>mL/g</t>
  </si>
  <si>
    <t>g/day</t>
  </si>
  <si>
    <t>g COD/l-day</t>
  </si>
  <si>
    <r>
      <t xml:space="preserve">Wahid, R. and Horn, S.J., 2021. Impact of operational conditions on methane yield and microbial community composition during biological methanation in in situ and hybrid reactor systems. </t>
    </r>
    <r>
      <rPr>
        <i/>
        <sz val="11"/>
        <color theme="1"/>
        <rFont val="Calibri"/>
        <family val="2"/>
        <scheme val="minor"/>
      </rPr>
      <t>Biotechnology for Biofuels</t>
    </r>
    <r>
      <rPr>
        <sz val="11"/>
        <color theme="1"/>
        <rFont val="Calibri"/>
        <family val="2"/>
        <scheme val="minor"/>
      </rPr>
      <t xml:space="preserve">, </t>
    </r>
    <r>
      <rPr>
        <i/>
        <sz val="11"/>
        <color theme="1"/>
        <rFont val="Calibri"/>
        <family val="2"/>
        <scheme val="minor"/>
      </rPr>
      <t>14</t>
    </r>
    <r>
      <rPr>
        <sz val="11"/>
        <color theme="1"/>
        <rFont val="Calibri"/>
        <family val="2"/>
        <scheme val="minor"/>
      </rPr>
      <t>(1), pp.1-15.</t>
    </r>
  </si>
  <si>
    <t xml:space="preserve">Manure and cheese waste. </t>
  </si>
  <si>
    <t>Inoc and subs</t>
  </si>
  <si>
    <t>Cheese waste</t>
  </si>
  <si>
    <t>Mixed feed</t>
  </si>
  <si>
    <t>TS%</t>
  </si>
  <si>
    <t>VS%</t>
  </si>
  <si>
    <t>TAN (g/L)</t>
  </si>
  <si>
    <t>CW</t>
  </si>
  <si>
    <t>Design</t>
  </si>
  <si>
    <t>I (day 1-64)</t>
  </si>
  <si>
    <t>II(day 65-78)</t>
  </si>
  <si>
    <t>III(day 79-85)</t>
  </si>
  <si>
    <t>IV (day 93-113)</t>
  </si>
  <si>
    <t>V (day 114-140)</t>
  </si>
  <si>
    <t>VI (Day 141-172)</t>
  </si>
  <si>
    <t>hours</t>
  </si>
  <si>
    <t>CM/CW</t>
  </si>
  <si>
    <t>Feed freq</t>
  </si>
  <si>
    <t>H2:CO2</t>
  </si>
  <si>
    <t>Not great on 3 HRT but probably okay by end</t>
  </si>
  <si>
    <t>Day 86–92—same conditions as phase II</t>
  </si>
  <si>
    <t>CR</t>
  </si>
  <si>
    <t>CR control reactor; UR in situ upgrading reactor; CM cow manure; CW cheese waste</t>
  </si>
  <si>
    <t>Table 3</t>
  </si>
  <si>
    <t>Performance</t>
  </si>
  <si>
    <t>SBP</t>
  </si>
  <si>
    <t>H2 cons</t>
  </si>
  <si>
    <t>PA</t>
  </si>
  <si>
    <t>Phase</t>
  </si>
  <si>
    <t>UG</t>
  </si>
  <si>
    <t>only measured 3 times, values read off graph</t>
  </si>
  <si>
    <t>CO2 in Supp Mats only - blue estimated assuming no H2 as in text. H2 omitted as only in initial conditions.</t>
  </si>
  <si>
    <t>No TAN?</t>
  </si>
  <si>
    <t>Sum of acetate and propionate</t>
  </si>
  <si>
    <t>Hmm - estimate from total org acid?</t>
  </si>
  <si>
    <t>Low, &lt; 400 mg/L?</t>
  </si>
  <si>
    <t>says</t>
  </si>
  <si>
    <t>Gas</t>
  </si>
  <si>
    <t>Propionic/Acetic</t>
  </si>
  <si>
    <t>&lt; 1.4</t>
  </si>
  <si>
    <t>Feed at 9:1 CM:CW</t>
  </si>
  <si>
    <t>Feed at 8:2 CM:CW</t>
  </si>
  <si>
    <t>III (day 79-85)</t>
  </si>
  <si>
    <t>II (day 65-78)</t>
  </si>
  <si>
    <t>not good match with SMP - see below</t>
  </si>
  <si>
    <t>reported</t>
  </si>
  <si>
    <t>Approx biomass loading</t>
  </si>
  <si>
    <t>ABL</t>
  </si>
  <si>
    <t>kg feed VS/kg digestate VS-day</t>
  </si>
  <si>
    <t>No VS</t>
  </si>
  <si>
    <t>No VS in paper, but did measure at least some as mentions</t>
  </si>
  <si>
    <t>no VS</t>
  </si>
  <si>
    <t>Period 5-8</t>
  </si>
  <si>
    <r>
      <t xml:space="preserve">Wahid, R. and Horn, S.J., 2021. The effect of mixing rate and gas recirculation on biological CO2 methanation in two-stage CSTR systems. </t>
    </r>
    <r>
      <rPr>
        <i/>
        <sz val="11"/>
        <color theme="1"/>
        <rFont val="Calibri"/>
        <family val="2"/>
        <scheme val="minor"/>
      </rPr>
      <t>Biomass and Bioenergy</t>
    </r>
    <r>
      <rPr>
        <sz val="11"/>
        <color theme="1"/>
        <rFont val="Calibri"/>
        <family val="2"/>
        <scheme val="minor"/>
      </rPr>
      <t xml:space="preserve">, </t>
    </r>
    <r>
      <rPr>
        <i/>
        <sz val="11"/>
        <color theme="1"/>
        <rFont val="Calibri"/>
        <family val="2"/>
        <scheme val="minor"/>
      </rPr>
      <t>144</t>
    </r>
    <r>
      <rPr>
        <sz val="11"/>
        <color theme="1"/>
        <rFont val="Calibri"/>
        <family val="2"/>
        <scheme val="minor"/>
      </rPr>
      <t>, p.105918.</t>
    </r>
  </si>
  <si>
    <t>2-stage, 55 oc, CS feed, varies mixing and gas recirc</t>
  </si>
  <si>
    <t>PR</t>
  </si>
  <si>
    <t>SR</t>
  </si>
  <si>
    <t>inlet CH4</t>
  </si>
  <si>
    <t>inlet CO2</t>
  </si>
  <si>
    <t>inlet H2</t>
  </si>
  <si>
    <t>outlet CH4</t>
  </si>
  <si>
    <t>outlet CO2</t>
  </si>
  <si>
    <t>outlet H2</t>
  </si>
  <si>
    <t>Relative CH4 w/o H2</t>
  </si>
  <si>
    <t>H2consum</t>
  </si>
  <si>
    <t>L/kg VS</t>
  </si>
  <si>
    <t>3a</t>
  </si>
  <si>
    <t>3b</t>
  </si>
  <si>
    <t>3c</t>
  </si>
  <si>
    <t>3d</t>
  </si>
  <si>
    <t>3e</t>
  </si>
  <si>
    <t>OLR PR</t>
  </si>
  <si>
    <t>OLR SR</t>
  </si>
  <si>
    <t>Reactor WV</t>
  </si>
  <si>
    <t>Daily feed A</t>
  </si>
  <si>
    <t>Daily feed B</t>
  </si>
  <si>
    <t>HRT A</t>
  </si>
  <si>
    <t>HRT B</t>
  </si>
  <si>
    <t>Cattle slurry VS</t>
  </si>
  <si>
    <t>OLR A</t>
  </si>
  <si>
    <t>OLR B</t>
  </si>
  <si>
    <t>Reported OLR B PR</t>
  </si>
  <si>
    <t>Reported OLR B SR</t>
  </si>
  <si>
    <t>Sum</t>
  </si>
  <si>
    <t>average</t>
  </si>
  <si>
    <t>Inlet gas</t>
  </si>
  <si>
    <t>Outlet gas</t>
  </si>
  <si>
    <t>Normalised outlet CH4</t>
  </si>
  <si>
    <t>start day</t>
  </si>
  <si>
    <t>On graph</t>
  </si>
  <si>
    <t>TAN SR</t>
  </si>
  <si>
    <t>VS on graph but 2-stage</t>
  </si>
  <si>
    <t>Normalised inlet CH4</t>
  </si>
  <si>
    <t>Normalised inlet CO2</t>
  </si>
  <si>
    <t>estimated VBP of UR</t>
  </si>
  <si>
    <t>estimated outlet H2</t>
  </si>
  <si>
    <t>From text for phase 2</t>
  </si>
  <si>
    <t>SMP from feed</t>
  </si>
  <si>
    <t>&lt; 500</t>
  </si>
  <si>
    <t>approx - from text and figs</t>
  </si>
  <si>
    <t>Calc from VMP/SMP</t>
  </si>
  <si>
    <t>Acet + Prop/TVFA</t>
  </si>
  <si>
    <t>Prop/Acet</t>
  </si>
  <si>
    <t>Approx from text</t>
  </si>
  <si>
    <t>VMP from H2 (MER)</t>
  </si>
  <si>
    <t>Based on approx Acetic and Prop</t>
  </si>
  <si>
    <r>
      <t xml:space="preserve">Zhu, X., Cao, Q., Chen, Y., Sun, X., Liu, X. and Li, D., 2019. Effects of mixing and sodium formate on thermophilic in-situ biogas upgrading by H2 addition. </t>
    </r>
    <r>
      <rPr>
        <i/>
        <sz val="11"/>
        <color theme="1"/>
        <rFont val="Calibri"/>
        <family val="2"/>
        <scheme val="minor"/>
      </rPr>
      <t>Journal of Cleaner Production</t>
    </r>
    <r>
      <rPr>
        <sz val="11"/>
        <color theme="1"/>
        <rFont val="Calibri"/>
        <family val="2"/>
        <scheme val="minor"/>
      </rPr>
      <t xml:space="preserve">, </t>
    </r>
    <r>
      <rPr>
        <i/>
        <sz val="11"/>
        <color theme="1"/>
        <rFont val="Calibri"/>
        <family val="2"/>
        <scheme val="minor"/>
      </rPr>
      <t>216</t>
    </r>
    <r>
      <rPr>
        <sz val="11"/>
        <color theme="1"/>
        <rFont val="Calibri"/>
        <family val="2"/>
        <scheme val="minor"/>
      </rPr>
      <t>, pp.373-381.</t>
    </r>
  </si>
  <si>
    <t>11.2 L wv CSTR, pig manure, 55 oC. Varied amount of H2, mixing and sodium formete</t>
  </si>
  <si>
    <t>diluted with tap water</t>
  </si>
  <si>
    <t>manure</t>
  </si>
  <si>
    <t>water</t>
  </si>
  <si>
    <t>stage</t>
  </si>
  <si>
    <t>Tb</t>
  </si>
  <si>
    <t>Tc</t>
  </si>
  <si>
    <t>Td</t>
  </si>
  <si>
    <t>Te</t>
  </si>
  <si>
    <t>Ta</t>
  </si>
  <si>
    <t>end</t>
  </si>
  <si>
    <t>says 2 g VS/L-day so fine</t>
  </si>
  <si>
    <t>says 25, okay. Experiment a bit short</t>
  </si>
  <si>
    <t>mL/min-L</t>
  </si>
  <si>
    <t>Intermittent</t>
  </si>
  <si>
    <t>cts</t>
  </si>
  <si>
    <t>HCOONa</t>
  </si>
  <si>
    <t>g/L-day</t>
  </si>
  <si>
    <t>Stage</t>
  </si>
  <si>
    <t>Normalised CH4</t>
  </si>
  <si>
    <t>H2 consum</t>
  </si>
  <si>
    <t>BA</t>
  </si>
  <si>
    <t>mg CaCO3/L</t>
  </si>
  <si>
    <t>BA/TA</t>
  </si>
  <si>
    <t>Actually more like 24 but okay</t>
  </si>
  <si>
    <t>(Acetate + Prop)/TVFA</t>
  </si>
  <si>
    <t>Approx - based only on Hac and HPr</t>
  </si>
  <si>
    <t>CH4 output</t>
  </si>
  <si>
    <t>CO2 output</t>
  </si>
  <si>
    <t>unnormalised CH4</t>
  </si>
  <si>
    <t>unnormalised H2</t>
  </si>
  <si>
    <t>total output</t>
  </si>
  <si>
    <t>unnormalised CO2</t>
  </si>
  <si>
    <t>ratio H2 trans/extra CH4</t>
  </si>
  <si>
    <t>ratio H2 trans/CO2 rem</t>
  </si>
  <si>
    <t>Omitted as SCOG</t>
  </si>
  <si>
    <t>Omitted as syngas</t>
  </si>
  <si>
    <t>Not all checked as not clear?</t>
  </si>
  <si>
    <t>Not too bad</t>
  </si>
  <si>
    <t>Very approx, from Fig 3d</t>
  </si>
  <si>
    <r>
      <t xml:space="preserve">Zhu, X., Chen, L., Chen, Y., Cao, Q., Liu, X. and Li, D., 2019. Differences of methanogenesis between mesophilic and thermophilic in situ biogas-upgrading systems by hydrogen addition. </t>
    </r>
    <r>
      <rPr>
        <i/>
        <sz val="11"/>
        <color theme="1"/>
        <rFont val="Calibri"/>
        <family val="2"/>
        <scheme val="minor"/>
      </rPr>
      <t>Journal of Industrial Microbiology and Biotechnology</t>
    </r>
    <r>
      <rPr>
        <sz val="11"/>
        <color theme="1"/>
        <rFont val="Calibri"/>
        <family val="2"/>
        <scheme val="minor"/>
      </rPr>
      <t xml:space="preserve">, </t>
    </r>
    <r>
      <rPr>
        <i/>
        <sz val="11"/>
        <color theme="1"/>
        <rFont val="Calibri"/>
        <family val="2"/>
        <scheme val="minor"/>
      </rPr>
      <t>46</t>
    </r>
    <r>
      <rPr>
        <sz val="11"/>
        <color theme="1"/>
        <rFont val="Calibri"/>
        <family val="2"/>
        <scheme val="minor"/>
      </rPr>
      <t>(11), pp.1569-1581.</t>
    </r>
  </si>
  <si>
    <t>Pig manure, 35 and 55 oC</t>
  </si>
  <si>
    <t>Feedstock as in 2019a</t>
  </si>
  <si>
    <t>M meso, T thermo</t>
  </si>
  <si>
    <t>Ma</t>
  </si>
  <si>
    <t>Mb</t>
  </si>
  <si>
    <t>Ma &amp; Ta</t>
  </si>
  <si>
    <t>Mb &amp; Tb</t>
  </si>
  <si>
    <t>Mc &amp; Tc</t>
  </si>
  <si>
    <t>Md &amp; Td</t>
  </si>
  <si>
    <t>M, mL/min</t>
  </si>
  <si>
    <t>T, mL/min</t>
  </si>
  <si>
    <t>mode</t>
  </si>
  <si>
    <t>intermittent</t>
  </si>
  <si>
    <t>different unit to 2019a?</t>
  </si>
  <si>
    <t>M, mL/min-L</t>
  </si>
  <si>
    <t>Mc</t>
  </si>
  <si>
    <t>Md</t>
  </si>
  <si>
    <t>slightly re-organised from paper</t>
  </si>
  <si>
    <t>Same as 2019a but rounded</t>
  </si>
  <si>
    <t>Checks and calcs</t>
  </si>
  <si>
    <t>matches 2019a</t>
  </si>
  <si>
    <t>assuming reported value correct</t>
  </si>
  <si>
    <t>Thermo results same as in 2019a?</t>
  </si>
  <si>
    <r>
      <t xml:space="preserve">Zhu, X., Chen, L., Chen, Y., Cao, Q., Liu, X. and Li, D., 2020. Effect of H2 addition on the microbial community structure of a mesophilic anaerobic digestion system. </t>
    </r>
    <r>
      <rPr>
        <i/>
        <sz val="11"/>
        <color theme="1"/>
        <rFont val="Calibri"/>
        <family val="2"/>
        <scheme val="minor"/>
      </rPr>
      <t>Energy</t>
    </r>
    <r>
      <rPr>
        <sz val="11"/>
        <color theme="1"/>
        <rFont val="Calibri"/>
        <family val="2"/>
        <scheme val="minor"/>
      </rPr>
      <t xml:space="preserve">, </t>
    </r>
    <r>
      <rPr>
        <i/>
        <sz val="11"/>
        <color theme="1"/>
        <rFont val="Calibri"/>
        <family val="2"/>
        <scheme val="minor"/>
      </rPr>
      <t>198</t>
    </r>
    <r>
      <rPr>
        <sz val="11"/>
        <color theme="1"/>
        <rFont val="Calibri"/>
        <family val="2"/>
        <scheme val="minor"/>
      </rPr>
      <t>, p.117368.</t>
    </r>
  </si>
  <si>
    <t xml:space="preserve">Swine manure 35oC, 11.6 L, OL2, 2 4:1 CO2 </t>
  </si>
  <si>
    <t>i.e. same as 2019b, rounded from 2019a</t>
  </si>
  <si>
    <t>11.2 in 2019a and b</t>
  </si>
  <si>
    <t>LH</t>
  </si>
  <si>
    <t>Hha</t>
  </si>
  <si>
    <t>HHb</t>
  </si>
  <si>
    <t>TA</t>
  </si>
  <si>
    <t>only one DP</t>
  </si>
  <si>
    <t>ST = start, LH = low H2,  HH= high H2</t>
  </si>
  <si>
    <t>HAc and HPr only</t>
  </si>
  <si>
    <t>HHa</t>
  </si>
  <si>
    <r>
      <t xml:space="preserve">Corbellini, V., Kougias, P.G., Treu, L., Bassani, I., Malpei, F. and Angelidaki, I., 2018. Hybrid biogas upgrading in a two-stage thermophilic reactor. </t>
    </r>
    <r>
      <rPr>
        <i/>
        <sz val="11"/>
        <color theme="1"/>
        <rFont val="Calibri"/>
        <family val="2"/>
        <scheme val="minor"/>
      </rPr>
      <t>Energy Conversion and Management</t>
    </r>
    <r>
      <rPr>
        <sz val="11"/>
        <color theme="1"/>
        <rFont val="Calibri"/>
        <family val="2"/>
        <scheme val="minor"/>
      </rPr>
      <t xml:space="preserve">, </t>
    </r>
    <r>
      <rPr>
        <i/>
        <sz val="11"/>
        <color theme="1"/>
        <rFont val="Calibri"/>
        <family val="2"/>
        <scheme val="minor"/>
      </rPr>
      <t>168</t>
    </r>
    <r>
      <rPr>
        <sz val="11"/>
        <color theme="1"/>
        <rFont val="Calibri"/>
        <family val="2"/>
        <scheme val="minor"/>
      </rPr>
      <t>, pp.1-10.</t>
    </r>
  </si>
  <si>
    <t>Table 1 Substrates</t>
  </si>
  <si>
    <t>dilute CM</t>
  </si>
  <si>
    <t>Dilute PS</t>
  </si>
  <si>
    <t>Acidified digestate</t>
  </si>
  <si>
    <t>R1</t>
  </si>
  <si>
    <t>R1 HRT</t>
  </si>
  <si>
    <t>R1 wv</t>
  </si>
  <si>
    <t>R2 vw</t>
  </si>
  <si>
    <t>Dilution x/1</t>
  </si>
  <si>
    <t>Feed vol</t>
  </si>
  <si>
    <t>g VS./l-day</t>
  </si>
  <si>
    <t>Period</t>
  </si>
  <si>
    <t>OLR in text</t>
  </si>
  <si>
    <t>both stages in period 2?</t>
  </si>
  <si>
    <t>L/L-hour</t>
  </si>
  <si>
    <t>ml/L g VS</t>
  </si>
  <si>
    <r>
      <t xml:space="preserve">Corbellini, V., Catenacci, A. and Malpei, F., 2019. Hydrogenotrophic biogas upgrading integrated into WWTPs: enrichment strategy. </t>
    </r>
    <r>
      <rPr>
        <i/>
        <sz val="11"/>
        <color theme="1"/>
        <rFont val="Calibri"/>
        <family val="2"/>
        <scheme val="minor"/>
      </rPr>
      <t>Water Science and Technology</t>
    </r>
    <r>
      <rPr>
        <sz val="11"/>
        <color theme="1"/>
        <rFont val="Calibri"/>
        <family val="2"/>
        <scheme val="minor"/>
      </rPr>
      <t xml:space="preserve">, </t>
    </r>
    <r>
      <rPr>
        <i/>
        <sz val="11"/>
        <color theme="1"/>
        <rFont val="Calibri"/>
        <family val="2"/>
        <scheme val="minor"/>
      </rPr>
      <t>79</t>
    </r>
    <r>
      <rPr>
        <sz val="11"/>
        <color theme="1"/>
        <rFont val="Calibri"/>
        <family val="2"/>
        <scheme val="minor"/>
      </rPr>
      <t>(4), pp.759-770.</t>
    </r>
  </si>
  <si>
    <t>35 oC sewage sludge semi-cts (5 days/week)</t>
  </si>
  <si>
    <t>mg N / kg</t>
  </si>
  <si>
    <t>Sludge</t>
  </si>
  <si>
    <t>mg CH3COOH/L</t>
  </si>
  <si>
    <t>duration</t>
  </si>
  <si>
    <t>OLR tot</t>
  </si>
  <si>
    <t>H2/CO2 mol ratio</t>
  </si>
  <si>
    <t>R1 control</t>
  </si>
  <si>
    <t>R2 H2</t>
  </si>
  <si>
    <t>R3 H2</t>
  </si>
  <si>
    <t>H2 utilizn</t>
  </si>
  <si>
    <t>calculated</t>
  </si>
  <si>
    <t>according to paper - around 14.3</t>
  </si>
  <si>
    <t>1 dp only</t>
  </si>
  <si>
    <t>or should this be 196?</t>
  </si>
  <si>
    <r>
      <t xml:space="preserve">Corbellini, V., Feng, C., Bellucci, M., Catenacci, A., Stella, T., Espinoza-Tofalos, A. and Malpei, F., 2021. Performance Analysis and Microbial Community Evolution of In Situ Biological Biogas Upgrading with Increasing H2/CO2 Ratio. </t>
    </r>
    <r>
      <rPr>
        <i/>
        <sz val="11"/>
        <color theme="1"/>
        <rFont val="Calibri"/>
        <family val="2"/>
        <scheme val="minor"/>
      </rPr>
      <t>Archaea</t>
    </r>
    <r>
      <rPr>
        <sz val="11"/>
        <color theme="1"/>
        <rFont val="Calibri"/>
        <family val="2"/>
        <scheme val="minor"/>
      </rPr>
      <t xml:space="preserve">, </t>
    </r>
    <r>
      <rPr>
        <i/>
        <sz val="11"/>
        <color theme="1"/>
        <rFont val="Calibri"/>
        <family val="2"/>
        <scheme val="minor"/>
      </rPr>
      <t>2021</t>
    </r>
    <r>
      <rPr>
        <sz val="11"/>
        <color theme="1"/>
        <rFont val="Calibri"/>
        <family val="2"/>
        <scheme val="minor"/>
      </rPr>
      <t>.</t>
    </r>
  </si>
  <si>
    <t>according to paper - not scaled for 5-day a week feeding?</t>
  </si>
  <si>
    <t>g COD/kg</t>
  </si>
  <si>
    <t>mg COD/L</t>
  </si>
  <si>
    <t>Alkalinity</t>
  </si>
  <si>
    <t>From Table 4 - re-arranged</t>
  </si>
  <si>
    <t>g CaCO3/L</t>
  </si>
  <si>
    <t>2 CSTRs operated in duplicate, 36.7 oC, 11-L working vol, fed daily with 0.5 L so 22 day HRT. OLR 1.5 g COD/l-day. pH controlled. Increased H2/CO2 ratio</t>
  </si>
  <si>
    <t>Conversion</t>
  </si>
  <si>
    <t>First 77 days of Period I not shown</t>
  </si>
  <si>
    <t>Daily feed</t>
  </si>
  <si>
    <t>g COD/g H2</t>
  </si>
  <si>
    <t>as expected</t>
  </si>
  <si>
    <t>From VMP/VBP</t>
  </si>
  <si>
    <t>L/ g COD</t>
  </si>
  <si>
    <t>From VMP/OLR</t>
  </si>
  <si>
    <t>From MP</t>
  </si>
  <si>
    <t>Controlled - not given</t>
  </si>
  <si>
    <t>Zhu 2021</t>
  </si>
  <si>
    <r>
      <t xml:space="preserve">Zhu, X., Chen, Y., Liu, X. and Li, D., 2021. Effects of higher temperature on antibiotic resistance genes for in-situ biogas upgrading reactors with H2 addition.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764</t>
    </r>
    <r>
      <rPr>
        <sz val="11"/>
        <color theme="1"/>
        <rFont val="Calibri"/>
        <family val="2"/>
        <scheme val="minor"/>
      </rPr>
      <t>, p.144639.</t>
    </r>
  </si>
  <si>
    <t>Seems to be microbial data from previous studies.</t>
  </si>
  <si>
    <t>CM:VW</t>
  </si>
  <si>
    <t>RC</t>
  </si>
  <si>
    <t>HS</t>
  </si>
  <si>
    <t>HS+RC</t>
  </si>
  <si>
    <t>VFA/Alk</t>
  </si>
  <si>
    <t>C = control</t>
  </si>
  <si>
    <t>RC = recirc of gases</t>
  </si>
  <si>
    <t>HS = hydrogen</t>
  </si>
  <si>
    <t>HS+RC = H2 and recirc rates as above</t>
  </si>
  <si>
    <t>Total vol</t>
  </si>
  <si>
    <r>
      <t xml:space="preserve">Illi, L., Lecker, B., Lemmer, A., Müller, J. and Oechsner, H., 2021. Biological methanation of injected hydrogen in a two-stage anaerobic digestion process.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333</t>
    </r>
    <r>
      <rPr>
        <sz val="11"/>
        <color theme="1"/>
        <rFont val="Calibri"/>
        <family val="2"/>
        <scheme val="minor"/>
      </rPr>
      <t>, p.125126.</t>
    </r>
  </si>
  <si>
    <t>Anaerobic filters 37 oC fed on silage hydrolysate</t>
  </si>
  <si>
    <t>H2 conv rate</t>
  </si>
  <si>
    <t>MPR</t>
  </si>
  <si>
    <t>CODhyd</t>
  </si>
  <si>
    <t>CODeff</t>
  </si>
  <si>
    <t>COD conv</t>
  </si>
  <si>
    <t>m3 CH4/m3H2</t>
  </si>
  <si>
    <t>m3 CH4/m3 CO2</t>
  </si>
  <si>
    <t>L/kg COD-day(?)</t>
  </si>
  <si>
    <t>g/L (?)</t>
  </si>
  <si>
    <t>H2_0</t>
  </si>
  <si>
    <t>H2_2</t>
  </si>
  <si>
    <t>H2_4</t>
  </si>
  <si>
    <t>CO2 conv rate</t>
  </si>
  <si>
    <t>Absolute CH4 yield based on CO2</t>
  </si>
  <si>
    <t>Absolute CH4 yield based on H2</t>
  </si>
  <si>
    <t>H2 conversion rate</t>
  </si>
  <si>
    <t>CO2 conversion rate</t>
  </si>
  <si>
    <t>Methane production rate based on reactor volume</t>
  </si>
  <si>
    <t>Methane production rate (how different from above?)based on reactor liquid</t>
  </si>
  <si>
    <t>Methane production rate based on reactor liquid volume</t>
  </si>
  <si>
    <t>SMY</t>
  </si>
  <si>
    <t>MPRR</t>
  </si>
  <si>
    <t>MPRL = VMP</t>
  </si>
  <si>
    <t>chemical oxygen demand of the effluent</t>
  </si>
  <si>
    <t>Conversion COD: chemical oxygen demand of the hydrolysate</t>
  </si>
  <si>
    <t>Redox</t>
  </si>
  <si>
    <t>CO2:H2</t>
  </si>
  <si>
    <t>GHSV</t>
  </si>
  <si>
    <t>tau H</t>
  </si>
  <si>
    <t>tau G av</t>
  </si>
  <si>
    <t>Qg</t>
  </si>
  <si>
    <t>Qg ratio</t>
  </si>
  <si>
    <t>Liq recirc</t>
  </si>
  <si>
    <t>max CH4</t>
  </si>
  <si>
    <t>mV</t>
  </si>
  <si>
    <t>1/hour</t>
  </si>
  <si>
    <t>kg/m3-day</t>
  </si>
  <si>
    <t>m3/day</t>
  </si>
  <si>
    <t>m3/hour</t>
  </si>
  <si>
    <t>Calculated stoichiometry</t>
  </si>
  <si>
    <t>Gas hourly space velocity</t>
  </si>
  <si>
    <t>Mean retention time of the injected hydrogen</t>
  </si>
  <si>
    <t>Average gas retention time</t>
  </si>
  <si>
    <t>Circulation quantity</t>
  </si>
  <si>
    <t>Circulation ratio</t>
  </si>
  <si>
    <t>Hmm! Could normalise?</t>
  </si>
  <si>
    <t>Pretty good, based on OLR x SMP</t>
  </si>
  <si>
    <t>Based on reported VMP and %CH4</t>
  </si>
  <si>
    <t>Based on VBP and normalised %H2</t>
  </si>
  <si>
    <t>Based on VBP and normalised %CO2</t>
  </si>
  <si>
    <t>normalised H2</t>
  </si>
  <si>
    <t>Near enough</t>
  </si>
  <si>
    <t>Based on VBP and %H2 - use this?</t>
  </si>
  <si>
    <r>
      <t xml:space="preserve">Jing, Y., Campanaro, S., Kougias, P., Treu, L., Angelidaki, I., Zhang, S. and Luo, G., 2017. Anaerobic granular sludge for simultaneous biomethanation of synthetic wastewater and CO with focus on the identification of CO-converting microorganisms. </t>
    </r>
    <r>
      <rPr>
        <i/>
        <sz val="11"/>
        <color theme="1"/>
        <rFont val="Calibri"/>
        <family val="2"/>
        <scheme val="minor"/>
      </rPr>
      <t>Water research</t>
    </r>
    <r>
      <rPr>
        <sz val="11"/>
        <color theme="1"/>
        <rFont val="Calibri"/>
        <family val="2"/>
        <scheme val="minor"/>
      </rPr>
      <t xml:space="preserve">, </t>
    </r>
    <r>
      <rPr>
        <i/>
        <sz val="11"/>
        <color theme="1"/>
        <rFont val="Calibri"/>
        <family val="2"/>
        <scheme val="minor"/>
      </rPr>
      <t>126</t>
    </r>
    <r>
      <rPr>
        <sz val="11"/>
        <color theme="1"/>
        <rFont val="Calibri"/>
        <family val="2"/>
        <scheme val="minor"/>
      </rPr>
      <t>, pp.19-28.</t>
    </r>
  </si>
  <si>
    <t xml:space="preserve">2 UASB 1-L wv, 37 oC, one fed on glucose + BA medium, one also CO. Inflow rate initially 2.0, raised to 2.5 L/L-day. Injection plus recirc due to low CO solubility.  HRT 3 days, OLR 5 g COD/L-day. </t>
  </si>
  <si>
    <t>Phase (days)</t>
  </si>
  <si>
    <t>I (1-21)</t>
  </si>
  <si>
    <t>II (22-49)</t>
  </si>
  <si>
    <t>III (50-84)</t>
  </si>
  <si>
    <t>IV (85-147)</t>
  </si>
  <si>
    <t>CO flow</t>
  </si>
  <si>
    <t>CO consum</t>
  </si>
  <si>
    <t>measured/actual CH4 from CO</t>
  </si>
  <si>
    <t>COD removal</t>
  </si>
  <si>
    <t>Feed glucose</t>
  </si>
  <si>
    <t>Glucose COD</t>
  </si>
  <si>
    <t>g COD/g</t>
  </si>
  <si>
    <t>Paper says 5 - okay</t>
  </si>
  <si>
    <t>SMP from CO</t>
  </si>
  <si>
    <t>HAc only</t>
  </si>
  <si>
    <t>Not much variation</t>
  </si>
  <si>
    <t>CO output</t>
  </si>
  <si>
    <t>CO transferred</t>
  </si>
  <si>
    <t>Must be dissolved CO2</t>
  </si>
  <si>
    <t>inc CO</t>
  </si>
  <si>
    <t>VBP w/o CO</t>
  </si>
  <si>
    <t>Hmm!</t>
  </si>
  <si>
    <t>4CO + 2 H2O =&gt; CH4 + 3CO2</t>
  </si>
  <si>
    <t>CO to CH4</t>
  </si>
  <si>
    <t>CO to CO2</t>
  </si>
  <si>
    <t>Expected CO2 produced</t>
  </si>
  <si>
    <t>Actual CO2 produced</t>
  </si>
  <si>
    <t>Venturi testing, 1200 m3  thermophilic (52 oC) manure</t>
  </si>
  <si>
    <r>
      <t xml:space="preserve">Jensen, M.B., Kofoed, M.V.W., Fischer, K., Voigt, N.V., Agneessens, L.M., Batstone, D.J. and Ottosen, L.D.M., 2018. Venturi-type injection system as a potential H2 mass transfer technology for full-scale in situ biomethanation. </t>
    </r>
    <r>
      <rPr>
        <i/>
        <sz val="11"/>
        <color theme="1"/>
        <rFont val="Calibri"/>
        <family val="2"/>
        <scheme val="minor"/>
      </rPr>
      <t>Applied Energy</t>
    </r>
    <r>
      <rPr>
        <sz val="11"/>
        <color theme="1"/>
        <rFont val="Calibri"/>
        <family val="2"/>
        <scheme val="minor"/>
      </rPr>
      <t xml:space="preserve">, </t>
    </r>
    <r>
      <rPr>
        <i/>
        <sz val="11"/>
        <color theme="1"/>
        <rFont val="Calibri"/>
        <family val="2"/>
        <scheme val="minor"/>
      </rPr>
      <t>222</t>
    </r>
    <r>
      <rPr>
        <sz val="11"/>
        <color theme="1"/>
        <rFont val="Calibri"/>
        <family val="2"/>
        <scheme val="minor"/>
      </rPr>
      <t>, pp.840-846.</t>
    </r>
  </si>
  <si>
    <r>
      <t xml:space="preserve">Jensen, M.B., Jensen, B., Ottosen, L.D.M. and Kofoed, M.V.W., 2021. Integrating H2 injection and reactor mixing for low-cost H2 gas-liquid mass transfer in full-scale in situ biomethanation. </t>
    </r>
    <r>
      <rPr>
        <i/>
        <sz val="11"/>
        <color theme="1"/>
        <rFont val="Calibri"/>
        <family val="2"/>
        <scheme val="minor"/>
      </rPr>
      <t>Biochemical Engineering Journal</t>
    </r>
    <r>
      <rPr>
        <sz val="11"/>
        <color theme="1"/>
        <rFont val="Calibri"/>
        <family val="2"/>
        <scheme val="minor"/>
      </rPr>
      <t xml:space="preserve">, </t>
    </r>
    <r>
      <rPr>
        <i/>
        <sz val="11"/>
        <color theme="1"/>
        <rFont val="Calibri"/>
        <family val="2"/>
        <scheme val="minor"/>
      </rPr>
      <t>166</t>
    </r>
    <r>
      <rPr>
        <sz val="11"/>
        <color theme="1"/>
        <rFont val="Calibri"/>
        <family val="2"/>
        <scheme val="minor"/>
      </rPr>
      <t>, p.107869.</t>
    </r>
  </si>
  <si>
    <t>June</t>
  </si>
  <si>
    <t>July</t>
  </si>
  <si>
    <t>Sept</t>
  </si>
  <si>
    <t>Dec</t>
  </si>
  <si>
    <t>%VS</t>
  </si>
  <si>
    <t>liq manure</t>
  </si>
  <si>
    <t>Straw briq</t>
  </si>
  <si>
    <t>%WW</t>
  </si>
  <si>
    <t>Venturi testing, 1200 m3  thermophilic (52 oC) mixed agrowastes</t>
  </si>
  <si>
    <t>Are TS and pH feed or digestate?</t>
  </si>
  <si>
    <t>Biogas prod before expt</t>
  </si>
  <si>
    <t>CO2 prod before expt</t>
  </si>
  <si>
    <t>Headspace recirc</t>
  </si>
  <si>
    <t>Vol H2 added</t>
  </si>
  <si>
    <t>Expected CH4</t>
  </si>
  <si>
    <t>Total H2 cons</t>
  </si>
  <si>
    <t>L/m3-min</t>
  </si>
  <si>
    <t>Spec H2 cons during inj</t>
  </si>
  <si>
    <t>Cons/inj</t>
  </si>
  <si>
    <t>Initial cons with recirc</t>
  </si>
  <si>
    <t>Exp 1</t>
  </si>
  <si>
    <t>Exp 2</t>
  </si>
  <si>
    <t>Exp 3</t>
  </si>
  <si>
    <t>Exp 4</t>
  </si>
  <si>
    <t>Exp 5</t>
  </si>
  <si>
    <t>Exp 6</t>
  </si>
  <si>
    <t>Exp 7</t>
  </si>
  <si>
    <t>Y</t>
  </si>
  <si>
    <t>&lt;0.01</t>
  </si>
  <si>
    <t>VMP w/o H2</t>
  </si>
  <si>
    <t>Some values a bit high but variable load</t>
  </si>
  <si>
    <t>Expected CO2 if H2 conv</t>
  </si>
  <si>
    <t>Expected CH4 if H2 conv</t>
  </si>
  <si>
    <t>H2 cons/inj</t>
  </si>
  <si>
    <t>Operating time</t>
  </si>
  <si>
    <t>TN</t>
  </si>
  <si>
    <t>kLa</t>
  </si>
  <si>
    <t>Cattle manure and whey 55oC as one of 3 case studies modelled</t>
  </si>
  <si>
    <t>V CO2</t>
  </si>
  <si>
    <t>Mode</t>
  </si>
  <si>
    <t>SRT</t>
  </si>
  <si>
    <t>Flux</t>
  </si>
  <si>
    <t>H2 add</t>
  </si>
  <si>
    <t>Biogas recirc</t>
  </si>
  <si>
    <t>LMH</t>
  </si>
  <si>
    <t>L/week</t>
  </si>
  <si>
    <t>L/min</t>
  </si>
  <si>
    <t>CSTR</t>
  </si>
  <si>
    <t>AnMBR</t>
  </si>
  <si>
    <t xml:space="preserve">HFM AnMBR (occasionally operated as CSTR), 37 oC, Fed weekly on WAS, daily on H2. Fed weekly.  221 days, 7 phases, varied HRT and SRT.  </t>
  </si>
  <si>
    <t>day 137-158</t>
  </si>
  <si>
    <t>day 158-179</t>
  </si>
  <si>
    <t>day 179-221</t>
  </si>
  <si>
    <t>day 42-102</t>
  </si>
  <si>
    <t>day 102-123</t>
  </si>
  <si>
    <t>day 123-137</t>
  </si>
  <si>
    <t>day 0-42</t>
  </si>
  <si>
    <t>tCOD</t>
  </si>
  <si>
    <t>NH4</t>
  </si>
  <si>
    <t>VS degr</t>
  </si>
  <si>
    <t>No H2</t>
  </si>
  <si>
    <t>With H2</t>
  </si>
  <si>
    <r>
      <t xml:space="preserve">Lovato, G., Alvarado-Morales, M., Kovalovszki, A., Peprah, M., Kougias, P.G., Rodrigues, J.A.D. and Angelidaki, I., 2017. In-situ biogas upgrading process: modeling and simulations aspects.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245</t>
    </r>
    <r>
      <rPr>
        <sz val="11"/>
        <color theme="1"/>
        <rFont val="Calibri"/>
        <family val="2"/>
        <scheme val="minor"/>
      </rPr>
      <t>, pp.332-341.</t>
    </r>
  </si>
  <si>
    <t>From text</t>
  </si>
  <si>
    <t>with H2</t>
  </si>
  <si>
    <t>Assumed, from text</t>
  </si>
  <si>
    <t>HAc</t>
  </si>
  <si>
    <t>Says only acetic, 'No other VFAs were detected in any of the analyzed samples' but anyway low</t>
  </si>
  <si>
    <t>From Fig 4</t>
  </si>
  <si>
    <t>From text and Fig 4</t>
  </si>
  <si>
    <t>As AnMBR - but not run long enough to stabilise?</t>
  </si>
  <si>
    <t>mg N/L</t>
  </si>
  <si>
    <t>Approx, from Fig S2 in sup mats; but see Fig 3a</t>
  </si>
  <si>
    <r>
      <t xml:space="preserve">Tao, B., Alessi, A.M., Zhang, Y., Chong, J.P., Heaven, S. and Banks, C.J., 2019. Simultaneous biomethanisation of endogenous and imported CO2 in organically loaded anaerobic digesters. </t>
    </r>
    <r>
      <rPr>
        <i/>
        <sz val="11"/>
        <color theme="1"/>
        <rFont val="Calibri"/>
        <family val="2"/>
        <scheme val="minor"/>
      </rPr>
      <t>Applied Energy</t>
    </r>
    <r>
      <rPr>
        <sz val="11"/>
        <color theme="1"/>
        <rFont val="Calibri"/>
        <family val="2"/>
        <scheme val="minor"/>
      </rPr>
      <t xml:space="preserve">, </t>
    </r>
    <r>
      <rPr>
        <i/>
        <sz val="11"/>
        <color theme="1"/>
        <rFont val="Calibri"/>
        <family val="2"/>
        <scheme val="minor"/>
      </rPr>
      <t>247</t>
    </r>
    <r>
      <rPr>
        <sz val="11"/>
        <color theme="1"/>
        <rFont val="Calibri"/>
        <family val="2"/>
        <scheme val="minor"/>
      </rPr>
      <t>, pp.670-681.</t>
    </r>
  </si>
  <si>
    <t>D1&amp;2</t>
  </si>
  <si>
    <t>D3&amp;4</t>
  </si>
  <si>
    <t>D5&amp;6</t>
  </si>
  <si>
    <t>D7&amp;8</t>
  </si>
  <si>
    <t>Vh2theo</t>
  </si>
  <si>
    <t>37 oC 0.5 L wv, synthetic feed</t>
  </si>
  <si>
    <t>End of phase 1</t>
  </si>
  <si>
    <r>
      <t xml:space="preserve">Tao, B., Zhang, Y., Heaven, S. and Banks, C.J., 2020. Predicting pH rise as a control measure for integration of CO2 biomethanisation with anaerobic digestion. </t>
    </r>
    <r>
      <rPr>
        <i/>
        <sz val="11"/>
        <color theme="1"/>
        <rFont val="Calibri"/>
        <family val="2"/>
        <scheme val="minor"/>
      </rPr>
      <t>Applied Energy</t>
    </r>
    <r>
      <rPr>
        <sz val="11"/>
        <color theme="1"/>
        <rFont val="Calibri"/>
        <family val="2"/>
        <scheme val="minor"/>
      </rPr>
      <t xml:space="preserve">, </t>
    </r>
    <r>
      <rPr>
        <i/>
        <sz val="11"/>
        <color theme="1"/>
        <rFont val="Calibri"/>
        <family val="2"/>
        <scheme val="minor"/>
      </rPr>
      <t>277</t>
    </r>
    <r>
      <rPr>
        <sz val="11"/>
        <color theme="1"/>
        <rFont val="Calibri"/>
        <family val="2"/>
        <scheme val="minor"/>
      </rPr>
      <t>, p.115535.</t>
    </r>
  </si>
  <si>
    <t>Before H2 addition</t>
  </si>
  <si>
    <t>Test effect of TAN - severla substrates and experiments</t>
  </si>
  <si>
    <t>%ww</t>
  </si>
  <si>
    <t>g  N/L</t>
  </si>
  <si>
    <t>Synth N2</t>
  </si>
  <si>
    <t>g N/L at N3</t>
  </si>
  <si>
    <t>Trial 1 - synth feedstock</t>
  </si>
  <si>
    <t>H2 added</t>
  </si>
  <si>
    <t>R1&amp;2</t>
  </si>
  <si>
    <t>R3&amp;4</t>
  </si>
  <si>
    <t>R5&amp;6</t>
  </si>
  <si>
    <t>R7&amp;8</t>
  </si>
  <si>
    <t>Trial 2 - Malaby FW</t>
  </si>
  <si>
    <t>Trial 3 - Sewage sludge</t>
  </si>
  <si>
    <r>
      <t xml:space="preserve">Xu, H., Wang, K., Zhang, X., Gong, H., Xia, Y. and Holmes, D.E., 2020. Application of in-situ H2-assisted biogas upgrading in high-rate anaerobic wastewater treatment.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299</t>
    </r>
    <r>
      <rPr>
        <sz val="11"/>
        <color theme="1"/>
        <rFont val="Calibri"/>
        <family val="2"/>
        <scheme val="minor"/>
      </rPr>
      <t>, p.122598.</t>
    </r>
  </si>
  <si>
    <t>(reversed)</t>
  </si>
  <si>
    <t>48 to 80</t>
  </si>
  <si>
    <t>H2/CO2/CO/CH4</t>
  </si>
  <si>
    <t>100% H2</t>
  </si>
  <si>
    <t>85.8/1.3/5.1/7.8</t>
  </si>
  <si>
    <t>84.9/1.3/10/3.8</t>
  </si>
  <si>
    <t>H2 rate</t>
  </si>
  <si>
    <t>Total OLR</t>
  </si>
  <si>
    <t>1st stage  H2</t>
  </si>
  <si>
    <t>h2 removed</t>
  </si>
  <si>
    <t>1 + 1</t>
  </si>
  <si>
    <t>2-stage UASB, 35 oC, H2 fed with glucose-based synthetic wastewater to first stage. HRTs 1 day, working vols 0.7 L. Added H2 then syngas but little pH variation</t>
  </si>
  <si>
    <t>2 CSTR with wv 0.6 L at 55 oCfed on cattle manure and whey 1-L, HRT 15 days. Varied H2 rate</t>
  </si>
  <si>
    <t>I (day 1-45)</t>
  </si>
  <si>
    <t>II (day 46-91)</t>
  </si>
  <si>
    <t>III (day 92-134)</t>
  </si>
  <si>
    <t>Pump speed</t>
  </si>
  <si>
    <t>Gas pressure</t>
  </si>
  <si>
    <t>SMP VSadded</t>
  </si>
  <si>
    <t>SMP VSrem</t>
  </si>
  <si>
    <t>Eff VS</t>
  </si>
  <si>
    <t>TIC</t>
  </si>
  <si>
    <t>HPr</t>
  </si>
  <si>
    <t>Apparent SMP</t>
  </si>
  <si>
    <t>OLR check</t>
  </si>
  <si>
    <t>VMP from VBP and %CH4</t>
  </si>
  <si>
    <t>VMP from feed</t>
  </si>
  <si>
    <t>From paper</t>
  </si>
  <si>
    <t>Based on diff between reactor and control:not quite the same - which?</t>
  </si>
  <si>
    <t>Based on SMP - use this for best match to paper</t>
  </si>
  <si>
    <t>use this</t>
  </si>
  <si>
    <t>NB this is done by subtracting control as in other examples, not according to eqn in paper</t>
  </si>
  <si>
    <r>
      <t xml:space="preserve">Luo, G., Wang, W. and Angelidaki, I., 2013. Anaerobic digestion for simultaneous sewage sludge treatment and CO biomethanation: process performance and microbial ecology.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47</t>
    </r>
    <r>
      <rPr>
        <sz val="11"/>
        <color theme="1"/>
        <rFont val="Calibri"/>
        <family val="2"/>
        <scheme val="minor"/>
      </rPr>
      <t>(18), pp.10685-10693.</t>
    </r>
  </si>
  <si>
    <t>CO and sewage sludge</t>
  </si>
  <si>
    <t>protein</t>
  </si>
  <si>
    <t>Lipids</t>
  </si>
  <si>
    <t>I (day 1-35)</t>
  </si>
  <si>
    <t>II (day 36-67)</t>
  </si>
  <si>
    <t>III (day 68-99)</t>
  </si>
  <si>
    <t>IV (day 100-131)</t>
  </si>
  <si>
    <t>A</t>
  </si>
  <si>
    <t>B</t>
  </si>
  <si>
    <t>gas pressure</t>
  </si>
  <si>
    <t>Reactor</t>
  </si>
  <si>
    <t>mol/m2-day</t>
  </si>
  <si>
    <t>gas RT</t>
  </si>
  <si>
    <t>measured/expected CH4 from CO</t>
  </si>
  <si>
    <t>VS rem</t>
  </si>
  <si>
    <t>dissolved CO</t>
  </si>
  <si>
    <t>uM</t>
  </si>
  <si>
    <t>Carbohyd</t>
  </si>
  <si>
    <t>Okay, use table values</t>
  </si>
  <si>
    <t>Use this</t>
  </si>
  <si>
    <r>
      <t xml:space="preserve">Luo, G. and Angelidaki, I., 2013. Hollow fiber membrane based H2 diffusion for efficient in situ biogas upgrading in an anaerobic reactor. </t>
    </r>
    <r>
      <rPr>
        <i/>
        <sz val="11"/>
        <color theme="1"/>
        <rFont val="Calibri"/>
        <family val="2"/>
        <scheme val="minor"/>
      </rPr>
      <t>Applied microbiology and biotechnology</t>
    </r>
    <r>
      <rPr>
        <sz val="11"/>
        <color theme="1"/>
        <rFont val="Calibri"/>
        <family val="2"/>
        <scheme val="minor"/>
      </rPr>
      <t xml:space="preserve">, </t>
    </r>
    <r>
      <rPr>
        <i/>
        <sz val="11"/>
        <color theme="1"/>
        <rFont val="Calibri"/>
        <family val="2"/>
        <scheme val="minor"/>
      </rPr>
      <t>97</t>
    </r>
    <r>
      <rPr>
        <sz val="11"/>
        <color theme="1"/>
        <rFont val="Calibri"/>
        <family val="2"/>
        <scheme val="minor"/>
      </rPr>
      <t>(8), pp.3739-3744.</t>
    </r>
  </si>
  <si>
    <t>Manure:whey</t>
  </si>
  <si>
    <t>Start day</t>
  </si>
  <si>
    <t>37 oC</t>
  </si>
  <si>
    <t xml:space="preserve">Manure and cheese whey, 37 and 55 oC, </t>
  </si>
  <si>
    <t>55 oC</t>
  </si>
  <si>
    <t>H2/CO2 feed</t>
  </si>
  <si>
    <t>End (both)</t>
  </si>
  <si>
    <t>pre</t>
  </si>
  <si>
    <t>bioaug</t>
  </si>
  <si>
    <t>post</t>
  </si>
  <si>
    <t>Set up same as Treu et al 2019</t>
  </si>
  <si>
    <t>In text</t>
  </si>
  <si>
    <t>G/l</t>
  </si>
  <si>
    <t>&lt;1</t>
  </si>
  <si>
    <r>
      <t xml:space="preserve">Deschamps, L., Imatoukene, N., Lemaire, J., Mounkaila, M., Filali, R., Lopez, M. and Theoleyre, M.A., 2021. In-situ biogas upgrading by bio-methanation with an innovative membrane bioreactor combining sludge filtration and H2 injection.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337</t>
    </r>
    <r>
      <rPr>
        <sz val="11"/>
        <color theme="1"/>
        <rFont val="Calibri"/>
        <family val="2"/>
        <scheme val="minor"/>
      </rPr>
      <t>, p.125444.</t>
    </r>
  </si>
  <si>
    <t>Ethanol distillery wastewater, AnMBR, 37 oC</t>
  </si>
  <si>
    <t>sulphate</t>
  </si>
  <si>
    <t>COD2</t>
  </si>
  <si>
    <t>in paper</t>
  </si>
  <si>
    <t>hmm</t>
  </si>
  <si>
    <t>memb press</t>
  </si>
  <si>
    <t>COD rem</t>
  </si>
  <si>
    <t>TAC</t>
  </si>
  <si>
    <t>H2 consum yield</t>
  </si>
  <si>
    <t>H2 feed flowrate</t>
  </si>
  <si>
    <t>L/m2-hour</t>
  </si>
  <si>
    <t>Surface/vol</t>
  </si>
  <si>
    <t>m2/m3</t>
  </si>
  <si>
    <t>For %CH4 97.9 and H2 cons yield 99.2 .e. phase 3</t>
  </si>
  <si>
    <t>so</t>
  </si>
  <si>
    <t>m2</t>
  </si>
  <si>
    <t>VMP from H2</t>
  </si>
  <si>
    <t>Not very good</t>
  </si>
  <si>
    <t>okay if we correct Table 1 typo</t>
  </si>
  <si>
    <t>expected VMP from feed</t>
  </si>
  <si>
    <t>expected CO2 from feed</t>
  </si>
  <si>
    <t>Spec CO2</t>
  </si>
  <si>
    <t>Spec CO2 from H2</t>
  </si>
  <si>
    <t>CO2 rem by H2</t>
  </si>
  <si>
    <t>Controlled in phase 0?</t>
  </si>
  <si>
    <r>
      <t xml:space="preserve">Fontana, A., Kougias, P.G., Treu, L., Kovalovszki, A., Valle, G., Cappa, F., Morelli, L., Angelidaki, I. and Campanaro, S., 2018. Microbial activity response to hydrogen injection in thermophilic anaerobic digesters revealed by genome-centric metatranscriptomics. </t>
    </r>
    <r>
      <rPr>
        <i/>
        <sz val="11"/>
        <color theme="1"/>
        <rFont val="Calibri"/>
        <family val="2"/>
        <scheme val="minor"/>
      </rPr>
      <t>Microbiome</t>
    </r>
    <r>
      <rPr>
        <sz val="11"/>
        <color theme="1"/>
        <rFont val="Calibri"/>
        <family val="2"/>
        <scheme val="minor"/>
      </rPr>
      <t xml:space="preserve">, </t>
    </r>
    <r>
      <rPr>
        <i/>
        <sz val="11"/>
        <color theme="1"/>
        <rFont val="Calibri"/>
        <family val="2"/>
        <scheme val="minor"/>
      </rPr>
      <t>6</t>
    </r>
    <r>
      <rPr>
        <sz val="11"/>
        <color theme="1"/>
        <rFont val="Calibri"/>
        <family val="2"/>
        <scheme val="minor"/>
      </rPr>
      <t>(1), pp.1-14.</t>
    </r>
  </si>
  <si>
    <r>
      <t xml:space="preserve">Fontana, A., Campanaro, S., Treu, L., Kougias, P.G., Cappa, F., Morelli, L. and Angelidaki, I., 2018. Performance and genome-centric metagenomics of thermophilic single and two-stage anaerobic digesters treating cheese wastes. </t>
    </r>
    <r>
      <rPr>
        <i/>
        <sz val="11"/>
        <color theme="1"/>
        <rFont val="Calibri"/>
        <family val="2"/>
        <scheme val="minor"/>
      </rPr>
      <t>Water research</t>
    </r>
    <r>
      <rPr>
        <sz val="11"/>
        <color theme="1"/>
        <rFont val="Calibri"/>
        <family val="2"/>
        <scheme val="minor"/>
      </rPr>
      <t xml:space="preserve">, </t>
    </r>
    <r>
      <rPr>
        <i/>
        <sz val="11"/>
        <color theme="1"/>
        <rFont val="Calibri"/>
        <family val="2"/>
        <scheme val="minor"/>
      </rPr>
      <t>134</t>
    </r>
    <r>
      <rPr>
        <sz val="11"/>
        <color theme="1"/>
        <rFont val="Calibri"/>
        <family val="2"/>
        <scheme val="minor"/>
      </rPr>
      <t>, pp.181-191.</t>
    </r>
  </si>
  <si>
    <t>Whey poder</t>
  </si>
  <si>
    <t>Chhese powder</t>
  </si>
  <si>
    <t>Feed phase 1</t>
  </si>
  <si>
    <t>Feed phase 2</t>
  </si>
  <si>
    <t>Lactic</t>
  </si>
  <si>
    <t>Lipid</t>
  </si>
  <si>
    <t>Cheese whey and cheese waste, 55 oC, single and 2-stage. No H2 addition but similar to 2018b</t>
  </si>
  <si>
    <t>mL/g COD</t>
  </si>
  <si>
    <t>Single</t>
  </si>
  <si>
    <t>Two-stage</t>
  </si>
  <si>
    <t>Phase II with H2</t>
  </si>
  <si>
    <t>Phase I no H2</t>
  </si>
  <si>
    <t>inc H2</t>
  </si>
  <si>
    <t>NaOH applied in R1 and R3 when pH &lt; 6.5 (says sodium carb in other paper?)</t>
  </si>
  <si>
    <r>
      <t xml:space="preserve">Díaz, I., Fdz-Polanco, F., Mutsvene, B. and Fdz-Polanco, M., 2020. Effect of operating pressure on direct biomethane production from carbon dioxide and exogenous hydrogen in the anaerobic digestion of sewage sludge. </t>
    </r>
    <r>
      <rPr>
        <i/>
        <sz val="11"/>
        <color theme="1"/>
        <rFont val="Calibri"/>
        <family val="2"/>
        <scheme val="minor"/>
      </rPr>
      <t>Applied Energy</t>
    </r>
    <r>
      <rPr>
        <sz val="11"/>
        <color theme="1"/>
        <rFont val="Calibri"/>
        <family val="2"/>
        <scheme val="minor"/>
      </rPr>
      <t xml:space="preserve">, </t>
    </r>
    <r>
      <rPr>
        <i/>
        <sz val="11"/>
        <color theme="1"/>
        <rFont val="Calibri"/>
        <family val="2"/>
        <scheme val="minor"/>
      </rPr>
      <t>280</t>
    </r>
    <r>
      <rPr>
        <sz val="11"/>
        <color theme="1"/>
        <rFont val="Calibri"/>
        <family val="2"/>
        <scheme val="minor"/>
      </rPr>
      <t>, p.115915.</t>
    </r>
  </si>
  <si>
    <t>Time</t>
  </si>
  <si>
    <t>Abs pressure</t>
  </si>
  <si>
    <t>kPa</t>
  </si>
  <si>
    <t>Ave OLR</t>
  </si>
  <si>
    <t>V Co2</t>
  </si>
  <si>
    <t>Estimated - see paper</t>
  </si>
  <si>
    <t>Est VMP from org</t>
  </si>
  <si>
    <t>See paper</t>
  </si>
  <si>
    <t>Est SMP from org</t>
  </si>
  <si>
    <t>Est SMP from H2</t>
  </si>
  <si>
    <t>est VMP from org</t>
  </si>
  <si>
    <t>Need actual values</t>
  </si>
  <si>
    <r>
      <t xml:space="preserve">Hafuka, A., Fujino, S., Kimura, K., Oshita, K., Konakahara, N. and Takahashi, S., 2022. In-situ biogas upgrading with H2 addition in an anaerobic membrane bioreactor (AnMBR) digesting waste activated sludge. </t>
    </r>
    <r>
      <rPr>
        <i/>
        <sz val="11"/>
        <color theme="1"/>
        <rFont val="Calibri"/>
        <family val="2"/>
        <scheme val="minor"/>
      </rPr>
      <t>Science of The Total Environment</t>
    </r>
    <r>
      <rPr>
        <sz val="11"/>
        <color theme="1"/>
        <rFont val="Calibri"/>
        <family val="2"/>
        <scheme val="minor"/>
      </rPr>
      <t>, p.154573.</t>
    </r>
  </si>
  <si>
    <r>
      <t xml:space="preserve">Treu, L., Kougias, P.G., de Diego-Díaz, B., Campanaro, S., Bassani, I., Fernández-Rodríguez, J. and Angelidaki, I., 2018. Two-year microbial adaptation during hydrogen-mediated biogas upgrading process in a serial reactor configuration.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264</t>
    </r>
    <r>
      <rPr>
        <sz val="11"/>
        <color theme="1"/>
        <rFont val="Calibri"/>
        <family val="2"/>
        <scheme val="minor"/>
      </rPr>
      <t>, pp.140-147.</t>
    </r>
  </si>
  <si>
    <t xml:space="preserve">Cattle manure, 55 oC, 2-stage PR with 15-day HRT fed on CM, SR with 20-day HRT fed on digestate biogas and H2 so just about in situ (referred to as serial). </t>
  </si>
  <si>
    <t>Before H2</t>
  </si>
  <si>
    <t>2014 post H2</t>
  </si>
  <si>
    <t>2016 post H2</t>
  </si>
  <si>
    <t>SR only</t>
  </si>
  <si>
    <t>H2 = 4 x CO2</t>
  </si>
  <si>
    <t>i.e around 1 g VS/L-day</t>
  </si>
  <si>
    <t>Near enough?</t>
  </si>
  <si>
    <t>Based on 4 x CO2 as in text, then assuming const</t>
  </si>
  <si>
    <r>
      <t xml:space="preserve">Thapa, A., Park, J.G., Yang, H.M. and Jun, H.B., 2021. In-situ biogas upgrading in an anaerobic trickling filter bed reactor treating a thermal post-treated digestate. </t>
    </r>
    <r>
      <rPr>
        <i/>
        <sz val="11"/>
        <color theme="1"/>
        <rFont val="Calibri"/>
        <family val="2"/>
        <scheme val="minor"/>
      </rPr>
      <t>Journal of Environmental Chemical Engineering</t>
    </r>
    <r>
      <rPr>
        <sz val="11"/>
        <color theme="1"/>
        <rFont val="Calibri"/>
        <family val="2"/>
        <scheme val="minor"/>
      </rPr>
      <t xml:space="preserve">, </t>
    </r>
    <r>
      <rPr>
        <i/>
        <sz val="11"/>
        <color theme="1"/>
        <rFont val="Calibri"/>
        <family val="2"/>
        <scheme val="minor"/>
      </rPr>
      <t>9</t>
    </r>
    <r>
      <rPr>
        <sz val="11"/>
        <color theme="1"/>
        <rFont val="Calibri"/>
        <family val="2"/>
        <scheme val="minor"/>
      </rPr>
      <t>(6), p.106780.</t>
    </r>
  </si>
  <si>
    <t>?</t>
  </si>
  <si>
    <t>TCOD</t>
  </si>
  <si>
    <t>SCOD</t>
  </si>
  <si>
    <t>g CaCo3/L</t>
  </si>
  <si>
    <t>TPD at 120 oC 30 min</t>
  </si>
  <si>
    <t>I (day 0-50)</t>
  </si>
  <si>
    <t>II (day 51-85)</t>
  </si>
  <si>
    <t>III (Day 86 - 93)</t>
  </si>
  <si>
    <t>IV (day 94-120)</t>
  </si>
  <si>
    <t>Recirc</t>
  </si>
  <si>
    <t>2 and 1.4</t>
  </si>
  <si>
    <t>1.5 and 1.6</t>
  </si>
  <si>
    <t>Table 5</t>
  </si>
  <si>
    <t>etaH2</t>
  </si>
  <si>
    <t>Eff TCOD</t>
  </si>
  <si>
    <t>i.e. includes H2 in VBP</t>
  </si>
  <si>
    <t>Near enough - 4 x CO2</t>
  </si>
  <si>
    <t>not the same as eta H2…</t>
  </si>
  <si>
    <t xml:space="preserve">Feed thermally treated (120 oC for 30 min) FW digestate plus untreated as control. Trickle bed reactor, 37 oC.  1.1 L wv, 2 kg COD/m3-day, HRT 10 days based on liquid vol(?). Phase 1 (day 0-50) no H2, phase 2  (day 51-85) H2 according to VO2 in phase 1. Phase 3 inc recirc rate, phase 4 altered H2 flow </t>
  </si>
  <si>
    <t>Liquid reservoir vol</t>
  </si>
  <si>
    <t>Packed bed vol</t>
  </si>
  <si>
    <t>Based on liquid res vol</t>
  </si>
  <si>
    <t>After pH reached 8.45, the pH was maintained in the reactor by the addition 1 M HCl</t>
  </si>
  <si>
    <t>Says 2 g COD/L-day</t>
  </si>
  <si>
    <t>calculated - use this?</t>
  </si>
  <si>
    <t>Uncorrected pH</t>
  </si>
  <si>
    <t>says pH dropped to 8.05 on day 58 but increased again to 8.45 on day 68</t>
  </si>
  <si>
    <t>Table S1</t>
  </si>
  <si>
    <t>mass bal</t>
  </si>
  <si>
    <t>Measured CH4</t>
  </si>
  <si>
    <t>Exp CH4</t>
  </si>
  <si>
    <t>Recovery</t>
  </si>
  <si>
    <t>These are not the same as in T5</t>
  </si>
  <si>
    <t>Use these from T5?</t>
  </si>
  <si>
    <t>These are not the same as in TS1</t>
  </si>
  <si>
    <t>Substrate</t>
  </si>
  <si>
    <t>Main paper</t>
  </si>
  <si>
    <t>Re-ordered</t>
  </si>
  <si>
    <t>Re-ordered columns to give increasing OLR and same sequence of high/low CO2 etc</t>
  </si>
  <si>
    <t>no</t>
  </si>
  <si>
    <t>Ammonium</t>
  </si>
  <si>
    <t>g NH4-N/L</t>
  </si>
  <si>
    <t>days based on solids etc - use 15</t>
  </si>
  <si>
    <t>one DP on average gas values</t>
  </si>
  <si>
    <t>Not given</t>
  </si>
  <si>
    <t>diluted VS</t>
  </si>
  <si>
    <t>okay - says 15</t>
  </si>
  <si>
    <t>Magnetic stirrer</t>
  </si>
  <si>
    <t>Type</t>
  </si>
  <si>
    <t>2-stage CSTR</t>
  </si>
  <si>
    <t>Check VBP</t>
  </si>
  <si>
    <t>Check CO2</t>
  </si>
  <si>
    <t>Exp MER</t>
  </si>
  <si>
    <t>Stirred</t>
  </si>
  <si>
    <t>Injection</t>
  </si>
  <si>
    <t>Stainless steel diffuser</t>
  </si>
  <si>
    <t>Injector</t>
  </si>
  <si>
    <t>Continuous</t>
  </si>
  <si>
    <t>approx</t>
  </si>
  <si>
    <t>PR working vol</t>
  </si>
  <si>
    <t>PR HRT</t>
  </si>
  <si>
    <t>SR working vol</t>
  </si>
  <si>
    <t>SR HRT</t>
  </si>
  <si>
    <t>Helical</t>
  </si>
  <si>
    <t>Silicone tube</t>
  </si>
  <si>
    <t>Impeller</t>
  </si>
  <si>
    <t>From reported values of VMP and SMP</t>
  </si>
  <si>
    <t>not given in text?</t>
  </si>
  <si>
    <t>calculated from eqn in text</t>
  </si>
  <si>
    <t>From Fig 4 CH4 % = 0.35*QH2 + 57.4 for first exts</t>
  </si>
  <si>
    <t>or g COD/L-day</t>
  </si>
  <si>
    <t>or L/g COD</t>
  </si>
  <si>
    <t>fairly near to above values for H2 consumed?</t>
  </si>
  <si>
    <t>not quite the same as Relative CH4</t>
  </si>
  <si>
    <t>H2 inputs</t>
  </si>
  <si>
    <t>calc from reported VMP/SMP</t>
  </si>
  <si>
    <t>calc from above reported SMP</t>
  </si>
  <si>
    <t>recalc for diff OLR?</t>
  </si>
  <si>
    <t>near enough to Relative CH4?</t>
  </si>
  <si>
    <t>Mechanical</t>
  </si>
  <si>
    <t>Distributor</t>
  </si>
  <si>
    <t>some H2</t>
  </si>
  <si>
    <t>Approx - based only on HAc and HPr</t>
  </si>
  <si>
    <t>With H2+CO2</t>
  </si>
  <si>
    <t xml:space="preserve">Magnetic </t>
  </si>
  <si>
    <t>150 and 300</t>
  </si>
  <si>
    <t>HFM</t>
  </si>
  <si>
    <t>See accompanying file for original data</t>
  </si>
  <si>
    <t>Using our values - whole system OLR</t>
  </si>
  <si>
    <t>best SMP etc</t>
  </si>
  <si>
    <t>best %CH4</t>
  </si>
  <si>
    <t>As reported</t>
  </si>
  <si>
    <t>CH4 reported</t>
  </si>
  <si>
    <t>CH4 SMP/SBP</t>
  </si>
  <si>
    <t>So assume SBP doe s not include H2</t>
  </si>
  <si>
    <t>SBP calc from SMP and %CH4</t>
  </si>
  <si>
    <t>CH4 normalised</t>
  </si>
  <si>
    <t>CO2 reported</t>
  </si>
  <si>
    <t>H2 reported</t>
  </si>
  <si>
    <t>Not perfect but better</t>
  </si>
  <si>
    <t>CO2 normalised</t>
  </si>
  <si>
    <t>SBP from SMP and normalised %CH4</t>
  </si>
  <si>
    <t xml:space="preserve">CO2 </t>
  </si>
  <si>
    <t>okay, use</t>
  </si>
  <si>
    <t>CH4 + CO2</t>
  </si>
  <si>
    <t>Something wrong with SBP pr SMP in VI?</t>
  </si>
  <si>
    <t>what is this a % of?</t>
  </si>
  <si>
    <t>check H2</t>
  </si>
  <si>
    <t>based on reported SBP x calculated OLR, no H2</t>
  </si>
  <si>
    <t>H2 trans VS basis</t>
  </si>
  <si>
    <t>H2 input VS basis</t>
  </si>
  <si>
    <t>H2 trans/H2 input</t>
  </si>
  <si>
    <t>Feed input</t>
  </si>
  <si>
    <t>L/feed</t>
  </si>
  <si>
    <t>or with dilution</t>
  </si>
  <si>
    <t>CM only 20% to stabilise digester</t>
  </si>
  <si>
    <t>Summed values</t>
  </si>
  <si>
    <t>From model and text</t>
  </si>
  <si>
    <t>Says instability days 85-100 due to problems with GC, so avoid these results</t>
  </si>
  <si>
    <t>Needs conversion, and model too high</t>
  </si>
  <si>
    <t>From data as model too high</t>
  </si>
  <si>
    <t>Could change periods over which averages taken</t>
  </si>
  <si>
    <t>From exptl data - could change period over which averages taken</t>
  </si>
  <si>
    <t>not as good - try other dates?</t>
  </si>
  <si>
    <t>v/v or w/w</t>
  </si>
  <si>
    <t>from SBP and norm CH4</t>
  </si>
  <si>
    <t>SBP reported</t>
  </si>
  <si>
    <t>SMP reported</t>
  </si>
  <si>
    <t>If feedstock TAN is 1.25 g/L and digestate TAN is around 2.5 g/L then unlikely feedstock is diluted?</t>
  </si>
  <si>
    <t>okay, use it</t>
  </si>
  <si>
    <t>okay, use when normalised req'd i.e. with SBP and VBP</t>
  </si>
  <si>
    <t>i.e. not normalised</t>
  </si>
  <si>
    <t>Small inconsistency with above but not too bad</t>
  </si>
  <si>
    <t>okay - agrees with volume basis</t>
  </si>
  <si>
    <t>Same as on VS basis so looks okay</t>
  </si>
  <si>
    <t>CM + whey</t>
  </si>
  <si>
    <t>Whey + CM</t>
  </si>
  <si>
    <t>Not quite clear if 2019a and 2020 are actually same data as each other  - it is very close but also small diffs e.g. wv</t>
  </si>
  <si>
    <t>based on OLR x SMP</t>
  </si>
  <si>
    <t>VMP reported</t>
  </si>
  <si>
    <t xml:space="preserve">okay, use </t>
  </si>
  <si>
    <t>VMP check</t>
  </si>
  <si>
    <t>L/l-day</t>
  </si>
  <si>
    <t>Different operating days from 2019 so must be different data</t>
  </si>
  <si>
    <t>CM + Whey</t>
  </si>
  <si>
    <r>
      <t xml:space="preserve">Treu, L., Tsapekos, P., Peprah, M., Campanaro, S., Giacomini, A., Corich, V., Kougias, P.G. and Angelidaki, I., 2019. Microbial profiling during anaerobic digestion of cheese whey in reactors operated at different conditions. </t>
    </r>
    <r>
      <rPr>
        <i/>
        <sz val="11"/>
        <color theme="1"/>
        <rFont val="Calibri"/>
        <family val="2"/>
        <scheme val="minor"/>
      </rPr>
      <t>Bioresource technology</t>
    </r>
    <r>
      <rPr>
        <sz val="11"/>
        <color theme="1"/>
        <rFont val="Calibri"/>
        <family val="2"/>
        <scheme val="minor"/>
      </rPr>
      <t xml:space="preserve">, </t>
    </r>
    <r>
      <rPr>
        <i/>
        <sz val="11"/>
        <color theme="1"/>
        <rFont val="Calibri"/>
        <family val="2"/>
        <scheme val="minor"/>
      </rPr>
      <t>275</t>
    </r>
    <r>
      <rPr>
        <sz val="11"/>
        <color theme="1"/>
        <rFont val="Calibri"/>
        <family val="2"/>
        <scheme val="minor"/>
      </rPr>
      <t>, pp.375-385.</t>
    </r>
  </si>
  <si>
    <t>Meso inoc</t>
  </si>
  <si>
    <t>Thermo inoc</t>
  </si>
  <si>
    <t>Cheese whey</t>
  </si>
  <si>
    <t>Prot</t>
  </si>
  <si>
    <t>Thermo reduced from 3.6 as unstable</t>
  </si>
  <si>
    <t>Magnetic</t>
  </si>
  <si>
    <t xml:space="preserve">Ceramic </t>
  </si>
  <si>
    <t>M-I</t>
  </si>
  <si>
    <t>M-II</t>
  </si>
  <si>
    <t>M-III</t>
  </si>
  <si>
    <t>Whey + buffer</t>
  </si>
  <si>
    <t>diluted Whey</t>
  </si>
  <si>
    <t>From graph and text, at steady state, for comparison with Palu</t>
  </si>
  <si>
    <t>w/oB</t>
  </si>
  <si>
    <t>wB</t>
  </si>
  <si>
    <t>Co-D</t>
  </si>
  <si>
    <t>Whey + CM + H2</t>
  </si>
  <si>
    <t>PW InPW</t>
  </si>
  <si>
    <t>DW InDW Rein</t>
  </si>
  <si>
    <t>sampling</t>
  </si>
  <si>
    <t>Whey + H2with H2</t>
  </si>
  <si>
    <t>Whey + H2</t>
  </si>
  <si>
    <t>Conditions</t>
  </si>
  <si>
    <t>Mesophilic reactor</t>
  </si>
  <si>
    <t>w/o B</t>
  </si>
  <si>
    <t>Co-d</t>
  </si>
  <si>
    <t>Analyticals</t>
  </si>
  <si>
    <t>woB a</t>
  </si>
  <si>
    <t>woB b</t>
  </si>
  <si>
    <t>woB c</t>
  </si>
  <si>
    <t>wB a</t>
  </si>
  <si>
    <t>wB b</t>
  </si>
  <si>
    <t>wB c</t>
  </si>
  <si>
    <t>H2 a</t>
  </si>
  <si>
    <t>H2 b</t>
  </si>
  <si>
    <t>H2 c</t>
  </si>
  <si>
    <t>Cod a</t>
  </si>
  <si>
    <t>Cod b</t>
  </si>
  <si>
    <t>Cod c</t>
  </si>
  <si>
    <t>CH4 rate</t>
  </si>
  <si>
    <t>CH4 content</t>
  </si>
  <si>
    <t>H2 content</t>
  </si>
  <si>
    <t>Isobutyrate</t>
  </si>
  <si>
    <t>Isovalerate</t>
  </si>
  <si>
    <t>Thermophilic reactor</t>
  </si>
  <si>
    <t>PW</t>
  </si>
  <si>
    <t>InPW</t>
  </si>
  <si>
    <t>DW</t>
  </si>
  <si>
    <t>InDW</t>
  </si>
  <si>
    <t>Re-in</t>
  </si>
  <si>
    <t>PW a</t>
  </si>
  <si>
    <t>PW b</t>
  </si>
  <si>
    <t>PW c</t>
  </si>
  <si>
    <t>InPW a</t>
  </si>
  <si>
    <t>InPW b</t>
  </si>
  <si>
    <t>InPW c</t>
  </si>
  <si>
    <t>DW a</t>
  </si>
  <si>
    <t>DW b</t>
  </si>
  <si>
    <t>DW c</t>
  </si>
  <si>
    <t>InDW a</t>
  </si>
  <si>
    <t>InDW b</t>
  </si>
  <si>
    <t>InDW c</t>
  </si>
  <si>
    <t xml:space="preserve">Rein a </t>
  </si>
  <si>
    <t>Rein b</t>
  </si>
  <si>
    <t>Rein c</t>
  </si>
  <si>
    <t>VFA molar</t>
  </si>
  <si>
    <t>Assuming 2:1 H2:CO2 as in text - but might be constant based on initial value?</t>
  </si>
  <si>
    <t>based on VMP and assuming CH4 + CO2 not normalised</t>
  </si>
  <si>
    <t>Biogas (mL)</t>
  </si>
  <si>
    <t>CH4 Content, %</t>
  </si>
  <si>
    <t>CH4 (mL)</t>
  </si>
  <si>
    <t>CH4 rate (mL/L*day)</t>
  </si>
  <si>
    <t>Mesophilic</t>
  </si>
  <si>
    <t>Thermophilic</t>
  </si>
  <si>
    <t>day 41-78</t>
  </si>
  <si>
    <t>day 0-37</t>
  </si>
  <si>
    <t>day 0-23</t>
  </si>
  <si>
    <t>day 44-54</t>
  </si>
  <si>
    <t>day 57-78</t>
  </si>
  <si>
    <t>Averages</t>
  </si>
  <si>
    <t>Last 10 days</t>
  </si>
  <si>
    <t>Approx CO2</t>
  </si>
  <si>
    <t>Approx H2</t>
  </si>
  <si>
    <t>From graph - could improve</t>
  </si>
  <si>
    <t>norm CH4</t>
  </si>
  <si>
    <t>Calc CH4 from biogas and %CH4</t>
  </si>
  <si>
    <t>real/calc</t>
  </si>
  <si>
    <t>So VBP includes H2</t>
  </si>
  <si>
    <t>no bioaug</t>
  </si>
  <si>
    <t>Approx from graph</t>
  </si>
  <si>
    <t>No control</t>
  </si>
  <si>
    <t>Assuming all gas sums to 100%, but from follow-on expt by Palu not necessarily so?</t>
  </si>
  <si>
    <t>2-stage (CSTR + UASB), 53 oc, Cattle manure and potato starch, H2 added in stage 1 then recirc</t>
  </si>
  <si>
    <t>required WV</t>
  </si>
  <si>
    <t>From reported VMP/%CH4</t>
  </si>
  <si>
    <t>From VBP x %CH4</t>
  </si>
  <si>
    <t>CM + potato starch</t>
  </si>
  <si>
    <t>Sparger</t>
  </si>
  <si>
    <t>15 and 20</t>
  </si>
  <si>
    <t>1.5 and 2</t>
  </si>
  <si>
    <t>25 and 33</t>
  </si>
  <si>
    <t>10 and 10</t>
  </si>
  <si>
    <t>6 and 6</t>
  </si>
  <si>
    <t>In situ and ex, in situ in CSTR at 55 o C with ensiled rygrass, increasing H2 input and changing diffuser</t>
  </si>
  <si>
    <t>OLR calc</t>
  </si>
  <si>
    <t>L/g VS/day</t>
  </si>
  <si>
    <t>near enough? Closest with clac OLRalso SMYact and MFR</t>
  </si>
  <si>
    <t>L/g VS-day</t>
  </si>
  <si>
    <t>says 33% for BIS3 in paper but see above based on 92% from grass</t>
  </si>
  <si>
    <t>or if compare BIS5 - H2 with BIS1 - not much diff</t>
  </si>
  <si>
    <t>or…</t>
  </si>
  <si>
    <t>i.e. comparing BIS1&amp;3 and BIS 4&amp;5</t>
  </si>
  <si>
    <t>Low capacity diffuser</t>
  </si>
  <si>
    <t>Ceramic diffuser</t>
  </si>
  <si>
    <t>Anaerobic filter</t>
  </si>
  <si>
    <t>Maize silage hydrolysate</t>
  </si>
  <si>
    <t>Pump</t>
  </si>
  <si>
    <t>Venturi</t>
  </si>
  <si>
    <t>Yes?</t>
  </si>
  <si>
    <t>Varied</t>
  </si>
  <si>
    <t>H2 ratio</t>
  </si>
  <si>
    <t>Diffuser type</t>
  </si>
  <si>
    <t>H2 loading</t>
  </si>
  <si>
    <t>with/without H2</t>
  </si>
  <si>
    <t>But not clear if this is based on initial value or varied</t>
  </si>
  <si>
    <t>Temperature and bioaugmented</t>
  </si>
  <si>
    <t>Data from Sup Mats</t>
  </si>
  <si>
    <r>
      <t xml:space="preserve">Palù, M., Peprah, M., Tsapekos, P., Kougias, P., Campanaro, S., Angelidaki, I. and Treu, L., 2022. In-situ biogas upgrading assisted by bioaugmentation with hydrogenotrophic methanogens during mesophilic and thermophilic co-digestion. </t>
    </r>
    <r>
      <rPr>
        <i/>
        <sz val="11"/>
        <color theme="1"/>
        <rFont val="Calibri"/>
        <family val="2"/>
        <scheme val="minor"/>
      </rPr>
      <t>Bioresource Technology</t>
    </r>
    <r>
      <rPr>
        <sz val="11"/>
        <color theme="1"/>
        <rFont val="Calibri"/>
        <family val="2"/>
        <scheme val="minor"/>
      </rPr>
      <t>, p.126754.</t>
    </r>
  </si>
  <si>
    <t>Mixing and gas recirc</t>
  </si>
  <si>
    <t>H2 Loading</t>
  </si>
  <si>
    <t>Reported</t>
  </si>
  <si>
    <t>calc from feed properties</t>
  </si>
  <si>
    <t>from VBP x %CO2</t>
  </si>
  <si>
    <t>From VMP and %CO2</t>
  </si>
  <si>
    <t>Calculated - fits</t>
  </si>
  <si>
    <t xml:space="preserve">H2 Loading </t>
  </si>
  <si>
    <t>Calc based on no H2</t>
  </si>
  <si>
    <t>assuming units right</t>
  </si>
  <si>
    <t>Temperature and mixing</t>
  </si>
  <si>
    <t>H2 addition and mixing</t>
  </si>
  <si>
    <t>Correct?</t>
  </si>
  <si>
    <t>5-1</t>
  </si>
  <si>
    <t>5-2</t>
  </si>
  <si>
    <t>6-1</t>
  </si>
  <si>
    <t>6-2</t>
  </si>
  <si>
    <t>7-1</t>
  </si>
  <si>
    <t>8-1</t>
  </si>
  <si>
    <t>8-2</t>
  </si>
  <si>
    <t>9-2</t>
  </si>
  <si>
    <t>10-1</t>
  </si>
  <si>
    <t>10-2</t>
  </si>
  <si>
    <t>11-1</t>
  </si>
  <si>
    <t>12-1</t>
  </si>
  <si>
    <t>Run</t>
  </si>
  <si>
    <t>test time</t>
  </si>
  <si>
    <t>hydrolysis temp</t>
  </si>
  <si>
    <t>TC</t>
  </si>
  <si>
    <t>TOC</t>
  </si>
  <si>
    <t>C/N</t>
  </si>
  <si>
    <t>NDF</t>
  </si>
  <si>
    <t>ADF</t>
  </si>
  <si>
    <t>ADL</t>
  </si>
  <si>
    <t>%TS</t>
  </si>
  <si>
    <t>kg VS</t>
  </si>
  <si>
    <r>
      <t xml:space="preserve">Schönberg, V. and Busch, G., 2012. Steigerung des Methangehaltes durch biologische Wasserstoffumsetzung. </t>
    </r>
    <r>
      <rPr>
        <i/>
        <sz val="11"/>
        <color theme="1"/>
        <rFont val="Calibri"/>
        <family val="2"/>
        <scheme val="minor"/>
      </rPr>
      <t>Bornim Agrartechn Ber</t>
    </r>
    <r>
      <rPr>
        <sz val="11"/>
        <color theme="1"/>
        <rFont val="Calibri"/>
        <family val="2"/>
        <scheme val="minor"/>
      </rPr>
      <t xml:space="preserve">, </t>
    </r>
    <r>
      <rPr>
        <i/>
        <sz val="11"/>
        <color theme="1"/>
        <rFont val="Calibri"/>
        <family val="2"/>
        <scheme val="minor"/>
      </rPr>
      <t>79</t>
    </r>
    <r>
      <rPr>
        <sz val="11"/>
        <color theme="1"/>
        <rFont val="Calibri"/>
        <family val="2"/>
        <scheme val="minor"/>
      </rPr>
      <t>, pp.66-75.</t>
    </r>
  </si>
  <si>
    <t>Increasing methane yields through the implementation of biological hydrogen</t>
  </si>
  <si>
    <t>Percolation</t>
  </si>
  <si>
    <t>No?</t>
  </si>
  <si>
    <t>Various</t>
  </si>
  <si>
    <t>9-1</t>
  </si>
  <si>
    <t>S CO2</t>
  </si>
  <si>
    <t>Table 2 (rotated)</t>
  </si>
  <si>
    <t>Calc from ratio, but CO2 may have changed</t>
  </si>
  <si>
    <t>Mixed agrowaste digestate</t>
  </si>
  <si>
    <t>as reported, not clear</t>
  </si>
  <si>
    <t>OLR and H2 addition</t>
  </si>
  <si>
    <t>this</t>
  </si>
  <si>
    <t>Comment</t>
  </si>
  <si>
    <t>Diffuser and mixing speed</t>
  </si>
  <si>
    <t>Pulsed</t>
  </si>
  <si>
    <t>see above</t>
  </si>
  <si>
    <t>Check VMP</t>
  </si>
  <si>
    <t>Use this as this is how we do it for others?</t>
  </si>
  <si>
    <t>Syngas addition</t>
  </si>
  <si>
    <t>Aeration basket</t>
  </si>
  <si>
    <t>Syngas injection rate</t>
  </si>
  <si>
    <t>with this</t>
  </si>
  <si>
    <t xml:space="preserve">this </t>
  </si>
  <si>
    <t>Actual MER in paper</t>
  </si>
  <si>
    <t>Expected MER in paper</t>
  </si>
  <si>
    <t>H2 and pressure</t>
  </si>
  <si>
    <t>Not including H2</t>
  </si>
  <si>
    <t>VS not shown but has some data</t>
  </si>
  <si>
    <t>Thermally-treated FW digestate</t>
  </si>
  <si>
    <t>Trickling filter</t>
  </si>
  <si>
    <t>H2 and recirc rate</t>
  </si>
  <si>
    <t>and this</t>
  </si>
  <si>
    <t>Ethanol distillery wastewater</t>
  </si>
  <si>
    <t>148 calc</t>
  </si>
  <si>
    <t>Tubular ceramic membrane</t>
  </si>
  <si>
    <t xml:space="preserve">check H2 trans </t>
  </si>
  <si>
    <t>see below</t>
  </si>
  <si>
    <t>with this one</t>
  </si>
  <si>
    <t>Potato-starch wastewater</t>
  </si>
  <si>
    <t>UASB</t>
  </si>
  <si>
    <t>Says 0.2 L H2 inj chamber but this is not all</t>
  </si>
  <si>
    <t>Rashig rings</t>
  </si>
  <si>
    <t>Ceramic sponge</t>
  </si>
  <si>
    <t>2-stage (CSTR + UASB)</t>
  </si>
  <si>
    <t>3 and 0.85</t>
  </si>
  <si>
    <t>Similar to Fontana 2018b but H2 addition in phase II (and phase II above possibly - phase 1 here?)</t>
  </si>
  <si>
    <t>2-stage</t>
  </si>
  <si>
    <t>Single and 2-stage CSTR</t>
  </si>
  <si>
    <t>Typo? See below  - looks like line above</t>
  </si>
  <si>
    <t>P2M</t>
  </si>
  <si>
    <t>P2C</t>
  </si>
  <si>
    <t>Power to methane. Power to chemicals</t>
  </si>
  <si>
    <t>Single stage is power to methane, 2-stage power to chemicals</t>
  </si>
  <si>
    <t>total VFA</t>
  </si>
  <si>
    <t>Shaker</t>
  </si>
  <si>
    <t>okay, as reported</t>
  </si>
  <si>
    <t>Intermittent - daily</t>
  </si>
  <si>
    <t>conv?</t>
  </si>
  <si>
    <t>Conv?</t>
  </si>
  <si>
    <t>from text</t>
  </si>
  <si>
    <t>Glucose feed</t>
  </si>
  <si>
    <t>According to paper, and gas production is closer to this</t>
  </si>
  <si>
    <t>g CH4/mole</t>
  </si>
  <si>
    <t>C6H12O6</t>
  </si>
  <si>
    <t>goes to</t>
  </si>
  <si>
    <t>6CO2 + 6 H2O</t>
  </si>
  <si>
    <t>needs</t>
  </si>
  <si>
    <t>Density</t>
  </si>
  <si>
    <t>3CH4+3CO2</t>
  </si>
  <si>
    <t>wt</t>
  </si>
  <si>
    <t>L/mole</t>
  </si>
  <si>
    <t>g COD/g solid</t>
  </si>
  <si>
    <t>g CH4/g solid</t>
  </si>
  <si>
    <t>L CH4/g solid</t>
  </si>
  <si>
    <t>L CH4/g COD</t>
  </si>
  <si>
    <t>Okay</t>
  </si>
  <si>
    <t>Paper says 0.05 but seems wrong from specific CH4 etc</t>
  </si>
  <si>
    <t>says 54%</t>
  </si>
  <si>
    <t>Microporous diffuser</t>
  </si>
  <si>
    <t>Upflow</t>
  </si>
  <si>
    <t>CO rather than H2</t>
  </si>
  <si>
    <t>CO flow rate and recirculation</t>
  </si>
  <si>
    <t>Residual CO</t>
  </si>
  <si>
    <t>CO not H2</t>
  </si>
  <si>
    <t>n/r</t>
  </si>
  <si>
    <t>TVFA and Hac</t>
  </si>
  <si>
    <t>TVFA + graph</t>
  </si>
  <si>
    <t>Tot org acid</t>
  </si>
  <si>
    <t>TVFA - low</t>
  </si>
  <si>
    <t>TVFA + Hac</t>
  </si>
  <si>
    <t>n/r?</t>
  </si>
  <si>
    <t>H2+RC</t>
  </si>
  <si>
    <t>NmL/g VS added</t>
  </si>
  <si>
    <t>Fig 1</t>
  </si>
  <si>
    <t>128 ml/min</t>
  </si>
  <si>
    <t>96 ml/min</t>
  </si>
  <si>
    <t>64 ml/min</t>
  </si>
  <si>
    <t>32 ml/min</t>
  </si>
  <si>
    <t>32 ml/min with intervals</t>
  </si>
  <si>
    <t>-</t>
  </si>
  <si>
    <t>Fig 2</t>
  </si>
  <si>
    <t>Time optimization (Hours)</t>
  </si>
  <si>
    <t>3 With intervels</t>
  </si>
  <si>
    <t>(Fig. 2. Effect of flow rate on (A) methane yield (B) methane contents of biogas during hydrogen supply and hydrogen supply along with recirculation).</t>
  </si>
  <si>
    <t>Fig 3</t>
  </si>
  <si>
    <t>Fig 4</t>
  </si>
  <si>
    <t>(Fig. 4. Comparison of (Bars) methane yield (Line) methane contents of biogas during different phases (control, recirculation, hydrogen supply and hydrogen supply along with recirculation) at optimized conditions (flow rate of hydrogen supply:32 ml/min, flow rate of gases recirculation: 32 ml/min, for 12 hours)</t>
  </si>
  <si>
    <t>(Fig.3. Effect of duration of recirculation of gases with supplied with hydrogen on (Bars) methane yield (Line) methane content of biogas when hydrogen supplied from external along with recirculation of gases into the reactor.)</t>
  </si>
  <si>
    <r>
      <t xml:space="preserve">Khan, Alam, Sedrah Akbar, Valentine Okonkwo, Cindy Smith, Samiullah Khan, Aamer Ali Shah, Fazal Adnan, Umer Zeeshan Ijaz, Safia Ahmed, and Malik Badshah. "Enrichment of the hydrogenotrophic methanogens for, in-situ biogas up-gradation by recirculation of gases and supply of hydrogen in methanogenic reactor." </t>
    </r>
    <r>
      <rPr>
        <i/>
        <sz val="11"/>
        <color theme="1"/>
        <rFont val="Calibri"/>
        <family val="2"/>
        <scheme val="minor"/>
      </rPr>
      <t>Bioresource Technology</t>
    </r>
    <r>
      <rPr>
        <sz val="11"/>
        <color theme="1"/>
        <rFont val="Calibri"/>
        <family val="2"/>
        <scheme val="minor"/>
      </rPr>
      <t xml:space="preserve"> 345 (2022): 126219.</t>
    </r>
  </si>
  <si>
    <r>
      <t xml:space="preserve">(Fig. 1. Methane yield (Bars) and methane contents (Line) at different phases mentioned (control, recirculation of gases, hydrogen supply, and hydrogen supply along with recirculation) during </t>
    </r>
    <r>
      <rPr>
        <i/>
        <sz val="11"/>
        <color theme="1"/>
        <rFont val="Calibri"/>
        <family val="2"/>
        <scheme val="minor"/>
      </rPr>
      <t>in-situ</t>
    </r>
    <r>
      <rPr>
        <sz val="11"/>
        <color theme="1"/>
        <rFont val="Calibri"/>
        <family val="2"/>
        <scheme val="minor"/>
      </rPr>
      <t xml:space="preserve"> biogas up-gradation.)</t>
    </r>
  </si>
  <si>
    <t>Varied intervals</t>
  </si>
  <si>
    <t>VS basis</t>
  </si>
  <si>
    <t xml:space="preserve">Biogasertrag </t>
  </si>
  <si>
    <t>Methanertrag</t>
  </si>
  <si>
    <t>Zugabe H2</t>
  </si>
  <si>
    <t xml:space="preserve">Korrigierter Methangehalt </t>
  </si>
  <si>
    <t>Methan-gewinn</t>
  </si>
  <si>
    <t>stated - no data</t>
  </si>
  <si>
    <t>Extra CH4 from H2</t>
  </si>
  <si>
    <t>Required H2</t>
  </si>
  <si>
    <t>Input H2 - required H2</t>
  </si>
  <si>
    <t>Residual CO2</t>
  </si>
  <si>
    <t>Hydrolyser</t>
  </si>
  <si>
    <t>Methanogenic</t>
  </si>
  <si>
    <t>Working vols</t>
  </si>
  <si>
    <t>Also</t>
  </si>
  <si>
    <t>hydrolysate reservoir</t>
  </si>
  <si>
    <t>No test</t>
  </si>
  <si>
    <t>combined</t>
  </si>
  <si>
    <t>Based on combined vol of hydrolyer + methanogenic reactor</t>
  </si>
  <si>
    <t>Based on methanogenic stage only</t>
  </si>
  <si>
    <t>Based on exptl methanogenic stage only (145 L)</t>
  </si>
  <si>
    <t>Looks sensible</t>
  </si>
  <si>
    <t>Assuming %CH4 + %CO2 = 100%</t>
  </si>
  <si>
    <t>Based on total volume</t>
  </si>
  <si>
    <t>Assuming 145 L methanogenic reactor in both cases</t>
  </si>
  <si>
    <t>From SBP/SMP</t>
  </si>
  <si>
    <t>CO2 rem</t>
  </si>
  <si>
    <t>Decrease in CO2</t>
  </si>
  <si>
    <t>Based on added CH4</t>
  </si>
  <si>
    <t>Based on removed CO2</t>
  </si>
  <si>
    <t>Estimated H2 trans/input</t>
  </si>
  <si>
    <t>Maize silage to sugar beet silage effluentratio  2:0.5 on a mass basis</t>
  </si>
  <si>
    <t>Thickened mixed primary and secondary sewage sludge</t>
  </si>
  <si>
    <t>Mixed pimary and secondary sewage sludge</t>
  </si>
  <si>
    <t>CO addition</t>
  </si>
  <si>
    <t>Highest SMP without residual CO</t>
  </si>
  <si>
    <t>Highest SMP</t>
  </si>
  <si>
    <t>Mixed primary and secondary sewage sludge</t>
  </si>
  <si>
    <t>Pressure and H2 addition</t>
  </si>
  <si>
    <t>No control - all cases have N2 addition and pressure</t>
  </si>
  <si>
    <t>Mixed sewage sludge, 35 oc, pressure and H2 flow, but no control</t>
  </si>
  <si>
    <t>Fed simulated coke oven gas (H2/CO 92/8 v/v) rather than H2</t>
  </si>
  <si>
    <t>with/without SCOG and pH control</t>
  </si>
  <si>
    <t>graph</t>
  </si>
  <si>
    <t>Wang et al., 2013</t>
  </si>
  <si>
    <t>Diaz et al., 2020</t>
  </si>
  <si>
    <t>Luo et al., 2012a</t>
  </si>
  <si>
    <t>Luo et al., 2013a</t>
  </si>
  <si>
    <t>Luo and Angelidaki, 2012b</t>
  </si>
  <si>
    <t>Luo and Angelidaki, 2013b</t>
  </si>
  <si>
    <t>Alfaro et al., 2019</t>
  </si>
  <si>
    <t>Schönberg and Busch, 2012</t>
  </si>
  <si>
    <t>Jing et al., 2017</t>
  </si>
  <si>
    <t>Khan et al., 2022</t>
  </si>
  <si>
    <t>Wahid et al., 2019</t>
  </si>
  <si>
    <t>Wahid and Horn, 2021a</t>
  </si>
  <si>
    <t>Wahid and Horn, 2021b</t>
  </si>
  <si>
    <t>Treu et al., 2018</t>
  </si>
  <si>
    <t>Treu et al., 2019</t>
  </si>
  <si>
    <t>Fontana et al., 2018a</t>
  </si>
  <si>
    <t>Fontana et al., 2018b</t>
  </si>
  <si>
    <t>Corbellini et al., 2018</t>
  </si>
  <si>
    <t>Corbellini et al., 2019</t>
  </si>
  <si>
    <t>Corbellini et al., 2021</t>
  </si>
  <si>
    <t>Bassani et al., 2015</t>
  </si>
  <si>
    <t>Bassani et al., 2016</t>
  </si>
  <si>
    <t>Deschamps et al., 2021</t>
  </si>
  <si>
    <t>Thapa et al., 2021</t>
  </si>
  <si>
    <t>Yang et al., 2020</t>
  </si>
  <si>
    <t>Kim et al., 2021</t>
  </si>
  <si>
    <t>Agneessens et al., 2017</t>
  </si>
  <si>
    <t xml:space="preserve">Agneessens et al., 2018 </t>
  </si>
  <si>
    <t>Illi et al., 2021</t>
  </si>
  <si>
    <r>
      <t xml:space="preserve">Voelklein, M.A., Rusmanis, D. and Murphy, J.D., 2019. Biological methanation: Strategies for in-situ and ex-situ upgrading in anaerobic digestion. </t>
    </r>
    <r>
      <rPr>
        <i/>
        <sz val="11"/>
        <color theme="1"/>
        <rFont val="Calibri"/>
        <family val="2"/>
        <scheme val="minor"/>
      </rPr>
      <t>Applied Energy</t>
    </r>
    <r>
      <rPr>
        <sz val="11"/>
        <color theme="1"/>
        <rFont val="Calibri"/>
        <family val="2"/>
        <scheme val="minor"/>
      </rPr>
      <t xml:space="preserve">, </t>
    </r>
    <r>
      <rPr>
        <i/>
        <sz val="11"/>
        <color theme="1"/>
        <rFont val="Calibri"/>
        <family val="2"/>
        <scheme val="minor"/>
      </rPr>
      <t>235</t>
    </r>
    <r>
      <rPr>
        <sz val="11"/>
        <color theme="1"/>
        <rFont val="Calibri"/>
        <family val="2"/>
        <scheme val="minor"/>
      </rPr>
      <t>, pp.1061-1071.</t>
    </r>
  </si>
  <si>
    <t>Voelklein et al., 2019</t>
  </si>
  <si>
    <t>Palu et al., 2022</t>
  </si>
  <si>
    <t>Lovato et al., 2017</t>
  </si>
  <si>
    <t>Zhu et al., 2019a</t>
  </si>
  <si>
    <t>Zhu et al., 2019b</t>
  </si>
  <si>
    <t>Zhu et al., 2020</t>
  </si>
  <si>
    <t>Lebranchu et al., 2020</t>
  </si>
  <si>
    <t>Hafuka et al., 2022</t>
  </si>
  <si>
    <t>Jensen et al., 2018</t>
  </si>
  <si>
    <t>Jensen et al., 2021</t>
  </si>
  <si>
    <t>Okoro-Shekwaga et al., 2019</t>
  </si>
  <si>
    <t>Okoro-Shewaga et al., 2021a</t>
  </si>
  <si>
    <t>Okoro-Shekwaga et al., 2021b</t>
  </si>
  <si>
    <t>Tao et al., 2019</t>
  </si>
  <si>
    <t>Tao et al., 2020</t>
  </si>
  <si>
    <t>Xu et al., 2020</t>
  </si>
  <si>
    <t>Wang et al., 2020</t>
  </si>
  <si>
    <t xml:space="preserve"> Cylinder plus peristaltic pump</t>
  </si>
  <si>
    <t>Diluted feed</t>
  </si>
  <si>
    <t>Tag</t>
  </si>
  <si>
    <t>TAG</t>
  </si>
  <si>
    <t>No  H2</t>
  </si>
  <si>
    <t>Highest SMP etc</t>
  </si>
  <si>
    <t>Note</t>
  </si>
  <si>
    <t>Intermittent mix</t>
  </si>
  <si>
    <t>Continuous mix</t>
  </si>
  <si>
    <t>Best performance</t>
  </si>
  <si>
    <t>After 2 years</t>
  </si>
  <si>
    <t>Intermittent mixing</t>
  </si>
  <si>
    <t>Continuous mixing</t>
  </si>
  <si>
    <t>150 rpm, column</t>
  </si>
  <si>
    <t>300 rpm, ceramic</t>
  </si>
  <si>
    <t>150 rpm, ceramic</t>
  </si>
  <si>
    <t>From spreadsheet</t>
  </si>
  <si>
    <t>From meeting notes</t>
  </si>
  <si>
    <t>day 54-63</t>
  </si>
  <si>
    <t>From SMP x OLR   -  okay</t>
  </si>
  <si>
    <t>Bubble</t>
  </si>
  <si>
    <t>Batch with recirc</t>
  </si>
  <si>
    <t>Rounded, from spreadsheet</t>
  </si>
  <si>
    <t>From spreadsheet, fits</t>
  </si>
  <si>
    <t>From VBP X %CH4, and as in spreadsheet</t>
  </si>
  <si>
    <t>okay - assume within measurement error and no H2 found in gas</t>
  </si>
  <si>
    <t>With CO</t>
  </si>
  <si>
    <t>No CO</t>
  </si>
  <si>
    <t>Added CO without H2</t>
  </si>
  <si>
    <t>Additional data provided by authors</t>
  </si>
  <si>
    <t>H2 + CO2</t>
  </si>
  <si>
    <t>CO2 input</t>
  </si>
  <si>
    <t>From paper and spreadsheet</t>
  </si>
  <si>
    <t>Table 1 (rotated)</t>
  </si>
  <si>
    <t>Average of duplicates</t>
  </si>
  <si>
    <t>OLR 3 no H2</t>
  </si>
  <si>
    <t>OLR 4 no H2</t>
  </si>
  <si>
    <t>OLR 2 no H2</t>
  </si>
  <si>
    <t>OLR 5 no H2</t>
  </si>
  <si>
    <t>From spreadsheet = paper says 4.8</t>
  </si>
  <si>
    <t>day 23-52</t>
  </si>
  <si>
    <t>Paper says 8.04, 8.52, 8.51</t>
  </si>
  <si>
    <t>Paper says 65, 91, 90</t>
  </si>
  <si>
    <t>Paper says 35 without H2</t>
  </si>
  <si>
    <t>Paper says 2.29 w/o H2, 5.01 with H2+CO2</t>
  </si>
  <si>
    <t>paper says 2.47 L/day w/o H2 or 1.235</t>
  </si>
  <si>
    <t>L/gVS</t>
  </si>
  <si>
    <t>day 284-303</t>
  </si>
  <si>
    <t>chosen as includes TAN in first period but little variation in most parameters</t>
  </si>
  <si>
    <t>From paper, spreadsheet 21.5 but looks like copied down</t>
  </si>
  <si>
    <t>day 236-245</t>
  </si>
  <si>
    <t>day 123-132</t>
  </si>
  <si>
    <t>Synthetic organic feed</t>
  </si>
  <si>
    <t>2 g N/L</t>
  </si>
  <si>
    <t>day 274-283</t>
  </si>
  <si>
    <t>day 332-340</t>
  </si>
  <si>
    <t>3 g N/L</t>
  </si>
  <si>
    <t>day 312-325</t>
  </si>
  <si>
    <t>All reactors</t>
  </si>
  <si>
    <t>NTR3&amp;4</t>
  </si>
  <si>
    <t>NTR5&amp;6</t>
  </si>
  <si>
    <t>TAN 2 g N/L</t>
  </si>
  <si>
    <t>TAN 3 g N/L</t>
  </si>
  <si>
    <t>BTR1</t>
  </si>
  <si>
    <t>BTR2</t>
  </si>
  <si>
    <t>BTR3</t>
  </si>
  <si>
    <t>BTR4</t>
  </si>
  <si>
    <t>BTR5</t>
  </si>
  <si>
    <t>BTR6</t>
  </si>
  <si>
    <t>BTR7</t>
  </si>
  <si>
    <t>BTR8</t>
  </si>
  <si>
    <t>day 45-64</t>
  </si>
  <si>
    <t>day 251-270</t>
  </si>
  <si>
    <t>with H2 + CO2</t>
  </si>
  <si>
    <t>day 71-90</t>
  </si>
  <si>
    <t>day 278-297</t>
  </si>
  <si>
    <t>day 69-88</t>
  </si>
  <si>
    <t>day 62-81</t>
  </si>
  <si>
    <t>day 368-387</t>
  </si>
  <si>
    <t>day 200-220</t>
  </si>
  <si>
    <t>day 360-364</t>
  </si>
  <si>
    <t>day 390-391 BTR4</t>
  </si>
  <si>
    <t>BTR1-2</t>
  </si>
  <si>
    <t>BTR7-8</t>
  </si>
  <si>
    <t>BTR5-6</t>
  </si>
  <si>
    <t>BTR3-4</t>
  </si>
  <si>
    <t>day 390-391</t>
  </si>
  <si>
    <t>OLR 2 with H2</t>
  </si>
  <si>
    <t>OLR 3 with H2</t>
  </si>
  <si>
    <t>OLR 4 with H2</t>
  </si>
  <si>
    <t>OLR 5 with H2</t>
  </si>
  <si>
    <t>OLR 2 with H2+CO2</t>
  </si>
  <si>
    <t>OLR 3 with H2+CO2</t>
  </si>
  <si>
    <t>OLR and additional CO2</t>
  </si>
  <si>
    <t>Values from spreadsheet</t>
  </si>
  <si>
    <t>M2</t>
  </si>
  <si>
    <t>M4</t>
  </si>
  <si>
    <t>convert</t>
  </si>
  <si>
    <t>Source separated domestic FW</t>
  </si>
  <si>
    <t>Crops and agro-wastes</t>
  </si>
  <si>
    <t>Cattle manure plus veg waste, 2-stage, 37 oC, OLR 3.5 g VS/L-day, HRT 10 days. Changed recirc rates and H2 addition</t>
  </si>
  <si>
    <t>Reactor type</t>
  </si>
  <si>
    <t>Comments</t>
  </si>
  <si>
    <t>Conditions tested</t>
  </si>
  <si>
    <t>HS+RC = H2 and 32 mL/min for 3, 6, 9 and 12 h</t>
  </si>
  <si>
    <t>Optimal 32 mL/min and 12 hours</t>
  </si>
  <si>
    <t>Volumetric methane production - L CH4 per L reactor per day; calculated from OLR x SMP</t>
  </si>
  <si>
    <t>Calculated assuming %CH4 + %CO2 = 100% i.e. no residual H2 - is this correct?</t>
  </si>
  <si>
    <t>Volumetric CO2</t>
  </si>
  <si>
    <t>From paper.  SMP = specific methane production in L CH4 per g VS</t>
  </si>
  <si>
    <t>From paper. OLR = organic loading rate</t>
  </si>
  <si>
    <t>From paper. Control value is quite high for this feedstock</t>
  </si>
  <si>
    <t>Calculated using C as control for HS (both without recirc) and RC as control for HS+RC (both with recirc)</t>
  </si>
  <si>
    <t>Methane evolution rate = amount of methane produced from H2 per L of reactor per day</t>
  </si>
  <si>
    <t>Figures 1-4</t>
  </si>
  <si>
    <t>Numerical data for Figures kindly provided by Authors.  Tables rotated for convenience of calculations</t>
  </si>
  <si>
    <t>Closely similar results obtained by scaling from figures</t>
  </si>
  <si>
    <t>Optimised values - use these for calculations</t>
  </si>
  <si>
    <t>Checks and calculations</t>
  </si>
  <si>
    <t>Calculated assuming stochiometric ratio 4:1 for CH4 production</t>
  </si>
  <si>
    <t>Results presented in standard format for comparison with other studies</t>
  </si>
  <si>
    <t>No recirc</t>
  </si>
  <si>
    <t>With recirc</t>
  </si>
  <si>
    <t>continuous mixing</t>
  </si>
  <si>
    <t>Meso - continuous mixing</t>
  </si>
  <si>
    <t>Meso - intermittent mixing</t>
  </si>
  <si>
    <t>Thermo - intermittent mixing</t>
  </si>
  <si>
    <t>Thermo - continuous mixing</t>
  </si>
  <si>
    <t>ratio</t>
  </si>
  <si>
    <t>CM/W 9, 80 rpm, daily feed</t>
  </si>
  <si>
    <t>CM/W 9, 140 rpm, daily feed</t>
  </si>
  <si>
    <t>CM/W 8, 80 rpm, daily feed</t>
  </si>
  <si>
    <t>CM/W 9, 80 rpm, 2-day feeding</t>
  </si>
  <si>
    <t>As reported but some of these do not make sense, see above</t>
  </si>
  <si>
    <t>crashed</t>
  </si>
  <si>
    <t>COD units not VS</t>
  </si>
  <si>
    <t>H2/CO2 = 2</t>
  </si>
  <si>
    <t>H2/CO2 = 4</t>
  </si>
  <si>
    <t>H2/CO2 = 6</t>
  </si>
  <si>
    <t>H2/CO2 = 8</t>
  </si>
  <si>
    <t>H2/CO2 = 10</t>
  </si>
  <si>
    <t xml:space="preserve">No H2 </t>
  </si>
  <si>
    <t>&gt;25% CO2, OLR 0.5, inj 1</t>
  </si>
  <si>
    <t>&gt;25% CO2, OLR 1.5, inj 1</t>
  </si>
  <si>
    <t>&lt;7% CO2, OLR 0.5, inj 1</t>
  </si>
  <si>
    <t>&lt;7% CO2, OLR 1.5, inj 1</t>
  </si>
  <si>
    <t>&gt;25% CO2, OLR 2, inj 1</t>
  </si>
  <si>
    <t>OLR 0.5</t>
  </si>
  <si>
    <t>OLR 1.5</t>
  </si>
  <si>
    <t>OLR 2</t>
  </si>
  <si>
    <t>Use this - most stable etc</t>
  </si>
  <si>
    <t>g COD/g COD fed</t>
  </si>
  <si>
    <t>At 273.15 K and 101.325 kPa, i.e. at s.t.p., 22.413 996(39) × 10-3 m3·mol-1 with relative standard uncertainty 1.7 × 10-6.</t>
  </si>
  <si>
    <t>http://physics.nist.gov/cuu/Constants/codata.pdf</t>
  </si>
  <si>
    <t>Mohr, P.J., Taylor, B.N., Newell, D.B. (2008) CODATA Recommended Values of the Fundamental Physical Constants: 2006.  Reviews of Modern Physics 80: 633–730. doi:10.1103/RevModPhys.80.633</t>
  </si>
  <si>
    <t>Data sources</t>
  </si>
  <si>
    <t>Ammonia</t>
  </si>
  <si>
    <t>H2 + O -&gt; H2O</t>
  </si>
  <si>
    <t>Mole H2</t>
  </si>
  <si>
    <t>%OLR</t>
  </si>
  <si>
    <t>presumably increases due to added H2</t>
  </si>
  <si>
    <t>1 bar</t>
  </si>
  <si>
    <t>5 bar</t>
  </si>
  <si>
    <t>No syngas</t>
  </si>
  <si>
    <t>With syngas</t>
  </si>
  <si>
    <t>Hydrolysis at 55 oC</t>
  </si>
  <si>
    <t>Hydrolysis at 60 oC</t>
  </si>
  <si>
    <t>Ceramic with gas recirc</t>
  </si>
  <si>
    <t>Not very good - from COD and HRT</t>
  </si>
  <si>
    <t>2-stage P2C</t>
  </si>
  <si>
    <t>Also tested power-tochemicals (p2C) in 2-stage set-up</t>
  </si>
  <si>
    <t>with buffer</t>
  </si>
  <si>
    <t>Is this same as Treu 2019? Quite similar apart from different OLR;  but other values like MER proportional so manybe okay</t>
  </si>
  <si>
    <t>No gas recirc</t>
  </si>
  <si>
    <t>Low gas recirc</t>
  </si>
  <si>
    <t>Intermediate gas recirc</t>
  </si>
  <si>
    <t>High gas recirc</t>
  </si>
  <si>
    <t>No SCOG</t>
  </si>
  <si>
    <t>With SCOG</t>
  </si>
  <si>
    <t>Expt Des</t>
  </si>
  <si>
    <t>Sequential</t>
  </si>
  <si>
    <t>Parallel - 2 reactors</t>
  </si>
  <si>
    <t>Sequential - 1 reactor</t>
  </si>
  <si>
    <t>Parallel - 1 control, 2 exptl</t>
  </si>
  <si>
    <t>Syringe</t>
  </si>
  <si>
    <t>Tube</t>
  </si>
  <si>
    <t>Sequential - 1 reactor at each temperature</t>
  </si>
  <si>
    <t xml:space="preserve">Sequential - 1 reactor </t>
  </si>
  <si>
    <t>Parallel - 6 reactors</t>
  </si>
  <si>
    <t>Parallel - 8 reactors</t>
  </si>
  <si>
    <t>Parallel - 2 reactors (but stage 2 non-identical)</t>
  </si>
  <si>
    <t>Parallel - 2 sets of triplicate reactors</t>
  </si>
  <si>
    <t>Sequential - 1 set of reactors</t>
  </si>
  <si>
    <t>Waste Activated Sludge</t>
  </si>
  <si>
    <t>Fed weekly</t>
  </si>
  <si>
    <t>Also operating mode (CSTR or AnMBR, but not in this case)</t>
  </si>
  <si>
    <t>day 116-135</t>
  </si>
  <si>
    <t>with H2 and H2 + CO2</t>
  </si>
  <si>
    <t>Sequential - replicate reactors (plus one breeder/control)</t>
  </si>
  <si>
    <t>F1&amp;F2</t>
  </si>
  <si>
    <t>day 226-227</t>
  </si>
  <si>
    <t>day 303-312</t>
  </si>
  <si>
    <t>Why this trend? Interesting</t>
  </si>
  <si>
    <t>200 kPa</t>
  </si>
  <si>
    <t>250 kPa</t>
  </si>
  <si>
    <t>300 kPa</t>
  </si>
  <si>
    <t>Luo et al., 2013c</t>
  </si>
  <si>
    <t>pH controlled to &lt;8</t>
  </si>
  <si>
    <t>No pH control</t>
  </si>
  <si>
    <t xml:space="preserve">From OLR x </t>
  </si>
  <si>
    <t>Check</t>
  </si>
  <si>
    <t>Could do average of replicates…</t>
  </si>
  <si>
    <t>Use these?</t>
  </si>
  <si>
    <t>Sequential - duplicate reactors</t>
  </si>
  <si>
    <t>H2/CO2 0.5</t>
  </si>
  <si>
    <t>H2/CO2 1</t>
  </si>
  <si>
    <t>H2/CO2 2</t>
  </si>
  <si>
    <t>H2/CO2 3</t>
  </si>
  <si>
    <t>H2/CO2 4</t>
  </si>
  <si>
    <t>H2/CO2 6</t>
  </si>
  <si>
    <t>H2/CO2 7</t>
  </si>
  <si>
    <t>With H2 and CO2</t>
  </si>
  <si>
    <t>Table 3 re-arranged</t>
  </si>
  <si>
    <t xml:space="preserve">Is this the right way to do it? </t>
  </si>
  <si>
    <t>Commercial and industrial FW</t>
  </si>
  <si>
    <t>CM + veg waste</t>
  </si>
  <si>
    <t>Second stage to thermophilic (60oC) acidification reactor</t>
  </si>
  <si>
    <t xml:space="preserve">"After 12 h of feeding, the hydrogen was supplied for during of 12 h with 1 h interval) at flow rate 32 ml/min in the methanogenic reactor and gases were recirculated for 12 h at flow rate of 32 ml/min".  </t>
  </si>
  <si>
    <t>From graph in Fig 1, ignore R1 and use R2?</t>
  </si>
  <si>
    <t>Livestock manures</t>
  </si>
  <si>
    <t>Crop and agro-wastes</t>
  </si>
  <si>
    <t>Post-consumer food wastes</t>
  </si>
  <si>
    <t>Distillery wastes</t>
  </si>
  <si>
    <t>Factor</t>
  </si>
  <si>
    <t>C&amp;AW</t>
  </si>
  <si>
    <t>OFMWS</t>
  </si>
  <si>
    <t>without CO2 biometh</t>
  </si>
  <si>
    <t>with CO2 biometh</t>
  </si>
  <si>
    <t>This one</t>
  </si>
  <si>
    <t>With this one</t>
  </si>
  <si>
    <t>L CH4/g VS</t>
  </si>
  <si>
    <t>Assumed max pH</t>
  </si>
  <si>
    <t>Predicted max CH4</t>
  </si>
  <si>
    <t>Predicted max SMP</t>
  </si>
  <si>
    <t>From authors</t>
  </si>
  <si>
    <t>Value provided by authors</t>
  </si>
  <si>
    <t>According to authors, these values are for optimised conditions as in Fig 4</t>
  </si>
  <si>
    <t>Assumes no residual H2 - confirmed with authors</t>
  </si>
  <si>
    <t>VGP</t>
  </si>
  <si>
    <t>See above -value provided by authors</t>
  </si>
  <si>
    <t>unnormalised</t>
  </si>
  <si>
    <t>day 305-314</t>
  </si>
  <si>
    <t>Calculated - not great</t>
  </si>
  <si>
    <t>assumed max pH</t>
  </si>
  <si>
    <t>not good fit - actual pH 7.9 at pCO2 0.14%</t>
  </si>
  <si>
    <t>VBP w/o H2</t>
  </si>
  <si>
    <t>Interesting - indicates an increase in SMP from feed</t>
  </si>
  <si>
    <t>check VGP</t>
  </si>
  <si>
    <t>Real zero - "no detectable H2 in the biogas of reactor A"</t>
  </si>
  <si>
    <t>Reported - use this</t>
  </si>
  <si>
    <t>check VMP</t>
  </si>
  <si>
    <t>Based on VBP and normalised %CH4</t>
  </si>
  <si>
    <t>Based on reported VMP and normalised %CH4 - use this</t>
  </si>
  <si>
    <t>omit as different reactor sizes?</t>
  </si>
  <si>
    <t>Calc from ratio, but CO2 produced may have changed…</t>
  </si>
  <si>
    <t>From VBP X gas %</t>
  </si>
  <si>
    <t>blue with extracO2</t>
  </si>
  <si>
    <t>day 30-39</t>
  </si>
  <si>
    <t>Or why not just take averages from above?  Check it comes out the same  : )</t>
  </si>
  <si>
    <t>From report</t>
  </si>
  <si>
    <t>Hmm-  do we have unnormalsed?</t>
  </si>
  <si>
    <t>Syngas loading</t>
  </si>
  <si>
    <t>Near enough? Close to T5</t>
  </si>
  <si>
    <t>From SMP x OLR</t>
  </si>
  <si>
    <t>Looks like 303 is a typo?</t>
  </si>
  <si>
    <t>2-phase is making chemicals</t>
  </si>
  <si>
    <t>SCOG loading</t>
  </si>
  <si>
    <t>Looks as if includes H2</t>
  </si>
  <si>
    <t>Does this include H2?</t>
  </si>
  <si>
    <t>Assuming VBP does not include H2</t>
  </si>
  <si>
    <t>VBP (or VGP?)</t>
  </si>
  <si>
    <t>Looks as if H2 not included in %</t>
  </si>
  <si>
    <t>Fits better if 1.08?  Looks as if this includes H2</t>
  </si>
  <si>
    <t>Not 100%  - watr vapour, error?  Note includes CO</t>
  </si>
  <si>
    <t>Or is this VGP</t>
  </si>
  <si>
    <t>Normalised to total, not to 100%</t>
  </si>
  <si>
    <t>use</t>
  </si>
  <si>
    <t>CO trans</t>
  </si>
  <si>
    <t>`</t>
  </si>
  <si>
    <t xml:space="preserve">H2 loading </t>
  </si>
  <si>
    <t>we do have CO loading</t>
  </si>
  <si>
    <t>Hide</t>
  </si>
  <si>
    <t>H2 trans/MER</t>
  </si>
  <si>
    <t>Exp des</t>
  </si>
  <si>
    <t>Maize silage + sugar beet silage effluent</t>
  </si>
  <si>
    <t>SMPinc</t>
  </si>
  <si>
    <t>MER/Exp MER</t>
  </si>
  <si>
    <t>CRR</t>
  </si>
  <si>
    <t>CRR/Exp CRR</t>
  </si>
  <si>
    <t>MER/CRR</t>
  </si>
  <si>
    <t>Continuous mixing, HCOONa</t>
  </si>
  <si>
    <t>Parallel</t>
  </si>
  <si>
    <t>Temp - meso and thermo</t>
  </si>
  <si>
    <t>Ref</t>
  </si>
  <si>
    <t xml:space="preserve">Parallel </t>
  </si>
  <si>
    <t>Sequential - 1 reactor for each temperature</t>
  </si>
  <si>
    <t>change these</t>
  </si>
  <si>
    <t>MER/VCO2org</t>
  </si>
  <si>
    <t>VBP/VBPorg</t>
  </si>
  <si>
    <t>, H2:CO2</t>
  </si>
  <si>
    <r>
      <t>H</t>
    </r>
    <r>
      <rPr>
        <b/>
        <vertAlign val="subscript"/>
        <sz val="10"/>
        <color theme="1"/>
        <rFont val="Palatino Linotype"/>
        <family val="1"/>
      </rPr>
      <t>2</t>
    </r>
    <r>
      <rPr>
        <b/>
        <sz val="10"/>
        <color theme="1"/>
        <rFont val="Palatino Linotype"/>
        <family val="1"/>
      </rPr>
      <t xml:space="preserve"> input</t>
    </r>
  </si>
  <si>
    <r>
      <t>SMP</t>
    </r>
    <r>
      <rPr>
        <b/>
        <vertAlign val="subscript"/>
        <sz val="10"/>
        <color theme="1"/>
        <rFont val="Palatino Linotype"/>
        <family val="1"/>
      </rPr>
      <t>H2</t>
    </r>
  </si>
  <si>
    <t>Case</t>
  </si>
  <si>
    <t>2.5 (total)</t>
  </si>
  <si>
    <t>2 (total)</t>
  </si>
  <si>
    <t>Stirring, CM/W ratio, Feed freq</t>
  </si>
  <si>
    <t>hydrolysis and fixed bed</t>
  </si>
  <si>
    <t>200 + 145 (exptl)</t>
  </si>
  <si>
    <t>200 + 180 (control)</t>
  </si>
  <si>
    <t>Hydrolysis conditions</t>
  </si>
  <si>
    <t>Exp'tl design</t>
  </si>
  <si>
    <t>norm</t>
  </si>
  <si>
    <t>Food wastes</t>
  </si>
  <si>
    <t>cheese whey permeate + powder</t>
  </si>
  <si>
    <t>TAN concentration</t>
  </si>
  <si>
    <t>Separate chamber</t>
  </si>
  <si>
    <t>Tubular ceramic</t>
  </si>
  <si>
    <t>Ceramic membrane</t>
  </si>
  <si>
    <t>tbc</t>
  </si>
  <si>
    <t xml:space="preserve">Liquid recirc + injection </t>
  </si>
  <si>
    <t>H2, exogenous CO2 + H2</t>
  </si>
  <si>
    <t>Lowest H2%</t>
  </si>
  <si>
    <t>okay?</t>
  </si>
  <si>
    <t>1 reactor</t>
  </si>
  <si>
    <t>or g COD</t>
  </si>
  <si>
    <t>gas recirculation rate</t>
  </si>
  <si>
    <t>OLR also varied slightly</t>
  </si>
  <si>
    <t>Initial value</t>
  </si>
  <si>
    <t>2 reactors</t>
  </si>
  <si>
    <t>1 set of reactors</t>
  </si>
  <si>
    <t>Mixing, sodium formate</t>
  </si>
  <si>
    <t>1 reactor per condition</t>
  </si>
  <si>
    <t>1 reactor at each temp</t>
  </si>
  <si>
    <t>Average of triplicate reactors</t>
  </si>
  <si>
    <t>6 reactors</t>
  </si>
  <si>
    <t>Pers. com.</t>
  </si>
  <si>
    <r>
      <t>SMP</t>
    </r>
    <r>
      <rPr>
        <vertAlign val="subscript"/>
        <sz val="11"/>
        <color theme="1"/>
        <rFont val="Calibri"/>
        <family val="2"/>
        <scheme val="minor"/>
      </rPr>
      <t>H2</t>
    </r>
  </si>
  <si>
    <r>
      <t>SMP</t>
    </r>
    <r>
      <rPr>
        <vertAlign val="subscript"/>
        <sz val="11"/>
        <color theme="1"/>
        <rFont val="Calibri"/>
        <family val="2"/>
        <scheme val="minor"/>
      </rPr>
      <t>inc</t>
    </r>
  </si>
  <si>
    <t>H2 trans/CRR</t>
  </si>
  <si>
    <t>Calc</t>
  </si>
  <si>
    <t>Recirc + static mixer</t>
  </si>
  <si>
    <t>Mixed SS</t>
  </si>
  <si>
    <t>Use this - see above</t>
  </si>
  <si>
    <t>CO transf/input</t>
  </si>
  <si>
    <t>H2 input (exptl reactor)</t>
  </si>
  <si>
    <t>or omit as different reactor sizes?</t>
  </si>
  <si>
    <t>check H2/CO2</t>
  </si>
  <si>
    <t>Assumed gas</t>
  </si>
  <si>
    <t>None/gas recirc</t>
  </si>
  <si>
    <t>Column/ceramic</t>
  </si>
  <si>
    <t xml:space="preserve"> Gas bag and peristaltic pump</t>
  </si>
  <si>
    <t>H2 and gas recirc rates</t>
  </si>
  <si>
    <t>With/without H2</t>
  </si>
  <si>
    <t>Control reactor</t>
  </si>
  <si>
    <t>1 set of reactors at each temp</t>
  </si>
  <si>
    <t>Values for whole system</t>
  </si>
  <si>
    <t>(hydrolysis and methanogenic)</t>
  </si>
  <si>
    <t>Control period</t>
  </si>
  <si>
    <t xml:space="preserve">Additional data </t>
  </si>
  <si>
    <t>provided by</t>
  </si>
  <si>
    <t>authors</t>
  </si>
  <si>
    <t>Additional data</t>
  </si>
  <si>
    <t>provided by authors</t>
  </si>
  <si>
    <t>Assuming alternate hours for 12 hours i.e. 6 hours total - ignore</t>
  </si>
  <si>
    <t>Based on H2 addition value provided by authors</t>
  </si>
  <si>
    <t>Authors report 197% increase in SMP due to combined effects of recirc and H2 addition (i.e. diff between HS+RC and C)</t>
  </si>
  <si>
    <t>check sum</t>
  </si>
  <si>
    <t>1000 rpm</t>
  </si>
  <si>
    <t>Headspace - pulsed</t>
  </si>
  <si>
    <t>CO2 in Supp Mats only - blue estimated assuming no H2 as in text.</t>
  </si>
  <si>
    <t xml:space="preserve"> H2 omitted as only in initial conditions.</t>
  </si>
  <si>
    <t>Assuming CO2 = balance</t>
  </si>
  <si>
    <t>Different from CO2%.  Before or after H2 pulse or depressurisation?</t>
  </si>
  <si>
    <t>Different from Headspace CO2 due to pressuristion?</t>
  </si>
  <si>
    <t>Assuming CH4 x VBP = VMP - but NB 2 values for CO2</t>
  </si>
  <si>
    <t>Hydrolysis stage plus experimental methanogenic reactor - control methanogenic reactor is 180 L</t>
  </si>
  <si>
    <t>Biogas backflow</t>
  </si>
  <si>
    <t>i.e. recirculation?</t>
  </si>
  <si>
    <t>Value in paper - really closer to 5.3? Note COD basis</t>
  </si>
  <si>
    <t>Use values from paper</t>
  </si>
  <si>
    <t>Assuming OLR remains the same</t>
  </si>
  <si>
    <t>Temperature + feedstock</t>
  </si>
  <si>
    <t>From Supplementary Materials</t>
  </si>
  <si>
    <t>Compare this</t>
  </si>
  <si>
    <t>With this</t>
  </si>
  <si>
    <t>Hmm!  Maybe incorrect assumptions above?</t>
  </si>
  <si>
    <t>Hmm  - maybe something wrong with assumptions affecting H2 addition or with CO2 calc?  Ask authors</t>
  </si>
  <si>
    <t>Assumptions may be incorrect</t>
  </si>
  <si>
    <t>Calc from 0.08 L/feed x 15 days HRT</t>
  </si>
  <si>
    <t>or half if diluted?</t>
  </si>
  <si>
    <t>non-conserved on mixing?</t>
  </si>
  <si>
    <t>Text says 1.68 g VS/L-day</t>
  </si>
  <si>
    <t>see table 2 - varies</t>
  </si>
  <si>
    <t>possible error?  See checks below</t>
  </si>
  <si>
    <t>Paper quotes COD which varies so this is indicative</t>
  </si>
  <si>
    <t>Assumption based on interpretation of text  -  check with authors</t>
  </si>
  <si>
    <t>Check with authors</t>
  </si>
  <si>
    <t>Dilution would also explain why no ammonia inhibition in thermo</t>
  </si>
  <si>
    <t>From Fig 1 - need better values</t>
  </si>
  <si>
    <t>Actual data would be better, as not all values in text are exact or consistent</t>
  </si>
  <si>
    <t>Assumed - says stable</t>
  </si>
  <si>
    <t>Use this for calculations as this is how we do it for others</t>
  </si>
  <si>
    <t>Calculated from data in table in paper</t>
  </si>
  <si>
    <t>Not quite the same as H2 consumed in Table 1. Values below depend on which of the above you choose…</t>
  </si>
  <si>
    <t>This is VBP not VGP</t>
  </si>
  <si>
    <t>Calculated from VMP/VBP  - near enough</t>
  </si>
  <si>
    <t>Calculated from ratio of components</t>
  </si>
  <si>
    <t>based on extra CH4 produced</t>
  </si>
  <si>
    <t>based on difference from control</t>
  </si>
  <si>
    <t>Or this?  Need to look at method in paper to understand difference</t>
  </si>
  <si>
    <t>i.e. includes CH4 and CO2 but not H2</t>
  </si>
  <si>
    <t>i.e. uses normalised CH4 and CO2 for VBP  - near enough</t>
  </si>
  <si>
    <t>Based on stated dilution: from data below, maybe dilution is wrong…?</t>
  </si>
  <si>
    <t>Estimated CH4 production</t>
  </si>
  <si>
    <t>L CH4/day</t>
  </si>
  <si>
    <t>mL CH4/day</t>
  </si>
  <si>
    <t xml:space="preserve">Has this been apportioned somehow? If so how? </t>
  </si>
  <si>
    <t>Calculated from data in paper</t>
  </si>
  <si>
    <t xml:space="preserve">Not clear where this comes from </t>
  </si>
  <si>
    <t>Reported but looks wrong</t>
  </si>
  <si>
    <t>Very approx - from text and figs. Gives FAN vs pH so calculate?</t>
  </si>
  <si>
    <t>says 25, okay. Experiment duration a bit short</t>
  </si>
  <si>
    <t>check SMP</t>
  </si>
  <si>
    <t>So looks like unit error above</t>
  </si>
  <si>
    <t>SMP - i.e. unit error? Or correct? See below</t>
  </si>
  <si>
    <t>check OLR</t>
  </si>
  <si>
    <t>Comparative data without H2 needed</t>
  </si>
  <si>
    <t>Could possibly compare with Treu 2019 as all cases have H2</t>
  </si>
  <si>
    <t>m3 CO2/tonne TS</t>
  </si>
  <si>
    <t>Stoic value</t>
  </si>
  <si>
    <t>input</t>
  </si>
  <si>
    <t>H2 trans/</t>
  </si>
  <si>
    <t>MER/</t>
  </si>
  <si>
    <t>CRR/</t>
  </si>
  <si>
    <t>Exp CRR</t>
  </si>
  <si>
    <t>VCO2org</t>
  </si>
  <si>
    <t>VBP/</t>
  </si>
  <si>
    <t>VBPorg</t>
  </si>
  <si>
    <t>H2/</t>
  </si>
  <si>
    <t>Low H2/CO2</t>
  </si>
  <si>
    <t>Zhang (pers com 2022)</t>
  </si>
  <si>
    <t>Not reported</t>
  </si>
  <si>
    <t>Cattle manure or slurry</t>
  </si>
  <si>
    <t>Continuous stirred tank reactor</t>
  </si>
  <si>
    <t>Upflow anaerobic sludge blanket reactor</t>
  </si>
  <si>
    <t>Anaerobic membrane bioreactor</t>
  </si>
  <si>
    <t>Hollow Fibre Membrane</t>
  </si>
  <si>
    <t>SCOG</t>
  </si>
  <si>
    <t xml:space="preserve">Simulated coke-oven gas </t>
  </si>
  <si>
    <t>Acronym</t>
  </si>
  <si>
    <t>Definition</t>
  </si>
  <si>
    <t>Unit</t>
  </si>
  <si>
    <t>Organic loading rate, expressed as the mass of VS or COD added per unit of digester working volume per unit time</t>
  </si>
  <si>
    <t>Hydraulic retention time, as reported or calculated from digester working volume divided by the daily volume of feed added</t>
  </si>
  <si>
    <t>pH value of digestate</t>
  </si>
  <si>
    <t>E</t>
  </si>
  <si>
    <t>Exp MER, Exp CRR</t>
  </si>
  <si>
    <t>Not applicable</t>
  </si>
  <si>
    <t>Normalised</t>
  </si>
  <si>
    <t>Volatile fatty acid</t>
  </si>
  <si>
    <t>Total ammonia nitrogen</t>
  </si>
  <si>
    <r>
      <t>g VS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r>
      <rPr>
        <sz val="11"/>
        <color theme="1"/>
        <rFont val="Calibri"/>
        <family val="2"/>
        <scheme val="minor"/>
      </rPr>
      <t xml:space="preserve"> or g COD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</si>
  <si>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H</t>
    </r>
    <r>
      <rPr>
        <i/>
        <vertAlign val="subscript"/>
        <sz val="11"/>
        <color theme="1"/>
        <rFont val="Calibri"/>
        <family val="2"/>
        <scheme val="minor"/>
      </rPr>
      <t>2</t>
    </r>
    <r>
      <rPr>
        <i/>
        <sz val="11"/>
        <color theme="1"/>
        <rFont val="Calibri"/>
        <family val="2"/>
        <scheme val="minor"/>
      </rPr>
      <t xml:space="preserve"> input</t>
    </r>
  </si>
  <si>
    <r>
      <t>Volume of H</t>
    </r>
    <r>
      <rPr>
        <vertAlign val="subscript"/>
        <sz val="11"/>
        <color theme="1"/>
        <rFont val="Calibri"/>
        <family val="2"/>
        <scheme val="minor"/>
      </rPr>
      <t>2</t>
    </r>
    <r>
      <rPr>
        <sz val="11"/>
        <color theme="1"/>
        <rFont val="Calibri"/>
        <family val="2"/>
        <scheme val="minor"/>
      </rPr>
      <t xml:space="preserve"> added per unit of digester working volume per unit time</t>
    </r>
  </si>
  <si>
    <r>
      <t>L H</t>
    </r>
    <r>
      <rPr>
        <vertAlign val="subscript"/>
        <sz val="11"/>
        <color theme="1"/>
        <rFont val="Calibri"/>
        <family val="2"/>
        <scheme val="minor"/>
      </rPr>
      <t>2</t>
    </r>
    <r>
      <rPr>
        <sz val="11"/>
        <color theme="1"/>
        <rFont val="Calibri"/>
        <family val="2"/>
        <scheme val="minor"/>
      </rPr>
      <t xml:space="preserve">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</si>
  <si>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CO</t>
    </r>
    <r>
      <rPr>
        <i/>
        <vertAlign val="subscript"/>
        <sz val="11"/>
        <color theme="1"/>
        <rFont val="Calibri"/>
        <family val="2"/>
        <scheme val="minor"/>
      </rPr>
      <t>2</t>
    </r>
    <r>
      <rPr>
        <i/>
        <sz val="11"/>
        <color theme="1"/>
        <rFont val="Calibri"/>
        <family val="2"/>
        <scheme val="minor"/>
      </rPr>
      <t xml:space="preserve"> input</t>
    </r>
  </si>
  <si>
    <r>
      <t>Volume of exogenous CO</t>
    </r>
    <r>
      <rPr>
        <vertAlign val="subscript"/>
        <sz val="11"/>
        <color theme="1"/>
        <rFont val="Calibri"/>
        <family val="2"/>
        <scheme val="minor"/>
      </rPr>
      <t>2</t>
    </r>
    <r>
      <rPr>
        <sz val="11"/>
        <color theme="1"/>
        <rFont val="Calibri"/>
        <family val="2"/>
        <scheme val="minor"/>
      </rPr>
      <t xml:space="preserve"> added, per unit of digester working volume per unit time</t>
    </r>
  </si>
  <si>
    <r>
      <t>L CO</t>
    </r>
    <r>
      <rPr>
        <vertAlign val="subscript"/>
        <sz val="11"/>
        <color theme="1"/>
        <rFont val="Calibri"/>
        <family val="2"/>
        <scheme val="minor"/>
      </rPr>
      <t>2</t>
    </r>
    <r>
      <rPr>
        <sz val="11"/>
        <color theme="1"/>
        <rFont val="Calibri"/>
        <family val="2"/>
        <scheme val="minor"/>
      </rPr>
      <t xml:space="preserve">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</si>
  <si>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Specific methane production, defined as the volume of CH</t>
    </r>
    <r>
      <rPr>
        <vertAlign val="subscript"/>
        <sz val="11"/>
        <color theme="1"/>
        <rFont val="Calibri"/>
        <family val="2"/>
        <scheme val="minor"/>
      </rPr>
      <t>4</t>
    </r>
    <r>
      <rPr>
        <sz val="11"/>
        <color theme="1"/>
        <rFont val="Calibri"/>
        <family val="2"/>
        <scheme val="minor"/>
      </rPr>
      <t xml:space="preserve"> produced from both anaerobic degradation of organic material and CO</t>
    </r>
    <r>
      <rPr>
        <vertAlign val="subscript"/>
        <sz val="11"/>
        <color theme="1"/>
        <rFont val="Calibri"/>
        <family val="2"/>
        <scheme val="minor"/>
      </rPr>
      <t>2</t>
    </r>
    <r>
      <rPr>
        <sz val="11"/>
        <color theme="1"/>
        <rFont val="Calibri"/>
        <family val="2"/>
        <scheme val="minor"/>
      </rPr>
      <t xml:space="preserve"> biomethanisation (including from exogenous CO</t>
    </r>
    <r>
      <rPr>
        <vertAlign val="subscript"/>
        <sz val="11"/>
        <color theme="1"/>
        <rFont val="Calibri"/>
        <family val="2"/>
        <scheme val="minor"/>
      </rPr>
      <t>2</t>
    </r>
    <r>
      <rPr>
        <sz val="11"/>
        <color theme="1"/>
        <rFont val="Calibri"/>
        <family val="2"/>
        <scheme val="minor"/>
      </rPr>
      <t xml:space="preserve"> where applicable), per unit of organic feed added</t>
    </r>
  </si>
  <si>
    <r>
      <t>L CH</t>
    </r>
    <r>
      <rPr>
        <vertAlign val="subscript"/>
        <sz val="11"/>
        <color theme="1"/>
        <rFont val="Calibri"/>
        <family val="2"/>
        <scheme val="minor"/>
      </rPr>
      <t>4</t>
    </r>
    <r>
      <rPr>
        <sz val="11"/>
        <color theme="1"/>
        <rFont val="Calibri"/>
        <family val="2"/>
        <scheme val="minor"/>
      </rPr>
      <t xml:space="preserve"> g</t>
    </r>
    <r>
      <rPr>
        <vertAlign val="superscript"/>
        <sz val="11"/>
        <color theme="1"/>
        <rFont val="Calibri"/>
        <family val="2"/>
        <scheme val="minor"/>
      </rPr>
      <t>-1</t>
    </r>
    <r>
      <rPr>
        <sz val="11"/>
        <color theme="1"/>
        <rFont val="Calibri"/>
        <family val="2"/>
        <scheme val="minor"/>
      </rPr>
      <t xml:space="preserve"> VS or L CH</t>
    </r>
    <r>
      <rPr>
        <vertAlign val="subscript"/>
        <sz val="11"/>
        <color theme="1"/>
        <rFont val="Calibri"/>
        <family val="2"/>
        <scheme val="minor"/>
      </rPr>
      <t>4</t>
    </r>
    <r>
      <rPr>
        <sz val="11"/>
        <color theme="1"/>
        <rFont val="Calibri"/>
        <family val="2"/>
        <scheme val="minor"/>
      </rPr>
      <t xml:space="preserve"> g</t>
    </r>
    <r>
      <rPr>
        <vertAlign val="superscript"/>
        <sz val="11"/>
        <color theme="1"/>
        <rFont val="Calibri"/>
        <family val="2"/>
        <scheme val="minor"/>
      </rPr>
      <t>-1</t>
    </r>
    <r>
      <rPr>
        <sz val="11"/>
        <color theme="1"/>
        <rFont val="Calibri"/>
        <family val="2"/>
        <scheme val="minor"/>
      </rPr>
      <t xml:space="preserve"> COD</t>
    </r>
  </si>
  <si>
    <r>
      <t>SMP</t>
    </r>
    <r>
      <rPr>
        <i/>
        <vertAlign val="subscript"/>
        <sz val="11"/>
        <color theme="1"/>
        <rFont val="Calibri"/>
        <family val="2"/>
        <scheme val="minor"/>
      </rPr>
      <t>org</t>
    </r>
  </si>
  <si>
    <r>
      <t>Volume of CH</t>
    </r>
    <r>
      <rPr>
        <vertAlign val="subscript"/>
        <sz val="11"/>
        <color theme="1"/>
        <rFont val="Calibri"/>
        <family val="2"/>
        <scheme val="minor"/>
      </rPr>
      <t>4</t>
    </r>
    <r>
      <rPr>
        <sz val="11"/>
        <color theme="1"/>
        <rFont val="Calibri"/>
        <family val="2"/>
        <scheme val="minor"/>
      </rPr>
      <t xml:space="preserve"> produced from anaerobic degradation of organic material per unit of organic feed added. Values taken either from a digester without H</t>
    </r>
    <r>
      <rPr>
        <vertAlign val="subscript"/>
        <sz val="11"/>
        <color theme="1"/>
        <rFont val="Calibri"/>
        <family val="2"/>
        <scheme val="minor"/>
      </rPr>
      <t>2</t>
    </r>
    <r>
      <rPr>
        <sz val="11"/>
        <color theme="1"/>
        <rFont val="Calibri"/>
        <family val="2"/>
        <scheme val="minor"/>
      </rPr>
      <t xml:space="preserve"> addition operating in parallel with the experimental digester(s), or from a baseline period with no H</t>
    </r>
    <r>
      <rPr>
        <vertAlign val="subscript"/>
        <sz val="11"/>
        <color theme="1"/>
        <rFont val="Calibri"/>
        <family val="2"/>
        <scheme val="minor"/>
      </rPr>
      <t>2</t>
    </r>
    <r>
      <rPr>
        <sz val="11"/>
        <color theme="1"/>
        <rFont val="Calibri"/>
        <family val="2"/>
        <scheme val="minor"/>
      </rPr>
      <t xml:space="preserve"> addition: these conditions are defined as control conditions.</t>
    </r>
  </si>
  <si>
    <r>
      <t>SMP</t>
    </r>
    <r>
      <rPr>
        <i/>
        <vertAlign val="subscript"/>
        <sz val="11"/>
        <color theme="1"/>
        <rFont val="Calibri"/>
        <family val="2"/>
        <scheme val="minor"/>
      </rPr>
      <t>H2</t>
    </r>
  </si>
  <si>
    <r>
      <t>Volume of CH</t>
    </r>
    <r>
      <rPr>
        <vertAlign val="subscript"/>
        <sz val="11"/>
        <color theme="1"/>
        <rFont val="Calibri"/>
        <family val="2"/>
        <scheme val="minor"/>
      </rPr>
      <t>4</t>
    </r>
    <r>
      <rPr>
        <sz val="11"/>
        <color theme="1"/>
        <rFont val="Calibri"/>
        <family val="2"/>
        <scheme val="minor"/>
      </rPr>
      <t xml:space="preserve"> assumed to be produced from exogenous H</t>
    </r>
    <r>
      <rPr>
        <vertAlign val="subscript"/>
        <sz val="11"/>
        <color theme="1"/>
        <rFont val="Calibri"/>
        <family val="2"/>
        <scheme val="minor"/>
      </rPr>
      <t>2</t>
    </r>
    <r>
      <rPr>
        <sz val="11"/>
        <color theme="1"/>
        <rFont val="Calibri"/>
        <family val="2"/>
        <scheme val="minor"/>
      </rPr>
      <t xml:space="preserve"> via CO</t>
    </r>
    <r>
      <rPr>
        <vertAlign val="subscript"/>
        <sz val="11"/>
        <color theme="1"/>
        <rFont val="Calibri"/>
        <family val="2"/>
        <scheme val="minor"/>
      </rPr>
      <t>2</t>
    </r>
    <r>
      <rPr>
        <sz val="11"/>
        <color theme="1"/>
        <rFont val="Calibri"/>
        <family val="2"/>
        <scheme val="minor"/>
      </rPr>
      <t xml:space="preserve"> biomethanisation, per unit of organic feed added. Taken as the difference between </t>
    </r>
    <r>
      <rPr>
        <i/>
        <sz val="11"/>
        <color theme="1"/>
        <rFont val="Calibri"/>
        <family val="2"/>
        <scheme val="minor"/>
      </rPr>
      <t>SMP</t>
    </r>
    <r>
      <rPr>
        <sz val="11"/>
        <color theme="1"/>
        <rFont val="Calibri"/>
        <family val="2"/>
        <scheme val="minor"/>
      </rPr>
      <t xml:space="preserve"> and </t>
    </r>
    <r>
      <rPr>
        <i/>
        <sz val="11"/>
        <color theme="1"/>
        <rFont val="Calibri"/>
        <family val="2"/>
        <scheme val="minor"/>
      </rPr>
      <t>SMP</t>
    </r>
    <r>
      <rPr>
        <i/>
        <vertAlign val="subscript"/>
        <sz val="11"/>
        <color theme="1"/>
        <rFont val="Calibri"/>
        <family val="2"/>
        <scheme val="minor"/>
      </rPr>
      <t>org</t>
    </r>
    <r>
      <rPr>
        <sz val="11"/>
        <color theme="1"/>
        <rFont val="Calibri"/>
        <family val="2"/>
        <scheme val="minor"/>
      </rPr>
      <t xml:space="preserve">. </t>
    </r>
  </si>
  <si>
    <r>
      <t>SMP</t>
    </r>
    <r>
      <rPr>
        <i/>
        <vertAlign val="subscript"/>
        <sz val="11"/>
        <color theme="1"/>
        <rFont val="Calibri"/>
        <family val="2"/>
        <scheme val="minor"/>
      </rPr>
      <t>inc</t>
    </r>
  </si>
  <si>
    <r>
      <t>Proportional increase in methane production that is attributed to CO</t>
    </r>
    <r>
      <rPr>
        <vertAlign val="subscript"/>
        <sz val="11"/>
        <color theme="1"/>
        <rFont val="Calibri"/>
        <family val="2"/>
        <scheme val="minor"/>
      </rPr>
      <t>2</t>
    </r>
    <r>
      <rPr>
        <sz val="11"/>
        <color theme="1"/>
        <rFont val="Calibri"/>
        <family val="2"/>
        <scheme val="minor"/>
      </rPr>
      <t xml:space="preserve"> biomethanisation, equal to </t>
    </r>
    <r>
      <rPr>
        <i/>
        <sz val="11"/>
        <color theme="1"/>
        <rFont val="Calibri"/>
        <family val="2"/>
        <scheme val="minor"/>
      </rPr>
      <t>SMP</t>
    </r>
    <r>
      <rPr>
        <i/>
        <vertAlign val="subscript"/>
        <sz val="11"/>
        <color theme="1"/>
        <rFont val="Calibri"/>
        <family val="2"/>
        <scheme val="minor"/>
      </rPr>
      <t>H2</t>
    </r>
    <r>
      <rPr>
        <sz val="11"/>
        <color theme="1"/>
        <rFont val="Calibri"/>
        <family val="2"/>
        <scheme val="minor"/>
      </rPr>
      <t xml:space="preserve"> divided by </t>
    </r>
    <r>
      <rPr>
        <i/>
        <sz val="11"/>
        <color theme="1"/>
        <rFont val="Calibri"/>
        <family val="2"/>
        <scheme val="minor"/>
      </rPr>
      <t>SMP</t>
    </r>
    <r>
      <rPr>
        <i/>
        <vertAlign val="subscript"/>
        <sz val="11"/>
        <color theme="1"/>
        <rFont val="Calibri"/>
        <family val="2"/>
        <scheme val="minor"/>
      </rPr>
      <t>org</t>
    </r>
    <r>
      <rPr>
        <sz val="11"/>
        <color theme="1"/>
        <rFont val="Calibri"/>
        <family val="2"/>
        <scheme val="minor"/>
      </rPr>
      <t>.</t>
    </r>
  </si>
  <si>
    <r>
      <t>Volumetric methane production, defined as the volume of CH</t>
    </r>
    <r>
      <rPr>
        <vertAlign val="subscript"/>
        <sz val="11"/>
        <color theme="1"/>
        <rFont val="Calibri"/>
        <family val="2"/>
        <scheme val="minor"/>
      </rPr>
      <t>4</t>
    </r>
    <r>
      <rPr>
        <sz val="11"/>
        <color theme="1"/>
        <rFont val="Calibri"/>
        <family val="2"/>
        <scheme val="minor"/>
      </rPr>
      <t xml:space="preserve"> produced from both anaerobic degradation of organic material and CO</t>
    </r>
    <r>
      <rPr>
        <vertAlign val="subscript"/>
        <sz val="11"/>
        <color theme="1"/>
        <rFont val="Calibri"/>
        <family val="2"/>
        <scheme val="minor"/>
      </rPr>
      <t>2</t>
    </r>
    <r>
      <rPr>
        <sz val="11"/>
        <color theme="1"/>
        <rFont val="Calibri"/>
        <family val="2"/>
        <scheme val="minor"/>
      </rPr>
      <t xml:space="preserve"> biomethanisation (including from exogenous CO</t>
    </r>
    <r>
      <rPr>
        <vertAlign val="subscript"/>
        <sz val="11"/>
        <color theme="1"/>
        <rFont val="Calibri"/>
        <family val="2"/>
        <scheme val="minor"/>
      </rPr>
      <t>2</t>
    </r>
    <r>
      <rPr>
        <sz val="11"/>
        <color theme="1"/>
        <rFont val="Calibri"/>
        <family val="2"/>
        <scheme val="minor"/>
      </rPr>
      <t xml:space="preserve"> where applicable), per unit of digester working volume per unit time </t>
    </r>
  </si>
  <si>
    <r>
      <t>L CH</t>
    </r>
    <r>
      <rPr>
        <vertAlign val="subscript"/>
        <sz val="11"/>
        <color theme="1"/>
        <rFont val="Calibri"/>
        <family val="2"/>
        <scheme val="minor"/>
      </rPr>
      <t>4</t>
    </r>
    <r>
      <rPr>
        <sz val="11"/>
        <color theme="1"/>
        <rFont val="Calibri"/>
        <family val="2"/>
        <scheme val="minor"/>
      </rPr>
      <t xml:space="preserve">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</si>
  <si>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VMP</t>
    </r>
    <r>
      <rPr>
        <i/>
        <vertAlign val="subscript"/>
        <sz val="11"/>
        <color theme="1"/>
        <rFont val="Calibri"/>
        <family val="2"/>
        <scheme val="minor"/>
      </rPr>
      <t>org</t>
    </r>
    <r>
      <rPr>
        <i/>
        <sz val="11"/>
        <color theme="1"/>
        <rFont val="Calibri"/>
        <family val="2"/>
        <scheme val="minor"/>
      </rPr>
      <t xml:space="preserve"> </t>
    </r>
  </si>
  <si>
    <r>
      <t>Volume of CH</t>
    </r>
    <r>
      <rPr>
        <vertAlign val="subscript"/>
        <sz val="11"/>
        <color theme="1"/>
        <rFont val="Calibri"/>
        <family val="2"/>
        <scheme val="minor"/>
      </rPr>
      <t>4</t>
    </r>
    <r>
      <rPr>
        <sz val="11"/>
        <color theme="1"/>
        <rFont val="Calibri"/>
        <family val="2"/>
        <scheme val="minor"/>
      </rPr>
      <t xml:space="preserve"> produced from anaerobic degradation of organic material, per unit of digester working volume per unit time, with values taken under control conditions as defined for </t>
    </r>
    <r>
      <rPr>
        <i/>
        <sz val="11"/>
        <color theme="1"/>
        <rFont val="Calibri"/>
        <family val="2"/>
        <scheme val="minor"/>
      </rPr>
      <t>SMP</t>
    </r>
    <r>
      <rPr>
        <i/>
        <vertAlign val="subscript"/>
        <sz val="11"/>
        <color theme="1"/>
        <rFont val="Calibri"/>
        <family val="2"/>
        <scheme val="minor"/>
      </rPr>
      <t>org</t>
    </r>
    <r>
      <rPr>
        <sz val="11"/>
        <color theme="1"/>
        <rFont val="Calibri"/>
        <family val="2"/>
        <scheme val="minor"/>
      </rPr>
      <t xml:space="preserve">. </t>
    </r>
  </si>
  <si>
    <r>
      <t>Methane Evolution Rate, the volume of CH</t>
    </r>
    <r>
      <rPr>
        <vertAlign val="subscript"/>
        <sz val="11"/>
        <color theme="1"/>
        <rFont val="Calibri"/>
        <family val="2"/>
        <scheme val="minor"/>
      </rPr>
      <t>4</t>
    </r>
    <r>
      <rPr>
        <sz val="11"/>
        <color theme="1"/>
        <rFont val="Calibri"/>
        <family val="2"/>
        <scheme val="minor"/>
      </rPr>
      <t xml:space="preserve"> assumed to be produced from CO</t>
    </r>
    <r>
      <rPr>
        <vertAlign val="subscript"/>
        <sz val="11"/>
        <color theme="1"/>
        <rFont val="Calibri"/>
        <family val="2"/>
        <scheme val="minor"/>
      </rPr>
      <t>2</t>
    </r>
    <r>
      <rPr>
        <sz val="11"/>
        <color theme="1"/>
        <rFont val="Calibri"/>
        <family val="2"/>
        <scheme val="minor"/>
      </rPr>
      <t xml:space="preserve"> biomethanisation via exogenous H</t>
    </r>
    <r>
      <rPr>
        <vertAlign val="subscript"/>
        <sz val="11"/>
        <color theme="1"/>
        <rFont val="Calibri"/>
        <family val="2"/>
        <scheme val="minor"/>
      </rPr>
      <t>2</t>
    </r>
    <r>
      <rPr>
        <sz val="11"/>
        <color theme="1"/>
        <rFont val="Calibri"/>
        <family val="2"/>
        <scheme val="minor"/>
      </rPr>
      <t xml:space="preserve"> addition, per unit of digester working volume per unit time. Taken as the difference between </t>
    </r>
    <r>
      <rPr>
        <i/>
        <sz val="11"/>
        <color theme="1"/>
        <rFont val="Calibri"/>
        <family val="2"/>
        <scheme val="minor"/>
      </rPr>
      <t>VMP</t>
    </r>
    <r>
      <rPr>
        <sz val="11"/>
        <color theme="1"/>
        <rFont val="Calibri"/>
        <family val="2"/>
        <scheme val="minor"/>
      </rPr>
      <t xml:space="preserve"> and </t>
    </r>
    <r>
      <rPr>
        <i/>
        <sz val="11"/>
        <color theme="1"/>
        <rFont val="Calibri"/>
        <family val="2"/>
        <scheme val="minor"/>
      </rPr>
      <t>VMP</t>
    </r>
    <r>
      <rPr>
        <i/>
        <vertAlign val="subscript"/>
        <sz val="11"/>
        <color theme="1"/>
        <rFont val="Calibri"/>
        <family val="2"/>
        <scheme val="minor"/>
      </rPr>
      <t>org</t>
    </r>
    <r>
      <rPr>
        <sz val="11"/>
        <color theme="1"/>
        <rFont val="Calibri"/>
        <family val="2"/>
        <scheme val="minor"/>
      </rPr>
      <t>.</t>
    </r>
  </si>
  <si>
    <r>
      <t>VCO</t>
    </r>
    <r>
      <rPr>
        <i/>
        <vertAlign val="subscript"/>
        <sz val="11"/>
        <color theme="1"/>
        <rFont val="Calibri"/>
        <family val="2"/>
        <scheme val="minor"/>
      </rPr>
      <t>2</t>
    </r>
  </si>
  <si>
    <r>
      <t>Volume of CO</t>
    </r>
    <r>
      <rPr>
        <vertAlign val="subscript"/>
        <sz val="11"/>
        <color theme="1"/>
        <rFont val="Calibri"/>
        <family val="2"/>
        <scheme val="minor"/>
      </rPr>
      <t>2</t>
    </r>
    <r>
      <rPr>
        <sz val="11"/>
        <color theme="1"/>
        <rFont val="Calibri"/>
        <family val="2"/>
        <scheme val="minor"/>
      </rPr>
      <t xml:space="preserve"> produced, from both anaerobic degradation of organic material and CO</t>
    </r>
    <r>
      <rPr>
        <vertAlign val="subscript"/>
        <sz val="11"/>
        <color theme="1"/>
        <rFont val="Calibri"/>
        <family val="2"/>
        <scheme val="minor"/>
      </rPr>
      <t>2</t>
    </r>
    <r>
      <rPr>
        <sz val="11"/>
        <color theme="1"/>
        <rFont val="Calibri"/>
        <family val="2"/>
        <scheme val="minor"/>
      </rPr>
      <t xml:space="preserve"> biomethanisation (including exogenous CO</t>
    </r>
    <r>
      <rPr>
        <vertAlign val="subscript"/>
        <sz val="11"/>
        <color theme="1"/>
        <rFont val="Calibri"/>
        <family val="2"/>
        <scheme val="minor"/>
      </rPr>
      <t>2</t>
    </r>
    <r>
      <rPr>
        <sz val="11"/>
        <color theme="1"/>
        <rFont val="Calibri"/>
        <family val="2"/>
        <scheme val="minor"/>
      </rPr>
      <t xml:space="preserve"> where applicable), per unit of digester working volume per unit time.  </t>
    </r>
  </si>
  <si>
    <r>
      <t>VCO</t>
    </r>
    <r>
      <rPr>
        <i/>
        <vertAlign val="subscript"/>
        <sz val="11"/>
        <color theme="1"/>
        <rFont val="Calibri"/>
        <family val="2"/>
        <scheme val="minor"/>
      </rPr>
      <t>2org</t>
    </r>
  </si>
  <si>
    <r>
      <t>Volume of CO</t>
    </r>
    <r>
      <rPr>
        <vertAlign val="subscript"/>
        <sz val="11"/>
        <color theme="1"/>
        <rFont val="Calibri"/>
        <family val="2"/>
        <scheme val="minor"/>
      </rPr>
      <t>2</t>
    </r>
    <r>
      <rPr>
        <sz val="11"/>
        <color theme="1"/>
        <rFont val="Calibri"/>
        <family val="2"/>
        <scheme val="minor"/>
      </rPr>
      <t xml:space="preserve"> produced from anaerobic degradation of organic material, per unit of digester working volume per unit time, with values taken from control conditions as defined for </t>
    </r>
    <r>
      <rPr>
        <i/>
        <sz val="11"/>
        <color theme="1"/>
        <rFont val="Calibri"/>
        <family val="2"/>
        <scheme val="minor"/>
      </rPr>
      <t>SMP</t>
    </r>
    <r>
      <rPr>
        <i/>
        <vertAlign val="subscript"/>
        <sz val="11"/>
        <color theme="1"/>
        <rFont val="Calibri"/>
        <family val="2"/>
        <scheme val="minor"/>
      </rPr>
      <t>org</t>
    </r>
    <r>
      <rPr>
        <sz val="11"/>
        <color theme="1"/>
        <rFont val="Calibri"/>
        <family val="2"/>
        <scheme val="minor"/>
      </rPr>
      <t>.</t>
    </r>
  </si>
  <si>
    <r>
      <t>CO</t>
    </r>
    <r>
      <rPr>
        <vertAlign val="subscript"/>
        <sz val="11"/>
        <color theme="1"/>
        <rFont val="Calibri"/>
        <family val="2"/>
        <scheme val="minor"/>
      </rPr>
      <t>2</t>
    </r>
    <r>
      <rPr>
        <sz val="11"/>
        <color theme="1"/>
        <rFont val="Calibri"/>
        <family val="2"/>
        <scheme val="minor"/>
      </rPr>
      <t xml:space="preserve"> Removal Rate, the volume of CO</t>
    </r>
    <r>
      <rPr>
        <vertAlign val="subscript"/>
        <sz val="11"/>
        <color theme="1"/>
        <rFont val="Calibri"/>
        <family val="2"/>
        <scheme val="minor"/>
      </rPr>
      <t>2</t>
    </r>
    <r>
      <rPr>
        <sz val="11"/>
        <color theme="1"/>
        <rFont val="Calibri"/>
        <family val="2"/>
        <scheme val="minor"/>
      </rPr>
      <t xml:space="preserve"> assumed to be removed via CO</t>
    </r>
    <r>
      <rPr>
        <vertAlign val="subscript"/>
        <sz val="11"/>
        <color theme="1"/>
        <rFont val="Calibri"/>
        <family val="2"/>
        <scheme val="minor"/>
      </rPr>
      <t>2</t>
    </r>
    <r>
      <rPr>
        <sz val="11"/>
        <color theme="1"/>
        <rFont val="Calibri"/>
        <family val="2"/>
        <scheme val="minor"/>
      </rPr>
      <t xml:space="preserve"> biomethanisation, per unit of digester working volume per unit time.  Taken as the difference between </t>
    </r>
    <r>
      <rPr>
        <i/>
        <sz val="11"/>
        <color theme="1"/>
        <rFont val="Calibri"/>
        <family val="2"/>
        <scheme val="minor"/>
      </rPr>
      <t>VCO</t>
    </r>
    <r>
      <rPr>
        <i/>
        <vertAlign val="subscript"/>
        <sz val="11"/>
        <color theme="1"/>
        <rFont val="Calibri"/>
        <family val="2"/>
        <scheme val="minor"/>
      </rPr>
      <t>2</t>
    </r>
    <r>
      <rPr>
        <sz val="11"/>
        <color theme="1"/>
        <rFont val="Calibri"/>
        <family val="2"/>
        <scheme val="minor"/>
      </rPr>
      <t xml:space="preserve"> and </t>
    </r>
    <r>
      <rPr>
        <i/>
        <sz val="11"/>
        <color theme="1"/>
        <rFont val="Calibri"/>
        <family val="2"/>
        <scheme val="minor"/>
      </rPr>
      <t>VCO</t>
    </r>
    <r>
      <rPr>
        <i/>
        <vertAlign val="subscript"/>
        <sz val="11"/>
        <color theme="1"/>
        <rFont val="Calibri"/>
        <family val="2"/>
        <scheme val="minor"/>
      </rPr>
      <t>2org</t>
    </r>
    <r>
      <rPr>
        <sz val="11"/>
        <color theme="1"/>
        <rFont val="Calibri"/>
        <family val="2"/>
        <scheme val="minor"/>
      </rPr>
      <t>.</t>
    </r>
  </si>
  <si>
    <r>
      <t>L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</si>
  <si>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 xml:space="preserve">Sum of </t>
    </r>
    <r>
      <rPr>
        <i/>
        <sz val="11"/>
        <color theme="1"/>
        <rFont val="Calibri"/>
        <family val="2"/>
        <scheme val="minor"/>
      </rPr>
      <t>VMP</t>
    </r>
    <r>
      <rPr>
        <sz val="11"/>
        <color theme="1"/>
        <rFont val="Calibri"/>
        <family val="2"/>
        <scheme val="minor"/>
      </rPr>
      <t xml:space="preserve"> and </t>
    </r>
    <r>
      <rPr>
        <i/>
        <sz val="11"/>
        <color theme="1"/>
        <rFont val="Calibri"/>
        <family val="2"/>
        <scheme val="minor"/>
      </rPr>
      <t>VCO</t>
    </r>
    <r>
      <rPr>
        <i/>
        <vertAlign val="subscript"/>
        <sz val="11"/>
        <color theme="1"/>
        <rFont val="Calibri"/>
        <family val="2"/>
        <scheme val="minor"/>
      </rPr>
      <t>2</t>
    </r>
  </si>
  <si>
    <r>
      <t>L biogas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</si>
  <si>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r>
      <t>VBP</t>
    </r>
    <r>
      <rPr>
        <i/>
        <vertAlign val="subscript"/>
        <sz val="11"/>
        <color theme="1"/>
        <rFont val="Calibri"/>
        <family val="2"/>
        <scheme val="minor"/>
      </rPr>
      <t>org</t>
    </r>
  </si>
  <si>
    <r>
      <t xml:space="preserve">Sum of </t>
    </r>
    <r>
      <rPr>
        <i/>
        <sz val="11"/>
        <color theme="1"/>
        <rFont val="Calibri"/>
        <family val="2"/>
        <scheme val="minor"/>
      </rPr>
      <t>VMP</t>
    </r>
    <r>
      <rPr>
        <sz val="11"/>
        <color theme="1"/>
        <rFont val="Calibri"/>
        <family val="2"/>
        <scheme val="minor"/>
      </rPr>
      <t xml:space="preserve"> and </t>
    </r>
    <r>
      <rPr>
        <i/>
        <sz val="11"/>
        <color theme="1"/>
        <rFont val="Calibri"/>
        <family val="2"/>
        <scheme val="minor"/>
      </rPr>
      <t>VCO</t>
    </r>
    <r>
      <rPr>
        <i/>
        <vertAlign val="subscript"/>
        <sz val="11"/>
        <color theme="1"/>
        <rFont val="Calibri"/>
        <family val="2"/>
        <scheme val="minor"/>
      </rPr>
      <t>2org</t>
    </r>
    <r>
      <rPr>
        <sz val="11"/>
        <color theme="1"/>
        <rFont val="Calibri"/>
        <family val="2"/>
        <scheme val="minor"/>
      </rPr>
      <t xml:space="preserve"> </t>
    </r>
  </si>
  <si>
    <r>
      <t>CH</t>
    </r>
    <r>
      <rPr>
        <i/>
        <vertAlign val="subscript"/>
        <sz val="11"/>
        <color theme="1"/>
        <rFont val="Calibri"/>
        <family val="2"/>
        <scheme val="minor"/>
      </rPr>
      <t>4</t>
    </r>
    <r>
      <rPr>
        <i/>
        <sz val="11"/>
        <color theme="1"/>
        <rFont val="Calibri"/>
        <family val="2"/>
        <scheme val="minor"/>
      </rPr>
      <t>, CO</t>
    </r>
    <r>
      <rPr>
        <i/>
        <vertAlign val="subscript"/>
        <sz val="11"/>
        <color theme="1"/>
        <rFont val="Calibri"/>
        <family val="2"/>
        <scheme val="minor"/>
      </rPr>
      <t>2</t>
    </r>
    <r>
      <rPr>
        <i/>
        <sz val="11"/>
        <color theme="1"/>
        <rFont val="Calibri"/>
        <family val="2"/>
        <scheme val="minor"/>
      </rPr>
      <t>, H</t>
    </r>
    <r>
      <rPr>
        <i/>
        <vertAlign val="subscript"/>
        <sz val="11"/>
        <color theme="1"/>
        <rFont val="Calibri"/>
        <family val="2"/>
        <scheme val="minor"/>
      </rPr>
      <t>2</t>
    </r>
  </si>
  <si>
    <r>
      <t>Concentrations of CH</t>
    </r>
    <r>
      <rPr>
        <vertAlign val="subscript"/>
        <sz val="11"/>
        <color theme="1"/>
        <rFont val="Calibri"/>
        <family val="2"/>
        <scheme val="minor"/>
      </rPr>
      <t>4</t>
    </r>
    <r>
      <rPr>
        <sz val="11"/>
        <color theme="1"/>
        <rFont val="Calibri"/>
        <family val="2"/>
        <scheme val="minor"/>
      </rPr>
      <t>, CO</t>
    </r>
    <r>
      <rPr>
        <vertAlign val="subscript"/>
        <sz val="11"/>
        <color theme="1"/>
        <rFont val="Calibri"/>
        <family val="2"/>
        <scheme val="minor"/>
      </rPr>
      <t>2</t>
    </r>
    <r>
      <rPr>
        <sz val="11"/>
        <color theme="1"/>
        <rFont val="Calibri"/>
        <family val="2"/>
        <scheme val="minor"/>
      </rPr>
      <t xml:space="preserve"> and H</t>
    </r>
    <r>
      <rPr>
        <vertAlign val="subscript"/>
        <sz val="11"/>
        <color theme="1"/>
        <rFont val="Calibri"/>
        <family val="2"/>
        <scheme val="minor"/>
      </rPr>
      <t>2</t>
    </r>
    <r>
      <rPr>
        <sz val="11"/>
        <color theme="1"/>
        <rFont val="Calibri"/>
        <family val="2"/>
        <scheme val="minor"/>
      </rPr>
      <t>, respectively, in the output gas on a volumetric basis</t>
    </r>
  </si>
  <si>
    <r>
      <t>H</t>
    </r>
    <r>
      <rPr>
        <i/>
        <vertAlign val="subscript"/>
        <sz val="11"/>
        <color theme="1"/>
        <rFont val="Calibri"/>
        <family val="2"/>
        <scheme val="minor"/>
      </rPr>
      <t>2</t>
    </r>
    <r>
      <rPr>
        <i/>
        <sz val="11"/>
        <color theme="1"/>
        <rFont val="Calibri"/>
        <family val="2"/>
        <scheme val="minor"/>
      </rPr>
      <t>/CO</t>
    </r>
    <r>
      <rPr>
        <i/>
        <vertAlign val="subscript"/>
        <sz val="11"/>
        <color theme="1"/>
        <rFont val="Calibri"/>
        <family val="2"/>
        <scheme val="minor"/>
      </rPr>
      <t>2</t>
    </r>
  </si>
  <si>
    <r>
      <t>Ratio of H</t>
    </r>
    <r>
      <rPr>
        <vertAlign val="subscript"/>
        <sz val="11"/>
        <color theme="1"/>
        <rFont val="Calibri"/>
        <family val="2"/>
        <scheme val="minor"/>
      </rPr>
      <t>2</t>
    </r>
    <r>
      <rPr>
        <sz val="11"/>
        <color theme="1"/>
        <rFont val="Calibri"/>
        <family val="2"/>
        <scheme val="minor"/>
      </rPr>
      <t xml:space="preserve"> added to experimental digester and CO</t>
    </r>
    <r>
      <rPr>
        <vertAlign val="subscript"/>
        <sz val="11"/>
        <color theme="1"/>
        <rFont val="Calibri"/>
        <family val="2"/>
        <scheme val="minor"/>
      </rPr>
      <t>2</t>
    </r>
    <r>
      <rPr>
        <sz val="11"/>
        <color theme="1"/>
        <rFont val="Calibri"/>
        <family val="2"/>
        <scheme val="minor"/>
      </rPr>
      <t xml:space="preserve"> production of control, taken as </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input/VCO</t>
    </r>
    <r>
      <rPr>
        <i/>
        <vertAlign val="subscript"/>
        <sz val="11"/>
        <color theme="1"/>
        <rFont val="Calibri"/>
        <family val="2"/>
        <scheme val="minor"/>
      </rPr>
      <t>2org</t>
    </r>
    <r>
      <rPr>
        <sz val="11"/>
        <color theme="1"/>
        <rFont val="Calibri"/>
        <family val="2"/>
        <scheme val="minor"/>
      </rPr>
      <t xml:space="preserve"> for the relevant conditions.</t>
    </r>
  </si>
  <si>
    <r>
      <t>H</t>
    </r>
    <r>
      <rPr>
        <i/>
        <vertAlign val="subscript"/>
        <sz val="11"/>
        <color theme="1"/>
        <rFont val="Calibri"/>
        <family val="2"/>
        <scheme val="minor"/>
      </rPr>
      <t>2</t>
    </r>
    <r>
      <rPr>
        <i/>
        <sz val="11"/>
        <color theme="1"/>
        <rFont val="Calibri"/>
        <family val="2"/>
        <scheme val="minor"/>
      </rPr>
      <t xml:space="preserve"> output</t>
    </r>
  </si>
  <si>
    <r>
      <t>Volume of H</t>
    </r>
    <r>
      <rPr>
        <vertAlign val="subscript"/>
        <sz val="11"/>
        <color theme="1"/>
        <rFont val="Calibri"/>
        <family val="2"/>
        <scheme val="minor"/>
      </rPr>
      <t>2</t>
    </r>
    <r>
      <rPr>
        <sz val="11"/>
        <color theme="1"/>
        <rFont val="Calibri"/>
        <family val="2"/>
        <scheme val="minor"/>
      </rPr>
      <t xml:space="preserve"> leaving in gaseous form, per unit of digester working volume per unit time. Reported or calculated from output gas volume and concentration.</t>
    </r>
  </si>
  <si>
    <r>
      <t>H</t>
    </r>
    <r>
      <rPr>
        <i/>
        <vertAlign val="subscript"/>
        <sz val="11"/>
        <color theme="1"/>
        <rFont val="Calibri"/>
        <family val="2"/>
        <scheme val="minor"/>
      </rPr>
      <t>2</t>
    </r>
    <r>
      <rPr>
        <i/>
        <sz val="11"/>
        <color theme="1"/>
        <rFont val="Calibri"/>
        <family val="2"/>
        <scheme val="minor"/>
      </rPr>
      <t xml:space="preserve"> trans</t>
    </r>
  </si>
  <si>
    <r>
      <t>Volume of H</t>
    </r>
    <r>
      <rPr>
        <vertAlign val="subscript"/>
        <sz val="11"/>
        <color theme="1"/>
        <rFont val="Calibri"/>
        <family val="2"/>
        <scheme val="minor"/>
      </rPr>
      <t>2</t>
    </r>
    <r>
      <rPr>
        <sz val="11"/>
        <color theme="1"/>
        <rFont val="Calibri"/>
        <family val="2"/>
        <scheme val="minor"/>
      </rPr>
      <t xml:space="preserve"> successfully transferred from gaseous phase into the digester, per unit of digester working volume per unit time. Taken as (</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input</t>
    </r>
    <r>
      <rPr>
        <sz val="11"/>
        <color theme="1"/>
        <rFont val="Calibri"/>
        <family val="2"/>
        <scheme val="minor"/>
      </rPr>
      <t xml:space="preserve"> - </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output</t>
    </r>
    <r>
      <rPr>
        <sz val="11"/>
        <color theme="1"/>
        <rFont val="Calibri"/>
        <family val="2"/>
        <scheme val="minor"/>
      </rPr>
      <t xml:space="preserve">)  </t>
    </r>
  </si>
  <si>
    <r>
      <t>H</t>
    </r>
    <r>
      <rPr>
        <vertAlign val="subscript"/>
        <sz val="11"/>
        <color theme="1"/>
        <rFont val="Calibri"/>
        <family val="2"/>
        <scheme val="minor"/>
      </rPr>
      <t>2</t>
    </r>
    <r>
      <rPr>
        <sz val="11"/>
        <color theme="1"/>
        <rFont val="Calibri"/>
        <family val="2"/>
        <scheme val="minor"/>
      </rPr>
      <t xml:space="preserve"> transfer efficiency, the proportion of H</t>
    </r>
    <r>
      <rPr>
        <vertAlign val="subscript"/>
        <sz val="11"/>
        <color theme="1"/>
        <rFont val="Calibri"/>
        <family val="2"/>
        <scheme val="minor"/>
      </rPr>
      <t xml:space="preserve">2 </t>
    </r>
    <r>
      <rPr>
        <sz val="11"/>
        <color theme="1"/>
        <rFont val="Calibri"/>
        <family val="2"/>
        <scheme val="minor"/>
      </rPr>
      <t xml:space="preserve">successfully transferred from the gaseous phase into the digester, equal to </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trans</t>
    </r>
    <r>
      <rPr>
        <sz val="11"/>
        <color theme="1"/>
        <rFont val="Calibri"/>
        <family val="2"/>
        <scheme val="minor"/>
      </rPr>
      <t>/</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input</t>
    </r>
  </si>
  <si>
    <r>
      <t xml:space="preserve">Theoretical expected values for </t>
    </r>
    <r>
      <rPr>
        <i/>
        <sz val="11"/>
        <color theme="1"/>
        <rFont val="Calibri"/>
        <family val="2"/>
        <scheme val="minor"/>
      </rPr>
      <t>MER</t>
    </r>
    <r>
      <rPr>
        <sz val="11"/>
        <color theme="1"/>
        <rFont val="Calibri"/>
        <family val="2"/>
        <scheme val="minor"/>
      </rPr>
      <t xml:space="preserve"> and </t>
    </r>
    <r>
      <rPr>
        <i/>
        <sz val="11"/>
        <color theme="1"/>
        <rFont val="Calibri"/>
        <family val="2"/>
        <scheme val="minor"/>
      </rPr>
      <t>CRR</t>
    </r>
    <r>
      <rPr>
        <sz val="11"/>
        <color theme="1"/>
        <rFont val="Calibri"/>
        <family val="2"/>
        <scheme val="minor"/>
      </rPr>
      <t xml:space="preserve"> equal to the amount of H</t>
    </r>
    <r>
      <rPr>
        <vertAlign val="subscript"/>
        <sz val="11"/>
        <color theme="1"/>
        <rFont val="Calibri"/>
        <family val="2"/>
        <scheme val="minor"/>
      </rPr>
      <t>2</t>
    </r>
    <r>
      <rPr>
        <sz val="11"/>
        <color theme="1"/>
        <rFont val="Calibri"/>
        <family val="2"/>
        <scheme val="minor"/>
      </rPr>
      <t xml:space="preserve"> transferred divided by 4, i.e. </t>
    </r>
    <r>
      <rPr>
        <i/>
        <sz val="11"/>
        <color theme="1"/>
        <rFont val="Calibri"/>
        <family val="2"/>
        <scheme val="minor"/>
      </rPr>
      <t>H</t>
    </r>
    <r>
      <rPr>
        <i/>
        <vertAlign val="subscript"/>
        <sz val="11"/>
        <color theme="1"/>
        <rFont val="Calibri"/>
        <family val="2"/>
        <scheme val="minor"/>
      </rPr>
      <t>2</t>
    </r>
    <r>
      <rPr>
        <i/>
        <sz val="11"/>
        <color theme="1"/>
        <rFont val="Calibri"/>
        <family val="2"/>
        <scheme val="minor"/>
      </rPr>
      <t xml:space="preserve"> trans</t>
    </r>
    <r>
      <rPr>
        <sz val="11"/>
        <color theme="1"/>
        <rFont val="Calibri"/>
        <family val="2"/>
        <scheme val="minor"/>
      </rPr>
      <t>/4, based on stoichiometry.</t>
    </r>
  </si>
  <si>
    <r>
      <t>L CH</t>
    </r>
    <r>
      <rPr>
        <vertAlign val="subscript"/>
        <sz val="11"/>
        <color theme="1"/>
        <rFont val="Calibri"/>
        <family val="2"/>
        <scheme val="minor"/>
      </rPr>
      <t>4</t>
    </r>
    <r>
      <rPr>
        <sz val="11"/>
        <color theme="1"/>
        <rFont val="Calibri"/>
        <family val="2"/>
        <scheme val="minor"/>
      </rPr>
      <t xml:space="preserve">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r>
      <rPr>
        <sz val="11"/>
        <color theme="1"/>
        <rFont val="Calibri"/>
        <family val="2"/>
        <scheme val="minor"/>
      </rPr>
      <t>, L CO</t>
    </r>
    <r>
      <rPr>
        <vertAlign val="subscript"/>
        <sz val="11"/>
        <color theme="1"/>
        <rFont val="Calibri"/>
        <family val="2"/>
        <scheme val="minor"/>
      </rPr>
      <t>2</t>
    </r>
    <r>
      <rPr>
        <sz val="11"/>
        <color theme="1"/>
        <rFont val="Calibri"/>
        <family val="2"/>
        <scheme val="minor"/>
      </rPr>
      <t xml:space="preserve"> L</t>
    </r>
    <r>
      <rPr>
        <vertAlign val="superscript"/>
        <sz val="11"/>
        <color theme="1"/>
        <rFont val="Calibri"/>
        <family val="2"/>
        <scheme val="minor"/>
      </rPr>
      <t>-1</t>
    </r>
    <r>
      <rPr>
        <sz val="11"/>
        <color theme="1"/>
        <rFont val="Calibri"/>
        <family val="2"/>
        <scheme val="minor"/>
      </rPr>
      <t xml:space="preserve"> day</t>
    </r>
    <r>
      <rPr>
        <vertAlign val="superscript"/>
        <sz val="11"/>
        <color theme="1"/>
        <rFont val="Calibri"/>
        <family val="2"/>
        <scheme val="minor"/>
      </rPr>
      <t>-1</t>
    </r>
  </si>
  <si>
    <t>NB List may not be complete - additions welcome</t>
  </si>
  <si>
    <r>
      <t>Total volume of output gas, including H</t>
    </r>
    <r>
      <rPr>
        <vertAlign val="subscript"/>
        <sz val="11"/>
        <color theme="1"/>
        <rFont val="Calibri"/>
        <family val="2"/>
        <scheme val="minor"/>
      </rPr>
      <t>2</t>
    </r>
    <r>
      <rPr>
        <sz val="11"/>
        <color theme="1"/>
        <rFont val="Calibri"/>
        <family val="2"/>
        <scheme val="minor"/>
      </rPr>
      <t>, per unit of digester working volume per unit time</t>
    </r>
  </si>
  <si>
    <t>Other acronyms used in tables</t>
  </si>
  <si>
    <t>Nomenclature</t>
  </si>
  <si>
    <t>This list of acronyms is given in the order in which they appear n Tables S1-S4</t>
  </si>
  <si>
    <t>For more details on ratios see Supplementary Materials accompanying the main paper</t>
  </si>
  <si>
    <t>This file contains the dataset for the following paper:</t>
  </si>
  <si>
    <t>Dataset information</t>
  </si>
  <si>
    <t>Potential for Biomethanisation of CO2 from Anaerobic digestion of Organic Wastes in the United Kingdom</t>
  </si>
  <si>
    <t xml:space="preserve">Angela Bywater *, Sonia Heaven, Yue Zhang and Charles J. Banks </t>
  </si>
  <si>
    <r>
      <t xml:space="preserve">Water and Environmental Engineering Group, </t>
    </r>
    <r>
      <rPr>
        <sz val="11"/>
        <color theme="1"/>
        <rFont val="Calibri"/>
        <family val="2"/>
        <scheme val="minor"/>
      </rPr>
      <t>University of Southampton, Southampton, SO16 7QF, UK</t>
    </r>
  </si>
  <si>
    <t>* Correspondence: a.m.bywater@soton.ac.uk; s.heaven@soton.ac.uk</t>
  </si>
  <si>
    <t>From OLR x SMP, so OLR may be wrong</t>
  </si>
  <si>
    <t>But not sensible to take averages if behaving differently…?</t>
  </si>
  <si>
    <t>as reported - use this</t>
  </si>
  <si>
    <t>inadvertently used this in earlier version, very slight affect on SMP etc below</t>
  </si>
  <si>
    <t>Modified from calculated value, gives slight change in some values</t>
  </si>
  <si>
    <t>FW data - from spreadsheet</t>
  </si>
  <si>
    <t>SS data - from spreadsheet</t>
  </si>
  <si>
    <t>Typo in table - text says 84.3 which agrees better with check</t>
  </si>
  <si>
    <t>Hmmm - are we making wrong assumptions?</t>
  </si>
  <si>
    <t>pH/pCO2 equation</t>
  </si>
  <si>
    <t>Calculations for Table 1 in main paper</t>
  </si>
  <si>
    <t>Arises from the following:</t>
  </si>
  <si>
    <r>
      <t>Table S1 Performance data for CO</t>
    </r>
    <r>
      <rPr>
        <b/>
        <vertAlign val="subscript"/>
        <sz val="12"/>
        <color theme="1"/>
        <rFont val="Palatino Linotype"/>
        <family val="1"/>
      </rPr>
      <t>2</t>
    </r>
    <r>
      <rPr>
        <b/>
        <sz val="12"/>
        <color theme="1"/>
        <rFont val="Palatino Linotype"/>
        <family val="1"/>
      </rPr>
      <t xml:space="preserve"> biomethanisation of livestock manures</t>
    </r>
  </si>
  <si>
    <r>
      <t>Table S2 Performance data for CO</t>
    </r>
    <r>
      <rPr>
        <b/>
        <vertAlign val="subscript"/>
        <sz val="12"/>
        <color theme="1"/>
        <rFont val="Palatino Linotype"/>
        <family val="1"/>
      </rPr>
      <t>2</t>
    </r>
    <r>
      <rPr>
        <b/>
        <sz val="12"/>
        <color theme="1"/>
        <rFont val="Palatino Linotype"/>
        <family val="1"/>
      </rPr>
      <t xml:space="preserve"> biomethanisation of crops and agro-wastes </t>
    </r>
  </si>
  <si>
    <r>
      <t>Table S3 Performance data for CO</t>
    </r>
    <r>
      <rPr>
        <b/>
        <vertAlign val="subscript"/>
        <sz val="12"/>
        <color theme="1"/>
        <rFont val="Palatino Linotype"/>
        <family val="1"/>
      </rPr>
      <t>2</t>
    </r>
    <r>
      <rPr>
        <b/>
        <sz val="12"/>
        <color theme="1"/>
        <rFont val="Palatino Linotype"/>
        <family val="1"/>
      </rPr>
      <t xml:space="preserve"> biomethanisation of food wastes</t>
    </r>
  </si>
  <si>
    <r>
      <t>Table S4 Performance data for CO</t>
    </r>
    <r>
      <rPr>
        <b/>
        <vertAlign val="subscript"/>
        <sz val="12"/>
        <color theme="1"/>
        <rFont val="Palatino Linotype"/>
        <family val="1"/>
      </rPr>
      <t>2</t>
    </r>
    <r>
      <rPr>
        <b/>
        <sz val="12"/>
        <color theme="1"/>
        <rFont val="Palatino Linotype"/>
        <family val="1"/>
      </rPr>
      <t xml:space="preserve"> biomethanisation of sewage sludges</t>
    </r>
  </si>
  <si>
    <t>All results</t>
  </si>
  <si>
    <t>It is being made available in case it is useful to others working in this field</t>
  </si>
  <si>
    <t>PLEASE NOTE</t>
  </si>
  <si>
    <t>In some cases the values presented will differ from those in the original publication, as different assumptions or calculation methods have been used</t>
  </si>
  <si>
    <r>
      <t xml:space="preserve">Processes </t>
    </r>
    <r>
      <rPr>
        <b/>
        <sz val="11"/>
        <color theme="1"/>
        <rFont val="Calibri"/>
        <family val="2"/>
        <scheme val="minor"/>
      </rPr>
      <t>2022</t>
    </r>
    <r>
      <rPr>
        <sz val="11"/>
        <color theme="1"/>
        <rFont val="Calibri"/>
        <family val="2"/>
        <scheme val="minor"/>
      </rPr>
      <t xml:space="preserve">, </t>
    </r>
    <r>
      <rPr>
        <i/>
        <sz val="11"/>
        <color theme="1"/>
        <rFont val="Calibri"/>
        <family val="2"/>
        <scheme val="minor"/>
      </rPr>
      <t>10</t>
    </r>
    <r>
      <rPr>
        <sz val="11"/>
        <color theme="1"/>
        <rFont val="Calibri"/>
        <family val="2"/>
        <scheme val="minor"/>
      </rPr>
      <t>, 1202</t>
    </r>
  </si>
  <si>
    <t>https://doi.org/10.3390/pr10061202</t>
  </si>
  <si>
    <t>https://www.mdpi.com/2227-9717/10/6/1202</t>
  </si>
  <si>
    <t>The authors are aware there may be some errors, and will be very grateful if these are pointed out so they can be corrected (see above for contact details)</t>
  </si>
  <si>
    <t>It contains almost no new experimental data, but instead presents some simple calculations based on results published by other researchers</t>
  </si>
  <si>
    <t>This file should be used in conjunction with the above paper, especially the Supplementary Materials which are available from the above links</t>
  </si>
  <si>
    <t>ORIGINAL VERSION</t>
  </si>
  <si>
    <t>NB unpublished data so not fully checked and peer-reviewed</t>
  </si>
  <si>
    <t>These have not been corrected for accuracy of mass controller setting temperature</t>
  </si>
  <si>
    <t>Demonstration only - solved by simultaneous equations</t>
  </si>
  <si>
    <t>No further checks as overloaded i.e. no stable operation</t>
  </si>
  <si>
    <t>Should this be 226?</t>
  </si>
  <si>
    <t>Arithmetic error in this row in spreadsheet - needs updating</t>
  </si>
  <si>
    <t>Papers in worksheets after 'Data' do not appear in Tables S1-S4 but are mentioned in the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</si>
</sst>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0"/>
    <numFmt numFmtId="168" formatCode="0.00000"/>
  </numFmts>
  <fonts count="31"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8"/>
      <name val="Calibri"/>
      <family val="2"/>
      <scheme val="minor"/>
    </font>
    <font>
      <sz val="9"/>
      <name val="Arial"/>
      <family val="2"/>
    </font>
    <font>
      <b/>
      <sz val="9"/>
      <name val="Arial"/>
      <family val="2"/>
    </font>
    <font>
      <b/>
      <sz val="10"/>
      <name val="Arial"/>
      <family val="2"/>
    </font>
    <font>
      <sz val="10"/>
      <name val="Arial"/>
      <family val="2"/>
    </font>
    <font>
      <vertAlign val="subscript"/>
      <sz val="10"/>
      <name val="Arial"/>
      <family val="2"/>
    </font>
    <font>
      <sz val="10"/>
      <name val="Calibri"/>
      <family val="2"/>
      <scheme val="minor"/>
    </font>
    <font>
      <sz val="11"/>
      <color rgb="FF131413"/>
      <name val="Calibri"/>
      <family val="2"/>
      <scheme val="minor"/>
    </font>
    <font>
      <vertAlign val="subscript"/>
      <sz val="11"/>
      <color theme="1"/>
      <name val="Calibri"/>
      <family val="2"/>
      <scheme val="minor"/>
    </font>
    <font>
      <sz val="11"/>
      <color rgb="FF000000"/>
      <name val="Calibri"/>
      <family val="2"/>
      <scheme val="minor"/>
    </font>
    <font>
      <sz val="11"/>
      <name val="Calibri"/>
      <family val="2"/>
      <scheme val="minor"/>
    </font>
    <font>
      <sz val="11"/>
      <color indexed="8"/>
      <name val="Calibri"/>
      <family val="2"/>
    </font>
    <font>
      <b/>
      <sz val="11"/>
      <name val="Calibri"/>
      <family val="2"/>
      <scheme val="minor"/>
    </font>
    <font>
      <sz val="10"/>
      <color rgb="FF000000"/>
      <name val="Arial"/>
      <family val="2"/>
    </font>
    <font>
      <b/>
      <sz val="11"/>
      <color rgb="FF000000"/>
      <name val="Calibri"/>
      <family val="2"/>
      <scheme val="minor"/>
    </font>
    <font>
      <b/>
      <i/>
      <sz val="11"/>
      <color theme="1"/>
      <name val="Calibri"/>
      <family val="2"/>
      <scheme val="minor"/>
    </font>
    <font>
      <sz val="10"/>
      <color theme="1"/>
      <name val="Palatino Linotype"/>
      <family val="1"/>
    </font>
    <font>
      <b/>
      <sz val="10"/>
      <color theme="1"/>
      <name val="Palatino Linotype"/>
      <family val="1"/>
    </font>
    <font>
      <i/>
      <sz val="10"/>
      <color theme="1"/>
      <name val="Palatino Linotype"/>
      <family val="1"/>
    </font>
    <font>
      <sz val="10"/>
      <name val="Palatino Linotype"/>
      <family val="1"/>
    </font>
    <font>
      <b/>
      <vertAlign val="subscript"/>
      <sz val="10"/>
      <color theme="1"/>
      <name val="Palatino Linotype"/>
      <family val="1"/>
    </font>
    <font>
      <vertAlign val="superscript"/>
      <sz val="11"/>
      <color theme="1"/>
      <name val="Calibri"/>
      <family val="2"/>
      <scheme val="minor"/>
    </font>
    <font>
      <i/>
      <vertAlign val="subscript"/>
      <sz val="11"/>
      <color theme="1"/>
      <name val="Calibri"/>
      <family val="2"/>
      <scheme val="minor"/>
    </font>
    <font>
      <b/>
      <sz val="12"/>
      <color theme="1"/>
      <name val="Palatino Linotype"/>
      <family val="1"/>
    </font>
    <font>
      <b/>
      <vertAlign val="subscript"/>
      <sz val="12"/>
      <color theme="1"/>
      <name val="Palatino Linotype"/>
      <family val="1"/>
    </font>
    <font>
      <u/>
      <sz val="11"/>
      <color theme="10"/>
      <name val="Calibri"/>
      <family val="2"/>
      <scheme val="minor"/>
    </font>
    <font>
      <sz val="11"/>
      <color rgb="FFFF000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99FF"/>
        <bgColor indexed="64"/>
      </patternFill>
    </fill>
    <fill>
      <patternFill patternType="solid">
        <fgColor indexed="14"/>
        <bgColor indexed="64"/>
      </patternFill>
    </fill>
    <fill>
      <patternFill patternType="solid">
        <fgColor rgb="FFFF00FF"/>
        <bgColor indexed="64"/>
      </patternFill>
    </fill>
    <fill>
      <patternFill patternType="solid">
        <fgColor rgb="FF92D050"/>
        <bgColor indexed="64"/>
      </patternFill>
    </fill>
    <fill>
      <patternFill patternType="solid">
        <fgColor rgb="FFCC00CC"/>
        <bgColor indexed="64"/>
      </patternFill>
    </fill>
    <fill>
      <patternFill patternType="solid">
        <fgColor rgb="FF558ED5"/>
        <bgColor rgb="FF558ED5"/>
      </patternFill>
    </fill>
    <fill>
      <patternFill patternType="solid">
        <fgColor rgb="FFCCCCFF"/>
        <bgColor indexed="64"/>
      </patternFill>
    </fill>
    <fill>
      <patternFill patternType="solid">
        <fgColor indexed="44"/>
        <bgColor indexed="64"/>
      </patternFill>
    </fill>
    <fill>
      <patternFill patternType="solid">
        <fgColor theme="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9" fontId="3" fillId="0" borderId="0" applyFont="0" applyFill="0" applyBorder="0" applyAlignment="0" applyProtection="0"/>
    <xf numFmtId="0" fontId="15" fillId="0" borderId="0"/>
    <xf numFmtId="0" fontId="3" fillId="0" borderId="0"/>
    <xf numFmtId="0" fontId="3" fillId="0" borderId="0"/>
    <xf numFmtId="0" fontId="17" fillId="0" borderId="0"/>
    <xf numFmtId="0" fontId="29" fillId="0" borderId="0" applyNumberFormat="0" applyFill="0" applyBorder="0" applyAlignment="0" applyProtection="0"/>
  </cellStyleXfs>
  <cellXfs count="536">
    <xf numFmtId="0" fontId="0" fillId="0" borderId="0" xfId="0"/>
    <xf numFmtId="0" fontId="1" fillId="0" borderId="0" xfId="0" applyFont="1" applyAlignment="1">
      <alignment vertical="center"/>
    </xf>
    <xf numFmtId="11" fontId="0" fillId="0" borderId="0" xfId="0" applyNumberFormat="1"/>
    <xf numFmtId="2" fontId="0" fillId="0" borderId="0" xfId="0" applyNumberFormat="1"/>
    <xf numFmtId="0" fontId="0" fillId="3" borderId="0" xfId="0" applyFill="1"/>
    <xf numFmtId="11" fontId="0" fillId="0" borderId="0" xfId="0" applyNumberFormat="1" applyFill="1"/>
    <xf numFmtId="0" fontId="2" fillId="0" borderId="0" xfId="0" applyFont="1"/>
    <xf numFmtId="11" fontId="0" fillId="5" borderId="0" xfId="0" applyNumberFormat="1" applyFill="1"/>
    <xf numFmtId="164" fontId="0" fillId="0" borderId="0" xfId="0" applyNumberFormat="1"/>
    <xf numFmtId="0" fontId="0" fillId="2" borderId="0" xfId="0" applyFill="1"/>
    <xf numFmtId="165" fontId="0" fillId="0" borderId="0" xfId="0" applyNumberFormat="1"/>
    <xf numFmtId="2" fontId="0" fillId="5" borderId="0" xfId="0" applyNumberFormat="1" applyFill="1"/>
    <xf numFmtId="0" fontId="0" fillId="0" borderId="0" xfId="0" applyFill="1"/>
    <xf numFmtId="2" fontId="0" fillId="0" borderId="0" xfId="0" applyNumberFormat="1" applyFill="1"/>
    <xf numFmtId="0" fontId="1" fillId="0" borderId="0" xfId="0" applyFont="1"/>
    <xf numFmtId="2" fontId="1" fillId="0" borderId="0" xfId="0" applyNumberFormat="1" applyFont="1"/>
    <xf numFmtId="1" fontId="0" fillId="0" borderId="0" xfId="0" applyNumberFormat="1"/>
    <xf numFmtId="1" fontId="1" fillId="0" borderId="0" xfId="0" applyNumberFormat="1" applyFont="1"/>
    <xf numFmtId="0" fontId="1" fillId="7" borderId="0" xfId="0" applyFont="1" applyFill="1"/>
    <xf numFmtId="0" fontId="0" fillId="8" borderId="0" xfId="0" applyFill="1"/>
    <xf numFmtId="0" fontId="0" fillId="9" borderId="0" xfId="0" applyFill="1"/>
    <xf numFmtId="164" fontId="0" fillId="8" borderId="0" xfId="0" applyNumberFormat="1" applyFill="1"/>
    <xf numFmtId="164" fontId="0" fillId="10" borderId="0" xfId="0" applyNumberFormat="1" applyFill="1"/>
    <xf numFmtId="0" fontId="0" fillId="0" borderId="1" xfId="0" applyBorder="1"/>
    <xf numFmtId="0" fontId="0" fillId="11" borderId="0" xfId="0" applyFill="1"/>
    <xf numFmtId="14" fontId="0" fillId="0" borderId="0" xfId="0" applyNumberFormat="1"/>
    <xf numFmtId="0" fontId="0" fillId="6" borderId="0" xfId="0" applyFill="1"/>
    <xf numFmtId="0" fontId="0" fillId="0" borderId="0" xfId="0" applyFont="1"/>
    <xf numFmtId="0" fontId="1" fillId="3" borderId="0" xfId="0" applyFont="1" applyFill="1"/>
    <xf numFmtId="1" fontId="0" fillId="6" borderId="0" xfId="0" applyNumberFormat="1" applyFill="1"/>
    <xf numFmtId="2" fontId="0" fillId="6" borderId="0" xfId="0" applyNumberFormat="1" applyFill="1"/>
    <xf numFmtId="165" fontId="0" fillId="0" borderId="0" xfId="0" applyNumberFormat="1" applyFill="1"/>
    <xf numFmtId="1" fontId="0" fillId="0" borderId="0" xfId="0" applyNumberFormat="1" applyFill="1"/>
    <xf numFmtId="0" fontId="0" fillId="4" borderId="0" xfId="0" applyFill="1"/>
    <xf numFmtId="166" fontId="0" fillId="0" borderId="0" xfId="1" applyNumberFormat="1" applyFont="1"/>
    <xf numFmtId="2" fontId="0" fillId="12" borderId="0" xfId="0" applyNumberFormat="1" applyFill="1"/>
    <xf numFmtId="0" fontId="0" fillId="13" borderId="0" xfId="0" applyFill="1"/>
    <xf numFmtId="2" fontId="0" fillId="0" borderId="0" xfId="0" applyNumberFormat="1" applyFont="1"/>
    <xf numFmtId="1" fontId="0" fillId="0" borderId="0" xfId="0" applyNumberFormat="1" applyFont="1"/>
    <xf numFmtId="164" fontId="0" fillId="0" borderId="0" xfId="0" applyNumberFormat="1" applyFont="1"/>
    <xf numFmtId="0" fontId="2" fillId="0" borderId="0" xfId="0" applyFont="1" applyFill="1"/>
    <xf numFmtId="164" fontId="0" fillId="0" borderId="0" xfId="0" applyNumberFormat="1" applyFill="1"/>
    <xf numFmtId="2" fontId="0" fillId="9" borderId="0" xfId="0" applyNumberFormat="1" applyFill="1"/>
    <xf numFmtId="2" fontId="0" fillId="15" borderId="0" xfId="0" applyNumberFormat="1" applyFill="1"/>
    <xf numFmtId="0" fontId="0" fillId="7" borderId="0" xfId="0" applyFill="1"/>
    <xf numFmtId="11" fontId="0" fillId="11" borderId="0" xfId="0" applyNumberFormat="1" applyFill="1"/>
    <xf numFmtId="2" fontId="0" fillId="11" borderId="0" xfId="0" applyNumberFormat="1" applyFill="1"/>
    <xf numFmtId="2" fontId="0" fillId="2" borderId="0" xfId="0" applyNumberFormat="1" applyFill="1"/>
    <xf numFmtId="165" fontId="0" fillId="14" borderId="0" xfId="0" applyNumberFormat="1" applyFill="1"/>
    <xf numFmtId="1" fontId="0" fillId="14" borderId="0" xfId="0" applyNumberFormat="1" applyFill="1"/>
    <xf numFmtId="0" fontId="0" fillId="14" borderId="0" xfId="0" applyFill="1"/>
    <xf numFmtId="2" fontId="0" fillId="14" borderId="0" xfId="0" applyNumberFormat="1" applyFill="1"/>
    <xf numFmtId="165" fontId="0" fillId="6" borderId="0" xfId="0" applyNumberFormat="1" applyFill="1"/>
    <xf numFmtId="164" fontId="0" fillId="11" borderId="0" xfId="0" applyNumberFormat="1" applyFill="1"/>
    <xf numFmtId="1" fontId="2" fillId="0" borderId="0" xfId="0" applyNumberFormat="1" applyFont="1"/>
    <xf numFmtId="164" fontId="0" fillId="6" borderId="0" xfId="0" applyNumberFormat="1" applyFill="1"/>
    <xf numFmtId="16" fontId="0" fillId="0" borderId="0" xfId="0" applyNumberFormat="1"/>
    <xf numFmtId="0" fontId="2" fillId="9" borderId="0" xfId="0" applyFont="1" applyFill="1"/>
    <xf numFmtId="0" fontId="0" fillId="15" borderId="0" xfId="0" applyFill="1"/>
    <xf numFmtId="9" fontId="0" fillId="0" borderId="0" xfId="1" applyFont="1"/>
    <xf numFmtId="1" fontId="0" fillId="0" borderId="0" xfId="1" applyNumberFormat="1" applyFont="1"/>
    <xf numFmtId="167" fontId="0" fillId="0" borderId="0" xfId="0" applyNumberFormat="1"/>
    <xf numFmtId="164" fontId="0" fillId="0" borderId="0" xfId="1" applyNumberFormat="1" applyFont="1"/>
    <xf numFmtId="165" fontId="0" fillId="0" borderId="0" xfId="1" applyNumberFormat="1" applyFont="1"/>
    <xf numFmtId="1" fontId="0" fillId="0" borderId="0" xfId="0" applyNumberFormat="1" applyFont="1" applyFill="1"/>
    <xf numFmtId="11" fontId="0" fillId="9" borderId="0" xfId="0" applyNumberFormat="1" applyFill="1"/>
    <xf numFmtId="0" fontId="0" fillId="0" borderId="0" xfId="0" quotePrefix="1"/>
    <xf numFmtId="0" fontId="5" fillId="17" borderId="0" xfId="0" applyFont="1" applyFill="1"/>
    <xf numFmtId="0" fontId="7" fillId="0" borderId="0" xfId="0" applyFont="1"/>
    <xf numFmtId="0" fontId="8" fillId="0" borderId="0" xfId="0" applyFont="1"/>
    <xf numFmtId="0" fontId="0" fillId="17" borderId="1" xfId="0" applyFill="1" applyBorder="1"/>
    <xf numFmtId="2" fontId="0" fillId="0" borderId="1" xfId="0" applyNumberFormat="1" applyBorder="1"/>
    <xf numFmtId="165" fontId="0" fillId="0" borderId="1" xfId="0" applyNumberFormat="1" applyBorder="1"/>
    <xf numFmtId="164" fontId="0" fillId="0" borderId="1" xfId="0" applyNumberFormat="1" applyBorder="1"/>
    <xf numFmtId="1" fontId="0" fillId="2" borderId="0" xfId="0" applyNumberFormat="1" applyFill="1"/>
    <xf numFmtId="164" fontId="10" fillId="18" borderId="0" xfId="0" applyNumberFormat="1" applyFont="1" applyFill="1"/>
    <xf numFmtId="0" fontId="0" fillId="0" borderId="0" xfId="0" applyFill="1" applyBorder="1"/>
    <xf numFmtId="2" fontId="0" fillId="7" borderId="0" xfId="0" applyNumberFormat="1" applyFill="1"/>
    <xf numFmtId="165" fontId="0" fillId="4" borderId="0" xfId="0" applyNumberFormat="1" applyFill="1"/>
    <xf numFmtId="165" fontId="0" fillId="11" borderId="0" xfId="0" applyNumberFormat="1" applyFill="1"/>
    <xf numFmtId="0" fontId="0" fillId="0" borderId="0" xfId="0" applyBorder="1"/>
    <xf numFmtId="2" fontId="0" fillId="3" borderId="0" xfId="0" applyNumberFormat="1" applyFill="1"/>
    <xf numFmtId="0" fontId="0" fillId="5" borderId="0" xfId="0" applyFill="1"/>
    <xf numFmtId="0" fontId="0" fillId="0" borderId="0" xfId="0" applyAlignment="1">
      <alignment vertical="center"/>
    </xf>
    <xf numFmtId="0" fontId="0" fillId="12" borderId="0" xfId="0" applyFill="1"/>
    <xf numFmtId="165" fontId="0" fillId="12" borderId="0" xfId="0" applyNumberFormat="1" applyFill="1"/>
    <xf numFmtId="0" fontId="11" fillId="0" borderId="0" xfId="0" applyFont="1"/>
    <xf numFmtId="165" fontId="0" fillId="15" borderId="0" xfId="0" applyNumberFormat="1" applyFill="1"/>
    <xf numFmtId="168" fontId="0" fillId="0" borderId="0" xfId="0" applyNumberFormat="1"/>
    <xf numFmtId="0" fontId="0" fillId="0" borderId="0" xfId="0" applyFont="1" applyAlignment="1">
      <alignment vertical="center"/>
    </xf>
    <xf numFmtId="0" fontId="0" fillId="8" borderId="0" xfId="0" applyFont="1" applyFill="1"/>
    <xf numFmtId="165" fontId="0" fillId="0" borderId="0" xfId="0" applyNumberFormat="1" applyFont="1"/>
    <xf numFmtId="164" fontId="0" fillId="9" borderId="0" xfId="0" applyNumberFormat="1" applyFont="1" applyFill="1"/>
    <xf numFmtId="0" fontId="0" fillId="9" borderId="0" xfId="0" applyFont="1" applyFill="1"/>
    <xf numFmtId="167" fontId="0" fillId="0" borderId="0" xfId="0" applyNumberFormat="1" applyFont="1"/>
    <xf numFmtId="0" fontId="0" fillId="0" borderId="0" xfId="0" applyFont="1" applyFill="1"/>
    <xf numFmtId="2" fontId="0" fillId="0" borderId="0" xfId="0" applyNumberFormat="1" applyFont="1" applyFill="1"/>
    <xf numFmtId="2" fontId="0" fillId="2" borderId="0" xfId="0" applyNumberFormat="1" applyFont="1" applyFill="1"/>
    <xf numFmtId="165" fontId="0" fillId="0" borderId="0" xfId="0" applyNumberFormat="1" applyFont="1" applyFill="1"/>
    <xf numFmtId="0" fontId="0" fillId="20" borderId="0" xfId="0" applyFill="1"/>
    <xf numFmtId="0" fontId="0" fillId="0" borderId="0" xfId="0"/>
    <xf numFmtId="0" fontId="0" fillId="0" borderId="0" xfId="0"/>
    <xf numFmtId="0" fontId="1" fillId="0" borderId="0" xfId="0" applyFont="1"/>
    <xf numFmtId="0" fontId="0" fillId="0" borderId="0" xfId="0" applyFill="1"/>
    <xf numFmtId="164" fontId="0" fillId="9" borderId="0" xfId="0" applyNumberFormat="1" applyFill="1"/>
    <xf numFmtId="2" fontId="0" fillId="13" borderId="0" xfId="0" applyNumberFormat="1" applyFill="1"/>
    <xf numFmtId="164" fontId="0" fillId="2" borderId="0" xfId="0" applyNumberFormat="1" applyFill="1"/>
    <xf numFmtId="164" fontId="14" fillId="13" borderId="0" xfId="0" applyNumberFormat="1" applyFont="1" applyFill="1"/>
    <xf numFmtId="164" fontId="0" fillId="13" borderId="0" xfId="0" applyNumberFormat="1" applyFill="1"/>
    <xf numFmtId="0" fontId="0" fillId="0" borderId="0" xfId="0" applyAlignment="1">
      <alignment vertical="top"/>
    </xf>
    <xf numFmtId="0" fontId="0" fillId="0" borderId="0" xfId="0" applyFill="1" applyAlignment="1">
      <alignment vertical="top"/>
    </xf>
    <xf numFmtId="165" fontId="0" fillId="2" borderId="0" xfId="0" applyNumberFormat="1" applyFill="1"/>
    <xf numFmtId="0" fontId="1" fillId="2" borderId="0" xfId="0" applyFont="1" applyFill="1"/>
    <xf numFmtId="0" fontId="0" fillId="12" borderId="0" xfId="0" applyFont="1" applyFill="1"/>
    <xf numFmtId="0" fontId="2" fillId="12" borderId="0" xfId="0" applyFont="1" applyFill="1"/>
    <xf numFmtId="164" fontId="0" fillId="12" borderId="0" xfId="0" applyNumberFormat="1" applyFill="1"/>
    <xf numFmtId="0" fontId="16" fillId="0" borderId="0" xfId="0" applyFont="1" applyFill="1" applyBorder="1" applyAlignment="1">
      <alignment horizontal="center" vertical="center" wrapText="1"/>
    </xf>
    <xf numFmtId="164" fontId="0" fillId="0" borderId="0" xfId="0" applyNumberFormat="1" applyFont="1" applyFill="1" applyBorder="1" applyAlignment="1"/>
    <xf numFmtId="166" fontId="0" fillId="0" borderId="0" xfId="1" applyNumberFormat="1" applyFont="1" applyFill="1" applyBorder="1"/>
    <xf numFmtId="164" fontId="14" fillId="0" borderId="0" xfId="0" applyNumberFormat="1" applyFont="1" applyFill="1" applyBorder="1"/>
    <xf numFmtId="164" fontId="0" fillId="0" borderId="0" xfId="0" applyNumberFormat="1" applyFont="1" applyFill="1" applyBorder="1"/>
    <xf numFmtId="0" fontId="0" fillId="0" borderId="6" xfId="0" applyFont="1" applyBorder="1"/>
    <xf numFmtId="166" fontId="0" fillId="0" borderId="2" xfId="1" applyNumberFormat="1" applyFont="1" applyFill="1" applyBorder="1"/>
    <xf numFmtId="164" fontId="0" fillId="0" borderId="6" xfId="4" applyNumberFormat="1" applyFont="1" applyFill="1" applyBorder="1" applyAlignment="1">
      <alignment horizontal="left"/>
    </xf>
    <xf numFmtId="164" fontId="0" fillId="0" borderId="7" xfId="4" applyNumberFormat="1" applyFont="1" applyFill="1" applyBorder="1" applyAlignment="1">
      <alignment horizontal="left"/>
    </xf>
    <xf numFmtId="164" fontId="14" fillId="0" borderId="8" xfId="0" applyNumberFormat="1" applyFont="1" applyFill="1" applyBorder="1"/>
    <xf numFmtId="164" fontId="0" fillId="0" borderId="8" xfId="0" applyNumberFormat="1" applyFont="1" applyFill="1" applyBorder="1"/>
    <xf numFmtId="0" fontId="1" fillId="0" borderId="6" xfId="0" applyFont="1" applyFill="1" applyBorder="1" applyAlignment="1">
      <alignment horizontal="left"/>
    </xf>
    <xf numFmtId="0" fontId="16" fillId="0" borderId="2" xfId="0" applyFont="1" applyFill="1" applyBorder="1" applyAlignment="1">
      <alignment horizontal="center" vertical="center" wrapText="1"/>
    </xf>
    <xf numFmtId="164" fontId="0" fillId="0" borderId="2" xfId="0" applyNumberFormat="1" applyFont="1" applyFill="1" applyBorder="1"/>
    <xf numFmtId="0" fontId="0" fillId="0" borderId="6" xfId="0" applyFont="1" applyBorder="1" applyAlignment="1">
      <alignment horizontal="left"/>
    </xf>
    <xf numFmtId="164" fontId="0" fillId="0" borderId="9" xfId="0" applyNumberFormat="1" applyFont="1" applyFill="1" applyBorder="1"/>
    <xf numFmtId="165" fontId="0" fillId="0" borderId="0" xfId="0" applyNumberFormat="1" applyFont="1" applyFill="1" applyBorder="1"/>
    <xf numFmtId="0" fontId="0" fillId="0" borderId="0" xfId="0"/>
    <xf numFmtId="2" fontId="0" fillId="0" borderId="0" xfId="0" applyNumberFormat="1"/>
    <xf numFmtId="0" fontId="1" fillId="0" borderId="0" xfId="0" applyFont="1" applyFill="1" applyBorder="1" applyAlignment="1">
      <alignment horizontal="center"/>
    </xf>
    <xf numFmtId="0" fontId="16" fillId="0" borderId="0" xfId="0" applyFont="1" applyFill="1" applyBorder="1" applyAlignment="1">
      <alignment horizontal="center" vertical="center" wrapText="1"/>
    </xf>
    <xf numFmtId="0" fontId="0" fillId="0" borderId="0" xfId="0" applyFont="1" applyFill="1" applyBorder="1"/>
    <xf numFmtId="164" fontId="0" fillId="0" borderId="0" xfId="0" applyNumberFormat="1" applyFont="1" applyFill="1" applyBorder="1" applyAlignment="1"/>
    <xf numFmtId="166" fontId="0" fillId="0" borderId="0" xfId="1" applyNumberFormat="1" applyFont="1" applyFill="1" applyBorder="1"/>
    <xf numFmtId="166" fontId="0" fillId="0" borderId="0" xfId="0" applyNumberFormat="1" applyFont="1" applyFill="1" applyBorder="1"/>
    <xf numFmtId="2" fontId="0" fillId="0" borderId="0" xfId="0" applyNumberFormat="1" applyFont="1" applyFill="1" applyBorder="1"/>
    <xf numFmtId="2" fontId="0" fillId="0" borderId="0" xfId="0" applyNumberFormat="1" applyFont="1" applyFill="1" applyBorder="1" applyAlignment="1"/>
    <xf numFmtId="2" fontId="0" fillId="0" borderId="0" xfId="1" applyNumberFormat="1" applyFont="1" applyFill="1" applyBorder="1"/>
    <xf numFmtId="164" fontId="14" fillId="0" borderId="0" xfId="0" applyNumberFormat="1" applyFont="1" applyFill="1" applyBorder="1"/>
    <xf numFmtId="164" fontId="0" fillId="0" borderId="0" xfId="0" applyNumberFormat="1" applyFont="1" applyFill="1" applyBorder="1"/>
    <xf numFmtId="164" fontId="0" fillId="0" borderId="0" xfId="1" applyNumberFormat="1" applyFont="1" applyFill="1" applyBorder="1"/>
    <xf numFmtId="164" fontId="0" fillId="0" borderId="0" xfId="4" applyNumberFormat="1" applyFont="1" applyFill="1" applyBorder="1" applyAlignment="1">
      <alignment horizontal="left"/>
    </xf>
    <xf numFmtId="0" fontId="0" fillId="0" borderId="0" xfId="0" applyFont="1"/>
    <xf numFmtId="0" fontId="0" fillId="0" borderId="6" xfId="0" applyFont="1" applyBorder="1"/>
    <xf numFmtId="0" fontId="1" fillId="0" borderId="6" xfId="0" applyFont="1" applyBorder="1" applyAlignment="1">
      <alignment horizontal="left"/>
    </xf>
    <xf numFmtId="0" fontId="1" fillId="0" borderId="2" xfId="0" applyFont="1" applyFill="1" applyBorder="1" applyAlignment="1">
      <alignment horizontal="center"/>
    </xf>
    <xf numFmtId="0" fontId="0" fillId="0" borderId="6" xfId="0" applyFont="1" applyFill="1" applyBorder="1"/>
    <xf numFmtId="164" fontId="0" fillId="0" borderId="2" xfId="0" applyNumberFormat="1" applyFont="1" applyFill="1" applyBorder="1" applyAlignment="1"/>
    <xf numFmtId="0" fontId="0" fillId="0" borderId="6" xfId="0" applyFont="1" applyFill="1" applyBorder="1" applyAlignment="1">
      <alignment horizontal="left"/>
    </xf>
    <xf numFmtId="166" fontId="0" fillId="0" borderId="2" xfId="1" applyNumberFormat="1" applyFont="1" applyFill="1" applyBorder="1"/>
    <xf numFmtId="2" fontId="0" fillId="0" borderId="2" xfId="0" applyNumberFormat="1" applyFont="1" applyFill="1" applyBorder="1"/>
    <xf numFmtId="164" fontId="0" fillId="0" borderId="2" xfId="1" applyNumberFormat="1" applyFont="1" applyFill="1" applyBorder="1"/>
    <xf numFmtId="164" fontId="0" fillId="0" borderId="6" xfId="4" applyNumberFormat="1" applyFont="1" applyFill="1" applyBorder="1" applyAlignment="1">
      <alignment horizontal="left"/>
    </xf>
    <xf numFmtId="164" fontId="0" fillId="0" borderId="7" xfId="4" applyNumberFormat="1" applyFont="1" applyFill="1" applyBorder="1" applyAlignment="1">
      <alignment horizontal="left"/>
    </xf>
    <xf numFmtId="164" fontId="14" fillId="0" borderId="8" xfId="0" applyNumberFormat="1" applyFont="1" applyFill="1" applyBorder="1"/>
    <xf numFmtId="164" fontId="0" fillId="0" borderId="8" xfId="0" applyNumberFormat="1" applyFont="1" applyFill="1" applyBorder="1"/>
    <xf numFmtId="164" fontId="0" fillId="0" borderId="8" xfId="1" applyNumberFormat="1" applyFont="1" applyFill="1" applyBorder="1"/>
    <xf numFmtId="164" fontId="0" fillId="0" borderId="9" xfId="1" applyNumberFormat="1" applyFont="1" applyFill="1" applyBorder="1"/>
    <xf numFmtId="164" fontId="2" fillId="0" borderId="0" xfId="4" applyNumberFormat="1" applyFont="1" applyFill="1" applyBorder="1" applyAlignment="1">
      <alignment horizontal="left"/>
    </xf>
    <xf numFmtId="164" fontId="0" fillId="0" borderId="0" xfId="0" applyNumberFormat="1" applyFont="1" applyFill="1"/>
    <xf numFmtId="0" fontId="0" fillId="11" borderId="0" xfId="0" applyFont="1" applyFill="1"/>
    <xf numFmtId="0" fontId="13" fillId="0" borderId="0" xfId="5" applyFont="1" applyFill="1" applyBorder="1" applyAlignment="1">
      <alignment horizontal="center"/>
    </xf>
    <xf numFmtId="0" fontId="18" fillId="21" borderId="11" xfId="5" applyFont="1" applyFill="1" applyBorder="1" applyAlignment="1">
      <alignment horizontal="center"/>
    </xf>
    <xf numFmtId="0" fontId="18" fillId="21" borderId="13" xfId="5" applyFont="1" applyFill="1" applyBorder="1" applyAlignment="1">
      <alignment horizontal="center"/>
    </xf>
    <xf numFmtId="0" fontId="18" fillId="21" borderId="16" xfId="5" applyFont="1" applyFill="1" applyBorder="1" applyAlignment="1">
      <alignment horizontal="center"/>
    </xf>
    <xf numFmtId="0" fontId="18" fillId="21" borderId="14" xfId="5" applyFont="1" applyFill="1" applyBorder="1" applyAlignment="1">
      <alignment horizontal="center"/>
    </xf>
    <xf numFmtId="0" fontId="13" fillId="0" borderId="10" xfId="5" applyFont="1" applyBorder="1" applyAlignment="1">
      <alignment horizontal="right"/>
    </xf>
    <xf numFmtId="10" fontId="13" fillId="0" borderId="10" xfId="5" applyNumberFormat="1" applyFont="1" applyBorder="1" applyAlignment="1">
      <alignment horizontal="right"/>
    </xf>
    <xf numFmtId="10" fontId="0" fillId="0" borderId="10" xfId="5" applyNumberFormat="1" applyFont="1" applyBorder="1" applyAlignment="1">
      <alignment horizontal="right"/>
    </xf>
    <xf numFmtId="16" fontId="0" fillId="0" borderId="0" xfId="0" quotePrefix="1" applyNumberFormat="1"/>
    <xf numFmtId="0" fontId="1" fillId="0" borderId="0" xfId="0" applyFont="1" applyFill="1"/>
    <xf numFmtId="165" fontId="0" fillId="6" borderId="0" xfId="0" applyNumberFormat="1" applyFont="1" applyFill="1"/>
    <xf numFmtId="0" fontId="0" fillId="16" borderId="0" xfId="0" applyFill="1"/>
    <xf numFmtId="0" fontId="8" fillId="23" borderId="0" xfId="0" applyFont="1" applyFill="1"/>
    <xf numFmtId="0" fontId="0" fillId="17" borderId="0" xfId="0" applyFill="1"/>
    <xf numFmtId="165" fontId="0" fillId="17" borderId="0" xfId="0" applyNumberFormat="1" applyFill="1"/>
    <xf numFmtId="1" fontId="0" fillId="11" borderId="0" xfId="0" applyNumberFormat="1" applyFill="1"/>
    <xf numFmtId="0" fontId="0" fillId="11" borderId="0" xfId="0" quotePrefix="1" applyFill="1"/>
    <xf numFmtId="0" fontId="19" fillId="0" borderId="0" xfId="0" applyFont="1"/>
    <xf numFmtId="0" fontId="19" fillId="0" borderId="0" xfId="0" applyFont="1" applyFill="1"/>
    <xf numFmtId="9" fontId="0" fillId="0" borderId="0" xfId="0" applyNumberFormat="1" applyFill="1"/>
    <xf numFmtId="164" fontId="0" fillId="14" borderId="0" xfId="0" applyNumberFormat="1" applyFill="1"/>
    <xf numFmtId="0" fontId="0" fillId="22" borderId="0" xfId="0" applyFill="1" applyAlignment="1">
      <alignment vertical="top"/>
    </xf>
    <xf numFmtId="9" fontId="0" fillId="0" borderId="0" xfId="1" applyFont="1" applyFill="1"/>
    <xf numFmtId="0" fontId="0" fillId="0" borderId="0" xfId="0" applyAlignment="1">
      <alignment horizontal="center" vertical="center" wrapText="1"/>
    </xf>
    <xf numFmtId="0" fontId="0" fillId="0" borderId="0" xfId="0" applyAlignment="1">
      <alignment horizontal="center" vertical="center"/>
    </xf>
    <xf numFmtId="1" fontId="0" fillId="0" borderId="0" xfId="0" applyNumberFormat="1" applyAlignment="1">
      <alignment horizontal="center" vertical="center"/>
    </xf>
    <xf numFmtId="2" fontId="0" fillId="0" borderId="0" xfId="1" applyNumberFormat="1" applyFont="1"/>
    <xf numFmtId="0" fontId="0" fillId="19" borderId="0" xfId="0" applyFill="1"/>
    <xf numFmtId="0" fontId="0" fillId="23" borderId="0" xfId="0" applyFill="1"/>
    <xf numFmtId="166" fontId="0" fillId="11" borderId="0" xfId="1" applyNumberFormat="1" applyFont="1" applyFill="1"/>
    <xf numFmtId="16" fontId="0" fillId="11" borderId="0" xfId="0" quotePrefix="1" applyNumberFormat="1" applyFill="1"/>
    <xf numFmtId="164" fontId="0" fillId="0" borderId="0" xfId="0" applyNumberFormat="1"/>
    <xf numFmtId="164" fontId="0" fillId="5" borderId="0" xfId="0" applyNumberFormat="1" applyFill="1"/>
    <xf numFmtId="165" fontId="0" fillId="0" borderId="0" xfId="0" applyNumberFormat="1" applyBorder="1"/>
    <xf numFmtId="2" fontId="0" fillId="0" borderId="0" xfId="0" applyNumberFormat="1" applyFill="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2" xfId="0" applyBorder="1"/>
    <xf numFmtId="2" fontId="0" fillId="0" borderId="2" xfId="0" applyNumberFormat="1" applyFill="1" applyBorder="1"/>
    <xf numFmtId="165" fontId="0" fillId="0" borderId="2" xfId="0" applyNumberFormat="1" applyBorder="1"/>
    <xf numFmtId="0" fontId="0" fillId="0" borderId="7" xfId="0" applyBorder="1"/>
    <xf numFmtId="0" fontId="0" fillId="0" borderId="8" xfId="0" applyBorder="1"/>
    <xf numFmtId="165" fontId="0" fillId="0" borderId="8" xfId="0" applyNumberFormat="1" applyBorder="1"/>
    <xf numFmtId="165" fontId="0" fillId="0" borderId="9" xfId="0" applyNumberFormat="1" applyBorder="1"/>
    <xf numFmtId="0" fontId="0" fillId="0" borderId="3" xfId="0" applyFont="1" applyBorder="1"/>
    <xf numFmtId="0" fontId="2" fillId="0" borderId="6" xfId="0" applyFont="1" applyBorder="1"/>
    <xf numFmtId="2" fontId="0" fillId="0" borderId="0" xfId="0" applyNumberFormat="1" applyBorder="1"/>
    <xf numFmtId="2" fontId="0" fillId="0" borderId="2" xfId="0" applyNumberFormat="1" applyBorder="1"/>
    <xf numFmtId="164" fontId="0" fillId="0" borderId="0" xfId="0" applyNumberFormat="1" applyBorder="1"/>
    <xf numFmtId="164" fontId="0" fillId="0" borderId="2" xfId="0" applyNumberFormat="1" applyBorder="1"/>
    <xf numFmtId="1" fontId="0" fillId="0" borderId="0" xfId="0" applyNumberFormat="1" applyBorder="1"/>
    <xf numFmtId="1" fontId="0" fillId="0" borderId="2" xfId="0" applyNumberFormat="1" applyBorder="1"/>
    <xf numFmtId="2" fontId="0" fillId="0" borderId="8" xfId="0" applyNumberFormat="1" applyBorder="1"/>
    <xf numFmtId="0" fontId="0" fillId="0" borderId="9" xfId="0" applyBorder="1"/>
    <xf numFmtId="0" fontId="0" fillId="0" borderId="3" xfId="0" applyFill="1" applyBorder="1"/>
    <xf numFmtId="0" fontId="0" fillId="0" borderId="4" xfId="0" applyFill="1" applyBorder="1"/>
    <xf numFmtId="0" fontId="0" fillId="0" borderId="5" xfId="0" applyFill="1" applyBorder="1"/>
    <xf numFmtId="165" fontId="0" fillId="0" borderId="0" xfId="0" applyNumberFormat="1" applyFill="1" applyBorder="1"/>
    <xf numFmtId="165" fontId="0" fillId="0" borderId="2" xfId="0" applyNumberFormat="1" applyFill="1" applyBorder="1"/>
    <xf numFmtId="0" fontId="2" fillId="0" borderId="6" xfId="0" applyFont="1" applyFill="1" applyBorder="1"/>
    <xf numFmtId="0" fontId="0" fillId="0" borderId="6" xfId="0" applyFill="1" applyBorder="1"/>
    <xf numFmtId="0" fontId="0" fillId="0" borderId="2" xfId="0" applyFill="1" applyBorder="1"/>
    <xf numFmtId="164" fontId="0" fillId="0" borderId="0" xfId="0" applyNumberFormat="1" applyFill="1" applyBorder="1"/>
    <xf numFmtId="164" fontId="0" fillId="0" borderId="2" xfId="0" applyNumberFormat="1" applyFill="1" applyBorder="1"/>
    <xf numFmtId="1" fontId="0" fillId="0" borderId="0" xfId="0" applyNumberFormat="1" applyFill="1" applyBorder="1"/>
    <xf numFmtId="1" fontId="0" fillId="0" borderId="2" xfId="0" applyNumberFormat="1" applyFill="1" applyBorder="1"/>
    <xf numFmtId="0" fontId="0" fillId="0" borderId="7" xfId="0" applyFont="1" applyFill="1" applyBorder="1"/>
    <xf numFmtId="0" fontId="0" fillId="0" borderId="8" xfId="0" applyFill="1" applyBorder="1"/>
    <xf numFmtId="2" fontId="0" fillId="0" borderId="8" xfId="0" applyNumberFormat="1" applyFill="1" applyBorder="1"/>
    <xf numFmtId="2" fontId="0" fillId="0" borderId="9" xfId="0" applyNumberFormat="1" applyFill="1" applyBorder="1"/>
    <xf numFmtId="2" fontId="0" fillId="0" borderId="9" xfId="0" applyNumberFormat="1" applyBorder="1"/>
    <xf numFmtId="0" fontId="2" fillId="0" borderId="3" xfId="0" applyFont="1" applyBorder="1"/>
    <xf numFmtId="0" fontId="0" fillId="0" borderId="7" xfId="0" applyFont="1" applyBorder="1"/>
    <xf numFmtId="1" fontId="0" fillId="3" borderId="0" xfId="0" applyNumberFormat="1" applyFill="1"/>
    <xf numFmtId="164" fontId="0" fillId="3" borderId="0" xfId="0" applyNumberFormat="1" applyFill="1"/>
    <xf numFmtId="0" fontId="0" fillId="24" borderId="0" xfId="0" applyFill="1"/>
    <xf numFmtId="0" fontId="20" fillId="0" borderId="0" xfId="0" applyFont="1" applyAlignment="1">
      <alignment vertical="top"/>
    </xf>
    <xf numFmtId="0" fontId="20" fillId="2" borderId="0" xfId="0" applyFont="1" applyFill="1" applyAlignment="1">
      <alignment vertical="top"/>
    </xf>
    <xf numFmtId="0" fontId="20" fillId="15" borderId="0" xfId="0" applyFont="1" applyFill="1" applyAlignment="1">
      <alignment vertical="top"/>
    </xf>
    <xf numFmtId="165" fontId="20" fillId="0" borderId="0" xfId="0" applyNumberFormat="1" applyFont="1" applyAlignment="1">
      <alignment vertical="top"/>
    </xf>
    <xf numFmtId="165" fontId="20" fillId="15" borderId="0" xfId="0" applyNumberFormat="1" applyFont="1" applyFill="1" applyAlignment="1">
      <alignment vertical="top"/>
    </xf>
    <xf numFmtId="2" fontId="20" fillId="15" borderId="0" xfId="0" applyNumberFormat="1" applyFont="1" applyFill="1" applyAlignment="1">
      <alignment vertical="top"/>
    </xf>
    <xf numFmtId="2" fontId="20" fillId="0" borderId="0" xfId="0" applyNumberFormat="1" applyFont="1" applyAlignment="1">
      <alignment vertical="top"/>
    </xf>
    <xf numFmtId="0" fontId="21" fillId="0" borderId="0" xfId="0" applyFont="1" applyAlignment="1">
      <alignment vertical="top"/>
    </xf>
    <xf numFmtId="1" fontId="20" fillId="0" borderId="0" xfId="0" applyNumberFormat="1" applyFont="1" applyAlignment="1">
      <alignment vertical="top"/>
    </xf>
    <xf numFmtId="0" fontId="20" fillId="0" borderId="0" xfId="0" applyFont="1" applyFill="1" applyAlignment="1">
      <alignment vertical="top"/>
    </xf>
    <xf numFmtId="0" fontId="21" fillId="22" borderId="0" xfId="0" applyFont="1" applyFill="1" applyAlignment="1">
      <alignment vertical="top"/>
    </xf>
    <xf numFmtId="0" fontId="20" fillId="22" borderId="0" xfId="0" applyFont="1" applyFill="1" applyAlignment="1">
      <alignment vertical="top"/>
    </xf>
    <xf numFmtId="1" fontId="20" fillId="22" borderId="0" xfId="0" applyNumberFormat="1" applyFont="1" applyFill="1" applyAlignment="1">
      <alignment vertical="top"/>
    </xf>
    <xf numFmtId="0" fontId="20" fillId="0" borderId="0" xfId="0" applyFont="1" applyAlignment="1">
      <alignment horizontal="center" vertical="top"/>
    </xf>
    <xf numFmtId="0" fontId="20" fillId="15" borderId="0" xfId="0" applyFont="1" applyFill="1" applyAlignment="1">
      <alignment horizontal="center" vertical="top"/>
    </xf>
    <xf numFmtId="0" fontId="20" fillId="0" borderId="0" xfId="0" applyFont="1" applyFill="1" applyAlignment="1">
      <alignment horizontal="center" vertical="top"/>
    </xf>
    <xf numFmtId="1" fontId="20" fillId="0" borderId="0" xfId="0" applyNumberFormat="1" applyFont="1" applyAlignment="1">
      <alignment horizontal="center" vertical="top"/>
    </xf>
    <xf numFmtId="165" fontId="20" fillId="15" borderId="0" xfId="0" applyNumberFormat="1" applyFont="1" applyFill="1" applyAlignment="1">
      <alignment horizontal="center" vertical="top"/>
    </xf>
    <xf numFmtId="2" fontId="20" fillId="15" borderId="0" xfId="0" applyNumberFormat="1" applyFont="1" applyFill="1" applyAlignment="1">
      <alignment horizontal="center" vertical="top"/>
    </xf>
    <xf numFmtId="2" fontId="20" fillId="0" borderId="0" xfId="0" applyNumberFormat="1" applyFont="1" applyAlignment="1">
      <alignment horizontal="center" vertical="top"/>
    </xf>
    <xf numFmtId="164" fontId="20" fillId="0" borderId="0" xfId="0" applyNumberFormat="1" applyFont="1" applyAlignment="1">
      <alignment horizontal="center" vertical="top"/>
    </xf>
    <xf numFmtId="0" fontId="20" fillId="22" borderId="0" xfId="0" applyFont="1" applyFill="1" applyAlignment="1">
      <alignment horizontal="center" vertical="top"/>
    </xf>
    <xf numFmtId="9" fontId="20" fillId="0" borderId="0" xfId="0" applyNumberFormat="1" applyFont="1" applyAlignment="1">
      <alignment horizontal="center" vertical="top"/>
    </xf>
    <xf numFmtId="2" fontId="20" fillId="22" borderId="0" xfId="0" applyNumberFormat="1" applyFont="1" applyFill="1" applyAlignment="1">
      <alignment horizontal="center" vertical="top"/>
    </xf>
    <xf numFmtId="9" fontId="20" fillId="22" borderId="0" xfId="0" applyNumberFormat="1" applyFont="1" applyFill="1" applyAlignment="1">
      <alignment horizontal="center" vertical="top"/>
    </xf>
    <xf numFmtId="164" fontId="20" fillId="22" borderId="0" xfId="0" applyNumberFormat="1" applyFont="1" applyFill="1" applyAlignment="1">
      <alignment horizontal="center" vertical="top"/>
    </xf>
    <xf numFmtId="165" fontId="20" fillId="0" borderId="0" xfId="0" applyNumberFormat="1" applyFont="1" applyAlignment="1">
      <alignment horizontal="center" vertical="top"/>
    </xf>
    <xf numFmtId="9" fontId="20" fillId="0" borderId="0" xfId="1" applyFont="1" applyAlignment="1">
      <alignment horizontal="center" vertical="top"/>
    </xf>
    <xf numFmtId="0" fontId="20" fillId="12" borderId="0" xfId="0" applyFont="1" applyFill="1" applyAlignment="1">
      <alignment horizontal="center" vertical="top"/>
    </xf>
    <xf numFmtId="165" fontId="20" fillId="22" borderId="0" xfId="0" applyNumberFormat="1" applyFont="1" applyFill="1" applyAlignment="1">
      <alignment horizontal="center" vertical="top"/>
    </xf>
    <xf numFmtId="2" fontId="20" fillId="15" borderId="0" xfId="1" applyNumberFormat="1" applyFont="1" applyFill="1" applyAlignment="1">
      <alignment horizontal="center" vertical="top"/>
    </xf>
    <xf numFmtId="164" fontId="20" fillId="15" borderId="0" xfId="0" applyNumberFormat="1" applyFont="1" applyFill="1" applyAlignment="1">
      <alignment horizontal="center" vertical="top"/>
    </xf>
    <xf numFmtId="2" fontId="20" fillId="3" borderId="0" xfId="0" applyNumberFormat="1" applyFont="1" applyFill="1" applyAlignment="1">
      <alignment horizontal="center" vertical="top"/>
    </xf>
    <xf numFmtId="165" fontId="20" fillId="3" borderId="0" xfId="0" applyNumberFormat="1" applyFont="1" applyFill="1" applyAlignment="1">
      <alignment horizontal="center" vertical="top"/>
    </xf>
    <xf numFmtId="1" fontId="20" fillId="15" borderId="0" xfId="0" applyNumberFormat="1" applyFont="1" applyFill="1" applyAlignment="1">
      <alignment horizontal="center" vertical="top"/>
    </xf>
    <xf numFmtId="1" fontId="20" fillId="15" borderId="0" xfId="0" applyNumberFormat="1" applyFont="1" applyFill="1" applyAlignment="1">
      <alignment vertical="top"/>
    </xf>
    <xf numFmtId="9" fontId="20" fillId="15" borderId="0" xfId="1" applyNumberFormat="1" applyFont="1" applyFill="1" applyAlignment="1">
      <alignment horizontal="center" vertical="top"/>
    </xf>
    <xf numFmtId="0" fontId="22" fillId="15" borderId="0" xfId="0" applyFont="1" applyFill="1" applyAlignment="1">
      <alignment vertical="top"/>
    </xf>
    <xf numFmtId="0" fontId="21" fillId="22" borderId="17" xfId="0" applyFont="1" applyFill="1" applyBorder="1" applyAlignment="1">
      <alignment vertical="top"/>
    </xf>
    <xf numFmtId="0" fontId="20" fillId="22" borderId="17" xfId="0" applyFont="1" applyFill="1" applyBorder="1" applyAlignment="1">
      <alignment vertical="top"/>
    </xf>
    <xf numFmtId="0" fontId="20" fillId="22" borderId="17" xfId="0" applyFont="1" applyFill="1" applyBorder="1" applyAlignment="1">
      <alignment horizontal="center" vertical="top"/>
    </xf>
    <xf numFmtId="1" fontId="20" fillId="22" borderId="17" xfId="0" applyNumberFormat="1" applyFont="1" applyFill="1" applyBorder="1" applyAlignment="1">
      <alignment vertical="top"/>
    </xf>
    <xf numFmtId="165" fontId="20" fillId="22" borderId="17" xfId="0" applyNumberFormat="1" applyFont="1" applyFill="1" applyBorder="1" applyAlignment="1">
      <alignment horizontal="center" vertical="top"/>
    </xf>
    <xf numFmtId="2" fontId="20" fillId="22" borderId="17" xfId="1" applyNumberFormat="1" applyFont="1" applyFill="1" applyBorder="1" applyAlignment="1">
      <alignment horizontal="center" vertical="top"/>
    </xf>
    <xf numFmtId="2" fontId="20" fillId="22" borderId="17" xfId="0" applyNumberFormat="1" applyFont="1" applyFill="1" applyBorder="1" applyAlignment="1">
      <alignment horizontal="center" vertical="top"/>
    </xf>
    <xf numFmtId="164" fontId="20" fillId="22" borderId="17" xfId="0" applyNumberFormat="1" applyFont="1" applyFill="1" applyBorder="1" applyAlignment="1">
      <alignment horizontal="center" vertical="top"/>
    </xf>
    <xf numFmtId="9" fontId="20" fillId="22" borderId="17" xfId="1" applyNumberFormat="1" applyFont="1" applyFill="1" applyBorder="1" applyAlignment="1">
      <alignment horizontal="center" vertical="top"/>
    </xf>
    <xf numFmtId="164" fontId="20" fillId="22" borderId="17" xfId="1" applyNumberFormat="1" applyFont="1" applyFill="1" applyBorder="1" applyAlignment="1">
      <alignment horizontal="center" vertical="top"/>
    </xf>
    <xf numFmtId="0" fontId="20" fillId="15" borderId="17" xfId="0" applyFont="1" applyFill="1" applyBorder="1" applyAlignment="1">
      <alignment horizontal="center" vertical="top"/>
    </xf>
    <xf numFmtId="0" fontId="20" fillId="15" borderId="17" xfId="0" applyFont="1" applyFill="1" applyBorder="1" applyAlignment="1">
      <alignment vertical="top"/>
    </xf>
    <xf numFmtId="165" fontId="20" fillId="15" borderId="17" xfId="0" applyNumberFormat="1" applyFont="1" applyFill="1" applyBorder="1" applyAlignment="1">
      <alignment vertical="top"/>
    </xf>
    <xf numFmtId="1" fontId="20" fillId="15" borderId="17" xfId="0" applyNumberFormat="1" applyFont="1" applyFill="1" applyBorder="1" applyAlignment="1">
      <alignment vertical="top"/>
    </xf>
    <xf numFmtId="2" fontId="20" fillId="15" borderId="17" xfId="0" applyNumberFormat="1" applyFont="1" applyFill="1" applyBorder="1" applyAlignment="1">
      <alignment horizontal="center" vertical="top"/>
    </xf>
    <xf numFmtId="1" fontId="20" fillId="15" borderId="17" xfId="0" applyNumberFormat="1" applyFont="1" applyFill="1" applyBorder="1" applyAlignment="1">
      <alignment horizontal="center" vertical="top"/>
    </xf>
    <xf numFmtId="165" fontId="20" fillId="15" borderId="17" xfId="0" applyNumberFormat="1" applyFont="1" applyFill="1" applyBorder="1" applyAlignment="1">
      <alignment horizontal="center" vertical="top"/>
    </xf>
    <xf numFmtId="164" fontId="20" fillId="15" borderId="17" xfId="0" applyNumberFormat="1" applyFont="1" applyFill="1" applyBorder="1" applyAlignment="1">
      <alignment horizontal="center" vertical="top"/>
    </xf>
    <xf numFmtId="9" fontId="20" fillId="15" borderId="17" xfId="1" applyNumberFormat="1" applyFont="1" applyFill="1" applyBorder="1" applyAlignment="1">
      <alignment horizontal="center" vertical="top"/>
    </xf>
    <xf numFmtId="2" fontId="20" fillId="15" borderId="17" xfId="0" applyNumberFormat="1" applyFont="1" applyFill="1" applyBorder="1" applyAlignment="1">
      <alignment vertical="top"/>
    </xf>
    <xf numFmtId="164" fontId="20" fillId="15" borderId="17" xfId="0" applyNumberFormat="1" applyFont="1" applyFill="1" applyBorder="1" applyAlignment="1">
      <alignment vertical="top"/>
    </xf>
    <xf numFmtId="0" fontId="20" fillId="25" borderId="17" xfId="0" applyFont="1" applyFill="1" applyBorder="1" applyAlignment="1">
      <alignment vertical="top"/>
    </xf>
    <xf numFmtId="0" fontId="20" fillId="25" borderId="17" xfId="0" applyFont="1" applyFill="1" applyBorder="1" applyAlignment="1">
      <alignment horizontal="center" vertical="top"/>
    </xf>
    <xf numFmtId="1" fontId="20" fillId="25" borderId="17" xfId="0" applyNumberFormat="1" applyFont="1" applyFill="1" applyBorder="1" applyAlignment="1">
      <alignment vertical="top"/>
    </xf>
    <xf numFmtId="2" fontId="20" fillId="25" borderId="17" xfId="0" applyNumberFormat="1" applyFont="1" applyFill="1" applyBorder="1" applyAlignment="1">
      <alignment horizontal="center" vertical="top"/>
    </xf>
    <xf numFmtId="165" fontId="20" fillId="25" borderId="17" xfId="0" applyNumberFormat="1" applyFont="1" applyFill="1" applyBorder="1" applyAlignment="1">
      <alignment horizontal="center" vertical="top"/>
    </xf>
    <xf numFmtId="164" fontId="20" fillId="25" borderId="17" xfId="0" applyNumberFormat="1" applyFont="1" applyFill="1" applyBorder="1" applyAlignment="1">
      <alignment horizontal="center" vertical="top"/>
    </xf>
    <xf numFmtId="2" fontId="20" fillId="25" borderId="17" xfId="0" applyNumberFormat="1" applyFont="1" applyFill="1" applyBorder="1" applyAlignment="1">
      <alignment vertical="top"/>
    </xf>
    <xf numFmtId="9" fontId="20" fillId="25" borderId="17" xfId="1" applyNumberFormat="1" applyFont="1" applyFill="1" applyBorder="1" applyAlignment="1">
      <alignment horizontal="center" vertical="top"/>
    </xf>
    <xf numFmtId="0" fontId="22" fillId="25" borderId="0" xfId="0" applyFont="1" applyFill="1" applyAlignment="1">
      <alignment vertical="top"/>
    </xf>
    <xf numFmtId="0" fontId="20" fillId="25" borderId="0" xfId="0" applyFont="1" applyFill="1" applyAlignment="1">
      <alignment vertical="top"/>
    </xf>
    <xf numFmtId="0" fontId="20" fillId="25" borderId="0" xfId="0" applyFont="1" applyFill="1" applyAlignment="1">
      <alignment horizontal="center" vertical="top"/>
    </xf>
    <xf numFmtId="1" fontId="20" fillId="25" borderId="0" xfId="0" applyNumberFormat="1" applyFont="1" applyFill="1" applyAlignment="1">
      <alignment vertical="top"/>
    </xf>
    <xf numFmtId="2" fontId="20" fillId="25" borderId="0" xfId="0" applyNumberFormat="1" applyFont="1" applyFill="1" applyAlignment="1">
      <alignment horizontal="center" vertical="top"/>
    </xf>
    <xf numFmtId="165" fontId="20" fillId="25" borderId="0" xfId="0" applyNumberFormat="1" applyFont="1" applyFill="1" applyAlignment="1">
      <alignment horizontal="center" vertical="top"/>
    </xf>
    <xf numFmtId="2" fontId="20" fillId="25" borderId="0" xfId="1" applyNumberFormat="1" applyFont="1" applyFill="1" applyAlignment="1">
      <alignment horizontal="center" vertical="top"/>
    </xf>
    <xf numFmtId="164" fontId="20" fillId="25" borderId="0" xfId="0" applyNumberFormat="1" applyFont="1" applyFill="1" applyAlignment="1">
      <alignment horizontal="center" vertical="top"/>
    </xf>
    <xf numFmtId="2" fontId="20" fillId="25" borderId="0" xfId="0" applyNumberFormat="1" applyFont="1" applyFill="1" applyAlignment="1">
      <alignment vertical="top"/>
    </xf>
    <xf numFmtId="9" fontId="20" fillId="25" borderId="0" xfId="1" applyNumberFormat="1" applyFont="1" applyFill="1" applyAlignment="1">
      <alignment horizontal="center" vertical="top"/>
    </xf>
    <xf numFmtId="164" fontId="20" fillId="25" borderId="17" xfId="0" applyNumberFormat="1" applyFont="1" applyFill="1" applyBorder="1" applyAlignment="1">
      <alignment vertical="top"/>
    </xf>
    <xf numFmtId="165" fontId="20" fillId="25" borderId="17" xfId="0" applyNumberFormat="1" applyFont="1" applyFill="1" applyBorder="1" applyAlignment="1">
      <alignment vertical="top"/>
    </xf>
    <xf numFmtId="165" fontId="20" fillId="25" borderId="0" xfId="0" applyNumberFormat="1" applyFont="1" applyFill="1" applyAlignment="1">
      <alignment vertical="top"/>
    </xf>
    <xf numFmtId="164" fontId="20" fillId="25" borderId="0" xfId="1" applyNumberFormat="1" applyFont="1" applyFill="1" applyAlignment="1">
      <alignment horizontal="center" vertical="top"/>
    </xf>
    <xf numFmtId="1" fontId="20" fillId="25" borderId="17" xfId="0" applyNumberFormat="1" applyFont="1" applyFill="1" applyBorder="1" applyAlignment="1">
      <alignment horizontal="center" vertical="top"/>
    </xf>
    <xf numFmtId="0" fontId="20" fillId="25" borderId="19" xfId="0" applyFont="1" applyFill="1" applyBorder="1" applyAlignment="1">
      <alignment vertical="top"/>
    </xf>
    <xf numFmtId="0" fontId="20" fillId="25" borderId="19" xfId="0" applyFont="1" applyFill="1" applyBorder="1" applyAlignment="1">
      <alignment horizontal="center" vertical="top"/>
    </xf>
    <xf numFmtId="165" fontId="20" fillId="25" borderId="19" xfId="0" applyNumberFormat="1" applyFont="1" applyFill="1" applyBorder="1" applyAlignment="1">
      <alignment vertical="top"/>
    </xf>
    <xf numFmtId="1" fontId="20" fillId="25" borderId="19" xfId="0" applyNumberFormat="1" applyFont="1" applyFill="1" applyBorder="1" applyAlignment="1">
      <alignment vertical="top"/>
    </xf>
    <xf numFmtId="2" fontId="20" fillId="25" borderId="19" xfId="0" applyNumberFormat="1" applyFont="1" applyFill="1" applyBorder="1" applyAlignment="1">
      <alignment horizontal="center" vertical="top"/>
    </xf>
    <xf numFmtId="165" fontId="20" fillId="25" borderId="19" xfId="0" applyNumberFormat="1" applyFont="1" applyFill="1" applyBorder="1" applyAlignment="1">
      <alignment horizontal="center" vertical="top"/>
    </xf>
    <xf numFmtId="164" fontId="20" fillId="25" borderId="19" xfId="0" applyNumberFormat="1" applyFont="1" applyFill="1" applyBorder="1" applyAlignment="1">
      <alignment horizontal="center" vertical="top"/>
    </xf>
    <xf numFmtId="9" fontId="20" fillId="25" borderId="19" xfId="1" applyNumberFormat="1" applyFont="1" applyFill="1" applyBorder="1" applyAlignment="1">
      <alignment horizontal="center" vertical="top"/>
    </xf>
    <xf numFmtId="1" fontId="20" fillId="25" borderId="0" xfId="0" applyNumberFormat="1" applyFont="1" applyFill="1" applyAlignment="1">
      <alignment horizontal="center" vertical="top"/>
    </xf>
    <xf numFmtId="9" fontId="20" fillId="15" borderId="17" xfId="1" applyFont="1" applyFill="1" applyBorder="1" applyAlignment="1">
      <alignment horizontal="center" vertical="top"/>
    </xf>
    <xf numFmtId="9" fontId="20" fillId="15" borderId="0" xfId="1" applyFont="1" applyFill="1" applyAlignment="1">
      <alignment horizontal="center" vertical="top"/>
    </xf>
    <xf numFmtId="9" fontId="20" fillId="25" borderId="17" xfId="1" applyFont="1" applyFill="1" applyBorder="1" applyAlignment="1">
      <alignment horizontal="center" vertical="top"/>
    </xf>
    <xf numFmtId="9" fontId="20" fillId="25" borderId="0" xfId="1" applyFont="1" applyFill="1" applyAlignment="1">
      <alignment horizontal="center" vertical="top"/>
    </xf>
    <xf numFmtId="9" fontId="20" fillId="25" borderId="19" xfId="1" applyFont="1" applyFill="1" applyBorder="1" applyAlignment="1">
      <alignment horizontal="center" vertical="top"/>
    </xf>
    <xf numFmtId="9" fontId="20" fillId="22" borderId="17" xfId="1" applyFont="1" applyFill="1" applyBorder="1" applyAlignment="1">
      <alignment horizontal="center" vertical="top"/>
    </xf>
    <xf numFmtId="9" fontId="20" fillId="22" borderId="0" xfId="1" applyFont="1" applyFill="1" applyAlignment="1">
      <alignment horizontal="center" vertical="top"/>
    </xf>
    <xf numFmtId="1" fontId="20" fillId="25" borderId="19" xfId="0" applyNumberFormat="1" applyFont="1" applyFill="1" applyBorder="1" applyAlignment="1">
      <alignment horizontal="center" vertical="top"/>
    </xf>
    <xf numFmtId="2" fontId="20" fillId="25" borderId="19" xfId="1" applyNumberFormat="1" applyFont="1" applyFill="1" applyBorder="1" applyAlignment="1">
      <alignment horizontal="center" vertical="top"/>
    </xf>
    <xf numFmtId="164" fontId="20" fillId="25" borderId="19" xfId="1" applyNumberFormat="1" applyFont="1" applyFill="1" applyBorder="1" applyAlignment="1">
      <alignment horizontal="center" vertical="top"/>
    </xf>
    <xf numFmtId="9" fontId="20" fillId="25" borderId="17" xfId="0" applyNumberFormat="1" applyFont="1" applyFill="1" applyBorder="1" applyAlignment="1">
      <alignment horizontal="center" vertical="top"/>
    </xf>
    <xf numFmtId="0" fontId="20" fillId="25" borderId="0" xfId="0" applyFont="1" applyFill="1" applyBorder="1" applyAlignment="1">
      <alignment vertical="top"/>
    </xf>
    <xf numFmtId="0" fontId="20" fillId="25" borderId="0" xfId="0" applyFont="1" applyFill="1" applyBorder="1" applyAlignment="1">
      <alignment horizontal="center" vertical="top"/>
    </xf>
    <xf numFmtId="2" fontId="20" fillId="25" borderId="0" xfId="0" applyNumberFormat="1" applyFont="1" applyFill="1" applyBorder="1" applyAlignment="1">
      <alignment vertical="top"/>
    </xf>
    <xf numFmtId="1" fontId="20" fillId="25" borderId="0" xfId="0" applyNumberFormat="1" applyFont="1" applyFill="1" applyBorder="1" applyAlignment="1">
      <alignment vertical="top"/>
    </xf>
    <xf numFmtId="2" fontId="20" fillId="25" borderId="0" xfId="0" applyNumberFormat="1" applyFont="1" applyFill="1" applyBorder="1" applyAlignment="1">
      <alignment horizontal="center" vertical="top"/>
    </xf>
    <xf numFmtId="1" fontId="20" fillId="25" borderId="0" xfId="0" applyNumberFormat="1" applyFont="1" applyFill="1" applyBorder="1" applyAlignment="1">
      <alignment horizontal="center" vertical="top"/>
    </xf>
    <xf numFmtId="165" fontId="20" fillId="25" borderId="0" xfId="0" applyNumberFormat="1" applyFont="1" applyFill="1" applyBorder="1" applyAlignment="1">
      <alignment horizontal="center" vertical="top"/>
    </xf>
    <xf numFmtId="9" fontId="20" fillId="25" borderId="0" xfId="1" applyFont="1" applyFill="1" applyBorder="1" applyAlignment="1">
      <alignment horizontal="center" vertical="top"/>
    </xf>
    <xf numFmtId="164" fontId="20" fillId="25" borderId="0" xfId="0" applyNumberFormat="1" applyFont="1" applyFill="1" applyBorder="1" applyAlignment="1">
      <alignment horizontal="center" vertical="top"/>
    </xf>
    <xf numFmtId="9" fontId="20" fillId="25" borderId="0" xfId="0" applyNumberFormat="1" applyFont="1" applyFill="1" applyBorder="1" applyAlignment="1">
      <alignment horizontal="center" vertical="top"/>
    </xf>
    <xf numFmtId="2" fontId="20" fillId="25" borderId="19" xfId="0" applyNumberFormat="1" applyFont="1" applyFill="1" applyBorder="1" applyAlignment="1">
      <alignment vertical="top"/>
    </xf>
    <xf numFmtId="9" fontId="20" fillId="25" borderId="19" xfId="0" applyNumberFormat="1" applyFont="1" applyFill="1" applyBorder="1" applyAlignment="1">
      <alignment horizontal="center" vertical="top"/>
    </xf>
    <xf numFmtId="0" fontId="20" fillId="25" borderId="17" xfId="0" applyFont="1" applyFill="1" applyBorder="1" applyAlignment="1">
      <alignment vertical="top" wrapText="1"/>
    </xf>
    <xf numFmtId="0" fontId="21" fillId="25" borderId="17" xfId="0" applyFont="1" applyFill="1" applyBorder="1" applyAlignment="1">
      <alignment vertical="top"/>
    </xf>
    <xf numFmtId="164" fontId="20" fillId="15" borderId="0" xfId="1" applyNumberFormat="1" applyFont="1" applyFill="1" applyAlignment="1">
      <alignment horizontal="center" vertical="top"/>
    </xf>
    <xf numFmtId="0" fontId="20" fillId="15" borderId="19" xfId="0" applyFont="1" applyFill="1" applyBorder="1" applyAlignment="1">
      <alignment vertical="top"/>
    </xf>
    <xf numFmtId="0" fontId="20" fillId="15" borderId="19" xfId="0" applyFont="1" applyFill="1" applyBorder="1" applyAlignment="1">
      <alignment horizontal="center" vertical="top"/>
    </xf>
    <xf numFmtId="165" fontId="20" fillId="15" borderId="19" xfId="0" applyNumberFormat="1" applyFont="1" applyFill="1" applyBorder="1" applyAlignment="1">
      <alignment vertical="top"/>
    </xf>
    <xf numFmtId="1" fontId="20" fillId="15" borderId="19" xfId="0" applyNumberFormat="1" applyFont="1" applyFill="1" applyBorder="1" applyAlignment="1">
      <alignment vertical="top"/>
    </xf>
    <xf numFmtId="2" fontId="20" fillId="15" borderId="19" xfId="0" applyNumberFormat="1" applyFont="1" applyFill="1" applyBorder="1" applyAlignment="1">
      <alignment horizontal="center" vertical="top"/>
    </xf>
    <xf numFmtId="165" fontId="20" fillId="15" borderId="19" xfId="0" applyNumberFormat="1" applyFont="1" applyFill="1" applyBorder="1" applyAlignment="1">
      <alignment horizontal="center" vertical="top"/>
    </xf>
    <xf numFmtId="9" fontId="20" fillId="15" borderId="19" xfId="1" applyFont="1" applyFill="1" applyBorder="1" applyAlignment="1">
      <alignment horizontal="center" vertical="top"/>
    </xf>
    <xf numFmtId="164" fontId="20" fillId="15" borderId="19" xfId="0" applyNumberFormat="1" applyFont="1" applyFill="1" applyBorder="1" applyAlignment="1">
      <alignment horizontal="center" vertical="top"/>
    </xf>
    <xf numFmtId="9" fontId="20" fillId="15" borderId="19" xfId="1" applyNumberFormat="1" applyFont="1" applyFill="1" applyBorder="1" applyAlignment="1">
      <alignment horizontal="center" vertical="top"/>
    </xf>
    <xf numFmtId="1" fontId="20" fillId="15" borderId="19" xfId="0" applyNumberFormat="1" applyFont="1" applyFill="1" applyBorder="1" applyAlignment="1">
      <alignment horizontal="center" vertical="top"/>
    </xf>
    <xf numFmtId="2" fontId="20" fillId="15" borderId="19" xfId="1" applyNumberFormat="1" applyFont="1" applyFill="1" applyBorder="1" applyAlignment="1">
      <alignment horizontal="center" vertical="top"/>
    </xf>
    <xf numFmtId="164" fontId="20" fillId="15" borderId="19" xfId="1" applyNumberFormat="1" applyFont="1" applyFill="1" applyBorder="1" applyAlignment="1">
      <alignment horizontal="center" vertical="top"/>
    </xf>
    <xf numFmtId="9" fontId="20" fillId="15" borderId="17" xfId="0" applyNumberFormat="1" applyFont="1" applyFill="1" applyBorder="1" applyAlignment="1">
      <alignment horizontal="center" vertical="top"/>
    </xf>
    <xf numFmtId="0" fontId="20" fillId="15" borderId="0" xfId="0" applyFont="1" applyFill="1" applyBorder="1" applyAlignment="1">
      <alignment vertical="top"/>
    </xf>
    <xf numFmtId="0" fontId="20" fillId="15" borderId="0" xfId="0" applyFont="1" applyFill="1" applyBorder="1" applyAlignment="1">
      <alignment horizontal="center" vertical="top"/>
    </xf>
    <xf numFmtId="165" fontId="20" fillId="15" borderId="0" xfId="0" applyNumberFormat="1" applyFont="1" applyFill="1" applyBorder="1" applyAlignment="1">
      <alignment vertical="top"/>
    </xf>
    <xf numFmtId="1" fontId="20" fillId="15" borderId="0" xfId="0" applyNumberFormat="1" applyFont="1" applyFill="1" applyBorder="1" applyAlignment="1">
      <alignment vertical="top"/>
    </xf>
    <xf numFmtId="2" fontId="20" fillId="15" borderId="0" xfId="0" applyNumberFormat="1" applyFont="1" applyFill="1" applyBorder="1" applyAlignment="1">
      <alignment horizontal="center" vertical="top"/>
    </xf>
    <xf numFmtId="165" fontId="20" fillId="15" borderId="0" xfId="0" applyNumberFormat="1" applyFont="1" applyFill="1" applyBorder="1" applyAlignment="1">
      <alignment horizontal="center" vertical="top"/>
    </xf>
    <xf numFmtId="9" fontId="20" fillId="15" borderId="0" xfId="1" applyFont="1" applyFill="1" applyBorder="1" applyAlignment="1">
      <alignment horizontal="center" vertical="top"/>
    </xf>
    <xf numFmtId="164" fontId="20" fillId="15" borderId="0" xfId="0" applyNumberFormat="1" applyFont="1" applyFill="1" applyBorder="1" applyAlignment="1">
      <alignment horizontal="center" vertical="top"/>
    </xf>
    <xf numFmtId="9" fontId="20" fillId="15" borderId="0" xfId="1" applyNumberFormat="1" applyFont="1" applyFill="1" applyBorder="1" applyAlignment="1">
      <alignment horizontal="center" vertical="top"/>
    </xf>
    <xf numFmtId="2" fontId="20" fillId="15" borderId="0" xfId="0" applyNumberFormat="1" applyFont="1" applyFill="1" applyBorder="1" applyAlignment="1">
      <alignment vertical="top"/>
    </xf>
    <xf numFmtId="1" fontId="20" fillId="15" borderId="0" xfId="0" applyNumberFormat="1" applyFont="1" applyFill="1" applyBorder="1" applyAlignment="1">
      <alignment horizontal="center" vertical="top"/>
    </xf>
    <xf numFmtId="9" fontId="20" fillId="15" borderId="0" xfId="0" applyNumberFormat="1" applyFont="1" applyFill="1" applyBorder="1" applyAlignment="1">
      <alignment horizontal="center" vertical="top"/>
    </xf>
    <xf numFmtId="2" fontId="20" fillId="15" borderId="19" xfId="0" applyNumberFormat="1" applyFont="1" applyFill="1" applyBorder="1" applyAlignment="1">
      <alignment vertical="top"/>
    </xf>
    <xf numFmtId="9" fontId="20" fillId="15" borderId="19" xfId="0" applyNumberFormat="1" applyFont="1" applyFill="1" applyBorder="1" applyAlignment="1">
      <alignment horizontal="center" vertical="top"/>
    </xf>
    <xf numFmtId="164" fontId="20" fillId="15" borderId="0" xfId="0" applyNumberFormat="1" applyFont="1" applyFill="1" applyBorder="1" applyAlignment="1">
      <alignment vertical="top"/>
    </xf>
    <xf numFmtId="164" fontId="20" fillId="15" borderId="19" xfId="0" applyNumberFormat="1" applyFont="1" applyFill="1" applyBorder="1" applyAlignment="1">
      <alignment vertical="top"/>
    </xf>
    <xf numFmtId="165" fontId="20" fillId="25" borderId="0" xfId="0" applyNumberFormat="1" applyFont="1" applyFill="1" applyBorder="1" applyAlignment="1">
      <alignment vertical="top"/>
    </xf>
    <xf numFmtId="167" fontId="20" fillId="15" borderId="19" xfId="0" applyNumberFormat="1" applyFont="1" applyFill="1" applyBorder="1" applyAlignment="1">
      <alignment vertical="top"/>
    </xf>
    <xf numFmtId="9" fontId="20" fillId="25" borderId="0" xfId="1" applyNumberFormat="1" applyFont="1" applyFill="1" applyBorder="1" applyAlignment="1">
      <alignment horizontal="center" vertical="top"/>
    </xf>
    <xf numFmtId="2" fontId="23" fillId="25" borderId="19" xfId="0" applyNumberFormat="1" applyFont="1" applyFill="1" applyBorder="1" applyAlignment="1">
      <alignment horizontal="center" vertical="top"/>
    </xf>
    <xf numFmtId="0" fontId="21" fillId="22" borderId="18" xfId="0" applyFont="1" applyFill="1" applyBorder="1" applyAlignment="1">
      <alignment vertical="top"/>
    </xf>
    <xf numFmtId="0" fontId="20" fillId="22" borderId="18" xfId="0" applyFont="1" applyFill="1" applyBorder="1" applyAlignment="1">
      <alignment vertical="top"/>
    </xf>
    <xf numFmtId="0" fontId="20" fillId="22" borderId="18" xfId="0" applyFont="1" applyFill="1" applyBorder="1" applyAlignment="1">
      <alignment horizontal="center" vertical="top"/>
    </xf>
    <xf numFmtId="1" fontId="20" fillId="22" borderId="18" xfId="0" applyNumberFormat="1" applyFont="1" applyFill="1" applyBorder="1" applyAlignment="1">
      <alignment vertical="top"/>
    </xf>
    <xf numFmtId="164" fontId="20" fillId="22" borderId="18" xfId="0" applyNumberFormat="1" applyFont="1" applyFill="1" applyBorder="1" applyAlignment="1">
      <alignment horizontal="center" vertical="top"/>
    </xf>
    <xf numFmtId="1" fontId="20" fillId="22" borderId="18" xfId="0" applyNumberFormat="1" applyFont="1" applyFill="1" applyBorder="1" applyAlignment="1">
      <alignment horizontal="center" vertical="top"/>
    </xf>
    <xf numFmtId="2" fontId="20" fillId="22" borderId="18" xfId="0" applyNumberFormat="1" applyFont="1" applyFill="1" applyBorder="1" applyAlignment="1">
      <alignment horizontal="center" vertical="top"/>
    </xf>
    <xf numFmtId="165" fontId="20" fillId="22" borderId="18" xfId="0" applyNumberFormat="1" applyFont="1" applyFill="1" applyBorder="1" applyAlignment="1">
      <alignment horizontal="center" vertical="top"/>
    </xf>
    <xf numFmtId="9" fontId="20" fillId="22" borderId="18" xfId="1" applyFont="1" applyFill="1" applyBorder="1" applyAlignment="1">
      <alignment horizontal="center" vertical="top"/>
    </xf>
    <xf numFmtId="165" fontId="20" fillId="22" borderId="18" xfId="0" applyNumberFormat="1" applyFont="1" applyFill="1" applyBorder="1" applyAlignment="1">
      <alignment vertical="top"/>
    </xf>
    <xf numFmtId="9" fontId="20" fillId="22" borderId="18" xfId="0" applyNumberFormat="1" applyFont="1" applyFill="1" applyBorder="1" applyAlignment="1">
      <alignment horizontal="center" vertical="top"/>
    </xf>
    <xf numFmtId="0" fontId="0" fillId="15" borderId="0" xfId="0" applyFill="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1" fontId="0" fillId="0" borderId="0" xfId="0" applyNumberFormat="1" applyFill="1" applyAlignment="1">
      <alignment horizontal="center" vertical="top"/>
    </xf>
    <xf numFmtId="165" fontId="0" fillId="15" borderId="0" xfId="0" applyNumberFormat="1" applyFill="1" applyAlignment="1">
      <alignment horizontal="center" vertical="top"/>
    </xf>
    <xf numFmtId="2" fontId="0" fillId="15" borderId="0" xfId="0" applyNumberFormat="1" applyFill="1" applyAlignment="1">
      <alignment horizontal="center" vertical="top"/>
    </xf>
    <xf numFmtId="2" fontId="0" fillId="0" borderId="0" xfId="0" applyNumberFormat="1" applyAlignment="1">
      <alignment horizontal="center" vertical="top"/>
    </xf>
    <xf numFmtId="164" fontId="0" fillId="0" borderId="0" xfId="0" applyNumberFormat="1" applyAlignment="1">
      <alignment horizontal="center" vertical="top"/>
    </xf>
    <xf numFmtId="9" fontId="0" fillId="0" borderId="0" xfId="1" applyNumberFormat="1" applyFont="1" applyAlignment="1">
      <alignment horizontal="center" vertical="top"/>
    </xf>
    <xf numFmtId="9" fontId="20" fillId="25" borderId="0" xfId="0" applyNumberFormat="1" applyFont="1" applyFill="1" applyAlignment="1">
      <alignment horizontal="center" vertical="top"/>
    </xf>
    <xf numFmtId="165" fontId="0" fillId="0" borderId="0" xfId="0" applyNumberFormat="1" applyFill="1" applyAlignment="1">
      <alignment horizontal="center" vertical="top"/>
    </xf>
    <xf numFmtId="2" fontId="0" fillId="0" borderId="0" xfId="0" applyNumberFormat="1" applyFill="1" applyAlignment="1">
      <alignment horizontal="center" vertical="top"/>
    </xf>
    <xf numFmtId="164" fontId="0" fillId="0" borderId="0" xfId="0" applyNumberFormat="1" applyFill="1" applyAlignment="1">
      <alignment horizontal="center" vertical="top"/>
    </xf>
    <xf numFmtId="167" fontId="20" fillId="15" borderId="0" xfId="0" applyNumberFormat="1" applyFont="1" applyFill="1" applyAlignment="1">
      <alignment vertical="top"/>
    </xf>
    <xf numFmtId="167" fontId="0" fillId="0" borderId="0" xfId="0" applyNumberFormat="1" applyFill="1" applyAlignment="1">
      <alignment horizontal="center" vertical="top"/>
    </xf>
    <xf numFmtId="167" fontId="20" fillId="22" borderId="17" xfId="0" applyNumberFormat="1" applyFont="1" applyFill="1" applyBorder="1" applyAlignment="1">
      <alignment vertical="top"/>
    </xf>
    <xf numFmtId="167" fontId="20" fillId="15" borderId="17" xfId="0" applyNumberFormat="1" applyFont="1" applyFill="1" applyBorder="1" applyAlignment="1">
      <alignment vertical="top"/>
    </xf>
    <xf numFmtId="167" fontId="20" fillId="25" borderId="17" xfId="0" applyNumberFormat="1" applyFont="1" applyFill="1" applyBorder="1" applyAlignment="1">
      <alignment vertical="top"/>
    </xf>
    <xf numFmtId="167" fontId="20" fillId="25" borderId="0" xfId="0" applyNumberFormat="1" applyFont="1" applyFill="1" applyAlignment="1">
      <alignment vertical="top"/>
    </xf>
    <xf numFmtId="167" fontId="20" fillId="25" borderId="19" xfId="0" applyNumberFormat="1" applyFont="1" applyFill="1" applyBorder="1" applyAlignment="1">
      <alignment vertical="top"/>
    </xf>
    <xf numFmtId="167" fontId="20" fillId="15" borderId="0" xfId="0" applyNumberFormat="1" applyFont="1" applyFill="1" applyBorder="1" applyAlignment="1">
      <alignment vertical="top"/>
    </xf>
    <xf numFmtId="167" fontId="20" fillId="25" borderId="0" xfId="0" applyNumberFormat="1" applyFont="1" applyFill="1" applyBorder="1" applyAlignment="1">
      <alignment vertical="top"/>
    </xf>
    <xf numFmtId="167" fontId="20" fillId="22" borderId="18" xfId="0" applyNumberFormat="1" applyFont="1" applyFill="1" applyBorder="1" applyAlignment="1">
      <alignment vertical="top"/>
    </xf>
    <xf numFmtId="167" fontId="20" fillId="22" borderId="0" xfId="0" applyNumberFormat="1" applyFont="1" applyFill="1" applyAlignment="1">
      <alignment vertical="top"/>
    </xf>
    <xf numFmtId="0" fontId="0" fillId="0" borderId="0" xfId="0" applyAlignment="1"/>
    <xf numFmtId="0" fontId="1" fillId="0" borderId="0" xfId="0" applyFont="1" applyAlignment="1"/>
    <xf numFmtId="0" fontId="1" fillId="22" borderId="0" xfId="0" applyFont="1" applyFill="1" applyAlignment="1"/>
    <xf numFmtId="0" fontId="0" fillId="0" borderId="0" xfId="0" applyFill="1" applyAlignment="1"/>
    <xf numFmtId="0" fontId="0" fillId="22" borderId="0" xfId="0" applyFill="1" applyAlignment="1">
      <alignment horizontal="center" vertical="top"/>
    </xf>
    <xf numFmtId="0" fontId="0" fillId="15" borderId="0" xfId="0" applyFill="1" applyAlignment="1">
      <alignment horizontal="left" vertical="top"/>
    </xf>
    <xf numFmtId="0" fontId="0" fillId="22" borderId="0" xfId="0" applyFill="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165" fontId="0" fillId="0" borderId="0" xfId="0" applyNumberFormat="1" applyAlignment="1">
      <alignment horizontal="left" vertical="top"/>
    </xf>
    <xf numFmtId="1" fontId="0" fillId="0" borderId="0" xfId="0" applyNumberFormat="1" applyAlignment="1">
      <alignment horizontal="left" vertical="top"/>
    </xf>
    <xf numFmtId="1" fontId="0" fillId="0" borderId="0" xfId="0" applyNumberFormat="1" applyFill="1" applyAlignment="1">
      <alignment horizontal="left" vertical="top"/>
    </xf>
    <xf numFmtId="1" fontId="0" fillId="22" borderId="0" xfId="0" applyNumberFormat="1" applyFill="1" applyAlignment="1">
      <alignment horizontal="left" vertical="top"/>
    </xf>
    <xf numFmtId="165" fontId="0" fillId="0" borderId="0" xfId="0" applyNumberFormat="1" applyFill="1" applyAlignment="1">
      <alignment horizontal="left" vertical="top"/>
    </xf>
    <xf numFmtId="2" fontId="0" fillId="0" borderId="0" xfId="0" applyNumberFormat="1" applyFill="1" applyAlignment="1">
      <alignment horizontal="left" vertical="top"/>
    </xf>
    <xf numFmtId="9" fontId="0" fillId="0" borderId="0" xfId="0" applyNumberFormat="1" applyAlignment="1">
      <alignment horizontal="center" vertical="top"/>
    </xf>
    <xf numFmtId="0" fontId="0" fillId="12" borderId="0" xfId="0" applyFill="1" applyAlignment="1">
      <alignment horizontal="center" vertical="top"/>
    </xf>
    <xf numFmtId="165" fontId="0" fillId="22" borderId="0" xfId="0" applyNumberFormat="1" applyFill="1" applyAlignment="1">
      <alignment horizontal="center" vertical="top"/>
    </xf>
    <xf numFmtId="2" fontId="0" fillId="22" borderId="0" xfId="1" applyNumberFormat="1" applyFont="1" applyFill="1" applyAlignment="1">
      <alignment horizontal="center" vertical="top"/>
    </xf>
    <xf numFmtId="2" fontId="0" fillId="22" borderId="0" xfId="0" applyNumberFormat="1" applyFill="1" applyAlignment="1">
      <alignment horizontal="center" vertical="top"/>
    </xf>
    <xf numFmtId="164" fontId="0" fillId="22" borderId="0" xfId="0" applyNumberFormat="1" applyFill="1" applyAlignment="1">
      <alignment horizontal="center" vertical="top"/>
    </xf>
    <xf numFmtId="9" fontId="0" fillId="22" borderId="0" xfId="1" applyNumberFormat="1" applyFont="1" applyFill="1" applyAlignment="1">
      <alignment horizontal="center" vertical="top"/>
    </xf>
    <xf numFmtId="9" fontId="0" fillId="0" borderId="0" xfId="1" applyNumberFormat="1" applyFont="1" applyFill="1" applyAlignment="1">
      <alignment horizontal="center" vertical="top"/>
    </xf>
    <xf numFmtId="9" fontId="0" fillId="0" borderId="0" xfId="0" applyNumberFormat="1" applyFill="1" applyAlignment="1">
      <alignment horizontal="center" vertical="top"/>
    </xf>
    <xf numFmtId="2" fontId="0" fillId="0" borderId="0" xfId="1" applyNumberFormat="1" applyFont="1" applyFill="1" applyAlignment="1">
      <alignment horizontal="center" vertical="top"/>
    </xf>
    <xf numFmtId="164" fontId="0" fillId="0" borderId="0" xfId="1" applyNumberFormat="1" applyFont="1" applyFill="1" applyAlignment="1">
      <alignment horizontal="center" vertical="top"/>
    </xf>
    <xf numFmtId="164" fontId="0" fillId="22" borderId="0" xfId="1" applyNumberFormat="1" applyFont="1" applyFill="1" applyAlignment="1">
      <alignment horizontal="center" vertical="top"/>
    </xf>
    <xf numFmtId="1" fontId="0" fillId="22" borderId="0" xfId="0" applyNumberFormat="1" applyFill="1" applyAlignment="1">
      <alignment horizontal="center" vertical="top"/>
    </xf>
    <xf numFmtId="9" fontId="0" fillId="22" borderId="0" xfId="0" applyNumberFormat="1" applyFill="1" applyAlignment="1">
      <alignment horizontal="center" vertical="top"/>
    </xf>
    <xf numFmtId="0" fontId="0" fillId="0" borderId="0" xfId="0" applyFont="1" applyAlignment="1">
      <alignment horizontal="center"/>
    </xf>
    <xf numFmtId="0" fontId="21" fillId="25" borderId="17" xfId="0" applyFont="1" applyFill="1" applyBorder="1" applyAlignment="1">
      <alignment horizontal="center" vertical="top"/>
    </xf>
    <xf numFmtId="1" fontId="21" fillId="25" borderId="17" xfId="0" applyNumberFormat="1" applyFont="1" applyFill="1" applyBorder="1" applyAlignment="1">
      <alignment vertical="top"/>
    </xf>
    <xf numFmtId="165" fontId="21" fillId="25" borderId="17" xfId="0" applyNumberFormat="1" applyFont="1" applyFill="1" applyBorder="1" applyAlignment="1">
      <alignment horizontal="center" vertical="top"/>
    </xf>
    <xf numFmtId="2" fontId="21" fillId="25" borderId="17" xfId="0" applyNumberFormat="1" applyFont="1" applyFill="1" applyBorder="1" applyAlignment="1">
      <alignment horizontal="center" vertical="top"/>
    </xf>
    <xf numFmtId="164" fontId="21" fillId="25" borderId="17" xfId="0" applyNumberFormat="1" applyFont="1" applyFill="1" applyBorder="1" applyAlignment="1">
      <alignment horizontal="center" vertical="top"/>
    </xf>
    <xf numFmtId="0" fontId="22" fillId="25" borderId="17" xfId="0" applyFont="1" applyFill="1" applyBorder="1" applyAlignment="1">
      <alignment horizontal="center" vertical="top"/>
    </xf>
    <xf numFmtId="9" fontId="22" fillId="25" borderId="17" xfId="0" applyNumberFormat="1" applyFont="1" applyFill="1" applyBorder="1" applyAlignment="1">
      <alignment horizontal="center" vertical="top"/>
    </xf>
    <xf numFmtId="0" fontId="21" fillId="25" borderId="17" xfId="0" applyFont="1" applyFill="1" applyBorder="1" applyAlignment="1">
      <alignment horizontal="left" vertical="top"/>
    </xf>
    <xf numFmtId="165" fontId="21" fillId="25" borderId="17" xfId="0" applyNumberFormat="1" applyFont="1" applyFill="1" applyBorder="1" applyAlignment="1">
      <alignment vertical="top"/>
    </xf>
    <xf numFmtId="165" fontId="20" fillId="22" borderId="17" xfId="0" applyNumberFormat="1" applyFont="1" applyFill="1" applyBorder="1" applyAlignment="1">
      <alignment vertical="top"/>
    </xf>
    <xf numFmtId="165" fontId="20" fillId="22" borderId="0" xfId="0" applyNumberFormat="1" applyFont="1" applyFill="1" applyAlignment="1">
      <alignment vertical="top"/>
    </xf>
    <xf numFmtId="167" fontId="20" fillId="0" borderId="0" xfId="0" applyNumberFormat="1" applyFont="1" applyAlignment="1">
      <alignment vertical="top"/>
    </xf>
    <xf numFmtId="2" fontId="0" fillId="0" borderId="0" xfId="0" quotePrefix="1" applyNumberFormat="1"/>
    <xf numFmtId="0" fontId="0" fillId="0" borderId="0" xfId="0" quotePrefix="1" applyFill="1"/>
    <xf numFmtId="2" fontId="0" fillId="0" borderId="0" xfId="0" quotePrefix="1" applyNumberFormat="1" applyFill="1"/>
    <xf numFmtId="164" fontId="0" fillId="0" borderId="8" xfId="0" applyNumberFormat="1" applyBorder="1"/>
    <xf numFmtId="0" fontId="22" fillId="25" borderId="0" xfId="0" applyFont="1" applyFill="1" applyAlignment="1">
      <alignment horizontal="center" vertical="top"/>
    </xf>
    <xf numFmtId="2" fontId="0" fillId="0" borderId="0" xfId="0" quotePrefix="1" applyNumberFormat="1" applyAlignment="1">
      <alignment horizontal="center"/>
    </xf>
    <xf numFmtId="164" fontId="0" fillId="0" borderId="0" xfId="0" quotePrefix="1" applyNumberFormat="1" applyAlignment="1">
      <alignment horizontal="center"/>
    </xf>
    <xf numFmtId="165" fontId="0" fillId="0" borderId="0" xfId="0" quotePrefix="1" applyNumberFormat="1" applyAlignment="1">
      <alignment horizontal="center"/>
    </xf>
    <xf numFmtId="0" fontId="2" fillId="15" borderId="0" xfId="0" applyFont="1" applyFill="1"/>
    <xf numFmtId="0" fontId="0" fillId="0" borderId="0" xfId="0" applyAlignment="1">
      <alignment horizontal="left" vertical="center"/>
    </xf>
    <xf numFmtId="0" fontId="19" fillId="0" borderId="1" xfId="0" applyFont="1" applyBorder="1" applyAlignment="1">
      <alignment vertical="center" wrapText="1"/>
    </xf>
    <xf numFmtId="0" fontId="19" fillId="0" borderId="1" xfId="0" applyFont="1" applyBorder="1" applyAlignment="1">
      <alignment horizontal="left" vertical="center"/>
    </xf>
    <xf numFmtId="0" fontId="2" fillId="0" borderId="1" xfId="0" applyFont="1"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1" xfId="0" applyBorder="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0" fillId="0" borderId="0" xfId="0" applyFont="1" applyAlignment="1">
      <alignment horizontal="left" vertical="center"/>
    </xf>
    <xf numFmtId="0" fontId="0" fillId="0" borderId="0" xfId="0" applyFill="1" applyAlignment="1">
      <alignment vertical="top" wrapText="1"/>
    </xf>
    <xf numFmtId="0" fontId="0" fillId="11" borderId="0" xfId="0" applyFill="1" applyAlignment="1">
      <alignment vertical="top" wrapText="1"/>
    </xf>
    <xf numFmtId="0" fontId="0" fillId="0" borderId="0" xfId="0" applyAlignment="1">
      <alignment vertical="top" wrapText="1"/>
    </xf>
    <xf numFmtId="0" fontId="27" fillId="0" borderId="0" xfId="0" applyFont="1"/>
    <xf numFmtId="0" fontId="27" fillId="0" borderId="0" xfId="0" applyFont="1" applyAlignment="1">
      <alignment vertical="center"/>
    </xf>
    <xf numFmtId="164" fontId="0" fillId="0" borderId="0" xfId="0" applyNumberFormat="1" applyFill="1" applyAlignment="1">
      <alignment horizontal="left" vertical="top"/>
    </xf>
    <xf numFmtId="0" fontId="0" fillId="0" borderId="0" xfId="0" applyNumberFormat="1" applyFill="1" applyAlignment="1">
      <alignment horizontal="center" vertical="top"/>
    </xf>
    <xf numFmtId="0" fontId="2" fillId="0" borderId="0" xfId="0" applyFont="1" applyFill="1" applyAlignment="1"/>
    <xf numFmtId="2" fontId="0" fillId="0" borderId="0" xfId="0" applyNumberFormat="1" applyFont="1" applyFill="1" applyAlignment="1">
      <alignment horizontal="center" vertical="top"/>
    </xf>
    <xf numFmtId="164" fontId="0" fillId="0" borderId="0" xfId="0" applyNumberFormat="1" applyFont="1" applyFill="1" applyAlignment="1">
      <alignment horizontal="center" vertical="top"/>
    </xf>
    <xf numFmtId="2" fontId="14" fillId="0" borderId="0" xfId="0" applyNumberFormat="1" applyFont="1" applyFill="1" applyAlignment="1">
      <alignment horizontal="center" vertical="top"/>
    </xf>
    <xf numFmtId="9" fontId="0" fillId="0" borderId="0" xfId="1" applyFont="1" applyFill="1" applyAlignment="1">
      <alignment horizontal="center" vertical="top"/>
    </xf>
    <xf numFmtId="0" fontId="0" fillId="22" borderId="0" xfId="0" applyFill="1" applyAlignment="1"/>
    <xf numFmtId="0" fontId="1" fillId="2" borderId="3" xfId="0" applyFont="1" applyFill="1" applyBorder="1" applyAlignment="1">
      <alignment vertical="center"/>
    </xf>
    <xf numFmtId="0" fontId="0" fillId="2" borderId="4" xfId="0" applyFill="1" applyBorder="1" applyAlignment="1">
      <alignment vertical="center"/>
    </xf>
    <xf numFmtId="0" fontId="0" fillId="2" borderId="4" xfId="0" applyFill="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vertical="center"/>
    </xf>
    <xf numFmtId="0" fontId="0" fillId="2" borderId="0" xfId="0" applyFill="1" applyBorder="1" applyAlignment="1">
      <alignment horizontal="left" vertical="center"/>
    </xf>
    <xf numFmtId="0" fontId="0" fillId="2" borderId="2"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vertical="center"/>
    </xf>
    <xf numFmtId="0" fontId="0" fillId="0" borderId="0" xfId="0" applyFill="1" applyAlignment="1">
      <alignment horizontal="left" vertical="center"/>
    </xf>
    <xf numFmtId="0" fontId="29" fillId="0" borderId="0" xfId="6" applyFill="1"/>
    <xf numFmtId="0" fontId="29" fillId="0" borderId="0" xfId="6"/>
    <xf numFmtId="0" fontId="2" fillId="0" borderId="1" xfId="0" applyFont="1"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14" fontId="1" fillId="0" borderId="0" xfId="0" applyNumberFormat="1" applyFont="1" applyBorder="1" applyAlignment="1">
      <alignment horizontal="center"/>
    </xf>
    <xf numFmtId="14" fontId="1" fillId="0" borderId="2" xfId="0" applyNumberFormat="1" applyFont="1" applyBorder="1" applyAlignment="1">
      <alignment horizontal="center"/>
    </xf>
    <xf numFmtId="0" fontId="18" fillId="21" borderId="15" xfId="5" applyFont="1" applyFill="1" applyBorder="1" applyAlignment="1">
      <alignment horizontal="center"/>
    </xf>
    <xf numFmtId="0" fontId="14" fillId="0" borderId="15" xfId="5" applyFont="1" applyBorder="1"/>
    <xf numFmtId="0" fontId="14" fillId="0" borderId="12" xfId="5" applyFont="1" applyBorder="1"/>
    <xf numFmtId="164" fontId="0" fillId="0" borderId="9" xfId="0" applyNumberFormat="1" applyBorder="1"/>
    <xf numFmtId="164" fontId="0" fillId="0" borderId="4" xfId="0" applyNumberFormat="1" applyBorder="1"/>
    <xf numFmtId="164" fontId="0" fillId="0" borderId="5" xfId="0" applyNumberFormat="1" applyBorder="1"/>
    <xf numFmtId="0" fontId="30" fillId="0" borderId="0" xfId="0" applyFont="1"/>
  </cellXfs>
  <cellStyles count="7">
    <cellStyle name="Hyperlink" xfId="6" builtinId="8"/>
    <cellStyle name="Normal" xfId="0" builtinId="0"/>
    <cellStyle name="Normal 2" xfId="2" xr:uid="{846A8C30-BA95-4507-B5CF-0EB1F63904C6}"/>
    <cellStyle name="Normal 2 2" xfId="3" xr:uid="{8336692F-0B67-4955-9122-F96BA848A65F}"/>
    <cellStyle name="Normal 3" xfId="5" xr:uid="{20D87B72-A5FA-474A-89D3-E0F5619C3335}"/>
    <cellStyle name="Normal 4" xfId="4" xr:uid="{1EEAA9D3-B408-474F-BD72-3BB23A7306A8}"/>
    <cellStyle name="Percent" xfId="1" builtinId="5"/>
  </cellStyles>
  <dxfs count="0"/>
  <tableStyles count="0" defaultTableStyle="TableStyleMedium2" defaultPivotStyle="PivotStyleLight16"/>
  <colors>
    <mruColors>
      <color rgb="FFCCCCFF"/>
      <color rgb="FFFF99FF"/>
      <color rgb="FFCC00CC"/>
      <color rgb="FFCCFF99"/>
      <color rgb="FF99FF66"/>
      <color rgb="FFCC99FF"/>
      <color rgb="FF00FFFF"/>
      <color rgb="FF66FFFF"/>
      <color rgb="FFFFFF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86063197713862"/>
          <c:y val="7.8599499821364771E-2"/>
          <c:w val="0.69358497289666465"/>
          <c:h val="0.68986561567263904"/>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5.3131233595800527E-2"/>
                  <c:y val="0.4171336395450568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rgbClr val="0070C0"/>
                      </a:solidFill>
                      <a:latin typeface="+mn-lt"/>
                      <a:ea typeface="+mn-ea"/>
                      <a:cs typeface="+mn-cs"/>
                    </a:defRPr>
                  </a:pPr>
                  <a:endParaRPr lang="en-US"/>
                </a:p>
              </c:txPr>
            </c:trendlineLbl>
          </c:trendline>
          <c:xVal>
            <c:numRef>
              <c:f>Yang!$D$45:$H$45</c:f>
              <c:numCache>
                <c:formatCode>General</c:formatCode>
                <c:ptCount val="5"/>
                <c:pt idx="0">
                  <c:v>0</c:v>
                </c:pt>
                <c:pt idx="1">
                  <c:v>560</c:v>
                </c:pt>
                <c:pt idx="2">
                  <c:v>1100</c:v>
                </c:pt>
                <c:pt idx="3">
                  <c:v>2500</c:v>
                </c:pt>
                <c:pt idx="4">
                  <c:v>5300</c:v>
                </c:pt>
              </c:numCache>
            </c:numRef>
          </c:xVal>
          <c:yVal>
            <c:numRef>
              <c:f>Yang!$D$49:$H$49</c:f>
              <c:numCache>
                <c:formatCode>General</c:formatCode>
                <c:ptCount val="5"/>
                <c:pt idx="0">
                  <c:v>4520</c:v>
                </c:pt>
                <c:pt idx="1">
                  <c:v>4800</c:v>
                </c:pt>
                <c:pt idx="2">
                  <c:v>5148</c:v>
                </c:pt>
                <c:pt idx="3">
                  <c:v>5348</c:v>
                </c:pt>
                <c:pt idx="4">
                  <c:v>5943</c:v>
                </c:pt>
              </c:numCache>
            </c:numRef>
          </c:yVal>
          <c:smooth val="0"/>
          <c:extLst>
            <c:ext xmlns:c16="http://schemas.microsoft.com/office/drawing/2014/chart" uri="{C3380CC4-5D6E-409C-BE32-E72D297353CC}">
              <c16:uniqueId val="{00000000-0EB8-43A8-8177-C52D3F0BD267}"/>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3117271315886575"/>
                  <c:y val="0.3118040089086859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trendlineLbl>
          </c:trendline>
          <c:xVal>
            <c:numRef>
              <c:f>Yang!$I$45:$M$45</c:f>
              <c:numCache>
                <c:formatCode>General</c:formatCode>
                <c:ptCount val="5"/>
                <c:pt idx="0">
                  <c:v>0</c:v>
                </c:pt>
                <c:pt idx="1">
                  <c:v>560</c:v>
                </c:pt>
                <c:pt idx="2">
                  <c:v>1100</c:v>
                </c:pt>
                <c:pt idx="3">
                  <c:v>2500</c:v>
                </c:pt>
                <c:pt idx="4">
                  <c:v>5300</c:v>
                </c:pt>
              </c:numCache>
            </c:numRef>
          </c:xVal>
          <c:yVal>
            <c:numRef>
              <c:f>Yang!$I$49:$M$49</c:f>
              <c:numCache>
                <c:formatCode>General</c:formatCode>
                <c:ptCount val="5"/>
                <c:pt idx="0">
                  <c:v>5404</c:v>
                </c:pt>
                <c:pt idx="1">
                  <c:v>5845</c:v>
                </c:pt>
                <c:pt idx="2">
                  <c:v>6080</c:v>
                </c:pt>
                <c:pt idx="3">
                  <c:v>6604</c:v>
                </c:pt>
                <c:pt idx="4">
                  <c:v>7166</c:v>
                </c:pt>
              </c:numCache>
            </c:numRef>
          </c:yVal>
          <c:smooth val="0"/>
          <c:extLst>
            <c:ext xmlns:c16="http://schemas.microsoft.com/office/drawing/2014/chart" uri="{C3380CC4-5D6E-409C-BE32-E72D297353CC}">
              <c16:uniqueId val="{00000003-0EB8-43A8-8177-C52D3F0BD267}"/>
            </c:ext>
          </c:extLst>
        </c:ser>
        <c:dLbls>
          <c:showLegendKey val="0"/>
          <c:showVal val="0"/>
          <c:showCatName val="0"/>
          <c:showSerName val="0"/>
          <c:showPercent val="0"/>
          <c:showBubbleSize val="0"/>
        </c:dLbls>
        <c:axId val="239498799"/>
        <c:axId val="239499631"/>
      </c:scatterChart>
      <c:valAx>
        <c:axId val="23949879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Syngas in</a:t>
                </a:r>
              </a:p>
            </c:rich>
          </c:tx>
          <c:layout>
            <c:manualLayout>
              <c:xMode val="edge"/>
              <c:yMode val="edge"/>
              <c:x val="0.47951282525715616"/>
              <c:y val="0.85562672833098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499631"/>
        <c:crosses val="autoZero"/>
        <c:crossBetween val="midCat"/>
      </c:valAx>
      <c:valAx>
        <c:axId val="2394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Methane out</a:t>
                </a:r>
              </a:p>
            </c:rich>
          </c:tx>
          <c:layout>
            <c:manualLayout>
              <c:xMode val="edge"/>
              <c:yMode val="edge"/>
              <c:x val="1.7406440382941687E-2"/>
              <c:y val="0.1759796102657585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49879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434340</xdr:colOff>
      <xdr:row>40</xdr:row>
      <xdr:rowOff>66675</xdr:rowOff>
    </xdr:from>
    <xdr:to>
      <xdr:col>21</xdr:col>
      <xdr:colOff>304800</xdr:colOff>
      <xdr:row>50</xdr:row>
      <xdr:rowOff>34290</xdr:rowOff>
    </xdr:to>
    <xdr:graphicFrame macro="">
      <xdr:nvGraphicFramePr>
        <xdr:cNvPr id="2" name="Chart 1">
          <a:extLst>
            <a:ext uri="{FF2B5EF4-FFF2-40B4-BE49-F238E27FC236}">
              <a16:creationId xmlns:a16="http://schemas.microsoft.com/office/drawing/2014/main" id="{1AA57B4B-F992-4AE9-A0E6-60002A9B97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dpi.com/2227-9717/10/6/1202" TargetMode="External"/><Relationship Id="rId1" Type="http://schemas.openxmlformats.org/officeDocument/2006/relationships/hyperlink" Target="https://doi.org/10.3390/pr10061202"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2CEC4-B79B-4FE9-B251-9DB269D3DD4D}">
  <dimension ref="A2:I73"/>
  <sheetViews>
    <sheetView tabSelected="1" workbookViewId="0"/>
  </sheetViews>
  <sheetFormatPr defaultRowHeight="14.4" x14ac:dyDescent="0.3"/>
  <cols>
    <col min="1" max="1" width="8.88671875" style="83"/>
    <col min="2" max="2" width="12.77734375" style="83" customWidth="1"/>
    <col min="3" max="3" width="72.6640625" style="83" customWidth="1"/>
    <col min="4" max="4" width="14.44140625" style="481" customWidth="1"/>
    <col min="5" max="5" width="34.6640625" style="83" bestFit="1" customWidth="1"/>
    <col min="6" max="6" width="8.88671875" style="83"/>
    <col min="7" max="7" width="7" style="83" bestFit="1" customWidth="1"/>
    <col min="8" max="8" width="27.88671875" style="83" bestFit="1" customWidth="1"/>
    <col min="9" max="9" width="5.5546875" style="83" bestFit="1" customWidth="1"/>
    <col min="10" max="10" width="34.6640625" style="83" bestFit="1" customWidth="1"/>
    <col min="11" max="16384" width="8.88671875" style="83"/>
  </cols>
  <sheetData>
    <row r="2" spans="1:9" x14ac:dyDescent="0.3">
      <c r="B2" s="102" t="s">
        <v>2308</v>
      </c>
      <c r="C2" s="133"/>
      <c r="D2" s="133" t="s">
        <v>2339</v>
      </c>
      <c r="E2" s="133"/>
      <c r="F2" s="133"/>
      <c r="G2" s="133"/>
      <c r="H2" s="133"/>
      <c r="I2" s="133"/>
    </row>
    <row r="3" spans="1:9" x14ac:dyDescent="0.3">
      <c r="A3" s="133"/>
      <c r="B3" s="133"/>
      <c r="C3" s="133"/>
      <c r="D3" s="133"/>
      <c r="E3" s="133"/>
      <c r="F3" s="133"/>
      <c r="G3" s="133"/>
      <c r="H3" s="133"/>
      <c r="I3" s="133"/>
    </row>
    <row r="4" spans="1:9" x14ac:dyDescent="0.3">
      <c r="A4" s="133"/>
      <c r="B4" s="133" t="s">
        <v>2307</v>
      </c>
      <c r="C4" s="133"/>
      <c r="D4" s="133"/>
      <c r="E4" s="133"/>
      <c r="F4" s="133"/>
      <c r="G4" s="133"/>
      <c r="H4" s="133"/>
      <c r="I4" s="133"/>
    </row>
    <row r="5" spans="1:9" x14ac:dyDescent="0.3">
      <c r="A5" s="133"/>
      <c r="B5" s="133"/>
      <c r="C5" s="133"/>
      <c r="D5" s="133"/>
      <c r="E5" s="133"/>
      <c r="F5" s="133"/>
      <c r="G5" s="133"/>
      <c r="H5" s="133"/>
      <c r="I5" s="133"/>
    </row>
    <row r="6" spans="1:9" x14ac:dyDescent="0.3">
      <c r="A6" s="133"/>
      <c r="B6" s="489" t="s">
        <v>2309</v>
      </c>
      <c r="C6" s="133"/>
      <c r="D6" s="133"/>
      <c r="E6" s="133"/>
      <c r="F6" s="133"/>
      <c r="G6" s="133"/>
      <c r="H6" s="133"/>
      <c r="I6" s="133"/>
    </row>
    <row r="7" spans="1:9" ht="16.2" x14ac:dyDescent="0.3">
      <c r="A7" s="133"/>
      <c r="B7" s="481" t="s">
        <v>2310</v>
      </c>
      <c r="C7" s="133"/>
      <c r="D7" s="133"/>
      <c r="E7" s="133"/>
      <c r="F7" s="133"/>
      <c r="G7" s="133"/>
      <c r="H7" s="133"/>
      <c r="I7" s="133"/>
    </row>
    <row r="8" spans="1:9" x14ac:dyDescent="0.3">
      <c r="A8" s="133"/>
      <c r="B8" s="133"/>
      <c r="C8" s="133"/>
      <c r="D8" s="133"/>
      <c r="E8" s="133"/>
      <c r="F8" s="133"/>
      <c r="G8" s="133"/>
      <c r="H8" s="133"/>
      <c r="I8" s="133"/>
    </row>
    <row r="9" spans="1:9" x14ac:dyDescent="0.3">
      <c r="A9" s="133"/>
      <c r="B9" s="490" t="s">
        <v>2311</v>
      </c>
      <c r="C9" s="133"/>
      <c r="D9" s="133"/>
      <c r="E9" s="133"/>
      <c r="F9" s="133"/>
      <c r="G9" s="133"/>
      <c r="H9" s="133"/>
      <c r="I9" s="133"/>
    </row>
    <row r="10" spans="1:9" x14ac:dyDescent="0.3">
      <c r="A10" s="133"/>
      <c r="B10" s="481" t="s">
        <v>2312</v>
      </c>
      <c r="C10" s="133"/>
      <c r="D10" s="133"/>
      <c r="E10" s="133"/>
      <c r="F10" s="133"/>
      <c r="G10" s="133"/>
      <c r="H10" s="133"/>
      <c r="I10" s="133"/>
    </row>
    <row r="11" spans="1:9" x14ac:dyDescent="0.3">
      <c r="A11" s="133"/>
      <c r="B11" s="133"/>
      <c r="C11" s="133"/>
      <c r="D11" s="133"/>
      <c r="E11" s="133"/>
      <c r="F11" s="133"/>
      <c r="G11" s="133"/>
      <c r="H11" s="133"/>
      <c r="I11" s="133"/>
    </row>
    <row r="12" spans="1:9" x14ac:dyDescent="0.3">
      <c r="A12" s="133"/>
      <c r="B12" s="516" t="s">
        <v>2333</v>
      </c>
      <c r="C12" s="133"/>
      <c r="D12" s="133"/>
      <c r="E12" s="133"/>
      <c r="F12" s="133"/>
      <c r="G12" s="133"/>
      <c r="H12" s="133"/>
      <c r="I12" s="133"/>
    </row>
    <row r="13" spans="1:9" x14ac:dyDescent="0.3">
      <c r="A13" s="133"/>
      <c r="B13" s="133"/>
      <c r="C13" s="133"/>
      <c r="D13" s="133"/>
      <c r="E13" s="133"/>
      <c r="F13" s="133"/>
      <c r="G13" s="133"/>
      <c r="H13" s="133"/>
      <c r="I13" s="133"/>
    </row>
    <row r="14" spans="1:9" x14ac:dyDescent="0.3">
      <c r="A14" s="133"/>
      <c r="B14" s="517" t="s">
        <v>2334</v>
      </c>
      <c r="C14" s="133"/>
      <c r="D14" s="133"/>
      <c r="E14" s="133"/>
      <c r="F14" s="133"/>
      <c r="G14" s="133"/>
      <c r="H14" s="133"/>
      <c r="I14" s="133"/>
    </row>
    <row r="15" spans="1:9" x14ac:dyDescent="0.3">
      <c r="A15" s="133"/>
      <c r="B15" s="518" t="s">
        <v>2335</v>
      </c>
      <c r="C15" s="133"/>
      <c r="D15" s="133"/>
      <c r="E15" s="133"/>
      <c r="F15" s="133"/>
      <c r="G15" s="133"/>
      <c r="H15" s="133"/>
      <c r="I15" s="133"/>
    </row>
    <row r="16" spans="1:9" ht="15" thickBot="1" x14ac:dyDescent="0.35"/>
    <row r="17" spans="2:5" x14ac:dyDescent="0.3">
      <c r="B17" s="504" t="s">
        <v>2331</v>
      </c>
      <c r="C17" s="505"/>
      <c r="D17" s="506"/>
      <c r="E17" s="507"/>
    </row>
    <row r="18" spans="2:5" x14ac:dyDescent="0.3">
      <c r="B18" s="508" t="s">
        <v>2338</v>
      </c>
      <c r="C18" s="509"/>
      <c r="D18" s="510"/>
      <c r="E18" s="511"/>
    </row>
    <row r="19" spans="2:5" x14ac:dyDescent="0.3">
      <c r="B19" s="508" t="s">
        <v>2337</v>
      </c>
      <c r="C19" s="509"/>
      <c r="D19" s="510"/>
      <c r="E19" s="511"/>
    </row>
    <row r="20" spans="2:5" x14ac:dyDescent="0.3">
      <c r="B20" s="508" t="s">
        <v>2330</v>
      </c>
      <c r="C20" s="509"/>
      <c r="D20" s="510"/>
      <c r="E20" s="511"/>
    </row>
    <row r="21" spans="2:5" x14ac:dyDescent="0.3">
      <c r="B21" s="508" t="s">
        <v>2332</v>
      </c>
      <c r="C21" s="509"/>
      <c r="D21" s="510"/>
      <c r="E21" s="511"/>
    </row>
    <row r="22" spans="2:5" x14ac:dyDescent="0.3">
      <c r="B22" s="508" t="s">
        <v>2346</v>
      </c>
      <c r="C22" s="509"/>
      <c r="D22" s="510"/>
      <c r="E22" s="511"/>
    </row>
    <row r="23" spans="2:5" ht="15" thickBot="1" x14ac:dyDescent="0.35">
      <c r="B23" s="512" t="s">
        <v>2336</v>
      </c>
      <c r="C23" s="513"/>
      <c r="D23" s="514"/>
      <c r="E23" s="515"/>
    </row>
    <row r="25" spans="2:5" x14ac:dyDescent="0.3">
      <c r="B25" s="1" t="s">
        <v>2304</v>
      </c>
    </row>
    <row r="26" spans="2:5" x14ac:dyDescent="0.3">
      <c r="B26" s="83" t="s">
        <v>2305</v>
      </c>
    </row>
    <row r="27" spans="2:5" x14ac:dyDescent="0.3">
      <c r="B27" s="83" t="s">
        <v>2306</v>
      </c>
    </row>
    <row r="29" spans="2:5" x14ac:dyDescent="0.3">
      <c r="B29" s="482" t="s">
        <v>2248</v>
      </c>
      <c r="C29" s="482" t="s">
        <v>2249</v>
      </c>
      <c r="D29" s="483" t="s">
        <v>2250</v>
      </c>
    </row>
    <row r="30" spans="2:5" ht="32.4" x14ac:dyDescent="0.3">
      <c r="B30" s="484" t="s">
        <v>33</v>
      </c>
      <c r="C30" s="485" t="s">
        <v>2251</v>
      </c>
      <c r="D30" s="486" t="s">
        <v>2260</v>
      </c>
    </row>
    <row r="31" spans="2:5" x14ac:dyDescent="0.3">
      <c r="B31" s="519" t="s">
        <v>26</v>
      </c>
      <c r="C31" s="520" t="s">
        <v>2252</v>
      </c>
      <c r="D31" s="521" t="s">
        <v>25</v>
      </c>
    </row>
    <row r="32" spans="2:5" x14ac:dyDescent="0.3">
      <c r="B32" s="519"/>
      <c r="C32" s="520"/>
      <c r="D32" s="521"/>
    </row>
    <row r="33" spans="2:4" ht="16.8" x14ac:dyDescent="0.3">
      <c r="B33" s="484" t="s">
        <v>2261</v>
      </c>
      <c r="C33" s="485" t="s">
        <v>2262</v>
      </c>
      <c r="D33" s="486" t="s">
        <v>2263</v>
      </c>
    </row>
    <row r="34" spans="2:4" ht="19.8" customHeight="1" x14ac:dyDescent="0.3">
      <c r="B34" s="484" t="s">
        <v>2264</v>
      </c>
      <c r="C34" s="485" t="s">
        <v>2265</v>
      </c>
      <c r="D34" s="486" t="s">
        <v>2266</v>
      </c>
    </row>
    <row r="35" spans="2:4" x14ac:dyDescent="0.3">
      <c r="B35" s="519" t="s">
        <v>351</v>
      </c>
      <c r="C35" s="520" t="s">
        <v>2267</v>
      </c>
      <c r="D35" s="521" t="s">
        <v>2268</v>
      </c>
    </row>
    <row r="36" spans="2:4" x14ac:dyDescent="0.3">
      <c r="B36" s="519"/>
      <c r="C36" s="520"/>
      <c r="D36" s="521"/>
    </row>
    <row r="37" spans="2:4" ht="61.2" x14ac:dyDescent="0.3">
      <c r="B37" s="484" t="s">
        <v>2269</v>
      </c>
      <c r="C37" s="485" t="s">
        <v>2270</v>
      </c>
      <c r="D37" s="486" t="s">
        <v>2268</v>
      </c>
    </row>
    <row r="38" spans="2:4" ht="33.6" x14ac:dyDescent="0.3">
      <c r="B38" s="484" t="s">
        <v>2271</v>
      </c>
      <c r="C38" s="485" t="s">
        <v>2272</v>
      </c>
      <c r="D38" s="486" t="s">
        <v>2268</v>
      </c>
    </row>
    <row r="39" spans="2:4" ht="31.2" x14ac:dyDescent="0.3">
      <c r="B39" s="484" t="s">
        <v>2273</v>
      </c>
      <c r="C39" s="485" t="s">
        <v>2274</v>
      </c>
      <c r="D39" s="486" t="s">
        <v>302</v>
      </c>
    </row>
    <row r="40" spans="2:4" ht="46.8" x14ac:dyDescent="0.3">
      <c r="B40" s="484" t="s">
        <v>293</v>
      </c>
      <c r="C40" s="485" t="s">
        <v>2275</v>
      </c>
      <c r="D40" s="486" t="s">
        <v>2276</v>
      </c>
    </row>
    <row r="41" spans="2:4" ht="45.6" x14ac:dyDescent="0.3">
      <c r="B41" s="484" t="s">
        <v>2277</v>
      </c>
      <c r="C41" s="485" t="s">
        <v>2278</v>
      </c>
      <c r="D41" s="486" t="s">
        <v>2276</v>
      </c>
    </row>
    <row r="42" spans="2:4" ht="46.8" x14ac:dyDescent="0.3">
      <c r="B42" s="484" t="s">
        <v>402</v>
      </c>
      <c r="C42" s="485" t="s">
        <v>2279</v>
      </c>
      <c r="D42" s="486" t="s">
        <v>2276</v>
      </c>
    </row>
    <row r="43" spans="2:4" ht="45.6" x14ac:dyDescent="0.3">
      <c r="B43" s="484" t="s">
        <v>2280</v>
      </c>
      <c r="C43" s="485" t="s">
        <v>2281</v>
      </c>
      <c r="D43" s="486" t="s">
        <v>2276</v>
      </c>
    </row>
    <row r="44" spans="2:4" ht="45.6" x14ac:dyDescent="0.3">
      <c r="B44" s="484" t="s">
        <v>2282</v>
      </c>
      <c r="C44" s="485" t="s">
        <v>2283</v>
      </c>
      <c r="D44" s="486" t="s">
        <v>2276</v>
      </c>
    </row>
    <row r="45" spans="2:4" ht="45.6" x14ac:dyDescent="0.3">
      <c r="B45" s="484" t="s">
        <v>2086</v>
      </c>
      <c r="C45" s="485" t="s">
        <v>2284</v>
      </c>
      <c r="D45" s="486" t="s">
        <v>2266</v>
      </c>
    </row>
    <row r="46" spans="2:4" ht="30" x14ac:dyDescent="0.3">
      <c r="B46" s="484" t="s">
        <v>2037</v>
      </c>
      <c r="C46" s="485" t="s">
        <v>2302</v>
      </c>
      <c r="D46" s="486" t="s">
        <v>2285</v>
      </c>
    </row>
    <row r="47" spans="2:4" ht="16.8" customHeight="1" x14ac:dyDescent="0.3">
      <c r="B47" s="484" t="s">
        <v>308</v>
      </c>
      <c r="C47" s="485" t="s">
        <v>2286</v>
      </c>
      <c r="D47" s="486" t="s">
        <v>2287</v>
      </c>
    </row>
    <row r="48" spans="2:4" ht="16.8" customHeight="1" x14ac:dyDescent="0.3">
      <c r="B48" s="484" t="s">
        <v>2288</v>
      </c>
      <c r="C48" s="485" t="s">
        <v>2289</v>
      </c>
      <c r="D48" s="486" t="s">
        <v>2287</v>
      </c>
    </row>
    <row r="49" spans="2:4" ht="16.8" customHeight="1" x14ac:dyDescent="0.3">
      <c r="B49" s="484" t="s">
        <v>2290</v>
      </c>
      <c r="C49" s="485" t="s">
        <v>2291</v>
      </c>
      <c r="D49" s="486" t="s">
        <v>302</v>
      </c>
    </row>
    <row r="50" spans="2:4" x14ac:dyDescent="0.3">
      <c r="B50" s="484" t="s">
        <v>35</v>
      </c>
      <c r="C50" s="485" t="s">
        <v>2253</v>
      </c>
      <c r="D50" s="486" t="s">
        <v>1686</v>
      </c>
    </row>
    <row r="51" spans="2:4" ht="31.2" x14ac:dyDescent="0.3">
      <c r="B51" s="484" t="s">
        <v>2292</v>
      </c>
      <c r="C51" s="485" t="s">
        <v>2293</v>
      </c>
      <c r="D51" s="486" t="s">
        <v>1686</v>
      </c>
    </row>
    <row r="52" spans="2:4" ht="30" x14ac:dyDescent="0.3">
      <c r="B52" s="484" t="s">
        <v>2294</v>
      </c>
      <c r="C52" s="485" t="s">
        <v>2295</v>
      </c>
      <c r="D52" s="486" t="s">
        <v>2263</v>
      </c>
    </row>
    <row r="53" spans="2:4" ht="31.2" x14ac:dyDescent="0.3">
      <c r="B53" s="484" t="s">
        <v>2296</v>
      </c>
      <c r="C53" s="485" t="s">
        <v>2297</v>
      </c>
      <c r="D53" s="486" t="s">
        <v>2263</v>
      </c>
    </row>
    <row r="54" spans="2:4" ht="31.2" x14ac:dyDescent="0.3">
      <c r="B54" s="484" t="s">
        <v>2254</v>
      </c>
      <c r="C54" s="485" t="s">
        <v>2298</v>
      </c>
      <c r="D54" s="486" t="s">
        <v>302</v>
      </c>
    </row>
    <row r="55" spans="2:4" ht="33.6" x14ac:dyDescent="0.3">
      <c r="B55" s="484" t="s">
        <v>2255</v>
      </c>
      <c r="C55" s="485" t="s">
        <v>2299</v>
      </c>
      <c r="D55" s="486" t="s">
        <v>2300</v>
      </c>
    </row>
    <row r="57" spans="2:4" x14ac:dyDescent="0.3">
      <c r="B57" s="1" t="s">
        <v>2303</v>
      </c>
    </row>
    <row r="58" spans="2:4" x14ac:dyDescent="0.3">
      <c r="B58" s="487" t="s">
        <v>1092</v>
      </c>
      <c r="C58" s="487" t="s">
        <v>2244</v>
      </c>
    </row>
    <row r="59" spans="2:4" x14ac:dyDescent="0.3">
      <c r="B59" s="487" t="s">
        <v>209</v>
      </c>
      <c r="C59" s="487" t="s">
        <v>2241</v>
      </c>
    </row>
    <row r="60" spans="2:4" x14ac:dyDescent="0.3">
      <c r="B60" s="487" t="s">
        <v>1091</v>
      </c>
      <c r="C60" s="487" t="s">
        <v>2242</v>
      </c>
    </row>
    <row r="61" spans="2:4" x14ac:dyDescent="0.3">
      <c r="B61" s="487" t="s">
        <v>37</v>
      </c>
      <c r="C61" s="487" t="s">
        <v>212</v>
      </c>
    </row>
    <row r="62" spans="2:4" x14ac:dyDescent="0.3">
      <c r="B62" s="487" t="s">
        <v>1362</v>
      </c>
      <c r="C62" s="487" t="s">
        <v>2245</v>
      </c>
    </row>
    <row r="63" spans="2:4" x14ac:dyDescent="0.3">
      <c r="B63" s="487" t="s">
        <v>301</v>
      </c>
      <c r="C63" s="487" t="s">
        <v>2256</v>
      </c>
    </row>
    <row r="64" spans="2:4" x14ac:dyDescent="0.3">
      <c r="B64" s="487" t="s">
        <v>1671</v>
      </c>
      <c r="C64" s="487" t="s">
        <v>2240</v>
      </c>
    </row>
    <row r="65" spans="2:3" x14ac:dyDescent="0.3">
      <c r="B65" s="487" t="s">
        <v>2110</v>
      </c>
      <c r="C65" s="487" t="s">
        <v>2257</v>
      </c>
    </row>
    <row r="66" spans="2:3" x14ac:dyDescent="0.3">
      <c r="B66" s="487" t="s">
        <v>216</v>
      </c>
      <c r="C66" s="487" t="s">
        <v>217</v>
      </c>
    </row>
    <row r="67" spans="2:3" x14ac:dyDescent="0.3">
      <c r="B67" s="487" t="s">
        <v>2246</v>
      </c>
      <c r="C67" s="487" t="s">
        <v>2247</v>
      </c>
    </row>
    <row r="68" spans="2:3" x14ac:dyDescent="0.3">
      <c r="B68" s="487" t="s">
        <v>218</v>
      </c>
      <c r="C68" s="487" t="s">
        <v>219</v>
      </c>
    </row>
    <row r="69" spans="2:3" x14ac:dyDescent="0.3">
      <c r="B69" s="487" t="s">
        <v>52</v>
      </c>
      <c r="C69" s="487" t="s">
        <v>2259</v>
      </c>
    </row>
    <row r="70" spans="2:3" x14ac:dyDescent="0.3">
      <c r="B70" s="487" t="s">
        <v>1626</v>
      </c>
      <c r="C70" s="487" t="s">
        <v>2243</v>
      </c>
    </row>
    <row r="71" spans="2:3" x14ac:dyDescent="0.3">
      <c r="B71" s="487" t="s">
        <v>558</v>
      </c>
      <c r="C71" s="487" t="s">
        <v>2258</v>
      </c>
    </row>
    <row r="73" spans="2:3" x14ac:dyDescent="0.3">
      <c r="B73" s="488" t="s">
        <v>2301</v>
      </c>
    </row>
  </sheetData>
  <sortState xmlns:xlrd2="http://schemas.microsoft.com/office/spreadsheetml/2017/richdata2" ref="B5:C32">
    <sortCondition ref="B5:B32"/>
  </sortState>
  <mergeCells count="6">
    <mergeCell ref="B31:B32"/>
    <mergeCell ref="C31:C32"/>
    <mergeCell ref="D31:D32"/>
    <mergeCell ref="B35:B36"/>
    <mergeCell ref="C35:C36"/>
    <mergeCell ref="D35:D36"/>
  </mergeCells>
  <hyperlinks>
    <hyperlink ref="B14" r:id="rId1" xr:uid="{9708B842-C180-4A11-A4E5-372F958401FE}"/>
    <hyperlink ref="B15" r:id="rId2" xr:uid="{D676CC85-FDE3-4B55-B2FC-983ECC2744C8}"/>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3DA6-D18E-499A-ABE4-0A9C08B59E07}">
  <dimension ref="A2:O179"/>
  <sheetViews>
    <sheetView workbookViewId="0"/>
  </sheetViews>
  <sheetFormatPr defaultRowHeight="14.4" x14ac:dyDescent="0.3"/>
  <cols>
    <col min="2" max="2" width="17.5546875" customWidth="1"/>
    <col min="3" max="3" width="13.109375" customWidth="1"/>
    <col min="4" max="7" width="9.5546875" bestFit="1" customWidth="1"/>
  </cols>
  <sheetData>
    <row r="2" spans="2:5" x14ac:dyDescent="0.3">
      <c r="B2" s="14" t="s">
        <v>1764</v>
      </c>
    </row>
    <row r="3" spans="2:5" x14ac:dyDescent="0.3">
      <c r="B3" t="s">
        <v>1209</v>
      </c>
    </row>
    <row r="4" spans="2:5" x14ac:dyDescent="0.3">
      <c r="B4" t="s">
        <v>1210</v>
      </c>
    </row>
    <row r="6" spans="2:5" s="133" customFormat="1" x14ac:dyDescent="0.3">
      <c r="B6" s="148" t="s">
        <v>114</v>
      </c>
      <c r="D6" s="133" t="s">
        <v>1619</v>
      </c>
    </row>
    <row r="7" spans="2:5" s="133" customFormat="1" x14ac:dyDescent="0.3">
      <c r="B7" s="133" t="s">
        <v>667</v>
      </c>
      <c r="C7" s="133" t="s">
        <v>503</v>
      </c>
      <c r="D7" s="133">
        <v>37</v>
      </c>
    </row>
    <row r="8" spans="2:5" s="133" customFormat="1" x14ac:dyDescent="0.3">
      <c r="B8" s="133" t="s">
        <v>1324</v>
      </c>
      <c r="D8" s="133" t="s">
        <v>1092</v>
      </c>
    </row>
    <row r="9" spans="2:5" s="133" customFormat="1" x14ac:dyDescent="0.3">
      <c r="B9" s="133" t="s">
        <v>956</v>
      </c>
      <c r="C9" s="133" t="s">
        <v>22</v>
      </c>
      <c r="D9" s="133" t="s">
        <v>1276</v>
      </c>
    </row>
    <row r="10" spans="2:5" s="133" customFormat="1" x14ac:dyDescent="0.3">
      <c r="B10" s="133" t="s">
        <v>32</v>
      </c>
      <c r="C10" s="133" t="s">
        <v>22</v>
      </c>
      <c r="D10" s="133" t="s">
        <v>1620</v>
      </c>
    </row>
    <row r="11" spans="2:5" s="133" customFormat="1" x14ac:dyDescent="0.3">
      <c r="B11" s="133" t="s">
        <v>326</v>
      </c>
      <c r="D11" s="133" t="s">
        <v>343</v>
      </c>
    </row>
    <row r="12" spans="2:5" s="133" customFormat="1" x14ac:dyDescent="0.3">
      <c r="B12" s="133" t="s">
        <v>344</v>
      </c>
      <c r="D12" s="133" t="s">
        <v>694</v>
      </c>
    </row>
    <row r="13" spans="2:5" s="133" customFormat="1" x14ac:dyDescent="0.3">
      <c r="B13" s="133" t="s">
        <v>1332</v>
      </c>
      <c r="D13" s="109" t="s">
        <v>2115</v>
      </c>
      <c r="E13" s="133" t="s">
        <v>1621</v>
      </c>
    </row>
    <row r="14" spans="2:5" s="133" customFormat="1" x14ac:dyDescent="0.3">
      <c r="B14" s="133" t="s">
        <v>1330</v>
      </c>
      <c r="D14" s="133" t="s">
        <v>1333</v>
      </c>
    </row>
    <row r="15" spans="2:5" s="133" customFormat="1" x14ac:dyDescent="0.3">
      <c r="B15" s="133" t="s">
        <v>1968</v>
      </c>
      <c r="D15" s="133" t="s">
        <v>1969</v>
      </c>
      <c r="E15" s="133" t="s">
        <v>1971</v>
      </c>
    </row>
    <row r="16" spans="2:5" s="133" customFormat="1" x14ac:dyDescent="0.3">
      <c r="B16" s="133" t="s">
        <v>1541</v>
      </c>
      <c r="D16" s="133" t="s">
        <v>533</v>
      </c>
    </row>
    <row r="17" spans="2:7" s="133" customFormat="1" x14ac:dyDescent="0.3">
      <c r="B17" s="133" t="s">
        <v>1599</v>
      </c>
      <c r="D17" s="133" t="s">
        <v>2122</v>
      </c>
    </row>
    <row r="18" spans="2:7" s="133" customFormat="1" x14ac:dyDescent="0.3"/>
    <row r="19" spans="2:7" x14ac:dyDescent="0.3">
      <c r="B19" s="6" t="s">
        <v>114</v>
      </c>
    </row>
    <row r="20" spans="2:7" x14ac:dyDescent="0.3">
      <c r="B20" t="s">
        <v>218</v>
      </c>
      <c r="C20" t="s">
        <v>47</v>
      </c>
      <c r="D20">
        <v>3</v>
      </c>
    </row>
    <row r="21" spans="2:7" x14ac:dyDescent="0.3">
      <c r="B21" t="s">
        <v>1079</v>
      </c>
      <c r="C21" t="s">
        <v>17</v>
      </c>
      <c r="D21">
        <v>180</v>
      </c>
    </row>
    <row r="22" spans="2:7" x14ac:dyDescent="0.3">
      <c r="B22" t="s">
        <v>1211</v>
      </c>
      <c r="C22" t="s">
        <v>17</v>
      </c>
      <c r="D22">
        <v>220</v>
      </c>
    </row>
    <row r="23" spans="2:7" x14ac:dyDescent="0.3">
      <c r="B23" t="s">
        <v>48</v>
      </c>
      <c r="C23" t="s">
        <v>47</v>
      </c>
      <c r="D23">
        <v>12</v>
      </c>
    </row>
    <row r="24" spans="2:7" x14ac:dyDescent="0.3">
      <c r="B24" t="s">
        <v>1212</v>
      </c>
      <c r="C24" t="s">
        <v>47</v>
      </c>
    </row>
    <row r="26" spans="2:7" x14ac:dyDescent="0.3">
      <c r="B26" t="s">
        <v>1219</v>
      </c>
      <c r="C26" t="s">
        <v>1220</v>
      </c>
      <c r="D26">
        <v>46</v>
      </c>
      <c r="G26" t="s">
        <v>1223</v>
      </c>
    </row>
    <row r="27" spans="2:7" x14ac:dyDescent="0.3">
      <c r="B27" t="s">
        <v>295</v>
      </c>
      <c r="C27" t="s">
        <v>348</v>
      </c>
      <c r="D27">
        <f>G42</f>
        <v>11.6</v>
      </c>
      <c r="G27" t="s">
        <v>1213</v>
      </c>
    </row>
    <row r="28" spans="2:7" x14ac:dyDescent="0.3">
      <c r="B28" t="s">
        <v>1224</v>
      </c>
      <c r="C28" t="s">
        <v>1225</v>
      </c>
      <c r="D28" s="3">
        <f>D27/D26</f>
        <v>0.25217391304347825</v>
      </c>
      <c r="G28" t="s">
        <v>197</v>
      </c>
    </row>
    <row r="29" spans="2:7" x14ac:dyDescent="0.3">
      <c r="B29" t="s">
        <v>1221</v>
      </c>
      <c r="C29" t="s">
        <v>1222</v>
      </c>
      <c r="D29">
        <v>1.7</v>
      </c>
      <c r="G29" t="s">
        <v>1213</v>
      </c>
    </row>
    <row r="30" spans="2:7" x14ac:dyDescent="0.3">
      <c r="B30" t="s">
        <v>1224</v>
      </c>
      <c r="C30" t="s">
        <v>551</v>
      </c>
      <c r="D30" s="3">
        <f>D28/D29</f>
        <v>0.14833759590792839</v>
      </c>
    </row>
    <row r="31" spans="2:7" x14ac:dyDescent="0.3">
      <c r="C31" t="s">
        <v>22</v>
      </c>
      <c r="D31" s="8">
        <f>D30*1000</f>
        <v>148.33759590792837</v>
      </c>
    </row>
    <row r="34" spans="2:7" x14ac:dyDescent="0.3">
      <c r="B34" t="s">
        <v>26</v>
      </c>
      <c r="C34" t="s">
        <v>566</v>
      </c>
      <c r="D34">
        <v>3.3</v>
      </c>
      <c r="E34">
        <v>2.8</v>
      </c>
    </row>
    <row r="35" spans="2:7" x14ac:dyDescent="0.3">
      <c r="B35" t="s">
        <v>33</v>
      </c>
      <c r="C35" t="s">
        <v>361</v>
      </c>
      <c r="D35">
        <v>2.7</v>
      </c>
      <c r="E35">
        <v>3.9</v>
      </c>
      <c r="G35" t="s">
        <v>1213</v>
      </c>
    </row>
    <row r="36" spans="2:7" x14ac:dyDescent="0.3">
      <c r="B36" s="6" t="s">
        <v>2224</v>
      </c>
      <c r="C36" s="133" t="s">
        <v>361</v>
      </c>
      <c r="D36" s="30">
        <f>D23/D34</f>
        <v>3.6363636363636367</v>
      </c>
      <c r="E36" s="30">
        <f>D23/E34</f>
        <v>4.2857142857142856</v>
      </c>
      <c r="G36" t="s">
        <v>1214</v>
      </c>
    </row>
    <row r="39" spans="2:7" x14ac:dyDescent="0.3">
      <c r="B39" t="s">
        <v>287</v>
      </c>
      <c r="C39" t="s">
        <v>738</v>
      </c>
      <c r="D39">
        <v>0</v>
      </c>
      <c r="E39">
        <v>1</v>
      </c>
      <c r="F39">
        <v>2</v>
      </c>
      <c r="G39">
        <v>3</v>
      </c>
    </row>
    <row r="40" spans="2:7" x14ac:dyDescent="0.3">
      <c r="B40" t="s">
        <v>26</v>
      </c>
      <c r="C40" t="s">
        <v>25</v>
      </c>
      <c r="D40">
        <v>3.4</v>
      </c>
      <c r="E40">
        <v>3.3</v>
      </c>
      <c r="F40">
        <v>2.8</v>
      </c>
      <c r="G40">
        <v>2.4</v>
      </c>
    </row>
    <row r="41" spans="2:7" x14ac:dyDescent="0.3">
      <c r="B41" t="s">
        <v>33</v>
      </c>
      <c r="C41" t="s">
        <v>361</v>
      </c>
      <c r="D41">
        <v>3.5</v>
      </c>
      <c r="E41">
        <v>2.7</v>
      </c>
      <c r="F41">
        <v>3.9</v>
      </c>
      <c r="G41">
        <v>4.4000000000000004</v>
      </c>
    </row>
    <row r="42" spans="2:7" x14ac:dyDescent="0.3">
      <c r="B42" t="s">
        <v>13</v>
      </c>
      <c r="C42" t="s">
        <v>348</v>
      </c>
      <c r="E42" s="8">
        <v>7.2</v>
      </c>
      <c r="F42" s="8">
        <v>9</v>
      </c>
      <c r="G42" s="8">
        <v>11.6</v>
      </c>
    </row>
    <row r="43" spans="2:7" x14ac:dyDescent="0.3">
      <c r="B43" t="s">
        <v>3</v>
      </c>
      <c r="C43" t="s">
        <v>302</v>
      </c>
      <c r="D43">
        <v>74.7</v>
      </c>
      <c r="E43">
        <v>97.4</v>
      </c>
      <c r="F43">
        <v>82.8</v>
      </c>
      <c r="G43">
        <v>97.9</v>
      </c>
    </row>
    <row r="44" spans="2:7" x14ac:dyDescent="0.3">
      <c r="B44" t="s">
        <v>277</v>
      </c>
      <c r="C44" t="s">
        <v>302</v>
      </c>
      <c r="D44">
        <v>25.3</v>
      </c>
      <c r="E44">
        <v>1.5</v>
      </c>
      <c r="F44">
        <v>4.3</v>
      </c>
      <c r="G44">
        <v>1.4</v>
      </c>
    </row>
    <row r="45" spans="2:7" x14ac:dyDescent="0.3">
      <c r="B45" t="s">
        <v>13</v>
      </c>
      <c r="C45" t="s">
        <v>302</v>
      </c>
      <c r="E45">
        <v>1.1000000000000001</v>
      </c>
      <c r="F45">
        <v>12.9</v>
      </c>
      <c r="G45">
        <v>0.7</v>
      </c>
    </row>
    <row r="46" spans="2:7" x14ac:dyDescent="0.3">
      <c r="B46" t="s">
        <v>1215</v>
      </c>
      <c r="C46" t="s">
        <v>399</v>
      </c>
      <c r="D46">
        <v>0.3</v>
      </c>
      <c r="E46">
        <v>0.4</v>
      </c>
      <c r="F46">
        <v>0.4</v>
      </c>
      <c r="G46">
        <v>0.6</v>
      </c>
    </row>
    <row r="47" spans="2:7" x14ac:dyDescent="0.3">
      <c r="B47" t="s">
        <v>1216</v>
      </c>
      <c r="C47" t="s">
        <v>302</v>
      </c>
      <c r="D47">
        <v>94.8</v>
      </c>
      <c r="E47">
        <v>96</v>
      </c>
      <c r="F47">
        <v>96.8</v>
      </c>
      <c r="G47">
        <v>95.7</v>
      </c>
    </row>
    <row r="48" spans="2:7" x14ac:dyDescent="0.3">
      <c r="B48" t="s">
        <v>308</v>
      </c>
      <c r="C48" t="s">
        <v>348</v>
      </c>
      <c r="D48">
        <v>8.6</v>
      </c>
      <c r="E48">
        <v>7.5</v>
      </c>
      <c r="F48">
        <v>10.9</v>
      </c>
      <c r="G48">
        <v>10.8</v>
      </c>
    </row>
    <row r="49" spans="2:11" x14ac:dyDescent="0.3">
      <c r="B49" t="s">
        <v>35</v>
      </c>
      <c r="D49">
        <v>7.3</v>
      </c>
      <c r="E49">
        <v>7.8</v>
      </c>
      <c r="F49">
        <v>7.7</v>
      </c>
      <c r="G49">
        <v>7.9</v>
      </c>
    </row>
    <row r="50" spans="2:11" x14ac:dyDescent="0.3">
      <c r="B50" t="s">
        <v>1217</v>
      </c>
      <c r="C50" t="s">
        <v>839</v>
      </c>
      <c r="D50">
        <v>1866</v>
      </c>
      <c r="E50">
        <v>1122</v>
      </c>
      <c r="F50">
        <v>1491</v>
      </c>
      <c r="G50">
        <v>1453</v>
      </c>
    </row>
    <row r="51" spans="2:11" x14ac:dyDescent="0.3">
      <c r="B51" t="s">
        <v>1218</v>
      </c>
      <c r="C51" t="s">
        <v>302</v>
      </c>
      <c r="E51">
        <v>98.9</v>
      </c>
      <c r="F51" s="26">
        <v>89.3</v>
      </c>
      <c r="G51">
        <v>99.2</v>
      </c>
      <c r="I51" t="s">
        <v>2320</v>
      </c>
    </row>
    <row r="53" spans="2:11" x14ac:dyDescent="0.3">
      <c r="B53" s="6" t="s">
        <v>877</v>
      </c>
      <c r="C53" t="s">
        <v>738</v>
      </c>
      <c r="D53">
        <v>0</v>
      </c>
      <c r="E53">
        <v>1</v>
      </c>
      <c r="F53">
        <v>2</v>
      </c>
      <c r="G53">
        <v>3</v>
      </c>
    </row>
    <row r="54" spans="2:11" x14ac:dyDescent="0.3">
      <c r="B54" s="27" t="s">
        <v>33</v>
      </c>
      <c r="C54" t="s">
        <v>270</v>
      </c>
      <c r="D54" s="8">
        <f>$D23/D40</f>
        <v>3.5294117647058822</v>
      </c>
      <c r="E54" s="55">
        <f>$D23/E40</f>
        <v>3.6363636363636367</v>
      </c>
      <c r="F54" s="55">
        <f>$D23/F40</f>
        <v>4.2857142857142856</v>
      </c>
      <c r="G54" s="55">
        <f>$D23/G40</f>
        <v>5</v>
      </c>
      <c r="I54" t="s">
        <v>1957</v>
      </c>
    </row>
    <row r="55" spans="2:11" x14ac:dyDescent="0.3">
      <c r="B55" s="27" t="s">
        <v>26</v>
      </c>
      <c r="C55" t="s">
        <v>566</v>
      </c>
      <c r="D55" s="8">
        <f>$D23/D41</f>
        <v>3.4285714285714284</v>
      </c>
      <c r="E55" s="55">
        <f>$D23/E41</f>
        <v>4.4444444444444438</v>
      </c>
      <c r="F55" s="55">
        <f>$D23/F41</f>
        <v>3.0769230769230771</v>
      </c>
      <c r="G55" s="55">
        <f>$D23/G41</f>
        <v>2.7272727272727271</v>
      </c>
      <c r="I55" t="s">
        <v>1227</v>
      </c>
    </row>
    <row r="56" spans="2:11" x14ac:dyDescent="0.3">
      <c r="B56" s="27" t="s">
        <v>48</v>
      </c>
      <c r="C56" t="s">
        <v>47</v>
      </c>
      <c r="D56" s="8">
        <f>D40*D41</f>
        <v>11.9</v>
      </c>
      <c r="E56" s="55">
        <f>E40*E41</f>
        <v>8.91</v>
      </c>
      <c r="F56" s="55">
        <f>F40*F41</f>
        <v>10.92</v>
      </c>
      <c r="G56" s="55">
        <f>G40*G41</f>
        <v>10.56</v>
      </c>
      <c r="I56" t="s">
        <v>2321</v>
      </c>
    </row>
    <row r="57" spans="2:11" x14ac:dyDescent="0.3">
      <c r="B57" t="s">
        <v>747</v>
      </c>
      <c r="C57" t="s">
        <v>302</v>
      </c>
      <c r="D57">
        <f>SUM(D43:D45)</f>
        <v>100</v>
      </c>
      <c r="E57">
        <f>SUM(E43:E45)</f>
        <v>100</v>
      </c>
      <c r="F57">
        <f>SUM(F43:F45)</f>
        <v>100</v>
      </c>
      <c r="G57">
        <f>SUM(G43:G45)</f>
        <v>100.00000000000001</v>
      </c>
    </row>
    <row r="58" spans="2:11" x14ac:dyDescent="0.3">
      <c r="B58" s="27" t="s">
        <v>321</v>
      </c>
      <c r="C58" t="s">
        <v>338</v>
      </c>
      <c r="D58" s="10"/>
      <c r="E58" s="10">
        <f>E42*24/$D$31</f>
        <v>1.1649103448275864</v>
      </c>
      <c r="F58" s="10">
        <f>F42*24/$D$31</f>
        <v>1.4561379310344829</v>
      </c>
      <c r="G58" s="10">
        <f>G42*24/$D$31</f>
        <v>1.8768</v>
      </c>
    </row>
    <row r="59" spans="2:11" x14ac:dyDescent="0.3">
      <c r="B59" t="s">
        <v>293</v>
      </c>
      <c r="C59" t="s">
        <v>338</v>
      </c>
      <c r="D59" s="10">
        <f>D48*D43*24/(100*$D$31)</f>
        <v>1.0393912551724138</v>
      </c>
      <c r="E59" s="10">
        <f>E48*E43*24/(100*$D$31)</f>
        <v>1.1818986206896553</v>
      </c>
      <c r="F59" s="10">
        <f>F48*F43*24/(100*$D$31)</f>
        <v>1.4602151172413795</v>
      </c>
      <c r="G59" s="10">
        <f>G48*G43*24/(100*$D$31)</f>
        <v>1.7106708413793108</v>
      </c>
    </row>
    <row r="60" spans="2:11" x14ac:dyDescent="0.3">
      <c r="B60" t="s">
        <v>1082</v>
      </c>
      <c r="C60" t="s">
        <v>338</v>
      </c>
      <c r="D60" s="10">
        <f>D48*D44*24/(100*$D$31)</f>
        <v>0.35202943448275864</v>
      </c>
      <c r="E60" s="10">
        <f>E48*E44*24/(100*$D$31)</f>
        <v>1.8201724137931037E-2</v>
      </c>
      <c r="F60" s="10">
        <f>F48*F44*24/(100*$D$31)</f>
        <v>7.5832427586206896E-2</v>
      </c>
      <c r="G60" s="10">
        <f>G48*G44*24/(100*$D$31)</f>
        <v>2.4463117241379312E-2</v>
      </c>
    </row>
    <row r="61" spans="2:11" s="133" customFormat="1" x14ac:dyDescent="0.3">
      <c r="B61" s="133" t="s">
        <v>308</v>
      </c>
      <c r="C61" s="133" t="s">
        <v>338</v>
      </c>
      <c r="D61" s="10">
        <f>D48*24/$D31</f>
        <v>1.3914206896551724</v>
      </c>
      <c r="E61" s="10">
        <f>E48*24/$D31</f>
        <v>1.213448275862069</v>
      </c>
      <c r="F61" s="10">
        <f>F48*24/$D31</f>
        <v>1.7635448275862071</v>
      </c>
      <c r="G61" s="10">
        <f>G48*24/$D31</f>
        <v>1.7473655172413798</v>
      </c>
      <c r="I61" s="133" t="s">
        <v>1552</v>
      </c>
    </row>
    <row r="62" spans="2:11" s="133" customFormat="1" x14ac:dyDescent="0.3">
      <c r="B62" s="133" t="s">
        <v>40</v>
      </c>
      <c r="C62" s="133" t="s">
        <v>338</v>
      </c>
      <c r="D62" s="10">
        <f>D59+D60</f>
        <v>1.3914206896551724</v>
      </c>
      <c r="E62" s="10">
        <f t="shared" ref="E62:G62" si="0">E59+E60</f>
        <v>1.2001003448275864</v>
      </c>
      <c r="F62" s="10">
        <f t="shared" si="0"/>
        <v>1.5360475448275865</v>
      </c>
      <c r="G62" s="10">
        <f t="shared" si="0"/>
        <v>1.7351339586206902</v>
      </c>
    </row>
    <row r="63" spans="2:11" x14ac:dyDescent="0.3">
      <c r="B63" t="s">
        <v>351</v>
      </c>
      <c r="C63" t="s">
        <v>377</v>
      </c>
      <c r="D63" s="10">
        <f>D59/D41</f>
        <v>0.29696893004926112</v>
      </c>
      <c r="E63" s="10">
        <f>E59/E41</f>
        <v>0.43774022988505751</v>
      </c>
      <c r="F63" s="10">
        <f>F59/F41</f>
        <v>0.37441413262599477</v>
      </c>
      <c r="G63" s="10">
        <f>G59/G41</f>
        <v>0.38878882758620698</v>
      </c>
    </row>
    <row r="64" spans="2:11" x14ac:dyDescent="0.3">
      <c r="B64" t="s">
        <v>352</v>
      </c>
      <c r="C64" t="s">
        <v>377</v>
      </c>
      <c r="D64" s="10"/>
      <c r="E64" s="10">
        <f>E63-$D63</f>
        <v>0.14077129983579639</v>
      </c>
      <c r="F64" s="10">
        <f>F63-$D63</f>
        <v>7.7445202576733652E-2</v>
      </c>
      <c r="G64" s="10">
        <f>G63-$D63</f>
        <v>9.181989753694586E-2</v>
      </c>
      <c r="I64" s="10"/>
      <c r="K64" s="10"/>
    </row>
    <row r="65" spans="1:11" x14ac:dyDescent="0.3">
      <c r="B65" t="s">
        <v>1229</v>
      </c>
      <c r="C65" t="s">
        <v>338</v>
      </c>
      <c r="D65" s="10"/>
      <c r="E65" s="10">
        <f>$D59*E41/$D41</f>
        <v>0.80181611113300499</v>
      </c>
      <c r="F65" s="10">
        <f>$D59*F41/$D41</f>
        <v>1.1581788271921183</v>
      </c>
      <c r="G65" s="10">
        <f>$D59*G41/$D41</f>
        <v>1.3066632922167489</v>
      </c>
      <c r="I65" s="10"/>
      <c r="K65" s="10"/>
    </row>
    <row r="66" spans="1:11" x14ac:dyDescent="0.3">
      <c r="B66" t="s">
        <v>1226</v>
      </c>
      <c r="C66" t="s">
        <v>338</v>
      </c>
      <c r="D66" s="10"/>
      <c r="E66" s="10">
        <f>E59-E65</f>
        <v>0.38008250955665035</v>
      </c>
      <c r="F66" s="10">
        <f>F59-F65</f>
        <v>0.30203629004926125</v>
      </c>
      <c r="G66" s="10">
        <f>G59-G65</f>
        <v>0.40400754916256187</v>
      </c>
      <c r="I66" s="10"/>
      <c r="K66" s="10"/>
    </row>
    <row r="67" spans="1:11" x14ac:dyDescent="0.3">
      <c r="B67" t="s">
        <v>1231</v>
      </c>
      <c r="C67" t="s">
        <v>377</v>
      </c>
      <c r="D67" s="10">
        <f>D60/D41</f>
        <v>0.10057983842364533</v>
      </c>
      <c r="E67" s="10">
        <f>E60/E41</f>
        <v>6.7413793103448284E-3</v>
      </c>
      <c r="F67" s="10">
        <f>F60/F41</f>
        <v>1.9444212201591513E-2</v>
      </c>
      <c r="G67" s="10">
        <f>G60/G41</f>
        <v>5.5597993730407526E-3</v>
      </c>
    </row>
    <row r="68" spans="1:11" x14ac:dyDescent="0.3">
      <c r="B68" t="s">
        <v>1232</v>
      </c>
      <c r="C68" t="s">
        <v>377</v>
      </c>
      <c r="D68" s="10"/>
      <c r="E68" s="10">
        <f>$D67-E67</f>
        <v>9.3838459113300507E-2</v>
      </c>
      <c r="F68" s="10">
        <f>$D67-F67</f>
        <v>8.1135626222053822E-2</v>
      </c>
      <c r="G68" s="10">
        <f>$D67-G67</f>
        <v>9.5020039050604577E-2</v>
      </c>
    </row>
    <row r="69" spans="1:11" x14ac:dyDescent="0.3">
      <c r="B69" t="s">
        <v>1230</v>
      </c>
      <c r="C69" t="s">
        <v>338</v>
      </c>
      <c r="D69" s="10"/>
      <c r="E69" s="10">
        <f>$D60*E41/$D41</f>
        <v>0.27156556374384239</v>
      </c>
      <c r="F69" s="10">
        <f>$D60*F41/$D41</f>
        <v>0.39226136985221677</v>
      </c>
      <c r="G69" s="10">
        <f>$D60*G41/$D41</f>
        <v>0.44255128906403945</v>
      </c>
    </row>
    <row r="70" spans="1:11" x14ac:dyDescent="0.3">
      <c r="A70" s="133"/>
      <c r="B70" t="s">
        <v>1233</v>
      </c>
      <c r="C70" t="s">
        <v>338</v>
      </c>
      <c r="D70" s="10"/>
      <c r="E70" s="10">
        <f>E69-E60</f>
        <v>0.25336383960591136</v>
      </c>
      <c r="F70" s="10">
        <f>F69-F60</f>
        <v>0.31642894226600987</v>
      </c>
      <c r="G70" s="10">
        <f>G69-G60</f>
        <v>0.41808817182266012</v>
      </c>
    </row>
    <row r="71" spans="1:11" x14ac:dyDescent="0.3">
      <c r="B71" s="133" t="s">
        <v>323</v>
      </c>
      <c r="C71" t="s">
        <v>338</v>
      </c>
      <c r="D71" s="10"/>
      <c r="E71" s="10">
        <f>E48*E45*24/(100*$D$31)</f>
        <v>1.3347931034482761E-2</v>
      </c>
      <c r="F71" s="10">
        <f>F48*F45*24/(100*$D$31)</f>
        <v>0.22749728275862074</v>
      </c>
      <c r="G71" s="10">
        <f>G48*G45*24/(100*$D$31)</f>
        <v>1.2231558620689656E-2</v>
      </c>
    </row>
    <row r="72" spans="1:11" x14ac:dyDescent="0.3">
      <c r="B72" s="133" t="s">
        <v>433</v>
      </c>
      <c r="C72" t="s">
        <v>908</v>
      </c>
      <c r="E72" s="10">
        <f>E58-E71</f>
        <v>1.1515624137931035</v>
      </c>
      <c r="F72" s="10">
        <f>F58-F71</f>
        <v>1.2286406482758621</v>
      </c>
      <c r="G72" s="10">
        <f>G58-G71</f>
        <v>1.8645684413793104</v>
      </c>
    </row>
    <row r="73" spans="1:11" x14ac:dyDescent="0.3">
      <c r="B73" s="148" t="s">
        <v>460</v>
      </c>
      <c r="C73" t="s">
        <v>908</v>
      </c>
      <c r="E73" s="10">
        <f>E72/4</f>
        <v>0.28789060344827588</v>
      </c>
      <c r="F73" s="10">
        <f>F72/4</f>
        <v>0.30716016206896551</v>
      </c>
      <c r="G73" s="10">
        <f>G72/4</f>
        <v>0.46614211034482761</v>
      </c>
    </row>
    <row r="74" spans="1:11" x14ac:dyDescent="0.3">
      <c r="B74" s="148" t="s">
        <v>402</v>
      </c>
      <c r="C74" t="s">
        <v>908</v>
      </c>
      <c r="E74" s="10">
        <f>E66</f>
        <v>0.38008250955665035</v>
      </c>
      <c r="F74" s="10">
        <f>F66</f>
        <v>0.30203629004926125</v>
      </c>
      <c r="G74" s="10">
        <f>G66</f>
        <v>0.40400754916256187</v>
      </c>
    </row>
    <row r="75" spans="1:11" x14ac:dyDescent="0.3">
      <c r="B75" s="148" t="s">
        <v>2086</v>
      </c>
      <c r="C75" t="s">
        <v>908</v>
      </c>
      <c r="E75" s="10">
        <f>E70</f>
        <v>0.25336383960591136</v>
      </c>
      <c r="F75" s="10">
        <f>F70</f>
        <v>0.31642894226600987</v>
      </c>
      <c r="G75" s="10">
        <f>G70</f>
        <v>0.41808817182266012</v>
      </c>
    </row>
    <row r="76" spans="1:11" s="133" customFormat="1" x14ac:dyDescent="0.3">
      <c r="B76" s="148" t="s">
        <v>93</v>
      </c>
      <c r="E76" s="134">
        <f>E58/$D60</f>
        <v>3.3091276771762113</v>
      </c>
      <c r="F76" s="134">
        <f>F58/$D60</f>
        <v>4.1364095964702638</v>
      </c>
      <c r="G76" s="134">
        <f>G58/$D60</f>
        <v>5.331372368783895</v>
      </c>
    </row>
    <row r="77" spans="1:11" x14ac:dyDescent="0.3">
      <c r="B77" s="148" t="s">
        <v>462</v>
      </c>
      <c r="C77" t="s">
        <v>92</v>
      </c>
      <c r="E77" s="10">
        <f>E72/E58</f>
        <v>0.98854166666666665</v>
      </c>
      <c r="F77" s="31">
        <f>F72/F58</f>
        <v>0.84376666666666655</v>
      </c>
      <c r="G77" s="10">
        <f>G72/G58</f>
        <v>0.99348275862068969</v>
      </c>
      <c r="I77" t="s">
        <v>1228</v>
      </c>
    </row>
    <row r="78" spans="1:11" x14ac:dyDescent="0.3">
      <c r="B78" s="148" t="s">
        <v>2085</v>
      </c>
      <c r="C78" t="s">
        <v>92</v>
      </c>
      <c r="E78" s="3">
        <f>E74/E73</f>
        <v>1.3202324251091377</v>
      </c>
      <c r="F78" s="3">
        <f>F74/F73</f>
        <v>0.98331856584138078</v>
      </c>
      <c r="G78" s="3">
        <f>G74/G73</f>
        <v>0.86670468124773836</v>
      </c>
    </row>
    <row r="79" spans="1:11" x14ac:dyDescent="0.3">
      <c r="B79" s="148" t="s">
        <v>2087</v>
      </c>
      <c r="C79" t="s">
        <v>92</v>
      </c>
      <c r="E79" s="10">
        <f>E75/E73</f>
        <v>0.880069847960259</v>
      </c>
      <c r="F79" s="10">
        <f>F75/F73</f>
        <v>1.0301757237481965</v>
      </c>
      <c r="G79" s="10">
        <f>G75/G73</f>
        <v>0.8969113979283706</v>
      </c>
    </row>
    <row r="80" spans="1:11" x14ac:dyDescent="0.3">
      <c r="B80" s="148" t="s">
        <v>2088</v>
      </c>
      <c r="C80" t="s">
        <v>92</v>
      </c>
      <c r="E80" s="10">
        <f>E74/E75</f>
        <v>1.5001450489061126</v>
      </c>
      <c r="F80" s="10">
        <f>F74/F75</f>
        <v>0.95451537361380401</v>
      </c>
      <c r="G80" s="10">
        <f>G74/G75</f>
        <v>0.96632140393086552</v>
      </c>
    </row>
    <row r="81" spans="2:15" s="133" customFormat="1" x14ac:dyDescent="0.3">
      <c r="B81" s="148" t="s">
        <v>2096</v>
      </c>
      <c r="C81" s="133" t="s">
        <v>92</v>
      </c>
      <c r="D81" s="37"/>
      <c r="E81" s="37">
        <f>E74/$D60</f>
        <v>1.0796895723083795</v>
      </c>
      <c r="F81" s="37">
        <f>F74/$D60</f>
        <v>0.85798589681299531</v>
      </c>
      <c r="G81" s="37">
        <f>G74/$D60</f>
        <v>1.1476527516972419</v>
      </c>
      <c r="H81" s="37"/>
      <c r="I81" s="37"/>
      <c r="J81" s="37"/>
      <c r="K81" s="37"/>
      <c r="L81" s="37"/>
      <c r="M81" s="37"/>
      <c r="N81" s="37"/>
      <c r="O81" s="37"/>
    </row>
    <row r="82" spans="2:15" s="133" customFormat="1" x14ac:dyDescent="0.3">
      <c r="B82" s="148" t="s">
        <v>2097</v>
      </c>
      <c r="C82" s="133" t="s">
        <v>92</v>
      </c>
      <c r="D82" s="37"/>
      <c r="E82" s="37">
        <f>E61/$D61</f>
        <v>0.87209302325581406</v>
      </c>
      <c r="F82" s="37">
        <f>F61/$D61</f>
        <v>1.2674418604651165</v>
      </c>
      <c r="G82" s="37">
        <f>G61/$D61</f>
        <v>1.2558139534883725</v>
      </c>
      <c r="H82" s="37"/>
      <c r="I82" s="37"/>
      <c r="J82" s="37"/>
      <c r="K82" s="37"/>
      <c r="L82" s="37"/>
      <c r="M82" s="37"/>
      <c r="N82" s="37"/>
      <c r="O82" s="37"/>
    </row>
    <row r="83" spans="2:15" x14ac:dyDescent="0.3">
      <c r="B83" s="148" t="s">
        <v>2081</v>
      </c>
      <c r="E83" s="3">
        <f>E72/E74</f>
        <v>3.0297695496074017</v>
      </c>
      <c r="F83" s="3">
        <f>F72/F74</f>
        <v>4.067857700395785</v>
      </c>
      <c r="G83" s="3">
        <f>G72/G74</f>
        <v>4.6151821797494623</v>
      </c>
    </row>
    <row r="84" spans="2:15" x14ac:dyDescent="0.3">
      <c r="B84" s="148" t="s">
        <v>2137</v>
      </c>
      <c r="E84" s="3">
        <f>E72/E75</f>
        <v>4.5450937891700463</v>
      </c>
      <c r="F84" s="3">
        <f>F72/F75</f>
        <v>3.882832712701072</v>
      </c>
      <c r="G84" s="3">
        <f>G72/G75</f>
        <v>4.459749323332213</v>
      </c>
    </row>
    <row r="86" spans="2:15" x14ac:dyDescent="0.3">
      <c r="B86" s="6" t="s">
        <v>359</v>
      </c>
      <c r="C86" t="s">
        <v>738</v>
      </c>
      <c r="D86">
        <v>0</v>
      </c>
      <c r="E86">
        <v>1</v>
      </c>
      <c r="F86">
        <v>2</v>
      </c>
      <c r="G86">
        <v>3</v>
      </c>
    </row>
    <row r="87" spans="2:15" s="133" customFormat="1" x14ac:dyDescent="0.3">
      <c r="B87" s="148" t="s">
        <v>1795</v>
      </c>
      <c r="D87" s="133" t="s">
        <v>2156</v>
      </c>
      <c r="E87" s="66" t="s">
        <v>1686</v>
      </c>
      <c r="F87" s="66" t="s">
        <v>1686</v>
      </c>
      <c r="G87" s="66" t="s">
        <v>1686</v>
      </c>
    </row>
    <row r="88" spans="2:15" s="133" customFormat="1" x14ac:dyDescent="0.3">
      <c r="B88" s="148" t="s">
        <v>1791</v>
      </c>
      <c r="D88" s="133" t="s">
        <v>1104</v>
      </c>
      <c r="E88" s="133" t="s">
        <v>1105</v>
      </c>
      <c r="F88" s="133" t="s">
        <v>1105</v>
      </c>
      <c r="G88" s="133" t="s">
        <v>1105</v>
      </c>
    </row>
    <row r="89" spans="2:15" x14ac:dyDescent="0.3">
      <c r="B89" t="s">
        <v>33</v>
      </c>
      <c r="C89" t="s">
        <v>270</v>
      </c>
      <c r="D89">
        <f>D41</f>
        <v>3.5</v>
      </c>
      <c r="E89">
        <f>E41</f>
        <v>2.7</v>
      </c>
      <c r="F89">
        <f>F41</f>
        <v>3.9</v>
      </c>
      <c r="G89">
        <f>G41</f>
        <v>4.4000000000000004</v>
      </c>
      <c r="I89" t="s">
        <v>1168</v>
      </c>
    </row>
    <row r="90" spans="2:15" x14ac:dyDescent="0.3">
      <c r="B90" t="s">
        <v>26</v>
      </c>
      <c r="C90" t="s">
        <v>25</v>
      </c>
      <c r="D90">
        <f>D41</f>
        <v>3.5</v>
      </c>
      <c r="E90">
        <f>E41</f>
        <v>2.7</v>
      </c>
      <c r="F90">
        <f>F41</f>
        <v>3.9</v>
      </c>
      <c r="G90">
        <f>G41</f>
        <v>4.4000000000000004</v>
      </c>
    </row>
    <row r="91" spans="2:15" s="133" customFormat="1" x14ac:dyDescent="0.3">
      <c r="B91" s="148" t="s">
        <v>1544</v>
      </c>
      <c r="C91" s="133" t="s">
        <v>338</v>
      </c>
      <c r="E91" s="134">
        <f>E58</f>
        <v>1.1649103448275864</v>
      </c>
      <c r="F91" s="134">
        <f>F58</f>
        <v>1.4561379310344829</v>
      </c>
      <c r="G91" s="134">
        <f>G58</f>
        <v>1.8768</v>
      </c>
    </row>
    <row r="92" spans="2:15" x14ac:dyDescent="0.3">
      <c r="B92" t="s">
        <v>351</v>
      </c>
      <c r="C92" t="s">
        <v>377</v>
      </c>
      <c r="D92" s="10">
        <f>D63</f>
        <v>0.29696893004926112</v>
      </c>
      <c r="E92" s="10">
        <f>E63</f>
        <v>0.43774022988505751</v>
      </c>
      <c r="F92" s="10">
        <f>F63</f>
        <v>0.37441413262599477</v>
      </c>
      <c r="G92" s="10">
        <f>G63</f>
        <v>0.38878882758620698</v>
      </c>
    </row>
    <row r="93" spans="2:15" x14ac:dyDescent="0.3">
      <c r="B93" t="s">
        <v>352</v>
      </c>
      <c r="C93" t="s">
        <v>377</v>
      </c>
      <c r="D93" s="10"/>
      <c r="E93" s="10">
        <f>E64</f>
        <v>0.14077129983579639</v>
      </c>
      <c r="F93" s="10">
        <f>F64</f>
        <v>7.7445202576733652E-2</v>
      </c>
      <c r="G93" s="10">
        <f>G64</f>
        <v>9.181989753694586E-2</v>
      </c>
    </row>
    <row r="94" spans="2:15" x14ac:dyDescent="0.3">
      <c r="B94" t="s">
        <v>353</v>
      </c>
      <c r="C94" t="s">
        <v>92</v>
      </c>
      <c r="E94" s="10">
        <f>E93/$D92</f>
        <v>0.47402702973824667</v>
      </c>
      <c r="F94" s="10">
        <f>F93/$D92</f>
        <v>0.26078553929492576</v>
      </c>
      <c r="G94" s="10">
        <f>G93/$D92</f>
        <v>0.30919024936957146</v>
      </c>
    </row>
    <row r="95" spans="2:15" x14ac:dyDescent="0.3">
      <c r="B95" t="s">
        <v>293</v>
      </c>
      <c r="C95" t="s">
        <v>338</v>
      </c>
      <c r="D95" s="10">
        <f>D59</f>
        <v>1.0393912551724138</v>
      </c>
      <c r="E95" s="10">
        <f>E59</f>
        <v>1.1818986206896553</v>
      </c>
      <c r="F95" s="10">
        <f>F59</f>
        <v>1.4602151172413795</v>
      </c>
      <c r="G95" s="10">
        <f>G59</f>
        <v>1.7106708413793108</v>
      </c>
    </row>
    <row r="96" spans="2:15" x14ac:dyDescent="0.3">
      <c r="B96" t="s">
        <v>402</v>
      </c>
      <c r="C96" t="s">
        <v>338</v>
      </c>
      <c r="D96" s="10"/>
      <c r="E96" s="10">
        <f>E74</f>
        <v>0.38008250955665035</v>
      </c>
      <c r="F96" s="10">
        <f>F74</f>
        <v>0.30203629004926125</v>
      </c>
      <c r="G96" s="10">
        <f>G74</f>
        <v>0.40400754916256187</v>
      </c>
    </row>
    <row r="97" spans="2:9" x14ac:dyDescent="0.3">
      <c r="B97" t="s">
        <v>3</v>
      </c>
      <c r="C97" t="s">
        <v>302</v>
      </c>
      <c r="D97">
        <f t="shared" ref="D97:G99" si="1">D43</f>
        <v>74.7</v>
      </c>
      <c r="E97">
        <f t="shared" si="1"/>
        <v>97.4</v>
      </c>
      <c r="F97">
        <f t="shared" si="1"/>
        <v>82.8</v>
      </c>
      <c r="G97">
        <f t="shared" si="1"/>
        <v>97.9</v>
      </c>
    </row>
    <row r="98" spans="2:9" x14ac:dyDescent="0.3">
      <c r="B98" t="s">
        <v>277</v>
      </c>
      <c r="C98" t="s">
        <v>302</v>
      </c>
      <c r="D98">
        <f t="shared" si="1"/>
        <v>25.3</v>
      </c>
      <c r="E98">
        <f t="shared" si="1"/>
        <v>1.5</v>
      </c>
      <c r="F98">
        <f t="shared" si="1"/>
        <v>4.3</v>
      </c>
      <c r="G98">
        <f t="shared" si="1"/>
        <v>1.4</v>
      </c>
    </row>
    <row r="99" spans="2:9" x14ac:dyDescent="0.3">
      <c r="B99" t="s">
        <v>13</v>
      </c>
      <c r="C99" t="s">
        <v>302</v>
      </c>
      <c r="D99">
        <f t="shared" si="1"/>
        <v>0</v>
      </c>
      <c r="E99">
        <f t="shared" si="1"/>
        <v>1.1000000000000001</v>
      </c>
      <c r="F99">
        <f t="shared" si="1"/>
        <v>12.9</v>
      </c>
      <c r="G99">
        <f t="shared" si="1"/>
        <v>0.7</v>
      </c>
    </row>
    <row r="100" spans="2:9" x14ac:dyDescent="0.3">
      <c r="B100" t="s">
        <v>35</v>
      </c>
      <c r="D100">
        <f>D49</f>
        <v>7.3</v>
      </c>
      <c r="E100">
        <f>E49</f>
        <v>7.8</v>
      </c>
      <c r="F100">
        <f>F49</f>
        <v>7.7</v>
      </c>
      <c r="G100">
        <f>G49</f>
        <v>7.9</v>
      </c>
      <c r="I100" t="s">
        <v>1234</v>
      </c>
    </row>
    <row r="101" spans="2:9" x14ac:dyDescent="0.3">
      <c r="B101" t="s">
        <v>52</v>
      </c>
      <c r="C101" t="s">
        <v>621</v>
      </c>
      <c r="D101" t="s">
        <v>1671</v>
      </c>
      <c r="E101" s="133" t="s">
        <v>1671</v>
      </c>
      <c r="F101" s="133" t="s">
        <v>1671</v>
      </c>
      <c r="G101" s="133" t="s">
        <v>1671</v>
      </c>
    </row>
    <row r="102" spans="2:9" x14ac:dyDescent="0.3">
      <c r="B102" t="s">
        <v>558</v>
      </c>
      <c r="C102" t="s">
        <v>621</v>
      </c>
      <c r="D102" s="133" t="s">
        <v>1671</v>
      </c>
      <c r="E102" s="133" t="s">
        <v>1671</v>
      </c>
      <c r="F102" s="133" t="s">
        <v>1671</v>
      </c>
      <c r="G102" s="133" t="s">
        <v>1671</v>
      </c>
    </row>
    <row r="103" spans="2:9" x14ac:dyDescent="0.3">
      <c r="B103" s="12"/>
      <c r="C103" s="12"/>
    </row>
    <row r="113" customFormat="1" x14ac:dyDescent="0.3"/>
    <row r="114" customFormat="1" x14ac:dyDescent="0.3"/>
    <row r="115" customFormat="1" x14ac:dyDescent="0.3"/>
    <row r="116"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AF8B9-1C9A-4B27-955A-04C830339CDB}">
  <dimension ref="A2:O79"/>
  <sheetViews>
    <sheetView workbookViewId="0"/>
  </sheetViews>
  <sheetFormatPr defaultRowHeight="14.4" x14ac:dyDescent="0.3"/>
  <cols>
    <col min="2" max="2" width="17.44140625" customWidth="1"/>
  </cols>
  <sheetData>
    <row r="2" spans="2:4" x14ac:dyDescent="0.3">
      <c r="B2" s="14" t="s">
        <v>1743</v>
      </c>
    </row>
    <row r="3" spans="2:4" x14ac:dyDescent="0.3">
      <c r="B3" t="s">
        <v>1251</v>
      </c>
    </row>
    <row r="4" spans="2:4" s="133" customFormat="1" x14ac:dyDescent="0.3">
      <c r="B4" s="133" t="s">
        <v>1738</v>
      </c>
    </row>
    <row r="6" spans="2:4" s="133" customFormat="1" x14ac:dyDescent="0.3">
      <c r="B6" s="148" t="s">
        <v>114</v>
      </c>
      <c r="D6" s="133" t="s">
        <v>2140</v>
      </c>
    </row>
    <row r="7" spans="2:4" s="133" customFormat="1" x14ac:dyDescent="0.3">
      <c r="B7" s="133" t="s">
        <v>667</v>
      </c>
      <c r="C7" s="133" t="s">
        <v>503</v>
      </c>
      <c r="D7" s="133">
        <v>35</v>
      </c>
    </row>
    <row r="8" spans="2:4" s="133" customFormat="1" x14ac:dyDescent="0.3">
      <c r="B8" s="133" t="s">
        <v>1324</v>
      </c>
      <c r="D8" s="133" t="s">
        <v>1091</v>
      </c>
    </row>
    <row r="9" spans="2:4" s="133" customFormat="1" x14ac:dyDescent="0.3">
      <c r="B9" s="133" t="s">
        <v>956</v>
      </c>
      <c r="C9" s="133" t="s">
        <v>22</v>
      </c>
      <c r="D9" s="8">
        <v>48</v>
      </c>
    </row>
    <row r="10" spans="2:4" s="133" customFormat="1" x14ac:dyDescent="0.3">
      <c r="B10" s="133" t="s">
        <v>32</v>
      </c>
      <c r="C10" s="133" t="s">
        <v>22</v>
      </c>
      <c r="D10" s="133">
        <v>35</v>
      </c>
    </row>
    <row r="11" spans="2:4" s="133" customFormat="1" x14ac:dyDescent="0.3">
      <c r="B11" s="133" t="s">
        <v>326</v>
      </c>
      <c r="D11" s="133" t="s">
        <v>2139</v>
      </c>
    </row>
    <row r="12" spans="2:4" s="133" customFormat="1" x14ac:dyDescent="0.3">
      <c r="B12" s="133" t="s">
        <v>344</v>
      </c>
      <c r="D12" s="133" t="s">
        <v>694</v>
      </c>
    </row>
    <row r="13" spans="2:4" s="133" customFormat="1" x14ac:dyDescent="0.3">
      <c r="B13" s="133" t="s">
        <v>1332</v>
      </c>
      <c r="D13" s="133" t="s">
        <v>1671</v>
      </c>
    </row>
    <row r="14" spans="2:4" s="133" customFormat="1" x14ac:dyDescent="0.3">
      <c r="B14" s="133" t="s">
        <v>1330</v>
      </c>
      <c r="D14" s="133" t="s">
        <v>1333</v>
      </c>
    </row>
    <row r="15" spans="2:4" s="133" customFormat="1" x14ac:dyDescent="0.3">
      <c r="B15" s="133" t="s">
        <v>1968</v>
      </c>
      <c r="D15" s="133" t="s">
        <v>1969</v>
      </c>
    </row>
    <row r="16" spans="2:4" s="133" customFormat="1" x14ac:dyDescent="0.3">
      <c r="B16" s="133" t="s">
        <v>1541</v>
      </c>
      <c r="D16" s="133" t="s">
        <v>1736</v>
      </c>
    </row>
    <row r="17" spans="2:7" s="133" customFormat="1" x14ac:dyDescent="0.3">
      <c r="B17" s="133" t="s">
        <v>1599</v>
      </c>
      <c r="D17" s="133" t="s">
        <v>1737</v>
      </c>
    </row>
    <row r="18" spans="2:7" s="133" customFormat="1" x14ac:dyDescent="0.3"/>
    <row r="19" spans="2:7" x14ac:dyDescent="0.3">
      <c r="B19" t="s">
        <v>26</v>
      </c>
      <c r="C19" t="s">
        <v>25</v>
      </c>
      <c r="D19">
        <v>20</v>
      </c>
    </row>
    <row r="21" spans="2:7" x14ac:dyDescent="0.3">
      <c r="B21" t="s">
        <v>287</v>
      </c>
      <c r="C21" t="s">
        <v>835</v>
      </c>
      <c r="D21" t="s">
        <v>673</v>
      </c>
      <c r="E21" t="s">
        <v>674</v>
      </c>
      <c r="F21" t="s">
        <v>675</v>
      </c>
      <c r="G21" t="s">
        <v>676</v>
      </c>
    </row>
    <row r="22" spans="2:7" x14ac:dyDescent="0.3">
      <c r="B22" t="s">
        <v>1252</v>
      </c>
      <c r="C22" t="s">
        <v>566</v>
      </c>
      <c r="D22">
        <v>12</v>
      </c>
      <c r="E22">
        <v>61</v>
      </c>
      <c r="F22">
        <v>117</v>
      </c>
      <c r="G22">
        <v>158</v>
      </c>
    </row>
    <row r="23" spans="2:7" x14ac:dyDescent="0.3">
      <c r="B23" t="s">
        <v>1253</v>
      </c>
      <c r="C23" t="s">
        <v>1254</v>
      </c>
      <c r="D23">
        <v>200</v>
      </c>
      <c r="E23">
        <v>250</v>
      </c>
      <c r="F23">
        <v>300</v>
      </c>
      <c r="G23">
        <v>300</v>
      </c>
    </row>
    <row r="24" spans="2:7" x14ac:dyDescent="0.3">
      <c r="B24" t="s">
        <v>295</v>
      </c>
      <c r="C24" t="s">
        <v>338</v>
      </c>
      <c r="D24">
        <v>0.45</v>
      </c>
      <c r="E24">
        <v>0.45</v>
      </c>
      <c r="F24">
        <v>0.45</v>
      </c>
      <c r="G24">
        <v>0.64</v>
      </c>
    </row>
    <row r="25" spans="2:7" x14ac:dyDescent="0.3">
      <c r="B25" t="s">
        <v>1255</v>
      </c>
      <c r="C25" t="s">
        <v>270</v>
      </c>
      <c r="D25">
        <v>0.92</v>
      </c>
      <c r="E25">
        <v>0.8</v>
      </c>
      <c r="F25">
        <v>1.3</v>
      </c>
      <c r="G25">
        <v>1.2</v>
      </c>
    </row>
    <row r="26" spans="2:7" x14ac:dyDescent="0.3">
      <c r="B26" t="s">
        <v>2037</v>
      </c>
      <c r="C26" t="s">
        <v>338</v>
      </c>
      <c r="D26">
        <v>0.44</v>
      </c>
      <c r="E26">
        <v>0.36</v>
      </c>
      <c r="F26">
        <v>0.51</v>
      </c>
      <c r="G26">
        <v>0.54</v>
      </c>
    </row>
    <row r="27" spans="2:7" x14ac:dyDescent="0.3">
      <c r="B27" t="s">
        <v>3</v>
      </c>
      <c r="C27" t="s">
        <v>302</v>
      </c>
      <c r="D27">
        <v>69.400000000000006</v>
      </c>
      <c r="E27">
        <v>79.7</v>
      </c>
      <c r="F27">
        <v>85.7</v>
      </c>
      <c r="G27">
        <v>92.9</v>
      </c>
    </row>
    <row r="28" spans="2:7" x14ac:dyDescent="0.3">
      <c r="B28" t="s">
        <v>277</v>
      </c>
      <c r="C28" t="s">
        <v>302</v>
      </c>
      <c r="D28">
        <v>15.2</v>
      </c>
      <c r="E28">
        <v>12.8</v>
      </c>
      <c r="F28">
        <v>12.6</v>
      </c>
      <c r="G28">
        <v>6.3</v>
      </c>
    </row>
    <row r="29" spans="2:7" x14ac:dyDescent="0.3">
      <c r="B29" t="s">
        <v>13</v>
      </c>
      <c r="C29" t="s">
        <v>302</v>
      </c>
      <c r="D29">
        <v>15.4</v>
      </c>
      <c r="E29">
        <v>7.5</v>
      </c>
      <c r="F29">
        <v>1.8</v>
      </c>
      <c r="G29">
        <v>0.8</v>
      </c>
    </row>
    <row r="31" spans="2:7" x14ac:dyDescent="0.3">
      <c r="B31" t="s">
        <v>35</v>
      </c>
      <c r="D31" s="8">
        <v>6.6</v>
      </c>
      <c r="E31" s="8">
        <v>6.8</v>
      </c>
      <c r="F31" s="8">
        <v>6.8</v>
      </c>
      <c r="G31" s="8">
        <v>7</v>
      </c>
    </row>
    <row r="32" spans="2:7" x14ac:dyDescent="0.3">
      <c r="B32" t="s">
        <v>558</v>
      </c>
      <c r="D32" s="8"/>
      <c r="E32" s="8"/>
      <c r="F32" s="8"/>
      <c r="G32" s="8"/>
    </row>
    <row r="33" spans="1:9" x14ac:dyDescent="0.3">
      <c r="B33" t="s">
        <v>1262</v>
      </c>
      <c r="C33" t="s">
        <v>338</v>
      </c>
      <c r="D33" s="8"/>
      <c r="E33" s="8"/>
      <c r="F33" s="8"/>
      <c r="G33" s="3">
        <v>0.37</v>
      </c>
      <c r="I33" t="s">
        <v>1257</v>
      </c>
    </row>
    <row r="34" spans="1:9" x14ac:dyDescent="0.3">
      <c r="B34" t="s">
        <v>52</v>
      </c>
      <c r="C34" t="s">
        <v>17</v>
      </c>
      <c r="D34" s="8"/>
      <c r="E34" s="8"/>
      <c r="F34" s="8"/>
      <c r="G34" s="16">
        <v>875</v>
      </c>
      <c r="I34" t="s">
        <v>1263</v>
      </c>
    </row>
    <row r="35" spans="1:9" x14ac:dyDescent="0.3">
      <c r="D35" s="8"/>
      <c r="E35" s="8"/>
      <c r="F35" s="8"/>
      <c r="G35" s="3"/>
    </row>
    <row r="37" spans="1:9" x14ac:dyDescent="0.3">
      <c r="B37" s="6" t="s">
        <v>877</v>
      </c>
    </row>
    <row r="38" spans="1:9" x14ac:dyDescent="0.3">
      <c r="B38" t="s">
        <v>747</v>
      </c>
      <c r="C38" t="s">
        <v>302</v>
      </c>
      <c r="D38">
        <f>SUM(D27:D29)</f>
        <v>100.00000000000001</v>
      </c>
      <c r="E38">
        <f>SUM(E27:E29)</f>
        <v>100</v>
      </c>
      <c r="F38">
        <f>SUM(F27:F29)</f>
        <v>100.1</v>
      </c>
      <c r="G38">
        <f>SUM(G27:G29)</f>
        <v>100</v>
      </c>
    </row>
    <row r="39" spans="1:9" x14ac:dyDescent="0.3">
      <c r="B39" t="s">
        <v>293</v>
      </c>
      <c r="C39" t="s">
        <v>338</v>
      </c>
      <c r="D39" s="10">
        <f>D$26*D27/100</f>
        <v>0.30536000000000002</v>
      </c>
      <c r="E39" s="10">
        <f>E$26*E27/100</f>
        <v>0.28692000000000001</v>
      </c>
      <c r="F39" s="10">
        <f>F$26*F27/100</f>
        <v>0.43707000000000001</v>
      </c>
      <c r="G39" s="10">
        <f>G$26*G27/100</f>
        <v>0.50165999999999999</v>
      </c>
    </row>
    <row r="40" spans="1:9" x14ac:dyDescent="0.3">
      <c r="B40" s="27" t="s">
        <v>1258</v>
      </c>
      <c r="C40" t="s">
        <v>338</v>
      </c>
      <c r="D40" s="10"/>
      <c r="E40" s="10"/>
      <c r="F40" s="10"/>
      <c r="G40" s="10">
        <v>0.37</v>
      </c>
      <c r="I40" t="s">
        <v>1259</v>
      </c>
    </row>
    <row r="41" spans="1:9" x14ac:dyDescent="0.3">
      <c r="B41" s="27" t="s">
        <v>351</v>
      </c>
      <c r="C41" t="s">
        <v>377</v>
      </c>
      <c r="D41" s="10">
        <f>D39/D25</f>
        <v>0.33191304347826089</v>
      </c>
      <c r="E41" s="10">
        <f>E39/E25</f>
        <v>0.35864999999999997</v>
      </c>
      <c r="F41" s="10">
        <f>F39/F25</f>
        <v>0.33620769230769232</v>
      </c>
      <c r="G41" s="10">
        <f>G39/G25</f>
        <v>0.41805000000000003</v>
      </c>
    </row>
    <row r="42" spans="1:9" x14ac:dyDescent="0.3">
      <c r="B42" s="27" t="s">
        <v>1260</v>
      </c>
      <c r="C42" t="s">
        <v>377</v>
      </c>
      <c r="D42" s="10"/>
      <c r="E42" s="10"/>
      <c r="F42" s="10"/>
      <c r="G42" s="10">
        <f>G40/G25</f>
        <v>0.30833333333333335</v>
      </c>
    </row>
    <row r="43" spans="1:9" x14ac:dyDescent="0.3">
      <c r="B43" s="27" t="s">
        <v>1261</v>
      </c>
      <c r="C43" t="s">
        <v>377</v>
      </c>
      <c r="D43" s="10"/>
      <c r="E43" s="10"/>
      <c r="F43" s="10"/>
      <c r="G43" s="10">
        <f>G41-G42</f>
        <v>0.10971666666666668</v>
      </c>
    </row>
    <row r="44" spans="1:9" x14ac:dyDescent="0.3">
      <c r="B44" t="s">
        <v>1256</v>
      </c>
      <c r="C44" t="s">
        <v>338</v>
      </c>
      <c r="D44" s="10">
        <f t="shared" ref="D44:G44" si="0">D$26*D28/100</f>
        <v>6.6879999999999995E-2</v>
      </c>
      <c r="E44" s="10">
        <f t="shared" si="0"/>
        <v>4.6079999999999996E-2</v>
      </c>
      <c r="F44" s="10">
        <f t="shared" si="0"/>
        <v>6.4259999999999998E-2</v>
      </c>
      <c r="G44" s="10">
        <f t="shared" si="0"/>
        <v>3.4020000000000002E-2</v>
      </c>
    </row>
    <row r="45" spans="1:9" s="133" customFormat="1" x14ac:dyDescent="0.3">
      <c r="B45" s="133" t="s">
        <v>308</v>
      </c>
      <c r="C45" s="133" t="s">
        <v>338</v>
      </c>
      <c r="D45" s="10">
        <f>D39+D44</f>
        <v>0.37224000000000002</v>
      </c>
      <c r="E45" s="10">
        <f t="shared" ref="E45:G45" si="1">E39+E44</f>
        <v>0.33300000000000002</v>
      </c>
      <c r="F45" s="10">
        <f t="shared" si="1"/>
        <v>0.50133000000000005</v>
      </c>
      <c r="G45" s="10">
        <f t="shared" si="1"/>
        <v>0.53568000000000005</v>
      </c>
    </row>
    <row r="46" spans="1:9" x14ac:dyDescent="0.3">
      <c r="A46" s="133"/>
      <c r="B46" t="s">
        <v>321</v>
      </c>
      <c r="C46" t="s">
        <v>338</v>
      </c>
      <c r="D46" s="10">
        <f>D24</f>
        <v>0.45</v>
      </c>
      <c r="E46" s="10">
        <f>E24</f>
        <v>0.45</v>
      </c>
      <c r="F46" s="10">
        <f>F24</f>
        <v>0.45</v>
      </c>
      <c r="G46" s="10">
        <f>G24</f>
        <v>0.64</v>
      </c>
    </row>
    <row r="47" spans="1:9" x14ac:dyDescent="0.3">
      <c r="A47" s="133"/>
      <c r="B47" t="s">
        <v>323</v>
      </c>
      <c r="C47" t="s">
        <v>338</v>
      </c>
      <c r="D47" s="10">
        <f>D$26*D29/100</f>
        <v>6.7760000000000001E-2</v>
      </c>
      <c r="E47" s="10">
        <f>E$26*E29/100</f>
        <v>2.6999999999999996E-2</v>
      </c>
      <c r="F47" s="10">
        <f>F$26*F29/100</f>
        <v>9.1800000000000007E-3</v>
      </c>
      <c r="G47" s="10">
        <f>G$26*G29/100</f>
        <v>4.3200000000000009E-3</v>
      </c>
    </row>
    <row r="48" spans="1:9" x14ac:dyDescent="0.3">
      <c r="B48" s="133" t="s">
        <v>433</v>
      </c>
      <c r="C48" t="s">
        <v>338</v>
      </c>
      <c r="D48" s="10">
        <f>D46-D47</f>
        <v>0.38224000000000002</v>
      </c>
      <c r="E48" s="10">
        <f>E46-E47</f>
        <v>0.42300000000000004</v>
      </c>
      <c r="F48" s="10">
        <f>F46-F47</f>
        <v>0.44081999999999999</v>
      </c>
      <c r="G48" s="10">
        <f>G46-G47</f>
        <v>0.63568000000000002</v>
      </c>
    </row>
    <row r="49" spans="2:15" x14ac:dyDescent="0.3">
      <c r="B49" s="148" t="s">
        <v>460</v>
      </c>
      <c r="C49" t="s">
        <v>338</v>
      </c>
      <c r="D49" s="10">
        <f>D48/4</f>
        <v>9.5560000000000006E-2</v>
      </c>
      <c r="E49" s="10">
        <f>E48/4</f>
        <v>0.10575000000000001</v>
      </c>
      <c r="F49" s="10">
        <f>F48/4</f>
        <v>0.110205</v>
      </c>
      <c r="G49" s="10">
        <f>G48/4</f>
        <v>0.15892000000000001</v>
      </c>
    </row>
    <row r="50" spans="2:15" x14ac:dyDescent="0.3">
      <c r="B50" s="148" t="s">
        <v>402</v>
      </c>
      <c r="C50" t="s">
        <v>338</v>
      </c>
      <c r="G50" s="10">
        <f>G39-G40</f>
        <v>0.13166</v>
      </c>
    </row>
    <row r="51" spans="2:15" x14ac:dyDescent="0.3">
      <c r="B51" s="148" t="s">
        <v>2086</v>
      </c>
      <c r="C51" t="s">
        <v>338</v>
      </c>
      <c r="G51" t="s">
        <v>1671</v>
      </c>
    </row>
    <row r="52" spans="2:15" s="133" customFormat="1" x14ac:dyDescent="0.3">
      <c r="B52" s="148" t="s">
        <v>93</v>
      </c>
      <c r="D52" s="133" t="s">
        <v>301</v>
      </c>
      <c r="E52" s="133" t="s">
        <v>301</v>
      </c>
      <c r="F52" s="133" t="s">
        <v>301</v>
      </c>
      <c r="G52" s="133" t="s">
        <v>301</v>
      </c>
    </row>
    <row r="53" spans="2:15" x14ac:dyDescent="0.3">
      <c r="B53" s="148" t="s">
        <v>462</v>
      </c>
      <c r="C53" t="s">
        <v>92</v>
      </c>
      <c r="D53" s="10">
        <f>D48/D46</f>
        <v>0.8494222222222223</v>
      </c>
      <c r="E53" s="10">
        <f>E48/E46</f>
        <v>0.94000000000000006</v>
      </c>
      <c r="F53" s="10">
        <f>F48/F46</f>
        <v>0.97959999999999992</v>
      </c>
      <c r="G53" s="10">
        <f>G48/G46</f>
        <v>0.99324999999999997</v>
      </c>
    </row>
    <row r="54" spans="2:15" x14ac:dyDescent="0.3">
      <c r="B54" s="148" t="s">
        <v>2085</v>
      </c>
      <c r="C54" t="s">
        <v>92</v>
      </c>
      <c r="G54" s="10">
        <f>G50/G49</f>
        <v>0.82846715328467146</v>
      </c>
    </row>
    <row r="55" spans="2:15" x14ac:dyDescent="0.3">
      <c r="B55" s="148" t="s">
        <v>2087</v>
      </c>
      <c r="C55" t="s">
        <v>92</v>
      </c>
      <c r="G55" t="s">
        <v>1671</v>
      </c>
    </row>
    <row r="56" spans="2:15" x14ac:dyDescent="0.3">
      <c r="B56" s="148" t="s">
        <v>2088</v>
      </c>
      <c r="C56" t="s">
        <v>92</v>
      </c>
      <c r="G56" t="s">
        <v>1671</v>
      </c>
    </row>
    <row r="57" spans="2:15" s="133" customFormat="1" x14ac:dyDescent="0.3">
      <c r="B57" s="148" t="s">
        <v>2096</v>
      </c>
      <c r="C57" s="133" t="s">
        <v>92</v>
      </c>
      <c r="D57" s="37" t="s">
        <v>301</v>
      </c>
      <c r="E57" s="37" t="s">
        <v>301</v>
      </c>
      <c r="F57" s="37" t="s">
        <v>301</v>
      </c>
      <c r="G57" s="37" t="s">
        <v>301</v>
      </c>
      <c r="H57" s="37"/>
      <c r="I57" s="37"/>
      <c r="J57" s="37"/>
      <c r="K57" s="37"/>
      <c r="L57" s="37"/>
      <c r="M57" s="37"/>
      <c r="N57" s="37"/>
      <c r="O57" s="37"/>
    </row>
    <row r="58" spans="2:15" s="133" customFormat="1" x14ac:dyDescent="0.3">
      <c r="B58" s="148" t="s">
        <v>2097</v>
      </c>
      <c r="C58" s="133" t="s">
        <v>92</v>
      </c>
      <c r="D58" s="37" t="s">
        <v>301</v>
      </c>
      <c r="E58" s="37" t="s">
        <v>301</v>
      </c>
      <c r="F58" s="37" t="s">
        <v>301</v>
      </c>
      <c r="G58" s="37" t="s">
        <v>301</v>
      </c>
      <c r="H58" s="37"/>
      <c r="I58" s="37"/>
      <c r="J58" s="37"/>
      <c r="K58" s="37"/>
      <c r="L58" s="37"/>
      <c r="M58" s="37"/>
      <c r="N58" s="37"/>
      <c r="O58" s="37"/>
    </row>
    <row r="59" spans="2:15" x14ac:dyDescent="0.3">
      <c r="B59" s="148" t="s">
        <v>2081</v>
      </c>
      <c r="G59" s="10">
        <f>G48/G50</f>
        <v>4.8281938325991192</v>
      </c>
    </row>
    <row r="60" spans="2:15" x14ac:dyDescent="0.3">
      <c r="B60" s="148" t="s">
        <v>2137</v>
      </c>
      <c r="G60" t="s">
        <v>1671</v>
      </c>
    </row>
    <row r="62" spans="2:15" x14ac:dyDescent="0.3">
      <c r="B62" s="6" t="s">
        <v>359</v>
      </c>
    </row>
    <row r="63" spans="2:15" s="133" customFormat="1" x14ac:dyDescent="0.3">
      <c r="B63" s="148" t="s">
        <v>1795</v>
      </c>
      <c r="D63" s="133" t="s">
        <v>1992</v>
      </c>
      <c r="E63" s="133" t="s">
        <v>1993</v>
      </c>
      <c r="F63" s="133" t="s">
        <v>1994</v>
      </c>
      <c r="G63" s="133" t="s">
        <v>1994</v>
      </c>
      <c r="I63" t="s">
        <v>2225</v>
      </c>
    </row>
    <row r="64" spans="2:15" s="133" customFormat="1" x14ac:dyDescent="0.3">
      <c r="B64" s="148" t="s">
        <v>1791</v>
      </c>
      <c r="D64" s="133" t="s">
        <v>1105</v>
      </c>
      <c r="E64" s="133" t="s">
        <v>1105</v>
      </c>
      <c r="F64" s="133" t="s">
        <v>1105</v>
      </c>
      <c r="G64" s="133" t="s">
        <v>1105</v>
      </c>
    </row>
    <row r="65" spans="2:7" x14ac:dyDescent="0.3">
      <c r="B65" t="s">
        <v>33</v>
      </c>
      <c r="C65" t="s">
        <v>270</v>
      </c>
      <c r="D65">
        <f>D25</f>
        <v>0.92</v>
      </c>
      <c r="E65">
        <f>E25</f>
        <v>0.8</v>
      </c>
      <c r="F65">
        <f>F25</f>
        <v>1.3</v>
      </c>
      <c r="G65">
        <f>G25</f>
        <v>1.2</v>
      </c>
    </row>
    <row r="66" spans="2:7" x14ac:dyDescent="0.3">
      <c r="B66" t="s">
        <v>26</v>
      </c>
      <c r="C66" t="s">
        <v>25</v>
      </c>
      <c r="D66">
        <f>$D$19</f>
        <v>20</v>
      </c>
      <c r="E66">
        <f>$D$19</f>
        <v>20</v>
      </c>
      <c r="F66">
        <f>$D$19</f>
        <v>20</v>
      </c>
      <c r="G66">
        <f>$D$19</f>
        <v>20</v>
      </c>
    </row>
    <row r="67" spans="2:7" s="133" customFormat="1" x14ac:dyDescent="0.3">
      <c r="B67" s="148" t="s">
        <v>1544</v>
      </c>
      <c r="C67" s="133" t="s">
        <v>338</v>
      </c>
      <c r="D67" s="133">
        <f>D24</f>
        <v>0.45</v>
      </c>
      <c r="E67" s="133">
        <f>E24</f>
        <v>0.45</v>
      </c>
      <c r="F67" s="133">
        <f>F24</f>
        <v>0.45</v>
      </c>
      <c r="G67" s="133">
        <f>G24</f>
        <v>0.64</v>
      </c>
    </row>
    <row r="68" spans="2:7" x14ac:dyDescent="0.3">
      <c r="B68" t="s">
        <v>351</v>
      </c>
      <c r="C68" t="s">
        <v>377</v>
      </c>
      <c r="D68" s="10">
        <f>D41</f>
        <v>0.33191304347826089</v>
      </c>
      <c r="E68" s="10">
        <f>E41</f>
        <v>0.35864999999999997</v>
      </c>
      <c r="F68" s="10">
        <f>F41</f>
        <v>0.33620769230769232</v>
      </c>
      <c r="G68" s="10">
        <f>G41</f>
        <v>0.41805000000000003</v>
      </c>
    </row>
    <row r="69" spans="2:7" x14ac:dyDescent="0.3">
      <c r="B69" t="s">
        <v>352</v>
      </c>
      <c r="C69" t="s">
        <v>377</v>
      </c>
      <c r="G69" s="10">
        <f>G43</f>
        <v>0.10971666666666668</v>
      </c>
    </row>
    <row r="70" spans="2:7" x14ac:dyDescent="0.3">
      <c r="B70" t="s">
        <v>353</v>
      </c>
      <c r="C70" t="s">
        <v>92</v>
      </c>
      <c r="G70" s="10">
        <f>G69/G33</f>
        <v>0.29653153153153156</v>
      </c>
    </row>
    <row r="71" spans="2:7" x14ac:dyDescent="0.3">
      <c r="B71" t="s">
        <v>293</v>
      </c>
      <c r="C71" t="s">
        <v>338</v>
      </c>
      <c r="D71" s="10">
        <f>D39</f>
        <v>0.30536000000000002</v>
      </c>
      <c r="E71" s="10">
        <f>E39</f>
        <v>0.28692000000000001</v>
      </c>
      <c r="F71" s="10">
        <f>F39</f>
        <v>0.43707000000000001</v>
      </c>
      <c r="G71" s="10">
        <f>G39</f>
        <v>0.50165999999999999</v>
      </c>
    </row>
    <row r="72" spans="2:7" x14ac:dyDescent="0.3">
      <c r="B72" t="s">
        <v>402</v>
      </c>
      <c r="C72" t="s">
        <v>338</v>
      </c>
      <c r="G72" s="10">
        <f>G71-G33</f>
        <v>0.13166</v>
      </c>
    </row>
    <row r="73" spans="2:7" x14ac:dyDescent="0.3">
      <c r="B73" t="s">
        <v>3</v>
      </c>
      <c r="C73" t="s">
        <v>302</v>
      </c>
      <c r="D73">
        <f t="shared" ref="D73:G75" si="2">D27</f>
        <v>69.400000000000006</v>
      </c>
      <c r="E73">
        <f t="shared" si="2"/>
        <v>79.7</v>
      </c>
      <c r="F73">
        <f t="shared" si="2"/>
        <v>85.7</v>
      </c>
      <c r="G73">
        <f t="shared" si="2"/>
        <v>92.9</v>
      </c>
    </row>
    <row r="74" spans="2:7" x14ac:dyDescent="0.3">
      <c r="B74" t="s">
        <v>277</v>
      </c>
      <c r="C74" t="s">
        <v>302</v>
      </c>
      <c r="D74">
        <f t="shared" si="2"/>
        <v>15.2</v>
      </c>
      <c r="E74">
        <f t="shared" si="2"/>
        <v>12.8</v>
      </c>
      <c r="F74">
        <f t="shared" si="2"/>
        <v>12.6</v>
      </c>
      <c r="G74">
        <f t="shared" si="2"/>
        <v>6.3</v>
      </c>
    </row>
    <row r="75" spans="2:7" x14ac:dyDescent="0.3">
      <c r="B75" t="s">
        <v>13</v>
      </c>
      <c r="C75" t="s">
        <v>302</v>
      </c>
      <c r="D75">
        <f t="shared" si="2"/>
        <v>15.4</v>
      </c>
      <c r="E75">
        <f t="shared" si="2"/>
        <v>7.5</v>
      </c>
      <c r="F75">
        <f t="shared" si="2"/>
        <v>1.8</v>
      </c>
      <c r="G75">
        <f t="shared" si="2"/>
        <v>0.8</v>
      </c>
    </row>
    <row r="76" spans="2:7" x14ac:dyDescent="0.3">
      <c r="B76" t="s">
        <v>35</v>
      </c>
      <c r="D76" s="8">
        <f>D31</f>
        <v>6.6</v>
      </c>
      <c r="E76" s="8">
        <f>E31</f>
        <v>6.8</v>
      </c>
      <c r="F76" s="8">
        <f>F31</f>
        <v>6.8</v>
      </c>
      <c r="G76" s="8">
        <f>G31</f>
        <v>7</v>
      </c>
    </row>
    <row r="77" spans="2:7" x14ac:dyDescent="0.3">
      <c r="B77" t="s">
        <v>52</v>
      </c>
      <c r="C77" t="s">
        <v>621</v>
      </c>
      <c r="D77" t="s">
        <v>1671</v>
      </c>
      <c r="E77" s="133" t="s">
        <v>1671</v>
      </c>
      <c r="F77" s="133" t="s">
        <v>1671</v>
      </c>
      <c r="G77" s="133" t="s">
        <v>1671</v>
      </c>
    </row>
    <row r="78" spans="2:7" x14ac:dyDescent="0.3">
      <c r="B78" t="s">
        <v>558</v>
      </c>
      <c r="C78" t="s">
        <v>621</v>
      </c>
      <c r="D78" s="133" t="s">
        <v>1671</v>
      </c>
      <c r="E78" s="133" t="s">
        <v>1671</v>
      </c>
      <c r="F78" s="133" t="s">
        <v>1671</v>
      </c>
      <c r="G78" s="133" t="s">
        <v>1671</v>
      </c>
    </row>
    <row r="79" spans="2:7" x14ac:dyDescent="0.3">
      <c r="B79" s="12"/>
      <c r="C79"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C39E-15DB-4FDC-A46F-E7E6BA094A48}">
  <dimension ref="A2:O92"/>
  <sheetViews>
    <sheetView workbookViewId="0"/>
  </sheetViews>
  <sheetFormatPr defaultRowHeight="14.4" x14ac:dyDescent="0.3"/>
  <cols>
    <col min="2" max="2" width="22.44140625" customWidth="1"/>
    <col min="3" max="3" width="12.77734375" customWidth="1"/>
  </cols>
  <sheetData>
    <row r="2" spans="2:8" x14ac:dyDescent="0.3">
      <c r="B2" s="14" t="s">
        <v>1757</v>
      </c>
    </row>
    <row r="3" spans="2:8" x14ac:dyDescent="0.3">
      <c r="B3" t="s">
        <v>1235</v>
      </c>
    </row>
    <row r="4" spans="2:8" x14ac:dyDescent="0.3">
      <c r="B4" t="s">
        <v>1632</v>
      </c>
    </row>
    <row r="6" spans="2:8" s="133" customFormat="1" x14ac:dyDescent="0.3">
      <c r="B6" s="148" t="s">
        <v>114</v>
      </c>
      <c r="D6" s="133" t="s">
        <v>2112</v>
      </c>
      <c r="E6" s="133" t="s">
        <v>1245</v>
      </c>
      <c r="F6" s="133" t="s">
        <v>1633</v>
      </c>
      <c r="H6" s="133" t="s">
        <v>1639</v>
      </c>
    </row>
    <row r="7" spans="2:8" s="133" customFormat="1" x14ac:dyDescent="0.3">
      <c r="B7" s="133" t="s">
        <v>667</v>
      </c>
      <c r="C7" s="133" t="s">
        <v>503</v>
      </c>
      <c r="D7" s="133">
        <v>55</v>
      </c>
      <c r="E7" s="133">
        <v>55</v>
      </c>
      <c r="F7" s="133">
        <v>55</v>
      </c>
    </row>
    <row r="8" spans="2:8" s="133" customFormat="1" x14ac:dyDescent="0.3">
      <c r="B8" s="133" t="s">
        <v>1324</v>
      </c>
      <c r="C8" s="133" t="s">
        <v>1634</v>
      </c>
      <c r="D8" s="133" t="s">
        <v>1091</v>
      </c>
    </row>
    <row r="9" spans="2:8" s="133" customFormat="1" x14ac:dyDescent="0.3">
      <c r="B9" s="133" t="s">
        <v>956</v>
      </c>
      <c r="C9" s="133" t="s">
        <v>22</v>
      </c>
      <c r="D9" s="133" t="s">
        <v>1671</v>
      </c>
    </row>
    <row r="10" spans="2:8" s="133" customFormat="1" x14ac:dyDescent="0.3">
      <c r="B10" s="133" t="s">
        <v>32</v>
      </c>
      <c r="C10" s="133" t="s">
        <v>22</v>
      </c>
      <c r="D10">
        <v>3</v>
      </c>
    </row>
    <row r="11" spans="2:8" s="133" customFormat="1" x14ac:dyDescent="0.3">
      <c r="B11" s="133" t="s">
        <v>326</v>
      </c>
      <c r="D11" s="133" t="s">
        <v>1427</v>
      </c>
    </row>
    <row r="12" spans="2:8" s="133" customFormat="1" x14ac:dyDescent="0.3">
      <c r="B12" s="133" t="s">
        <v>344</v>
      </c>
      <c r="D12" s="133" t="s">
        <v>665</v>
      </c>
    </row>
    <row r="13" spans="2:8" s="133" customFormat="1" x14ac:dyDescent="0.3">
      <c r="B13" s="133" t="s">
        <v>1332</v>
      </c>
      <c r="D13" s="133" t="s">
        <v>2116</v>
      </c>
    </row>
    <row r="14" spans="2:8" s="133" customFormat="1" x14ac:dyDescent="0.3">
      <c r="B14" s="133" t="s">
        <v>1330</v>
      </c>
      <c r="D14" s="133" t="s">
        <v>1333</v>
      </c>
    </row>
    <row r="15" spans="2:8" s="133" customFormat="1" x14ac:dyDescent="0.3">
      <c r="B15" s="133" t="s">
        <v>1968</v>
      </c>
      <c r="D15" s="133" t="s">
        <v>1969</v>
      </c>
      <c r="E15" s="133" t="s">
        <v>1976</v>
      </c>
    </row>
    <row r="16" spans="2:8" s="133" customFormat="1" x14ac:dyDescent="0.3">
      <c r="B16" s="133" t="s">
        <v>1541</v>
      </c>
      <c r="D16" s="133" t="s">
        <v>533</v>
      </c>
    </row>
    <row r="17" spans="2:9" s="133" customFormat="1" x14ac:dyDescent="0.3">
      <c r="B17" s="133" t="s">
        <v>1599</v>
      </c>
      <c r="D17" s="133" t="s">
        <v>1959</v>
      </c>
    </row>
    <row r="18" spans="2:9" s="133" customFormat="1" x14ac:dyDescent="0.3"/>
    <row r="19" spans="2:9" x14ac:dyDescent="0.3">
      <c r="D19" t="s">
        <v>1636</v>
      </c>
      <c r="E19" t="s">
        <v>1637</v>
      </c>
      <c r="F19" t="s">
        <v>1636</v>
      </c>
      <c r="G19" t="s">
        <v>1637</v>
      </c>
      <c r="I19" t="s">
        <v>1638</v>
      </c>
    </row>
    <row r="20" spans="2:9" x14ac:dyDescent="0.3">
      <c r="B20" t="s">
        <v>287</v>
      </c>
      <c r="D20" t="s">
        <v>1248</v>
      </c>
      <c r="F20" t="s">
        <v>1247</v>
      </c>
    </row>
    <row r="21" spans="2:9" x14ac:dyDescent="0.3">
      <c r="D21" t="s">
        <v>1245</v>
      </c>
      <c r="E21" t="s">
        <v>1246</v>
      </c>
      <c r="F21" t="s">
        <v>1245</v>
      </c>
      <c r="G21" t="s">
        <v>1246</v>
      </c>
    </row>
    <row r="22" spans="2:9" x14ac:dyDescent="0.3">
      <c r="B22" t="s">
        <v>3</v>
      </c>
      <c r="C22" t="s">
        <v>1244</v>
      </c>
      <c r="D22">
        <v>110</v>
      </c>
      <c r="E22">
        <v>276</v>
      </c>
      <c r="F22">
        <v>142</v>
      </c>
      <c r="G22">
        <v>152</v>
      </c>
    </row>
    <row r="23" spans="2:9" x14ac:dyDescent="0.3">
      <c r="B23" t="s">
        <v>3</v>
      </c>
      <c r="C23" t="s">
        <v>302</v>
      </c>
      <c r="D23">
        <v>44.6</v>
      </c>
      <c r="E23">
        <v>57.3</v>
      </c>
      <c r="F23">
        <v>51.6</v>
      </c>
      <c r="G23">
        <v>39.700000000000003</v>
      </c>
    </row>
    <row r="24" spans="2:9" x14ac:dyDescent="0.3">
      <c r="B24" t="s">
        <v>277</v>
      </c>
      <c r="C24" t="s">
        <v>302</v>
      </c>
      <c r="D24">
        <v>55.4</v>
      </c>
      <c r="E24">
        <v>42.7</v>
      </c>
      <c r="F24">
        <v>23</v>
      </c>
      <c r="G24">
        <v>30</v>
      </c>
    </row>
    <row r="25" spans="2:9" x14ac:dyDescent="0.3">
      <c r="B25" t="s">
        <v>13</v>
      </c>
      <c r="C25" t="s">
        <v>302</v>
      </c>
      <c r="F25">
        <v>25.4</v>
      </c>
      <c r="G25">
        <v>30.3</v>
      </c>
    </row>
    <row r="26" spans="2:9" x14ac:dyDescent="0.3">
      <c r="B26" t="s">
        <v>736</v>
      </c>
      <c r="C26" t="s">
        <v>290</v>
      </c>
      <c r="F26">
        <v>648</v>
      </c>
      <c r="G26" s="26">
        <v>303</v>
      </c>
      <c r="I26" t="s">
        <v>1635</v>
      </c>
    </row>
    <row r="27" spans="2:9" x14ac:dyDescent="0.3">
      <c r="B27" t="s">
        <v>304</v>
      </c>
      <c r="C27" t="s">
        <v>290</v>
      </c>
      <c r="F27">
        <v>182</v>
      </c>
      <c r="G27">
        <v>173</v>
      </c>
    </row>
    <row r="29" spans="2:9" x14ac:dyDescent="0.3">
      <c r="B29" t="s">
        <v>33</v>
      </c>
      <c r="C29" t="s">
        <v>361</v>
      </c>
      <c r="D29">
        <v>2.4</v>
      </c>
      <c r="E29" s="12">
        <v>2.4</v>
      </c>
      <c r="F29" s="12">
        <v>2.4</v>
      </c>
      <c r="G29" s="12">
        <v>2.4</v>
      </c>
      <c r="I29" t="s">
        <v>1206</v>
      </c>
    </row>
    <row r="30" spans="2:9" x14ac:dyDescent="0.3">
      <c r="B30" t="s">
        <v>26</v>
      </c>
      <c r="C30" t="s">
        <v>25</v>
      </c>
      <c r="D30">
        <v>15</v>
      </c>
      <c r="E30" s="12">
        <v>15</v>
      </c>
      <c r="F30" s="12">
        <v>15</v>
      </c>
      <c r="G30" s="12">
        <v>15</v>
      </c>
    </row>
    <row r="31" spans="2:9" x14ac:dyDescent="0.3">
      <c r="B31" t="s">
        <v>321</v>
      </c>
      <c r="C31" t="s">
        <v>347</v>
      </c>
      <c r="E31" s="12"/>
      <c r="F31" s="12">
        <v>1.7</v>
      </c>
      <c r="G31" s="12">
        <v>1.7</v>
      </c>
    </row>
    <row r="32" spans="2:9" x14ac:dyDescent="0.3">
      <c r="E32" s="12"/>
      <c r="F32" s="12"/>
      <c r="G32" s="12"/>
    </row>
    <row r="33" spans="1:10" x14ac:dyDescent="0.3">
      <c r="B33" s="6" t="s">
        <v>877</v>
      </c>
      <c r="E33" s="12"/>
      <c r="F33" s="12"/>
      <c r="G33" s="12"/>
    </row>
    <row r="34" spans="1:10" x14ac:dyDescent="0.3">
      <c r="B34" t="s">
        <v>459</v>
      </c>
      <c r="C34" t="s">
        <v>302</v>
      </c>
      <c r="D34">
        <f>SUM(D23:D25)</f>
        <v>100</v>
      </c>
      <c r="E34">
        <f>SUM(E23:E25)</f>
        <v>100</v>
      </c>
      <c r="F34">
        <f>SUM(F23:F25)</f>
        <v>100</v>
      </c>
      <c r="G34">
        <f>SUM(G23:G25)</f>
        <v>100</v>
      </c>
    </row>
    <row r="35" spans="1:10" s="133" customFormat="1" x14ac:dyDescent="0.3">
      <c r="B35" s="133" t="s">
        <v>332</v>
      </c>
      <c r="C35" s="133" t="s">
        <v>302</v>
      </c>
      <c r="D35" s="198">
        <f>100*D23/(D23+D24)</f>
        <v>44.6</v>
      </c>
      <c r="E35" s="198">
        <f t="shared" ref="E35:G35" si="0">100*E23/(E23+E24)</f>
        <v>57.3</v>
      </c>
      <c r="F35" s="198">
        <f t="shared" si="0"/>
        <v>69.168900804289549</v>
      </c>
      <c r="G35" s="198">
        <f t="shared" si="0"/>
        <v>56.9583931133429</v>
      </c>
    </row>
    <row r="36" spans="1:10" s="133" customFormat="1" x14ac:dyDescent="0.3">
      <c r="B36" s="133" t="s">
        <v>333</v>
      </c>
      <c r="C36" s="133" t="s">
        <v>302</v>
      </c>
      <c r="D36" s="198">
        <f>100*D24/(D23+D24)</f>
        <v>55.4</v>
      </c>
      <c r="E36" s="198">
        <f t="shared" ref="E36:G36" si="1">100*E24/(E23+E24)</f>
        <v>42.7</v>
      </c>
      <c r="F36" s="198">
        <f t="shared" si="1"/>
        <v>30.831099195710458</v>
      </c>
      <c r="G36" s="198">
        <f t="shared" si="1"/>
        <v>43.0416068866571</v>
      </c>
    </row>
    <row r="37" spans="1:10" x14ac:dyDescent="0.3">
      <c r="B37" t="s">
        <v>293</v>
      </c>
      <c r="C37" t="s">
        <v>338</v>
      </c>
      <c r="D37" s="10">
        <f>D22*D29/1000</f>
        <v>0.26400000000000001</v>
      </c>
      <c r="E37" s="10">
        <f>E22*E29/1000</f>
        <v>0.66239999999999999</v>
      </c>
      <c r="F37" s="10">
        <f>F22*F29/1000</f>
        <v>0.34079999999999999</v>
      </c>
      <c r="G37" s="10">
        <f>G22*G29/1000</f>
        <v>0.36480000000000001</v>
      </c>
      <c r="I37" t="s">
        <v>2062</v>
      </c>
    </row>
    <row r="38" spans="1:10" x14ac:dyDescent="0.3">
      <c r="B38" t="s">
        <v>350</v>
      </c>
      <c r="C38" t="s">
        <v>338</v>
      </c>
      <c r="D38" s="10">
        <f>D37*D24/D23</f>
        <v>0.32792825112107621</v>
      </c>
      <c r="E38" s="10">
        <f>E37*E24/E23</f>
        <v>0.49362094240837701</v>
      </c>
      <c r="F38" s="10">
        <f>F37*F24/F23</f>
        <v>0.15190697674418605</v>
      </c>
      <c r="G38" s="10">
        <f>G37*G24/G23</f>
        <v>0.27566750629722925</v>
      </c>
    </row>
    <row r="39" spans="1:10" s="133" customFormat="1" x14ac:dyDescent="0.3">
      <c r="B39" s="133" t="s">
        <v>308</v>
      </c>
      <c r="C39" s="133" t="s">
        <v>338</v>
      </c>
      <c r="D39" s="10">
        <f>D37+D38</f>
        <v>0.59192825112107617</v>
      </c>
      <c r="E39" s="10">
        <f>E37+E38</f>
        <v>1.1560209424083769</v>
      </c>
      <c r="F39" s="10">
        <f>F37+F38</f>
        <v>0.49270697674418606</v>
      </c>
      <c r="G39" s="10">
        <f>G37+G38</f>
        <v>0.64046750629722926</v>
      </c>
    </row>
    <row r="40" spans="1:10" x14ac:dyDescent="0.3">
      <c r="B40" t="s">
        <v>2037</v>
      </c>
      <c r="C40" t="s">
        <v>338</v>
      </c>
      <c r="D40" s="10">
        <f>D37*100/D23</f>
        <v>0.59192825112107628</v>
      </c>
      <c r="E40" s="10">
        <f t="shared" ref="E40:G40" si="2">E37*100/E23</f>
        <v>1.1560209424083769</v>
      </c>
      <c r="F40" s="10">
        <f t="shared" si="2"/>
        <v>0.66046511627906968</v>
      </c>
      <c r="G40" s="10">
        <f t="shared" si="2"/>
        <v>0.91889168765743079</v>
      </c>
      <c r="I40" t="s">
        <v>1249</v>
      </c>
    </row>
    <row r="41" spans="1:10" x14ac:dyDescent="0.3">
      <c r="A41" s="133"/>
      <c r="B41" t="s">
        <v>321</v>
      </c>
      <c r="C41" t="s">
        <v>338</v>
      </c>
      <c r="D41" s="10"/>
      <c r="E41" s="10"/>
      <c r="F41" s="10">
        <f>F31*60*24/(1000*$D10)</f>
        <v>0.81599999999999995</v>
      </c>
      <c r="G41" s="10">
        <f>G31*60*24/(1000*$D10)</f>
        <v>0.81599999999999995</v>
      </c>
    </row>
    <row r="42" spans="1:10" x14ac:dyDescent="0.3">
      <c r="A42" s="133"/>
      <c r="B42" t="s">
        <v>323</v>
      </c>
      <c r="C42" t="s">
        <v>338</v>
      </c>
      <c r="F42" s="10">
        <f>F40*F25/100</f>
        <v>0.16775813953488369</v>
      </c>
      <c r="G42" s="10">
        <f>G40*G25/100</f>
        <v>0.27842418136020153</v>
      </c>
    </row>
    <row r="43" spans="1:10" s="133" customFormat="1" x14ac:dyDescent="0.3">
      <c r="B43" s="133" t="s">
        <v>40</v>
      </c>
      <c r="C43" s="133" t="s">
        <v>338</v>
      </c>
      <c r="D43" s="10"/>
      <c r="E43" s="10"/>
      <c r="F43" s="10">
        <f>F40-F39</f>
        <v>0.16775813953488361</v>
      </c>
      <c r="G43" s="10">
        <f>G40-G39</f>
        <v>0.27842418136020153</v>
      </c>
    </row>
    <row r="44" spans="1:10" x14ac:dyDescent="0.3">
      <c r="B44" s="133" t="s">
        <v>433</v>
      </c>
      <c r="C44" t="s">
        <v>338</v>
      </c>
      <c r="F44" s="10">
        <f>F41-F42</f>
        <v>0.64824186046511623</v>
      </c>
      <c r="G44" s="52">
        <f>G41-G42</f>
        <v>0.53757581863979842</v>
      </c>
      <c r="I44" t="s">
        <v>2063</v>
      </c>
      <c r="J44" s="27"/>
    </row>
    <row r="45" spans="1:10" x14ac:dyDescent="0.3">
      <c r="B45" s="148" t="s">
        <v>460</v>
      </c>
      <c r="C45" t="s">
        <v>908</v>
      </c>
      <c r="F45" s="10">
        <f>F49/4</f>
        <v>0.19860351117191063</v>
      </c>
      <c r="G45" s="10">
        <f>G49/4</f>
        <v>0.16469847384797748</v>
      </c>
      <c r="J45" s="27"/>
    </row>
    <row r="46" spans="1:10" x14ac:dyDescent="0.3">
      <c r="B46" s="148" t="s">
        <v>402</v>
      </c>
      <c r="C46" t="s">
        <v>908</v>
      </c>
      <c r="F46" s="10">
        <f>F37-D37</f>
        <v>7.6799999999999979E-2</v>
      </c>
      <c r="G46" s="10">
        <f>G37-E37</f>
        <v>-0.29759999999999998</v>
      </c>
      <c r="I46" t="s">
        <v>2064</v>
      </c>
      <c r="J46" s="27"/>
    </row>
    <row r="47" spans="1:10" x14ac:dyDescent="0.3">
      <c r="B47" s="148" t="s">
        <v>2086</v>
      </c>
      <c r="C47" t="s">
        <v>908</v>
      </c>
      <c r="F47" s="10">
        <f>D38-F38</f>
        <v>0.17602127437689016</v>
      </c>
      <c r="G47" s="10">
        <f>E38-G38</f>
        <v>0.21795343611114776</v>
      </c>
      <c r="J47" s="27"/>
    </row>
    <row r="48" spans="1:10" s="133" customFormat="1" x14ac:dyDescent="0.3">
      <c r="B48" s="148" t="s">
        <v>93</v>
      </c>
      <c r="F48" s="134">
        <f>F41/D38</f>
        <v>2.4883491959304234</v>
      </c>
      <c r="G48" s="134">
        <f>G41/E38</f>
        <v>1.6530903166683635</v>
      </c>
      <c r="J48" s="148"/>
    </row>
    <row r="49" spans="2:15" x14ac:dyDescent="0.3">
      <c r="B49" s="148" t="s">
        <v>462</v>
      </c>
      <c r="C49" t="s">
        <v>92</v>
      </c>
      <c r="F49" s="10">
        <f>F44/F41</f>
        <v>0.79441404468764254</v>
      </c>
      <c r="G49" s="10">
        <f>G44/G41</f>
        <v>0.65879389539190991</v>
      </c>
      <c r="J49" s="27"/>
    </row>
    <row r="50" spans="2:15" x14ac:dyDescent="0.3">
      <c r="B50" s="148" t="s">
        <v>2085</v>
      </c>
      <c r="C50" t="s">
        <v>92</v>
      </c>
      <c r="F50" s="10">
        <f>F46/F45</f>
        <v>0.38670011193066028</v>
      </c>
      <c r="G50" s="10">
        <f>G46/G45</f>
        <v>-1.8069384193243667</v>
      </c>
      <c r="J50" s="27"/>
    </row>
    <row r="51" spans="2:15" x14ac:dyDescent="0.3">
      <c r="B51" s="148" t="s">
        <v>2087</v>
      </c>
      <c r="C51" t="s">
        <v>92</v>
      </c>
      <c r="F51" s="10">
        <f>F47/F45</f>
        <v>0.88629487635053261</v>
      </c>
      <c r="G51" s="10">
        <f>G47/G45</f>
        <v>1.3233482437264505</v>
      </c>
      <c r="J51" s="27"/>
    </row>
    <row r="52" spans="2:15" x14ac:dyDescent="0.3">
      <c r="B52" s="148" t="s">
        <v>2088</v>
      </c>
      <c r="C52" t="s">
        <v>92</v>
      </c>
      <c r="F52" s="10">
        <f>F46/F47</f>
        <v>0.43631089634971448</v>
      </c>
      <c r="G52" s="10">
        <f>G46/G47</f>
        <v>-1.3654292646629145</v>
      </c>
      <c r="J52" s="27"/>
    </row>
    <row r="53" spans="2:15" s="133" customFormat="1" x14ac:dyDescent="0.3">
      <c r="B53" s="148" t="s">
        <v>2096</v>
      </c>
      <c r="C53" s="133" t="s">
        <v>92</v>
      </c>
      <c r="D53" s="37"/>
      <c r="E53" s="37"/>
      <c r="F53" s="37">
        <f>F46/D38</f>
        <v>0.23419757138168687</v>
      </c>
      <c r="G53" s="37">
        <f>G46/E38</f>
        <v>-0.60289176254963839</v>
      </c>
      <c r="H53" s="37"/>
      <c r="I53" s="37"/>
      <c r="J53" s="37"/>
      <c r="K53" s="37"/>
      <c r="L53" s="37"/>
      <c r="M53" s="37"/>
      <c r="N53" s="37"/>
      <c r="O53" s="37"/>
    </row>
    <row r="54" spans="2:15" s="133" customFormat="1" x14ac:dyDescent="0.3">
      <c r="B54" s="148" t="s">
        <v>2097</v>
      </c>
      <c r="C54" s="133" t="s">
        <v>92</v>
      </c>
      <c r="D54" s="37"/>
      <c r="E54" s="37"/>
      <c r="F54" s="37">
        <f>F39/D39</f>
        <v>0.83237618040873862</v>
      </c>
      <c r="G54" s="37">
        <f>G39/E39</f>
        <v>0.55402759829153436</v>
      </c>
      <c r="H54" s="37"/>
      <c r="I54" s="37"/>
      <c r="J54" s="37"/>
      <c r="K54" s="37"/>
      <c r="L54" s="37"/>
      <c r="M54" s="37"/>
      <c r="N54" s="37"/>
      <c r="O54" s="37"/>
    </row>
    <row r="55" spans="2:15" x14ac:dyDescent="0.3">
      <c r="B55" s="148" t="s">
        <v>2081</v>
      </c>
      <c r="F55" s="3">
        <f>F44/F46</f>
        <v>8.4406492248062026</v>
      </c>
      <c r="G55" s="3">
        <f>G44/G46</f>
        <v>-1.806370358332656</v>
      </c>
      <c r="J55" s="27"/>
    </row>
    <row r="56" spans="2:15" x14ac:dyDescent="0.3">
      <c r="B56" s="148" t="s">
        <v>2137</v>
      </c>
      <c r="F56" s="3">
        <f>F44/F47</f>
        <v>3.6827472290487173</v>
      </c>
      <c r="G56" s="3">
        <f>G44/G47</f>
        <v>2.4664709500870439</v>
      </c>
      <c r="J56" s="27"/>
    </row>
    <row r="58" spans="2:15" x14ac:dyDescent="0.3">
      <c r="D58" s="133" t="s">
        <v>1248</v>
      </c>
      <c r="E58" s="133"/>
      <c r="F58" s="133" t="s">
        <v>1247</v>
      </c>
      <c r="G58" s="133"/>
    </row>
    <row r="59" spans="2:15" x14ac:dyDescent="0.3">
      <c r="B59" s="6" t="s">
        <v>359</v>
      </c>
      <c r="D59" s="133"/>
      <c r="E59" s="133"/>
      <c r="F59" s="133"/>
      <c r="G59" s="133"/>
    </row>
    <row r="60" spans="2:15" s="133" customFormat="1" x14ac:dyDescent="0.3">
      <c r="B60" s="148" t="s">
        <v>1795</v>
      </c>
      <c r="D60" s="66" t="s">
        <v>1686</v>
      </c>
      <c r="E60" s="133" t="s">
        <v>1958</v>
      </c>
      <c r="F60" s="66" t="s">
        <v>1686</v>
      </c>
      <c r="G60" s="133" t="s">
        <v>1958</v>
      </c>
    </row>
    <row r="61" spans="2:15" s="133" customFormat="1" x14ac:dyDescent="0.3">
      <c r="B61" s="148" t="s">
        <v>1791</v>
      </c>
      <c r="D61" s="133" t="s">
        <v>1104</v>
      </c>
      <c r="E61" s="133" t="s">
        <v>1104</v>
      </c>
      <c r="F61" s="133" t="s">
        <v>1105</v>
      </c>
      <c r="G61" s="133" t="s">
        <v>1105</v>
      </c>
    </row>
    <row r="62" spans="2:15" x14ac:dyDescent="0.3">
      <c r="B62" t="s">
        <v>33</v>
      </c>
      <c r="C62" t="s">
        <v>361</v>
      </c>
      <c r="D62">
        <f t="shared" ref="D62:G63" si="3">D29</f>
        <v>2.4</v>
      </c>
      <c r="E62" s="24">
        <f t="shared" si="3"/>
        <v>2.4</v>
      </c>
      <c r="F62">
        <f t="shared" si="3"/>
        <v>2.4</v>
      </c>
      <c r="G62" s="24">
        <f t="shared" si="3"/>
        <v>2.4</v>
      </c>
    </row>
    <row r="63" spans="2:15" x14ac:dyDescent="0.3">
      <c r="B63" t="s">
        <v>26</v>
      </c>
      <c r="C63" t="s">
        <v>25</v>
      </c>
      <c r="D63">
        <f t="shared" si="3"/>
        <v>15</v>
      </c>
      <c r="E63" s="24">
        <f t="shared" si="3"/>
        <v>15</v>
      </c>
      <c r="F63">
        <f t="shared" si="3"/>
        <v>15</v>
      </c>
      <c r="G63" s="24">
        <f t="shared" si="3"/>
        <v>15</v>
      </c>
    </row>
    <row r="64" spans="2:15" s="133" customFormat="1" x14ac:dyDescent="0.3">
      <c r="B64" s="148" t="s">
        <v>1544</v>
      </c>
      <c r="C64" s="133" t="s">
        <v>338</v>
      </c>
      <c r="E64" s="24"/>
      <c r="F64" s="10">
        <f>F41</f>
        <v>0.81599999999999995</v>
      </c>
      <c r="G64" s="79">
        <f>G41</f>
        <v>0.81599999999999995</v>
      </c>
      <c r="J64" s="148"/>
    </row>
    <row r="65" spans="2:9" x14ac:dyDescent="0.3">
      <c r="B65" t="s">
        <v>351</v>
      </c>
      <c r="C65" t="s">
        <v>701</v>
      </c>
      <c r="D65" s="10">
        <f>D22/1000</f>
        <v>0.11</v>
      </c>
      <c r="E65" s="79">
        <f>E22/1000</f>
        <v>0.27600000000000002</v>
      </c>
      <c r="F65" s="10">
        <f>F22/1000</f>
        <v>0.14199999999999999</v>
      </c>
      <c r="G65" s="79">
        <f>G22/1000</f>
        <v>0.152</v>
      </c>
    </row>
    <row r="66" spans="2:9" x14ac:dyDescent="0.3">
      <c r="B66" t="s">
        <v>352</v>
      </c>
      <c r="C66" t="s">
        <v>701</v>
      </c>
      <c r="E66" s="24"/>
      <c r="F66" s="10">
        <f>F65-D65</f>
        <v>3.1999999999999987E-2</v>
      </c>
      <c r="G66" s="79">
        <f>G65-E65</f>
        <v>-0.12400000000000003</v>
      </c>
    </row>
    <row r="67" spans="2:9" x14ac:dyDescent="0.3">
      <c r="B67" t="s">
        <v>353</v>
      </c>
      <c r="C67" t="s">
        <v>92</v>
      </c>
      <c r="E67" s="24"/>
      <c r="F67" s="10">
        <f>F66/D65</f>
        <v>0.29090909090909078</v>
      </c>
      <c r="G67" s="79">
        <f>G66/E65</f>
        <v>-0.44927536231884063</v>
      </c>
    </row>
    <row r="68" spans="2:9" x14ac:dyDescent="0.3">
      <c r="B68" t="s">
        <v>293</v>
      </c>
      <c r="C68" t="s">
        <v>338</v>
      </c>
      <c r="D68" s="10">
        <f>D37</f>
        <v>0.26400000000000001</v>
      </c>
      <c r="E68" s="79">
        <f>E37</f>
        <v>0.66239999999999999</v>
      </c>
      <c r="F68" s="10">
        <f>F37</f>
        <v>0.34079999999999999</v>
      </c>
      <c r="G68" s="79">
        <f>G37</f>
        <v>0.36480000000000001</v>
      </c>
    </row>
    <row r="69" spans="2:9" x14ac:dyDescent="0.3">
      <c r="B69" t="s">
        <v>402</v>
      </c>
      <c r="C69" t="s">
        <v>338</v>
      </c>
      <c r="E69" s="24"/>
      <c r="F69" s="10">
        <f>F68-D68</f>
        <v>7.6799999999999979E-2</v>
      </c>
      <c r="G69" s="79">
        <f>G68-E68</f>
        <v>-0.29759999999999998</v>
      </c>
    </row>
    <row r="70" spans="2:9" x14ac:dyDescent="0.3">
      <c r="B70" t="s">
        <v>3</v>
      </c>
      <c r="C70" t="s">
        <v>302</v>
      </c>
      <c r="D70" s="8">
        <f t="shared" ref="D70:F71" si="4">D23</f>
        <v>44.6</v>
      </c>
      <c r="E70" s="53">
        <f t="shared" si="4"/>
        <v>57.3</v>
      </c>
      <c r="F70" s="8">
        <f t="shared" si="4"/>
        <v>51.6</v>
      </c>
      <c r="G70" s="53">
        <f t="shared" ref="G70" si="5">G23</f>
        <v>39.700000000000003</v>
      </c>
    </row>
    <row r="71" spans="2:9" x14ac:dyDescent="0.3">
      <c r="B71" t="s">
        <v>277</v>
      </c>
      <c r="C71" t="s">
        <v>302</v>
      </c>
      <c r="D71" s="8">
        <f t="shared" si="4"/>
        <v>55.4</v>
      </c>
      <c r="E71" s="53">
        <f t="shared" si="4"/>
        <v>42.7</v>
      </c>
      <c r="F71" s="8">
        <f t="shared" si="4"/>
        <v>23</v>
      </c>
      <c r="G71" s="53">
        <f t="shared" ref="G71" si="6">G24</f>
        <v>30</v>
      </c>
    </row>
    <row r="72" spans="2:9" x14ac:dyDescent="0.3">
      <c r="B72" t="s">
        <v>13</v>
      </c>
      <c r="C72" t="s">
        <v>302</v>
      </c>
      <c r="D72" s="8"/>
      <c r="E72" s="53"/>
      <c r="F72" s="8">
        <f>F25</f>
        <v>25.4</v>
      </c>
      <c r="G72" s="53">
        <f>G25</f>
        <v>30.3</v>
      </c>
    </row>
    <row r="73" spans="2:9" x14ac:dyDescent="0.3">
      <c r="B73" t="s">
        <v>35</v>
      </c>
      <c r="D73" s="133" t="s">
        <v>1671</v>
      </c>
      <c r="E73" s="24" t="s">
        <v>1671</v>
      </c>
      <c r="F73" s="133" t="s">
        <v>1671</v>
      </c>
      <c r="G73" s="24" t="s">
        <v>1671</v>
      </c>
      <c r="I73" t="s">
        <v>1250</v>
      </c>
    </row>
    <row r="74" spans="2:9" x14ac:dyDescent="0.3">
      <c r="B74" t="s">
        <v>52</v>
      </c>
      <c r="C74" t="s">
        <v>621</v>
      </c>
      <c r="D74" t="s">
        <v>1671</v>
      </c>
      <c r="E74" s="24" t="s">
        <v>1671</v>
      </c>
      <c r="F74" s="133" t="s">
        <v>1671</v>
      </c>
      <c r="G74" s="24" t="s">
        <v>1671</v>
      </c>
    </row>
    <row r="75" spans="2:9" x14ac:dyDescent="0.3">
      <c r="B75" t="s">
        <v>558</v>
      </c>
      <c r="C75" t="s">
        <v>621</v>
      </c>
      <c r="D75" t="s">
        <v>1677</v>
      </c>
      <c r="E75" s="24" t="s">
        <v>1677</v>
      </c>
      <c r="F75" s="133" t="s">
        <v>1677</v>
      </c>
      <c r="G75" s="24" t="s">
        <v>1677</v>
      </c>
    </row>
    <row r="76" spans="2:9" x14ac:dyDescent="0.3">
      <c r="B76" s="12" t="s">
        <v>757</v>
      </c>
      <c r="C76" s="12" t="s">
        <v>758</v>
      </c>
      <c r="E76" s="24"/>
      <c r="G76" s="24"/>
    </row>
    <row r="79" spans="2:9" x14ac:dyDescent="0.3">
      <c r="B79" s="28" t="s">
        <v>1758</v>
      </c>
    </row>
    <row r="80" spans="2:9" x14ac:dyDescent="0.3">
      <c r="B80" s="4" t="s">
        <v>1236</v>
      </c>
    </row>
    <row r="81" spans="2:7" x14ac:dyDescent="0.3">
      <c r="B81" s="4" t="s">
        <v>1243</v>
      </c>
    </row>
    <row r="83" spans="2:7" x14ac:dyDescent="0.3">
      <c r="B83" t="s">
        <v>287</v>
      </c>
      <c r="D83" t="s">
        <v>1237</v>
      </c>
      <c r="E83" t="s">
        <v>1238</v>
      </c>
      <c r="F83" t="s">
        <v>1239</v>
      </c>
      <c r="G83" t="s">
        <v>1240</v>
      </c>
    </row>
    <row r="84" spans="2:7" x14ac:dyDescent="0.3">
      <c r="B84" t="s">
        <v>35</v>
      </c>
      <c r="D84">
        <v>6.3</v>
      </c>
      <c r="E84">
        <v>5.0999999999999996</v>
      </c>
      <c r="F84">
        <v>5.5</v>
      </c>
      <c r="G84">
        <v>5.5</v>
      </c>
    </row>
    <row r="85" spans="2:7" x14ac:dyDescent="0.3">
      <c r="B85" t="s">
        <v>27</v>
      </c>
      <c r="C85" t="s">
        <v>47</v>
      </c>
      <c r="D85">
        <v>36.619999999999997</v>
      </c>
      <c r="E85">
        <v>854.03</v>
      </c>
      <c r="F85">
        <v>46.01</v>
      </c>
      <c r="G85">
        <v>34.549999999999997</v>
      </c>
    </row>
    <row r="86" spans="2:7" x14ac:dyDescent="0.3">
      <c r="B86" t="s">
        <v>14</v>
      </c>
      <c r="C86" t="s">
        <v>47</v>
      </c>
      <c r="D86">
        <v>33.369999999999997</v>
      </c>
      <c r="E86">
        <v>826.7</v>
      </c>
      <c r="F86">
        <v>42.46</v>
      </c>
      <c r="G86">
        <v>31.89</v>
      </c>
    </row>
    <row r="87" spans="2:7" x14ac:dyDescent="0.3">
      <c r="B87" t="s">
        <v>48</v>
      </c>
      <c r="C87" t="s">
        <v>47</v>
      </c>
      <c r="D87">
        <v>33.979999999999997</v>
      </c>
      <c r="E87">
        <v>1545.95</v>
      </c>
      <c r="F87">
        <v>54.02</v>
      </c>
      <c r="G87">
        <v>36.01</v>
      </c>
    </row>
    <row r="88" spans="2:7" x14ac:dyDescent="0.3">
      <c r="B88" t="s">
        <v>171</v>
      </c>
      <c r="C88" t="s">
        <v>47</v>
      </c>
      <c r="D88">
        <v>0.05</v>
      </c>
      <c r="E88">
        <v>0.53</v>
      </c>
      <c r="F88">
        <v>0.05</v>
      </c>
      <c r="G88">
        <v>0.04</v>
      </c>
    </row>
    <row r="89" spans="2:7" x14ac:dyDescent="0.3">
      <c r="B89" t="s">
        <v>1241</v>
      </c>
      <c r="C89" t="s">
        <v>47</v>
      </c>
      <c r="D89">
        <v>0.41</v>
      </c>
      <c r="E89">
        <v>0</v>
      </c>
      <c r="F89">
        <v>0.41</v>
      </c>
      <c r="G89">
        <v>0.31</v>
      </c>
    </row>
    <row r="90" spans="2:7" x14ac:dyDescent="0.3">
      <c r="B90" t="s">
        <v>51</v>
      </c>
      <c r="C90" t="s">
        <v>47</v>
      </c>
      <c r="D90">
        <v>0.26</v>
      </c>
      <c r="E90">
        <v>69.81</v>
      </c>
      <c r="F90">
        <v>1.03</v>
      </c>
      <c r="G90">
        <v>0.77</v>
      </c>
    </row>
    <row r="91" spans="2:7" x14ac:dyDescent="0.3">
      <c r="B91" t="s">
        <v>1102</v>
      </c>
      <c r="C91" t="s">
        <v>47</v>
      </c>
      <c r="D91">
        <v>0</v>
      </c>
      <c r="E91">
        <v>9.3699999999999992</v>
      </c>
      <c r="F91">
        <v>0.1</v>
      </c>
      <c r="G91">
        <v>0.08</v>
      </c>
    </row>
    <row r="92" spans="2:7" x14ac:dyDescent="0.3">
      <c r="B92" t="s">
        <v>1242</v>
      </c>
      <c r="C92" t="s">
        <v>47</v>
      </c>
      <c r="D92">
        <v>0</v>
      </c>
      <c r="E92">
        <v>290</v>
      </c>
      <c r="F92">
        <v>3.2</v>
      </c>
      <c r="G92">
        <v>2.4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DC66-2DD1-4192-A088-ECA14BA9F74E}">
  <dimension ref="A2:S103"/>
  <sheetViews>
    <sheetView zoomScaleNormal="100" workbookViewId="0"/>
  </sheetViews>
  <sheetFormatPr defaultRowHeight="14.4" x14ac:dyDescent="0.3"/>
  <cols>
    <col min="2" max="2" width="20.44140625" customWidth="1"/>
    <col min="3" max="3" width="14.77734375" bestFit="1" customWidth="1"/>
  </cols>
  <sheetData>
    <row r="2" spans="2:6" x14ac:dyDescent="0.3">
      <c r="B2" s="14" t="s">
        <v>1770</v>
      </c>
    </row>
    <row r="3" spans="2:6" x14ac:dyDescent="0.3">
      <c r="B3" t="s">
        <v>957</v>
      </c>
    </row>
    <row r="4" spans="2:6" x14ac:dyDescent="0.3">
      <c r="B4" t="s">
        <v>958</v>
      </c>
    </row>
    <row r="6" spans="2:6" s="133" customFormat="1" x14ac:dyDescent="0.3">
      <c r="B6" s="148" t="s">
        <v>114</v>
      </c>
      <c r="D6" s="133" t="s">
        <v>2083</v>
      </c>
      <c r="F6" s="133" t="s">
        <v>1729</v>
      </c>
    </row>
    <row r="7" spans="2:6" s="133" customFormat="1" x14ac:dyDescent="0.3">
      <c r="B7" s="133" t="s">
        <v>667</v>
      </c>
      <c r="C7" s="133" t="s">
        <v>503</v>
      </c>
      <c r="D7" s="133">
        <v>37</v>
      </c>
    </row>
    <row r="8" spans="2:6" s="133" customFormat="1" x14ac:dyDescent="0.3">
      <c r="B8" s="133" t="s">
        <v>1324</v>
      </c>
      <c r="D8" s="133" t="s">
        <v>1536</v>
      </c>
      <c r="F8" s="133" t="s">
        <v>2015</v>
      </c>
    </row>
    <row r="9" spans="2:6" s="133" customFormat="1" x14ac:dyDescent="0.3">
      <c r="B9" s="133" t="s">
        <v>956</v>
      </c>
      <c r="C9" s="133" t="s">
        <v>22</v>
      </c>
      <c r="D9">
        <v>130</v>
      </c>
    </row>
    <row r="10" spans="2:6" s="133" customFormat="1" x14ac:dyDescent="0.3">
      <c r="B10" s="133" t="s">
        <v>32</v>
      </c>
      <c r="C10" s="133" t="s">
        <v>22</v>
      </c>
      <c r="D10">
        <v>95</v>
      </c>
    </row>
    <row r="11" spans="2:6" s="133" customFormat="1" x14ac:dyDescent="0.3">
      <c r="B11" s="133" t="s">
        <v>326</v>
      </c>
      <c r="D11" s="133" t="s">
        <v>1538</v>
      </c>
    </row>
    <row r="12" spans="2:6" s="133" customFormat="1" x14ac:dyDescent="0.3">
      <c r="B12" s="133" t="s">
        <v>344</v>
      </c>
      <c r="D12" s="133" t="s">
        <v>1540</v>
      </c>
    </row>
    <row r="13" spans="2:6" s="133" customFormat="1" x14ac:dyDescent="0.3">
      <c r="B13" s="133" t="s">
        <v>1332</v>
      </c>
      <c r="D13" s="133" t="s">
        <v>1539</v>
      </c>
    </row>
    <row r="14" spans="2:6" s="133" customFormat="1" x14ac:dyDescent="0.3">
      <c r="B14" s="133" t="s">
        <v>1330</v>
      </c>
      <c r="D14" s="133" t="s">
        <v>1333</v>
      </c>
    </row>
    <row r="15" spans="2:6" s="133" customFormat="1" x14ac:dyDescent="0.3">
      <c r="B15" s="133" t="s">
        <v>1968</v>
      </c>
      <c r="D15" s="133" t="s">
        <v>2090</v>
      </c>
      <c r="E15" s="133" t="s">
        <v>1970</v>
      </c>
    </row>
    <row r="16" spans="2:6" s="133" customFormat="1" x14ac:dyDescent="0.3">
      <c r="B16" s="133" t="s">
        <v>1541</v>
      </c>
      <c r="D16" s="133" t="s">
        <v>1542</v>
      </c>
    </row>
    <row r="17" spans="2:8" s="133" customFormat="1" x14ac:dyDescent="0.3">
      <c r="B17" s="133" t="s">
        <v>1599</v>
      </c>
      <c r="D17" s="133" t="s">
        <v>1924</v>
      </c>
    </row>
    <row r="18" spans="2:8" s="133" customFormat="1" x14ac:dyDescent="0.3"/>
    <row r="20" spans="2:8" x14ac:dyDescent="0.3">
      <c r="B20" t="s">
        <v>287</v>
      </c>
      <c r="D20" t="s">
        <v>968</v>
      </c>
      <c r="E20" t="s">
        <v>969</v>
      </c>
      <c r="F20" t="s">
        <v>970</v>
      </c>
    </row>
    <row r="21" spans="2:8" x14ac:dyDescent="0.3">
      <c r="B21" t="s">
        <v>959</v>
      </c>
      <c r="D21" s="3"/>
      <c r="E21" s="3">
        <v>0.76</v>
      </c>
      <c r="F21" s="3">
        <v>0.62</v>
      </c>
      <c r="H21" t="s">
        <v>974</v>
      </c>
    </row>
    <row r="22" spans="2:8" x14ac:dyDescent="0.3">
      <c r="B22" t="s">
        <v>971</v>
      </c>
      <c r="D22" s="3"/>
      <c r="E22" s="3">
        <v>0.18</v>
      </c>
      <c r="F22" s="3">
        <v>0.33</v>
      </c>
      <c r="H22" t="s">
        <v>975</v>
      </c>
    </row>
    <row r="23" spans="2:8" x14ac:dyDescent="0.3">
      <c r="B23" t="s">
        <v>593</v>
      </c>
      <c r="C23" t="s">
        <v>302</v>
      </c>
      <c r="D23" s="3"/>
      <c r="E23" s="3">
        <v>75.53</v>
      </c>
      <c r="F23" s="3">
        <v>61.86</v>
      </c>
    </row>
    <row r="24" spans="2:8" x14ac:dyDescent="0.3">
      <c r="B24" t="s">
        <v>304</v>
      </c>
      <c r="C24" t="s">
        <v>302</v>
      </c>
      <c r="D24" s="3"/>
      <c r="E24" s="3">
        <v>18.38</v>
      </c>
      <c r="F24" s="3">
        <v>32.78</v>
      </c>
    </row>
    <row r="25" spans="2:8" x14ac:dyDescent="0.3">
      <c r="B25" t="s">
        <v>697</v>
      </c>
      <c r="C25" t="s">
        <v>964</v>
      </c>
      <c r="D25" s="3"/>
      <c r="E25" s="3">
        <v>5.92</v>
      </c>
      <c r="F25" s="3">
        <v>2.13</v>
      </c>
      <c r="H25" t="s">
        <v>973</v>
      </c>
    </row>
    <row r="26" spans="2:8" x14ac:dyDescent="0.3">
      <c r="B26" t="s">
        <v>575</v>
      </c>
      <c r="C26" t="s">
        <v>965</v>
      </c>
      <c r="D26" s="3">
        <v>2.37</v>
      </c>
      <c r="E26" s="3">
        <v>3.46</v>
      </c>
      <c r="F26" s="3">
        <v>4.83</v>
      </c>
      <c r="H26" t="s">
        <v>972</v>
      </c>
    </row>
    <row r="27" spans="2:8" x14ac:dyDescent="0.3">
      <c r="B27" t="s">
        <v>979</v>
      </c>
      <c r="C27" t="s">
        <v>966</v>
      </c>
      <c r="D27" s="3">
        <v>0.31</v>
      </c>
      <c r="E27" s="3">
        <v>0.35</v>
      </c>
      <c r="F27" s="3">
        <v>0.35</v>
      </c>
      <c r="H27" t="s">
        <v>2223</v>
      </c>
    </row>
    <row r="28" spans="2:8" x14ac:dyDescent="0.3">
      <c r="B28" t="s">
        <v>980</v>
      </c>
      <c r="C28" t="s">
        <v>556</v>
      </c>
      <c r="D28" s="3">
        <v>0.66</v>
      </c>
      <c r="E28" s="3">
        <v>0.77</v>
      </c>
      <c r="F28" s="3">
        <v>0.88</v>
      </c>
      <c r="H28" t="s">
        <v>976</v>
      </c>
    </row>
    <row r="29" spans="2:8" x14ac:dyDescent="0.3">
      <c r="B29" t="s">
        <v>981</v>
      </c>
      <c r="C29" t="s">
        <v>556</v>
      </c>
      <c r="D29" s="3">
        <v>0.91</v>
      </c>
      <c r="E29" s="3">
        <v>1.05</v>
      </c>
      <c r="F29" s="3">
        <v>1.2</v>
      </c>
      <c r="H29" t="s">
        <v>978</v>
      </c>
    </row>
    <row r="30" spans="2:8" x14ac:dyDescent="0.3">
      <c r="B30" t="s">
        <v>960</v>
      </c>
      <c r="C30" t="s">
        <v>556</v>
      </c>
      <c r="D30" s="3">
        <v>0.09</v>
      </c>
      <c r="E30" s="3">
        <v>0.1</v>
      </c>
      <c r="F30" s="3">
        <v>0.11</v>
      </c>
      <c r="H30" t="s">
        <v>977</v>
      </c>
    </row>
    <row r="31" spans="2:8" x14ac:dyDescent="0.3">
      <c r="B31" t="s">
        <v>961</v>
      </c>
      <c r="C31" t="s">
        <v>967</v>
      </c>
      <c r="D31" s="3">
        <v>50.24</v>
      </c>
      <c r="E31" s="3">
        <v>51.05</v>
      </c>
      <c r="F31" s="3">
        <v>58.46</v>
      </c>
    </row>
    <row r="32" spans="2:8" x14ac:dyDescent="0.3">
      <c r="B32" t="s">
        <v>962</v>
      </c>
      <c r="C32" t="s">
        <v>967</v>
      </c>
      <c r="D32" s="3">
        <v>11.13</v>
      </c>
      <c r="E32" s="3">
        <v>10.25</v>
      </c>
      <c r="F32" s="3">
        <v>14.48</v>
      </c>
      <c r="H32" t="s">
        <v>982</v>
      </c>
    </row>
    <row r="33" spans="2:8" x14ac:dyDescent="0.3">
      <c r="B33" t="s">
        <v>963</v>
      </c>
      <c r="C33" t="s">
        <v>302</v>
      </c>
      <c r="D33" s="3">
        <v>77.84</v>
      </c>
      <c r="E33" s="3">
        <v>79.62</v>
      </c>
      <c r="F33" s="3">
        <v>75.12</v>
      </c>
      <c r="H33" t="s">
        <v>983</v>
      </c>
    </row>
    <row r="34" spans="2:8" x14ac:dyDescent="0.3">
      <c r="D34" s="3"/>
      <c r="E34" s="3"/>
      <c r="F34" s="3"/>
    </row>
    <row r="35" spans="2:8" x14ac:dyDescent="0.3">
      <c r="B35" t="s">
        <v>307</v>
      </c>
      <c r="D35" s="3" t="s">
        <v>968</v>
      </c>
      <c r="E35" s="3" t="s">
        <v>969</v>
      </c>
      <c r="F35" s="3" t="s">
        <v>970</v>
      </c>
    </row>
    <row r="36" spans="2:8" x14ac:dyDescent="0.3">
      <c r="B36" t="s">
        <v>267</v>
      </c>
      <c r="C36" t="s">
        <v>566</v>
      </c>
      <c r="D36" s="3">
        <v>8</v>
      </c>
      <c r="E36" s="3">
        <v>64</v>
      </c>
      <c r="F36" s="3">
        <v>64</v>
      </c>
    </row>
    <row r="37" spans="2:8" x14ac:dyDescent="0.3">
      <c r="B37" t="s">
        <v>667</v>
      </c>
      <c r="C37" t="s">
        <v>503</v>
      </c>
      <c r="D37" s="3">
        <v>37.01</v>
      </c>
      <c r="E37" s="3">
        <v>37.119999999999997</v>
      </c>
      <c r="F37" s="3">
        <v>36.93</v>
      </c>
    </row>
    <row r="38" spans="2:8" x14ac:dyDescent="0.3">
      <c r="B38" t="s">
        <v>35</v>
      </c>
      <c r="D38" s="3">
        <v>7.91</v>
      </c>
      <c r="E38" s="3">
        <v>8.17</v>
      </c>
      <c r="F38" s="3">
        <v>8.5500000000000007</v>
      </c>
    </row>
    <row r="39" spans="2:8" x14ac:dyDescent="0.3">
      <c r="B39" t="s">
        <v>984</v>
      </c>
      <c r="C39" t="s">
        <v>993</v>
      </c>
      <c r="D39" s="3">
        <v>-444.29</v>
      </c>
      <c r="E39" s="3">
        <f>469.06</f>
        <v>469.06</v>
      </c>
      <c r="F39" s="3">
        <v>-485.97</v>
      </c>
    </row>
    <row r="40" spans="2:8" x14ac:dyDescent="0.3">
      <c r="B40" t="s">
        <v>321</v>
      </c>
      <c r="C40" t="s">
        <v>348</v>
      </c>
      <c r="D40" s="3"/>
      <c r="E40" s="3">
        <v>2.97</v>
      </c>
      <c r="F40" s="3">
        <v>5.98</v>
      </c>
    </row>
    <row r="41" spans="2:8" x14ac:dyDescent="0.3">
      <c r="B41" t="s">
        <v>985</v>
      </c>
      <c r="D41" s="3"/>
      <c r="E41" s="3">
        <v>1.95</v>
      </c>
      <c r="F41" s="3">
        <v>3.94</v>
      </c>
      <c r="H41" t="s">
        <v>998</v>
      </c>
    </row>
    <row r="42" spans="2:8" x14ac:dyDescent="0.3">
      <c r="B42" t="s">
        <v>986</v>
      </c>
      <c r="C42" t="s">
        <v>994</v>
      </c>
      <c r="D42" s="3"/>
      <c r="E42" s="3">
        <v>0.02</v>
      </c>
      <c r="F42" s="3">
        <v>0.05</v>
      </c>
      <c r="H42" t="s">
        <v>999</v>
      </c>
    </row>
    <row r="43" spans="2:8" x14ac:dyDescent="0.3">
      <c r="B43" t="s">
        <v>987</v>
      </c>
      <c r="C43" t="s">
        <v>567</v>
      </c>
      <c r="D43" s="3"/>
      <c r="E43" s="3">
        <v>44.5</v>
      </c>
      <c r="F43" s="3">
        <v>21.72</v>
      </c>
      <c r="H43" t="s">
        <v>1000</v>
      </c>
    </row>
    <row r="44" spans="2:8" x14ac:dyDescent="0.3">
      <c r="B44" t="s">
        <v>988</v>
      </c>
      <c r="C44" t="s">
        <v>567</v>
      </c>
      <c r="D44" s="3">
        <v>50.4</v>
      </c>
      <c r="E44" s="3">
        <v>27.83</v>
      </c>
      <c r="F44" s="3">
        <v>18.02</v>
      </c>
      <c r="H44" t="s">
        <v>1001</v>
      </c>
    </row>
    <row r="45" spans="2:8" x14ac:dyDescent="0.3">
      <c r="B45" t="s">
        <v>26</v>
      </c>
      <c r="C45" t="s">
        <v>566</v>
      </c>
      <c r="D45" s="3">
        <v>16.97</v>
      </c>
      <c r="E45" s="3">
        <v>17.100000000000001</v>
      </c>
      <c r="F45" s="3">
        <v>16.46</v>
      </c>
    </row>
    <row r="46" spans="2:8" x14ac:dyDescent="0.3">
      <c r="B46" t="s">
        <v>33</v>
      </c>
      <c r="C46" t="s">
        <v>995</v>
      </c>
      <c r="D46" s="3">
        <v>2.92</v>
      </c>
      <c r="E46" s="3">
        <v>3</v>
      </c>
      <c r="F46" s="3">
        <v>3.53</v>
      </c>
    </row>
    <row r="47" spans="2:8" x14ac:dyDescent="0.3">
      <c r="B47" t="s">
        <v>989</v>
      </c>
      <c r="C47" t="s">
        <v>996</v>
      </c>
      <c r="D47" s="3">
        <v>1.44</v>
      </c>
      <c r="E47" s="3">
        <v>1.44</v>
      </c>
      <c r="F47" s="3">
        <v>1.44</v>
      </c>
      <c r="H47" t="s">
        <v>1002</v>
      </c>
    </row>
    <row r="48" spans="2:8" x14ac:dyDescent="0.3">
      <c r="B48" t="s">
        <v>990</v>
      </c>
      <c r="D48" s="3">
        <v>11.55</v>
      </c>
      <c r="E48" s="3">
        <v>9.42</v>
      </c>
      <c r="F48" s="3">
        <v>7.12</v>
      </c>
      <c r="H48" t="s">
        <v>1003</v>
      </c>
    </row>
    <row r="49" spans="2:8" x14ac:dyDescent="0.3">
      <c r="B49" t="s">
        <v>991</v>
      </c>
      <c r="C49" t="s">
        <v>997</v>
      </c>
      <c r="D49" s="3">
        <v>0.57999999999999996</v>
      </c>
      <c r="E49" s="3">
        <v>0.57999999999999996</v>
      </c>
      <c r="F49" s="3">
        <v>0.57999999999999996</v>
      </c>
    </row>
    <row r="50" spans="2:8" x14ac:dyDescent="0.3">
      <c r="B50" t="s">
        <v>3</v>
      </c>
      <c r="C50" t="s">
        <v>302</v>
      </c>
      <c r="D50" s="3">
        <v>66.14</v>
      </c>
      <c r="E50" s="3">
        <v>62.67</v>
      </c>
      <c r="F50" s="3">
        <v>56.69</v>
      </c>
    </row>
    <row r="51" spans="2:8" x14ac:dyDescent="0.3">
      <c r="B51" t="s">
        <v>985</v>
      </c>
      <c r="C51" t="s">
        <v>302</v>
      </c>
      <c r="D51" s="3">
        <v>27.88</v>
      </c>
      <c r="E51" s="3">
        <v>18.420000000000002</v>
      </c>
      <c r="F51" s="3">
        <v>12.02</v>
      </c>
    </row>
    <row r="52" spans="2:8" x14ac:dyDescent="0.3">
      <c r="B52" t="s">
        <v>295</v>
      </c>
      <c r="C52" t="s">
        <v>302</v>
      </c>
      <c r="D52" s="3">
        <v>0.04</v>
      </c>
      <c r="E52" s="3">
        <v>10.96</v>
      </c>
      <c r="F52" s="3">
        <v>26.98</v>
      </c>
    </row>
    <row r="53" spans="2:8" x14ac:dyDescent="0.3">
      <c r="B53" t="s">
        <v>992</v>
      </c>
      <c r="C53" t="s">
        <v>302</v>
      </c>
      <c r="D53" s="3">
        <v>67.31</v>
      </c>
      <c r="E53" s="3">
        <v>68.41</v>
      </c>
      <c r="F53" s="3">
        <v>62.18</v>
      </c>
    </row>
    <row r="55" spans="2:8" x14ac:dyDescent="0.3">
      <c r="B55" s="6" t="s">
        <v>877</v>
      </c>
      <c r="D55" s="3" t="s">
        <v>968</v>
      </c>
      <c r="E55" s="3" t="s">
        <v>969</v>
      </c>
      <c r="F55" s="3" t="s">
        <v>970</v>
      </c>
    </row>
    <row r="56" spans="2:8" x14ac:dyDescent="0.3">
      <c r="B56" t="s">
        <v>747</v>
      </c>
      <c r="C56" t="s">
        <v>302</v>
      </c>
      <c r="D56" s="3">
        <f>SUM(D98:D100)</f>
        <v>94.06</v>
      </c>
      <c r="E56" s="3">
        <f>SUM(E98:E100)</f>
        <v>92.050000000000011</v>
      </c>
      <c r="F56" s="3">
        <f>SUM(F98:F100)</f>
        <v>95.69</v>
      </c>
      <c r="H56" t="s">
        <v>1004</v>
      </c>
    </row>
    <row r="57" spans="2:8" x14ac:dyDescent="0.3">
      <c r="B57" t="s">
        <v>332</v>
      </c>
      <c r="D57" s="10">
        <f t="shared" ref="D57:F59" si="0">D50/D$56</f>
        <v>0.70316819051669144</v>
      </c>
      <c r="E57" s="10">
        <f t="shared" si="0"/>
        <v>0.68082563824008679</v>
      </c>
      <c r="F57" s="10">
        <f t="shared" si="0"/>
        <v>0.592433901139095</v>
      </c>
    </row>
    <row r="58" spans="2:8" x14ac:dyDescent="0.3">
      <c r="B58" t="s">
        <v>333</v>
      </c>
      <c r="D58" s="10">
        <f t="shared" si="0"/>
        <v>0.29640654901126939</v>
      </c>
      <c r="E58" s="10">
        <f t="shared" si="0"/>
        <v>0.20010863661053774</v>
      </c>
      <c r="F58" s="10">
        <f t="shared" si="0"/>
        <v>0.12561396175148917</v>
      </c>
    </row>
    <row r="59" spans="2:8" x14ac:dyDescent="0.3">
      <c r="B59" t="s">
        <v>1009</v>
      </c>
      <c r="D59" s="10">
        <f t="shared" si="0"/>
        <v>4.2526047203912394E-4</v>
      </c>
      <c r="E59" s="10">
        <f t="shared" si="0"/>
        <v>0.11906572514937533</v>
      </c>
      <c r="F59" s="10">
        <f t="shared" si="0"/>
        <v>0.28195213710941586</v>
      </c>
    </row>
    <row r="60" spans="2:8" s="133" customFormat="1" x14ac:dyDescent="0.3">
      <c r="B60" s="148" t="s">
        <v>293</v>
      </c>
      <c r="C60" s="133" t="s">
        <v>338</v>
      </c>
      <c r="D60" s="10">
        <f>D29</f>
        <v>0.91</v>
      </c>
      <c r="E60" s="10">
        <f>E29</f>
        <v>1.05</v>
      </c>
      <c r="F60" s="10">
        <f>F29</f>
        <v>1.2</v>
      </c>
      <c r="H60" s="133" t="s">
        <v>2048</v>
      </c>
    </row>
    <row r="61" spans="2:8" x14ac:dyDescent="0.3">
      <c r="B61" s="6" t="s">
        <v>2049</v>
      </c>
      <c r="C61" t="s">
        <v>338</v>
      </c>
      <c r="D61" s="10">
        <f>D65*D57</f>
        <v>0.90999999999999992</v>
      </c>
      <c r="E61" s="10">
        <f>E65*E57</f>
        <v>1.05</v>
      </c>
      <c r="F61" s="10">
        <f>F65*F57</f>
        <v>1.2</v>
      </c>
      <c r="H61" t="s">
        <v>2050</v>
      </c>
    </row>
    <row r="62" spans="2:8" x14ac:dyDescent="0.3">
      <c r="B62" s="6" t="s">
        <v>2049</v>
      </c>
      <c r="C62" t="s">
        <v>338</v>
      </c>
      <c r="D62" s="10">
        <f>D90*D93</f>
        <v>0.9052</v>
      </c>
      <c r="E62" s="10">
        <f>E90*E93</f>
        <v>1.0499999999999998</v>
      </c>
      <c r="F62" s="10">
        <f>F90*F93</f>
        <v>1.2354999999999998</v>
      </c>
      <c r="H62" t="s">
        <v>1005</v>
      </c>
    </row>
    <row r="63" spans="2:8" s="133" customFormat="1" x14ac:dyDescent="0.3">
      <c r="B63" s="6" t="s">
        <v>2221</v>
      </c>
      <c r="C63" s="133" t="s">
        <v>377</v>
      </c>
      <c r="D63" s="10">
        <f>D60/D46</f>
        <v>0.31164383561643838</v>
      </c>
      <c r="E63" s="10">
        <f t="shared" ref="E63:F63" si="1">E60/E46</f>
        <v>0.35000000000000003</v>
      </c>
      <c r="F63" s="10">
        <f t="shared" si="1"/>
        <v>0.33994334277620397</v>
      </c>
      <c r="H63" s="133" t="s">
        <v>2222</v>
      </c>
    </row>
    <row r="64" spans="2:8" x14ac:dyDescent="0.3">
      <c r="B64" s="27" t="s">
        <v>845</v>
      </c>
      <c r="C64" t="s">
        <v>338</v>
      </c>
      <c r="D64" s="10">
        <f>D60*D58/D57</f>
        <v>0.38359237980042332</v>
      </c>
      <c r="E64" s="10">
        <f t="shared" ref="E64:F64" si="2">E60*E58/E57</f>
        <v>0.30861656294877937</v>
      </c>
      <c r="F64" s="10">
        <f t="shared" si="2"/>
        <v>0.25443640853766092</v>
      </c>
      <c r="H64" t="s">
        <v>1008</v>
      </c>
    </row>
    <row r="65" spans="1:8" x14ac:dyDescent="0.3">
      <c r="B65" t="s">
        <v>2037</v>
      </c>
      <c r="C65" s="12" t="s">
        <v>338</v>
      </c>
      <c r="D65" s="10">
        <f>D96/D57</f>
        <v>1.2941427275476263</v>
      </c>
      <c r="E65" s="10">
        <f>E96/E57</f>
        <v>1.5422450933460989</v>
      </c>
      <c r="F65" s="10">
        <f>F96/F57</f>
        <v>2.025542423707885</v>
      </c>
      <c r="H65" t="s">
        <v>2051</v>
      </c>
    </row>
    <row r="66" spans="1:8" x14ac:dyDescent="0.3">
      <c r="B66" t="s">
        <v>2037</v>
      </c>
      <c r="C66" s="12" t="s">
        <v>338</v>
      </c>
      <c r="D66" s="10">
        <f>D96*100/D50</f>
        <v>1.3758693680072573</v>
      </c>
      <c r="E66" s="10">
        <f>E96*100/E50</f>
        <v>1.675442795595979</v>
      </c>
      <c r="F66" s="10">
        <f>F96*100/F50</f>
        <v>2.1167754454048335</v>
      </c>
      <c r="H66" t="s">
        <v>1006</v>
      </c>
    </row>
    <row r="67" spans="1:8" s="133" customFormat="1" x14ac:dyDescent="0.3">
      <c r="B67" s="148" t="s">
        <v>308</v>
      </c>
      <c r="C67" s="133" t="s">
        <v>338</v>
      </c>
      <c r="D67" s="10">
        <f>D60+D64</f>
        <v>1.2935923798004234</v>
      </c>
      <c r="E67" s="10">
        <f>E60+E64</f>
        <v>1.3586165629487794</v>
      </c>
      <c r="F67" s="10">
        <f>F60+F64</f>
        <v>1.4544364085376609</v>
      </c>
      <c r="G67" s="10"/>
    </row>
    <row r="68" spans="1:8" x14ac:dyDescent="0.3">
      <c r="B68" t="s">
        <v>321</v>
      </c>
      <c r="C68" t="s">
        <v>338</v>
      </c>
      <c r="E68" s="3">
        <f>E40*24/$D$10</f>
        <v>0.75031578947368427</v>
      </c>
      <c r="F68" s="3">
        <f>F40*24/$D$10</f>
        <v>1.5107368421052632</v>
      </c>
    </row>
    <row r="69" spans="1:8" x14ac:dyDescent="0.3">
      <c r="B69" t="s">
        <v>323</v>
      </c>
      <c r="C69" t="s">
        <v>338</v>
      </c>
      <c r="D69" s="3">
        <f>D66*D52/100</f>
        <v>5.5034774720290293E-4</v>
      </c>
      <c r="E69" s="3">
        <f>E66*E52/100</f>
        <v>0.1836285303973193</v>
      </c>
      <c r="F69" s="3">
        <f>F66*F52/100</f>
        <v>0.57110601517022408</v>
      </c>
      <c r="H69" t="s">
        <v>1011</v>
      </c>
    </row>
    <row r="70" spans="1:8" x14ac:dyDescent="0.3">
      <c r="B70" t="s">
        <v>323</v>
      </c>
      <c r="C70" t="s">
        <v>338</v>
      </c>
      <c r="D70" s="3">
        <f>D66*D59</f>
        <v>5.8510285690293738E-4</v>
      </c>
      <c r="E70" s="3">
        <f>E66*E59</f>
        <v>0.19948781140393188</v>
      </c>
      <c r="F70" s="3">
        <f>F66*F59</f>
        <v>0.59682936061262848</v>
      </c>
      <c r="H70" t="s">
        <v>1007</v>
      </c>
    </row>
    <row r="71" spans="1:8" x14ac:dyDescent="0.3">
      <c r="A71" s="133"/>
      <c r="B71" s="133" t="s">
        <v>323</v>
      </c>
      <c r="C71" t="s">
        <v>338</v>
      </c>
      <c r="D71" s="3">
        <f>D65*D52/100</f>
        <v>5.1765709101905051E-4</v>
      </c>
      <c r="E71" s="3">
        <f>E65*E52/100</f>
        <v>0.16903006223073244</v>
      </c>
      <c r="F71" s="3">
        <f>F65*F52/100</f>
        <v>0.54649134591638737</v>
      </c>
      <c r="H71" t="s">
        <v>1007</v>
      </c>
    </row>
    <row r="72" spans="1:8" x14ac:dyDescent="0.3">
      <c r="B72" s="133" t="s">
        <v>433</v>
      </c>
      <c r="C72" t="s">
        <v>338</v>
      </c>
      <c r="D72" s="3"/>
      <c r="E72" s="3">
        <f>E68-E69</f>
        <v>0.56668725907636497</v>
      </c>
      <c r="F72" s="3">
        <f>F68-F69</f>
        <v>0.93963082693503908</v>
      </c>
    </row>
    <row r="73" spans="1:8" x14ac:dyDescent="0.3">
      <c r="B73" s="148" t="s">
        <v>460</v>
      </c>
      <c r="C73" t="s">
        <v>338</v>
      </c>
      <c r="E73" s="3">
        <f>E72/4</f>
        <v>0.14167181476909124</v>
      </c>
      <c r="F73" s="3">
        <f>F72/4</f>
        <v>0.23490770673375977</v>
      </c>
    </row>
    <row r="74" spans="1:8" x14ac:dyDescent="0.3">
      <c r="B74" s="148" t="s">
        <v>402</v>
      </c>
      <c r="C74" t="s">
        <v>338</v>
      </c>
      <c r="E74" s="3">
        <f>E61-$D60</f>
        <v>0.14000000000000001</v>
      </c>
      <c r="F74" s="3">
        <f>F61-$D60</f>
        <v>0.28999999999999992</v>
      </c>
    </row>
    <row r="75" spans="1:8" x14ac:dyDescent="0.3">
      <c r="B75" s="148" t="s">
        <v>2086</v>
      </c>
      <c r="C75" t="s">
        <v>338</v>
      </c>
      <c r="E75" s="10">
        <f>$D64-E64</f>
        <v>7.497581685164395E-2</v>
      </c>
      <c r="F75" s="10">
        <f>$D64-F64</f>
        <v>0.1291559712627624</v>
      </c>
    </row>
    <row r="76" spans="1:8" s="133" customFormat="1" x14ac:dyDescent="0.3">
      <c r="B76" s="103" t="s">
        <v>93</v>
      </c>
      <c r="C76" s="103"/>
      <c r="D76" s="16"/>
      <c r="E76" s="134">
        <f>E68/$D64</f>
        <v>1.9560237089799881</v>
      </c>
      <c r="F76" s="134">
        <f>F68/$D64</f>
        <v>3.9383911716162721</v>
      </c>
      <c r="H76" s="133" t="s">
        <v>2138</v>
      </c>
    </row>
    <row r="77" spans="1:8" s="133" customFormat="1" x14ac:dyDescent="0.3">
      <c r="A77" s="148"/>
      <c r="B77" s="148" t="s">
        <v>93</v>
      </c>
      <c r="C77" s="103" t="s">
        <v>203</v>
      </c>
      <c r="D77" s="16"/>
      <c r="E77" s="134">
        <f>E41</f>
        <v>1.95</v>
      </c>
      <c r="F77" s="134">
        <f>F41</f>
        <v>3.94</v>
      </c>
      <c r="H77" s="133" t="s">
        <v>1552</v>
      </c>
    </row>
    <row r="78" spans="1:8" x14ac:dyDescent="0.3">
      <c r="A78" s="148"/>
      <c r="B78" s="148" t="s">
        <v>462</v>
      </c>
      <c r="C78" t="s">
        <v>92</v>
      </c>
      <c r="E78" s="10">
        <f>E72/E68</f>
        <v>0.75526500578359523</v>
      </c>
      <c r="F78" s="10">
        <f>F72/F68</f>
        <v>0.62196856576664372</v>
      </c>
      <c r="H78" t="s">
        <v>1010</v>
      </c>
    </row>
    <row r="79" spans="1:8" x14ac:dyDescent="0.3">
      <c r="A79" s="148"/>
      <c r="B79" s="148" t="s">
        <v>2085</v>
      </c>
      <c r="C79" t="s">
        <v>92</v>
      </c>
      <c r="E79" s="3">
        <f>E74/E73</f>
        <v>0.98819938340017666</v>
      </c>
      <c r="F79" s="3">
        <f>F74/F73</f>
        <v>1.2345273981525042</v>
      </c>
    </row>
    <row r="80" spans="1:8" x14ac:dyDescent="0.3">
      <c r="A80" s="148"/>
      <c r="B80" s="148" t="s">
        <v>2087</v>
      </c>
      <c r="C80" t="s">
        <v>92</v>
      </c>
      <c r="E80" s="10">
        <f>E75/E73</f>
        <v>0.5292218284479937</v>
      </c>
      <c r="F80" s="10">
        <f>F75/F73</f>
        <v>0.54981581089268172</v>
      </c>
    </row>
    <row r="81" spans="1:19" x14ac:dyDescent="0.3">
      <c r="A81" s="148"/>
      <c r="B81" s="148" t="s">
        <v>2088</v>
      </c>
      <c r="C81" t="s">
        <v>92</v>
      </c>
      <c r="E81" s="3">
        <f>E74/E75</f>
        <v>1.8672687524968301</v>
      </c>
      <c r="F81" s="3">
        <f>F74/F75</f>
        <v>2.2453472120929439</v>
      </c>
    </row>
    <row r="82" spans="1:19" s="133" customFormat="1" x14ac:dyDescent="0.3">
      <c r="A82" s="148"/>
      <c r="B82" s="148" t="s">
        <v>2096</v>
      </c>
      <c r="C82" s="133" t="s">
        <v>92</v>
      </c>
      <c r="D82" s="37"/>
      <c r="E82" s="37">
        <f>E74/$D64</f>
        <v>0.36497075377993604</v>
      </c>
      <c r="F82" s="37">
        <f>F74/$D64</f>
        <v>0.75601084711558153</v>
      </c>
      <c r="G82" s="37"/>
      <c r="H82" s="37"/>
      <c r="I82" s="148"/>
      <c r="J82" s="37"/>
      <c r="K82" s="37"/>
      <c r="M82" s="37"/>
      <c r="O82" s="37"/>
      <c r="Q82" s="37"/>
      <c r="S82" s="37"/>
    </row>
    <row r="83" spans="1:19" s="133" customFormat="1" x14ac:dyDescent="0.3">
      <c r="A83" s="148"/>
      <c r="B83" s="148" t="s">
        <v>2097</v>
      </c>
      <c r="C83" s="133" t="s">
        <v>92</v>
      </c>
      <c r="D83" s="96"/>
      <c r="E83" s="96">
        <f>E67/$D67</f>
        <v>1.0502663622356743</v>
      </c>
      <c r="F83" s="96">
        <f>F67/$D67</f>
        <v>1.1243390354247855</v>
      </c>
      <c r="G83" s="96"/>
      <c r="H83" s="96"/>
      <c r="I83" s="148"/>
      <c r="J83" s="96"/>
      <c r="K83" s="96"/>
      <c r="M83" s="96"/>
      <c r="O83" s="96"/>
      <c r="Q83" s="96"/>
      <c r="S83" s="96"/>
    </row>
    <row r="84" spans="1:19" x14ac:dyDescent="0.3">
      <c r="A84" s="148"/>
      <c r="B84" s="148" t="s">
        <v>2081</v>
      </c>
      <c r="E84" s="3">
        <f>E72/E74</f>
        <v>4.0477661362597495</v>
      </c>
      <c r="F84" s="3">
        <f>F72/F74</f>
        <v>3.2401062997759977</v>
      </c>
    </row>
    <row r="85" spans="1:19" x14ac:dyDescent="0.3">
      <c r="A85" s="148"/>
      <c r="B85" s="148" t="s">
        <v>2137</v>
      </c>
      <c r="E85" s="3">
        <f>E72/E75</f>
        <v>7.5582672236526562</v>
      </c>
      <c r="F85" s="3">
        <f>F72/F75</f>
        <v>7.2751636470868206</v>
      </c>
    </row>
    <row r="87" spans="1:19" x14ac:dyDescent="0.3">
      <c r="B87" s="40" t="s">
        <v>359</v>
      </c>
      <c r="C87" s="12"/>
      <c r="D87" s="3" t="s">
        <v>968</v>
      </c>
      <c r="E87" s="3" t="s">
        <v>969</v>
      </c>
      <c r="F87" s="3" t="s">
        <v>970</v>
      </c>
    </row>
    <row r="88" spans="1:19" s="133" customFormat="1" x14ac:dyDescent="0.3">
      <c r="B88" s="95" t="s">
        <v>1795</v>
      </c>
      <c r="C88" s="103"/>
      <c r="D88" s="134" t="s">
        <v>2152</v>
      </c>
      <c r="E88" s="134" t="s">
        <v>1925</v>
      </c>
      <c r="F88" s="134" t="s">
        <v>1926</v>
      </c>
    </row>
    <row r="89" spans="1:19" s="133" customFormat="1" x14ac:dyDescent="0.3">
      <c r="B89" s="95" t="s">
        <v>1791</v>
      </c>
      <c r="C89" s="103"/>
      <c r="D89" s="134" t="s">
        <v>1104</v>
      </c>
      <c r="E89" s="134" t="s">
        <v>1105</v>
      </c>
      <c r="F89" s="134" t="s">
        <v>1105</v>
      </c>
    </row>
    <row r="90" spans="1:19" x14ac:dyDescent="0.3">
      <c r="B90" s="12" t="s">
        <v>33</v>
      </c>
      <c r="C90" s="12" t="s">
        <v>361</v>
      </c>
      <c r="D90" s="3">
        <f>D46</f>
        <v>2.92</v>
      </c>
      <c r="E90" s="3">
        <f>E46</f>
        <v>3</v>
      </c>
      <c r="F90" s="3">
        <f>F46</f>
        <v>3.53</v>
      </c>
    </row>
    <row r="91" spans="1:19" x14ac:dyDescent="0.3">
      <c r="B91" s="12" t="s">
        <v>26</v>
      </c>
      <c r="C91" s="12" t="s">
        <v>25</v>
      </c>
      <c r="D91" s="8">
        <f>D45</f>
        <v>16.97</v>
      </c>
      <c r="E91" s="8">
        <f>E45</f>
        <v>17.100000000000001</v>
      </c>
      <c r="F91" s="8">
        <f>F45</f>
        <v>16.46</v>
      </c>
    </row>
    <row r="92" spans="1:19" s="133" customFormat="1" x14ac:dyDescent="0.3">
      <c r="B92" s="103" t="s">
        <v>1544</v>
      </c>
      <c r="C92" s="133" t="s">
        <v>338</v>
      </c>
      <c r="D92" s="134"/>
      <c r="E92" s="134">
        <f>E68</f>
        <v>0.75031578947368427</v>
      </c>
      <c r="F92" s="134">
        <f>F68</f>
        <v>1.5107368421052632</v>
      </c>
      <c r="H92" s="133" t="s">
        <v>1552</v>
      </c>
    </row>
    <row r="93" spans="1:19" x14ac:dyDescent="0.3">
      <c r="B93" s="12" t="s">
        <v>351</v>
      </c>
      <c r="C93" s="12" t="s">
        <v>701</v>
      </c>
      <c r="D93" s="3">
        <f>D27</f>
        <v>0.31</v>
      </c>
      <c r="E93" s="3">
        <f>E27</f>
        <v>0.35</v>
      </c>
      <c r="F93" s="3">
        <f>F27</f>
        <v>0.35</v>
      </c>
    </row>
    <row r="94" spans="1:19" x14ac:dyDescent="0.3">
      <c r="B94" s="12" t="s">
        <v>352</v>
      </c>
      <c r="C94" s="12" t="s">
        <v>701</v>
      </c>
      <c r="E94" s="3">
        <f>E93-$D93</f>
        <v>3.999999999999998E-2</v>
      </c>
      <c r="F94" s="3">
        <f>F93-$D93</f>
        <v>3.999999999999998E-2</v>
      </c>
    </row>
    <row r="95" spans="1:19" x14ac:dyDescent="0.3">
      <c r="B95" s="12" t="s">
        <v>383</v>
      </c>
      <c r="C95" s="12" t="s">
        <v>92</v>
      </c>
      <c r="E95" s="10">
        <f>E94/$D93</f>
        <v>0.12903225806451607</v>
      </c>
      <c r="F95" s="10">
        <f>F94/$D93</f>
        <v>0.12903225806451607</v>
      </c>
    </row>
    <row r="96" spans="1:19" x14ac:dyDescent="0.3">
      <c r="B96" s="12" t="s">
        <v>293</v>
      </c>
      <c r="C96" s="12" t="s">
        <v>338</v>
      </c>
      <c r="D96" s="3">
        <f>D29</f>
        <v>0.91</v>
      </c>
      <c r="E96" s="3">
        <f>E29</f>
        <v>1.05</v>
      </c>
      <c r="F96" s="3">
        <f>F29</f>
        <v>1.2</v>
      </c>
    </row>
    <row r="97" spans="2:6" x14ac:dyDescent="0.3">
      <c r="B97" s="12" t="s">
        <v>402</v>
      </c>
      <c r="C97" s="12" t="s">
        <v>338</v>
      </c>
      <c r="E97" s="3">
        <f>E96-$D96</f>
        <v>0.14000000000000001</v>
      </c>
      <c r="F97" s="3">
        <f>F96-$D96</f>
        <v>0.28999999999999992</v>
      </c>
    </row>
    <row r="98" spans="2:6" x14ac:dyDescent="0.3">
      <c r="B98" s="12" t="s">
        <v>3</v>
      </c>
      <c r="C98" s="12" t="s">
        <v>302</v>
      </c>
      <c r="D98" s="3">
        <f t="shared" ref="D98:F100" si="3">D50</f>
        <v>66.14</v>
      </c>
      <c r="E98" s="3">
        <f t="shared" si="3"/>
        <v>62.67</v>
      </c>
      <c r="F98" s="3">
        <f t="shared" si="3"/>
        <v>56.69</v>
      </c>
    </row>
    <row r="99" spans="2:6" x14ac:dyDescent="0.3">
      <c r="B99" s="12" t="s">
        <v>277</v>
      </c>
      <c r="C99" s="12" t="s">
        <v>302</v>
      </c>
      <c r="D99" s="3">
        <f t="shared" si="3"/>
        <v>27.88</v>
      </c>
      <c r="E99" s="3">
        <f t="shared" si="3"/>
        <v>18.420000000000002</v>
      </c>
      <c r="F99" s="3">
        <f t="shared" si="3"/>
        <v>12.02</v>
      </c>
    </row>
    <row r="100" spans="2:6" x14ac:dyDescent="0.3">
      <c r="B100" s="12" t="s">
        <v>13</v>
      </c>
      <c r="C100" s="12" t="s">
        <v>302</v>
      </c>
      <c r="D100" s="3">
        <f t="shared" si="3"/>
        <v>0.04</v>
      </c>
      <c r="E100" s="3">
        <f t="shared" si="3"/>
        <v>10.96</v>
      </c>
      <c r="F100" s="3">
        <f t="shared" si="3"/>
        <v>26.98</v>
      </c>
    </row>
    <row r="101" spans="2:6" x14ac:dyDescent="0.3">
      <c r="B101" s="12" t="s">
        <v>35</v>
      </c>
      <c r="C101" s="12"/>
      <c r="D101" s="3">
        <f>D38</f>
        <v>7.91</v>
      </c>
      <c r="E101" s="3">
        <f>E38</f>
        <v>8.17</v>
      </c>
      <c r="F101" s="3">
        <f>F38</f>
        <v>8.5500000000000007</v>
      </c>
    </row>
    <row r="102" spans="2:6" x14ac:dyDescent="0.3">
      <c r="B102" s="12" t="s">
        <v>52</v>
      </c>
      <c r="C102" s="12" t="s">
        <v>621</v>
      </c>
      <c r="D102" t="s">
        <v>1671</v>
      </c>
      <c r="E102" s="133" t="s">
        <v>1671</v>
      </c>
      <c r="F102" s="133" t="s">
        <v>1671</v>
      </c>
    </row>
    <row r="103" spans="2:6" x14ac:dyDescent="0.3">
      <c r="B103" s="12" t="s">
        <v>558</v>
      </c>
      <c r="C103" s="12" t="s">
        <v>621</v>
      </c>
      <c r="D103" s="133" t="s">
        <v>1671</v>
      </c>
      <c r="E103" s="133" t="s">
        <v>1671</v>
      </c>
      <c r="F103" s="133" t="s">
        <v>1671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9B2D-3D5B-4812-8A8F-62320383B00C}">
  <dimension ref="A2:U116"/>
  <sheetViews>
    <sheetView workbookViewId="0"/>
  </sheetViews>
  <sheetFormatPr defaultColWidth="8.88671875" defaultRowHeight="14.4" x14ac:dyDescent="0.3"/>
  <cols>
    <col min="1" max="1" width="8.88671875" style="133"/>
    <col min="2" max="2" width="22.44140625" style="133" customWidth="1"/>
    <col min="3" max="3" width="15.77734375" style="133" customWidth="1"/>
    <col min="4" max="4" width="13.33203125" style="133" bestFit="1" customWidth="1"/>
    <col min="5" max="6" width="7.33203125" style="133" bestFit="1" customWidth="1"/>
    <col min="7" max="7" width="6.5546875" style="133" bestFit="1" customWidth="1"/>
    <col min="8" max="9" width="5.5546875" style="133" bestFit="1" customWidth="1"/>
    <col min="10" max="10" width="8.5546875" style="133" bestFit="1" customWidth="1"/>
    <col min="11" max="16384" width="8.88671875" style="133"/>
  </cols>
  <sheetData>
    <row r="2" spans="2:5" x14ac:dyDescent="0.3">
      <c r="B2" s="102" t="s">
        <v>1751</v>
      </c>
    </row>
    <row r="3" spans="2:5" x14ac:dyDescent="0.3">
      <c r="B3" s="133" t="s">
        <v>1695</v>
      </c>
    </row>
    <row r="4" spans="2:5" x14ac:dyDescent="0.3">
      <c r="B4" s="103" t="s">
        <v>1889</v>
      </c>
    </row>
    <row r="6" spans="2:5" x14ac:dyDescent="0.3">
      <c r="B6" s="133" t="s">
        <v>114</v>
      </c>
      <c r="D6" s="133" t="s">
        <v>2014</v>
      </c>
    </row>
    <row r="7" spans="2:5" x14ac:dyDescent="0.3">
      <c r="B7" s="133" t="s">
        <v>667</v>
      </c>
      <c r="C7" s="133" t="s">
        <v>503</v>
      </c>
      <c r="D7" s="133">
        <v>37</v>
      </c>
    </row>
    <row r="8" spans="2:5" x14ac:dyDescent="0.3">
      <c r="B8" s="133" t="s">
        <v>1890</v>
      </c>
      <c r="D8" s="133" t="s">
        <v>1633</v>
      </c>
    </row>
    <row r="9" spans="2:5" x14ac:dyDescent="0.3">
      <c r="B9" s="133" t="s">
        <v>956</v>
      </c>
      <c r="C9" s="133" t="s">
        <v>22</v>
      </c>
      <c r="D9" s="133" t="s">
        <v>2102</v>
      </c>
      <c r="E9" s="133">
        <v>2.5</v>
      </c>
    </row>
    <row r="10" spans="2:5" x14ac:dyDescent="0.3">
      <c r="B10" s="133" t="s">
        <v>32</v>
      </c>
      <c r="C10" s="133" t="s">
        <v>22</v>
      </c>
      <c r="D10" s="133" t="s">
        <v>2103</v>
      </c>
      <c r="E10" s="133">
        <v>2</v>
      </c>
    </row>
    <row r="11" spans="2:5" x14ac:dyDescent="0.3">
      <c r="B11" s="133" t="s">
        <v>326</v>
      </c>
      <c r="D11" s="133" t="s">
        <v>2147</v>
      </c>
    </row>
    <row r="12" spans="2:5" x14ac:dyDescent="0.3">
      <c r="B12" s="133" t="s">
        <v>344</v>
      </c>
      <c r="D12" s="133" t="s">
        <v>665</v>
      </c>
    </row>
    <row r="13" spans="2:5" x14ac:dyDescent="0.3">
      <c r="B13" s="133" t="s">
        <v>1332</v>
      </c>
      <c r="D13" s="133" t="s">
        <v>1519</v>
      </c>
    </row>
    <row r="14" spans="2:5" x14ac:dyDescent="0.3">
      <c r="B14" s="133" t="s">
        <v>1330</v>
      </c>
      <c r="D14" s="133" t="s">
        <v>1697</v>
      </c>
    </row>
    <row r="15" spans="2:5" x14ac:dyDescent="0.3">
      <c r="B15" s="133" t="s">
        <v>1968</v>
      </c>
      <c r="D15" s="133" t="s">
        <v>1969</v>
      </c>
    </row>
    <row r="16" spans="2:5" x14ac:dyDescent="0.3">
      <c r="B16" s="133" t="s">
        <v>1541</v>
      </c>
      <c r="D16" s="133" t="s">
        <v>2150</v>
      </c>
    </row>
    <row r="17" spans="2:7" x14ac:dyDescent="0.3">
      <c r="B17" s="133" t="s">
        <v>1891</v>
      </c>
      <c r="D17" s="133" t="s">
        <v>2130</v>
      </c>
    </row>
    <row r="19" spans="2:7" x14ac:dyDescent="0.3">
      <c r="B19" s="6" t="s">
        <v>114</v>
      </c>
    </row>
    <row r="20" spans="2:7" x14ac:dyDescent="0.3">
      <c r="B20" s="133" t="s">
        <v>947</v>
      </c>
      <c r="C20" s="133" t="s">
        <v>1698</v>
      </c>
      <c r="D20" s="133">
        <v>1</v>
      </c>
      <c r="F20" s="133" t="s">
        <v>1168</v>
      </c>
    </row>
    <row r="21" spans="2:7" x14ac:dyDescent="0.3">
      <c r="B21" s="133" t="s">
        <v>728</v>
      </c>
      <c r="D21" s="133">
        <v>4</v>
      </c>
    </row>
    <row r="22" spans="2:7" x14ac:dyDescent="0.3">
      <c r="B22" s="133" t="s">
        <v>33</v>
      </c>
      <c r="C22" s="133" t="s">
        <v>270</v>
      </c>
      <c r="D22" s="133">
        <v>3.5</v>
      </c>
    </row>
    <row r="23" spans="2:7" x14ac:dyDescent="0.3">
      <c r="B23" s="133" t="s">
        <v>26</v>
      </c>
      <c r="C23" s="133" t="s">
        <v>566</v>
      </c>
      <c r="D23" s="133">
        <v>10</v>
      </c>
    </row>
    <row r="25" spans="2:7" x14ac:dyDescent="0.3">
      <c r="B25" s="6" t="s">
        <v>1892</v>
      </c>
    </row>
    <row r="26" spans="2:7" x14ac:dyDescent="0.3">
      <c r="B26" s="133" t="s">
        <v>273</v>
      </c>
      <c r="C26" s="133" t="s">
        <v>952</v>
      </c>
      <c r="D26" s="133">
        <v>30</v>
      </c>
      <c r="E26" s="133" t="s">
        <v>25</v>
      </c>
      <c r="G26" s="133" t="s">
        <v>338</v>
      </c>
    </row>
    <row r="28" spans="2:7" x14ac:dyDescent="0.3">
      <c r="B28" s="133" t="s">
        <v>274</v>
      </c>
      <c r="C28" s="133" t="s">
        <v>953</v>
      </c>
      <c r="D28" s="133">
        <v>32</v>
      </c>
      <c r="E28" s="133" t="s">
        <v>347</v>
      </c>
      <c r="G28" s="133">
        <f>D28*60*24/(1000*$E$10)</f>
        <v>23.04</v>
      </c>
    </row>
    <row r="29" spans="2:7" x14ac:dyDescent="0.3">
      <c r="D29" s="133">
        <v>64</v>
      </c>
      <c r="E29" s="133" t="s">
        <v>347</v>
      </c>
      <c r="G29" s="133">
        <f>D29*60*24/(1000*$E$10)</f>
        <v>46.08</v>
      </c>
    </row>
    <row r="30" spans="2:7" x14ac:dyDescent="0.3">
      <c r="D30" s="133">
        <v>96</v>
      </c>
      <c r="E30" s="133" t="s">
        <v>347</v>
      </c>
      <c r="G30" s="133">
        <f>D30*60*24/(1000*$E$10)</f>
        <v>69.12</v>
      </c>
    </row>
    <row r="31" spans="2:7" x14ac:dyDescent="0.3">
      <c r="D31" s="133">
        <v>128</v>
      </c>
      <c r="E31" s="133" t="s">
        <v>347</v>
      </c>
      <c r="G31" s="133">
        <f>D31*60*24/(1000*$E$10)</f>
        <v>92.16</v>
      </c>
    </row>
    <row r="32" spans="2:7" x14ac:dyDescent="0.3">
      <c r="B32" s="133" t="s">
        <v>275</v>
      </c>
      <c r="C32" s="133" t="s">
        <v>954</v>
      </c>
    </row>
    <row r="33" spans="2:21" x14ac:dyDescent="0.3">
      <c r="B33" s="133" t="s">
        <v>670</v>
      </c>
      <c r="C33" s="133" t="s">
        <v>955</v>
      </c>
    </row>
    <row r="34" spans="2:21" x14ac:dyDescent="0.3">
      <c r="C34" s="133" t="s">
        <v>1893</v>
      </c>
      <c r="L34" t="s">
        <v>2016</v>
      </c>
    </row>
    <row r="35" spans="2:21" x14ac:dyDescent="0.3">
      <c r="C35" s="133" t="s">
        <v>1894</v>
      </c>
      <c r="G35" s="9">
        <v>1.6</v>
      </c>
      <c r="H35" s="133" t="s">
        <v>338</v>
      </c>
      <c r="L35" s="9" t="s">
        <v>2034</v>
      </c>
    </row>
    <row r="36" spans="2:21" x14ac:dyDescent="0.3">
      <c r="G36" s="4">
        <f>32*60*6/(1000*$E$10)</f>
        <v>5.76</v>
      </c>
      <c r="L36" s="4" t="s">
        <v>2162</v>
      </c>
    </row>
    <row r="38" spans="2:21" x14ac:dyDescent="0.3">
      <c r="B38" s="102" t="s">
        <v>287</v>
      </c>
      <c r="D38" s="133">
        <v>1</v>
      </c>
      <c r="E38" s="133">
        <v>2</v>
      </c>
      <c r="F38" s="133">
        <v>3</v>
      </c>
      <c r="G38" s="133">
        <v>4</v>
      </c>
      <c r="L38" s="8" t="s">
        <v>1168</v>
      </c>
      <c r="M38" s="8"/>
      <c r="N38" s="8"/>
    </row>
    <row r="39" spans="2:21" x14ac:dyDescent="0.3">
      <c r="B39" s="133" t="s">
        <v>738</v>
      </c>
      <c r="D39" s="133" t="s">
        <v>619</v>
      </c>
      <c r="E39" s="133" t="s">
        <v>948</v>
      </c>
      <c r="F39" s="133" t="s">
        <v>949</v>
      </c>
      <c r="G39" s="133" t="s">
        <v>950</v>
      </c>
      <c r="L39" s="9" t="s">
        <v>2035</v>
      </c>
      <c r="M39" s="9"/>
      <c r="N39" s="9"/>
      <c r="O39" s="9"/>
      <c r="P39" s="9"/>
    </row>
    <row r="40" spans="2:21" x14ac:dyDescent="0.3">
      <c r="B40" s="133" t="s">
        <v>35</v>
      </c>
      <c r="D40" s="8">
        <v>7.2</v>
      </c>
      <c r="E40" s="8">
        <v>7.3</v>
      </c>
      <c r="F40" s="8">
        <v>7</v>
      </c>
      <c r="G40" s="8">
        <v>7.2</v>
      </c>
    </row>
    <row r="41" spans="2:21" x14ac:dyDescent="0.3">
      <c r="B41" s="133" t="s">
        <v>558</v>
      </c>
      <c r="C41" s="133" t="s">
        <v>17</v>
      </c>
      <c r="D41" s="133">
        <v>500</v>
      </c>
      <c r="E41" s="133">
        <v>350</v>
      </c>
      <c r="F41" s="133">
        <v>1200</v>
      </c>
      <c r="G41" s="133">
        <v>400</v>
      </c>
      <c r="K41" s="134"/>
      <c r="L41" s="134"/>
      <c r="M41" s="134"/>
      <c r="N41" s="134"/>
    </row>
    <row r="42" spans="2:21" x14ac:dyDescent="0.3">
      <c r="B42" s="133" t="s">
        <v>591</v>
      </c>
      <c r="C42" s="133" t="s">
        <v>17</v>
      </c>
      <c r="D42" s="133">
        <v>250</v>
      </c>
      <c r="E42" s="133">
        <v>2800</v>
      </c>
      <c r="F42" s="133">
        <v>2600</v>
      </c>
      <c r="G42" s="133">
        <v>2700</v>
      </c>
    </row>
    <row r="43" spans="2:21" x14ac:dyDescent="0.3">
      <c r="B43" s="133" t="s">
        <v>951</v>
      </c>
      <c r="D43" s="134">
        <v>0.2</v>
      </c>
      <c r="E43" s="134">
        <v>0.13</v>
      </c>
      <c r="F43" s="134">
        <v>0.31</v>
      </c>
      <c r="G43" s="134">
        <v>0.15</v>
      </c>
    </row>
    <row r="45" spans="2:21" x14ac:dyDescent="0.3">
      <c r="B45" s="102" t="s">
        <v>1903</v>
      </c>
      <c r="L45" s="133" t="s">
        <v>1904</v>
      </c>
    </row>
    <row r="46" spans="2:21" x14ac:dyDescent="0.3">
      <c r="L46" s="133" t="s">
        <v>1905</v>
      </c>
      <c r="M46" s="190"/>
      <c r="N46" s="190"/>
      <c r="O46" s="190"/>
      <c r="S46" s="190"/>
      <c r="T46" s="190"/>
      <c r="U46" s="190"/>
    </row>
    <row r="47" spans="2:21" x14ac:dyDescent="0.3">
      <c r="B47" s="6" t="s">
        <v>1680</v>
      </c>
      <c r="D47" s="133" t="s">
        <v>619</v>
      </c>
      <c r="E47" s="133" t="s">
        <v>948</v>
      </c>
      <c r="F47" s="133" t="s">
        <v>949</v>
      </c>
      <c r="G47" s="133" t="s">
        <v>950</v>
      </c>
      <c r="L47" s="133" t="s">
        <v>1696</v>
      </c>
      <c r="M47" s="190"/>
      <c r="N47" s="190"/>
      <c r="O47" s="190"/>
      <c r="S47" s="190"/>
      <c r="T47" s="190"/>
      <c r="U47" s="190"/>
    </row>
    <row r="48" spans="2:21" x14ac:dyDescent="0.3">
      <c r="B48" s="191" t="s">
        <v>3</v>
      </c>
      <c r="C48" s="133" t="s">
        <v>1679</v>
      </c>
      <c r="D48" s="192">
        <v>300</v>
      </c>
      <c r="E48" s="192">
        <v>425</v>
      </c>
      <c r="F48" s="192">
        <v>408</v>
      </c>
      <c r="G48" s="192">
        <v>528</v>
      </c>
      <c r="M48" s="190"/>
      <c r="N48" s="190"/>
      <c r="O48" s="190"/>
    </row>
    <row r="49" spans="2:12" x14ac:dyDescent="0.3">
      <c r="B49" s="191"/>
      <c r="C49" s="133" t="s">
        <v>302</v>
      </c>
      <c r="D49" s="192">
        <v>73</v>
      </c>
      <c r="E49" s="192">
        <v>76</v>
      </c>
      <c r="F49" s="192">
        <v>90</v>
      </c>
      <c r="G49" s="192">
        <v>93</v>
      </c>
    </row>
    <row r="51" spans="2:12" x14ac:dyDescent="0.3">
      <c r="B51" s="6" t="s">
        <v>1687</v>
      </c>
      <c r="D51" s="133" t="s">
        <v>619</v>
      </c>
      <c r="E51" s="133" t="s">
        <v>13</v>
      </c>
      <c r="F51" s="133" t="s">
        <v>1678</v>
      </c>
      <c r="L51" s="133" t="s">
        <v>1690</v>
      </c>
    </row>
    <row r="52" spans="2:12" x14ac:dyDescent="0.3">
      <c r="B52" s="133" t="s">
        <v>619</v>
      </c>
      <c r="C52" s="133" t="s">
        <v>303</v>
      </c>
      <c r="D52" s="133">
        <v>300</v>
      </c>
      <c r="E52" s="133" t="s">
        <v>1686</v>
      </c>
      <c r="F52" s="133" t="s">
        <v>1686</v>
      </c>
    </row>
    <row r="53" spans="2:12" x14ac:dyDescent="0.3">
      <c r="B53" s="133" t="s">
        <v>1681</v>
      </c>
      <c r="C53" s="133" t="s">
        <v>303</v>
      </c>
      <c r="E53" s="133">
        <v>341</v>
      </c>
      <c r="F53" s="133">
        <v>415</v>
      </c>
    </row>
    <row r="54" spans="2:12" x14ac:dyDescent="0.3">
      <c r="B54" s="133" t="s">
        <v>1682</v>
      </c>
      <c r="C54" s="133" t="s">
        <v>303</v>
      </c>
      <c r="E54" s="133">
        <v>372</v>
      </c>
      <c r="F54" s="133">
        <v>448</v>
      </c>
    </row>
    <row r="55" spans="2:12" x14ac:dyDescent="0.3">
      <c r="B55" s="133" t="s">
        <v>1683</v>
      </c>
      <c r="C55" s="133" t="s">
        <v>303</v>
      </c>
      <c r="E55" s="133">
        <v>374</v>
      </c>
      <c r="F55" s="133">
        <v>462</v>
      </c>
    </row>
    <row r="56" spans="2:12" x14ac:dyDescent="0.3">
      <c r="B56" s="133" t="s">
        <v>1684</v>
      </c>
      <c r="C56" s="133" t="s">
        <v>303</v>
      </c>
      <c r="E56" s="133">
        <v>408</v>
      </c>
      <c r="F56" s="133">
        <v>528</v>
      </c>
    </row>
    <row r="57" spans="2:12" x14ac:dyDescent="0.3">
      <c r="B57" s="133" t="s">
        <v>1685</v>
      </c>
      <c r="C57" s="133" t="s">
        <v>303</v>
      </c>
      <c r="E57" s="133">
        <v>500</v>
      </c>
      <c r="F57" s="133" t="s">
        <v>1686</v>
      </c>
    </row>
    <row r="59" spans="2:12" x14ac:dyDescent="0.3">
      <c r="B59" s="6" t="s">
        <v>1691</v>
      </c>
      <c r="L59" s="133" t="s">
        <v>1694</v>
      </c>
    </row>
    <row r="60" spans="2:12" x14ac:dyDescent="0.3">
      <c r="B60" s="133" t="s">
        <v>1688</v>
      </c>
      <c r="D60" s="133">
        <v>3</v>
      </c>
      <c r="E60" s="133" t="s">
        <v>1689</v>
      </c>
      <c r="F60" s="133">
        <v>6</v>
      </c>
      <c r="G60" s="133">
        <v>9</v>
      </c>
      <c r="H60" s="133">
        <v>12</v>
      </c>
    </row>
    <row r="61" spans="2:12" x14ac:dyDescent="0.3">
      <c r="B61" s="133" t="s">
        <v>3</v>
      </c>
      <c r="C61" s="133" t="s">
        <v>303</v>
      </c>
      <c r="D61" s="133">
        <v>569</v>
      </c>
      <c r="E61" s="133">
        <v>590</v>
      </c>
      <c r="F61" s="133">
        <v>736</v>
      </c>
      <c r="G61" s="133">
        <v>876</v>
      </c>
      <c r="H61" s="133">
        <v>897</v>
      </c>
    </row>
    <row r="62" spans="2:12" x14ac:dyDescent="0.3">
      <c r="C62" s="133" t="s">
        <v>302</v>
      </c>
      <c r="D62" s="133">
        <v>93</v>
      </c>
      <c r="E62" s="133">
        <v>93</v>
      </c>
      <c r="F62" s="133">
        <v>96</v>
      </c>
      <c r="G62" s="133">
        <v>99</v>
      </c>
      <c r="H62" s="133">
        <v>99</v>
      </c>
    </row>
    <row r="64" spans="2:12" x14ac:dyDescent="0.3">
      <c r="B64" s="6" t="s">
        <v>1692</v>
      </c>
      <c r="D64" s="133" t="s">
        <v>619</v>
      </c>
      <c r="E64" s="133" t="s">
        <v>948</v>
      </c>
      <c r="F64" s="133" t="s">
        <v>13</v>
      </c>
      <c r="G64" s="133" t="s">
        <v>1678</v>
      </c>
      <c r="L64" s="133" t="s">
        <v>1693</v>
      </c>
    </row>
    <row r="65" spans="2:12" x14ac:dyDescent="0.3">
      <c r="B65" s="133" t="s">
        <v>3</v>
      </c>
      <c r="C65" s="133" t="s">
        <v>303</v>
      </c>
      <c r="D65" s="133">
        <v>300</v>
      </c>
      <c r="E65" s="133">
        <v>425</v>
      </c>
      <c r="F65" s="133">
        <v>500</v>
      </c>
      <c r="G65" s="133">
        <v>897</v>
      </c>
      <c r="L65" s="133" t="s">
        <v>1906</v>
      </c>
    </row>
    <row r="66" spans="2:12" x14ac:dyDescent="0.3">
      <c r="C66" s="133" t="s">
        <v>302</v>
      </c>
      <c r="D66" s="133">
        <v>73</v>
      </c>
      <c r="E66" s="133">
        <v>76</v>
      </c>
      <c r="F66" s="133">
        <v>92</v>
      </c>
      <c r="G66" s="133">
        <v>99</v>
      </c>
    </row>
    <row r="68" spans="2:12" x14ac:dyDescent="0.3">
      <c r="B68" s="6" t="s">
        <v>1907</v>
      </c>
      <c r="H68" s="6"/>
      <c r="I68" s="6"/>
      <c r="J68" s="6"/>
      <c r="K68" s="6"/>
    </row>
    <row r="69" spans="2:12" x14ac:dyDescent="0.3">
      <c r="D69" s="133" t="s">
        <v>619</v>
      </c>
      <c r="E69" s="133" t="s">
        <v>948</v>
      </c>
      <c r="F69" s="133" t="s">
        <v>949</v>
      </c>
      <c r="G69" s="133" t="s">
        <v>950</v>
      </c>
      <c r="H69" s="6"/>
      <c r="I69" s="6"/>
      <c r="J69" s="6"/>
      <c r="K69" s="6"/>
    </row>
    <row r="70" spans="2:12" x14ac:dyDescent="0.3">
      <c r="B70" s="133" t="s">
        <v>33</v>
      </c>
      <c r="C70" s="133" t="s">
        <v>270</v>
      </c>
      <c r="D70" s="133">
        <f t="shared" ref="D70:G70" si="0">$D$22</f>
        <v>3.5</v>
      </c>
      <c r="E70" s="133">
        <f t="shared" si="0"/>
        <v>3.5</v>
      </c>
      <c r="F70" s="133">
        <f t="shared" si="0"/>
        <v>3.5</v>
      </c>
      <c r="G70" s="133">
        <f t="shared" si="0"/>
        <v>3.5</v>
      </c>
      <c r="H70" s="6"/>
      <c r="I70" s="6"/>
      <c r="J70" s="6"/>
      <c r="K70" s="6"/>
      <c r="L70" s="133" t="s">
        <v>1899</v>
      </c>
    </row>
    <row r="71" spans="2:12" x14ac:dyDescent="0.3">
      <c r="B71" s="133" t="s">
        <v>351</v>
      </c>
      <c r="C71" s="133" t="s">
        <v>377</v>
      </c>
      <c r="D71" s="10">
        <f>D65/1000</f>
        <v>0.3</v>
      </c>
      <c r="E71" s="10">
        <f t="shared" ref="E71:G71" si="1">E65/1000</f>
        <v>0.42499999999999999</v>
      </c>
      <c r="F71" s="10">
        <f t="shared" si="1"/>
        <v>0.5</v>
      </c>
      <c r="G71" s="10">
        <f t="shared" si="1"/>
        <v>0.89700000000000002</v>
      </c>
      <c r="H71" s="6"/>
      <c r="I71" s="6"/>
      <c r="J71" s="6"/>
      <c r="K71" s="6"/>
      <c r="L71" s="133" t="s">
        <v>1898</v>
      </c>
    </row>
    <row r="72" spans="2:12" x14ac:dyDescent="0.3">
      <c r="B72" s="133" t="s">
        <v>352</v>
      </c>
      <c r="C72" s="133" t="s">
        <v>338</v>
      </c>
      <c r="D72" s="10"/>
      <c r="E72" s="10"/>
      <c r="F72" s="10">
        <f>F71-D71</f>
        <v>0.2</v>
      </c>
      <c r="G72" s="10">
        <f>G71-E71</f>
        <v>0.47200000000000003</v>
      </c>
      <c r="H72" s="6"/>
      <c r="I72" s="6"/>
      <c r="J72" s="6"/>
      <c r="K72" s="6"/>
      <c r="L72" s="133" t="s">
        <v>1901</v>
      </c>
    </row>
    <row r="73" spans="2:12" x14ac:dyDescent="0.3">
      <c r="B73" s="133" t="s">
        <v>293</v>
      </c>
      <c r="C73" s="133" t="s">
        <v>338</v>
      </c>
      <c r="D73" s="134">
        <f>D71*D70</f>
        <v>1.05</v>
      </c>
      <c r="E73" s="134">
        <f t="shared" ref="E73:G73" si="2">E71*E70</f>
        <v>1.4875</v>
      </c>
      <c r="F73" s="134">
        <f t="shared" si="2"/>
        <v>1.75</v>
      </c>
      <c r="G73" s="134">
        <f t="shared" si="2"/>
        <v>3.1395</v>
      </c>
      <c r="H73" s="6"/>
      <c r="I73" s="6"/>
      <c r="J73" s="6"/>
      <c r="K73" s="6"/>
      <c r="L73" s="133" t="s">
        <v>1895</v>
      </c>
    </row>
    <row r="74" spans="2:12" x14ac:dyDescent="0.3">
      <c r="B74" s="133" t="s">
        <v>3</v>
      </c>
      <c r="C74" s="133" t="s">
        <v>302</v>
      </c>
      <c r="D74" s="16">
        <f>D66</f>
        <v>73</v>
      </c>
      <c r="E74" s="16">
        <f>E66</f>
        <v>76</v>
      </c>
      <c r="F74" s="16">
        <f>F66</f>
        <v>92</v>
      </c>
      <c r="G74" s="16">
        <f>G66</f>
        <v>99</v>
      </c>
      <c r="H74" s="6"/>
      <c r="I74" s="6"/>
      <c r="J74" s="6"/>
      <c r="K74" s="6"/>
      <c r="L74" s="133" t="s">
        <v>1900</v>
      </c>
    </row>
    <row r="75" spans="2:12" x14ac:dyDescent="0.3">
      <c r="B75" s="133" t="s">
        <v>277</v>
      </c>
      <c r="C75" s="133" t="s">
        <v>302</v>
      </c>
      <c r="D75" s="16">
        <f>100-D74</f>
        <v>27</v>
      </c>
      <c r="E75" s="16">
        <f t="shared" ref="E75:G75" si="3">100-E74</f>
        <v>24</v>
      </c>
      <c r="F75" s="16">
        <f t="shared" si="3"/>
        <v>8</v>
      </c>
      <c r="G75" s="16">
        <f t="shared" si="3"/>
        <v>1</v>
      </c>
      <c r="H75" s="6"/>
      <c r="I75" s="6"/>
      <c r="J75" s="6"/>
      <c r="K75" s="6"/>
      <c r="L75" s="133" t="s">
        <v>1896</v>
      </c>
    </row>
    <row r="76" spans="2:12" x14ac:dyDescent="0.3">
      <c r="B76" s="133" t="s">
        <v>13</v>
      </c>
      <c r="C76" s="133" t="s">
        <v>302</v>
      </c>
      <c r="D76" s="16"/>
      <c r="E76" s="16"/>
      <c r="F76" s="32">
        <v>0</v>
      </c>
      <c r="G76" s="32">
        <v>0</v>
      </c>
      <c r="H76" s="40"/>
      <c r="I76" s="40"/>
      <c r="J76" s="40"/>
      <c r="K76" s="40"/>
      <c r="L76" s="103" t="s">
        <v>2036</v>
      </c>
    </row>
    <row r="77" spans="2:12" x14ac:dyDescent="0.3">
      <c r="B77" s="133" t="s">
        <v>1897</v>
      </c>
      <c r="C77" s="133" t="s">
        <v>338</v>
      </c>
      <c r="D77" s="134">
        <f>D73*D75/D74</f>
        <v>0.38835616438356169</v>
      </c>
      <c r="E77" s="134">
        <f>E73*E75/E74</f>
        <v>0.46973684210526317</v>
      </c>
      <c r="F77" s="134">
        <f>F73*F75/F74</f>
        <v>0.15217391304347827</v>
      </c>
      <c r="G77" s="134">
        <f>G73*G75/G74</f>
        <v>3.1712121212121212E-2</v>
      </c>
      <c r="H77" s="6"/>
      <c r="I77" s="6"/>
      <c r="J77" s="6"/>
      <c r="K77" s="6"/>
    </row>
    <row r="78" spans="2:12" x14ac:dyDescent="0.3">
      <c r="B78" s="133" t="s">
        <v>308</v>
      </c>
      <c r="C78" s="133" t="s">
        <v>338</v>
      </c>
      <c r="D78" s="134">
        <f>D73+D77</f>
        <v>1.4383561643835616</v>
      </c>
      <c r="E78" s="134">
        <f t="shared" ref="E78:G78" si="4">E73+E77</f>
        <v>1.9572368421052633</v>
      </c>
      <c r="F78" s="134">
        <f t="shared" si="4"/>
        <v>1.9021739130434783</v>
      </c>
      <c r="G78" s="134">
        <f t="shared" si="4"/>
        <v>3.1712121212121214</v>
      </c>
      <c r="H78" s="6"/>
      <c r="I78" s="6"/>
      <c r="J78" s="6"/>
      <c r="K78" s="6"/>
    </row>
    <row r="79" spans="2:12" x14ac:dyDescent="0.3">
      <c r="B79" s="133" t="s">
        <v>321</v>
      </c>
      <c r="C79" s="133" t="s">
        <v>338</v>
      </c>
      <c r="D79" s="134"/>
      <c r="E79" s="134"/>
      <c r="F79" s="41">
        <f t="shared" ref="F79:G79" si="5">$G35</f>
        <v>1.6</v>
      </c>
      <c r="G79" s="41">
        <f t="shared" si="5"/>
        <v>1.6</v>
      </c>
      <c r="H79" s="40"/>
      <c r="I79" s="40"/>
      <c r="J79" s="40"/>
      <c r="K79" s="40"/>
      <c r="L79" s="103" t="s">
        <v>2038</v>
      </c>
    </row>
    <row r="80" spans="2:12" x14ac:dyDescent="0.3">
      <c r="B80" s="133" t="s">
        <v>323</v>
      </c>
      <c r="C80" s="133" t="s">
        <v>338</v>
      </c>
      <c r="D80" s="134"/>
      <c r="E80" s="134"/>
      <c r="F80" s="198">
        <v>0.88</v>
      </c>
      <c r="G80" s="198">
        <v>0.1</v>
      </c>
      <c r="H80" s="6"/>
      <c r="I80" s="6"/>
      <c r="J80" s="6"/>
      <c r="K80" s="6"/>
      <c r="L80" s="133" t="s">
        <v>2033</v>
      </c>
    </row>
    <row r="81" spans="1:12" x14ac:dyDescent="0.3">
      <c r="B81" s="133" t="s">
        <v>2037</v>
      </c>
      <c r="C81" s="133" t="s">
        <v>338</v>
      </c>
      <c r="D81" s="41">
        <f t="shared" ref="D81:E81" si="6">D73+D77+D80</f>
        <v>1.4383561643835616</v>
      </c>
      <c r="E81" s="41">
        <f t="shared" si="6"/>
        <v>1.9572368421052633</v>
      </c>
      <c r="F81" s="41">
        <f t="shared" ref="F81" si="7">F73+F77+F80</f>
        <v>2.7821739130434784</v>
      </c>
      <c r="G81" s="41">
        <f t="shared" ref="G81" si="8">G73+G77+G80</f>
        <v>3.2712121212121215</v>
      </c>
      <c r="H81" s="40"/>
      <c r="I81" s="40"/>
      <c r="J81" s="40"/>
      <c r="K81" s="40"/>
      <c r="L81" s="40"/>
    </row>
    <row r="82" spans="1:12" x14ac:dyDescent="0.3">
      <c r="B82" s="133" t="s">
        <v>846</v>
      </c>
      <c r="C82" s="133" t="s">
        <v>302</v>
      </c>
      <c r="D82" s="32">
        <f>100*D73/D$81</f>
        <v>73</v>
      </c>
      <c r="E82" s="32">
        <f t="shared" ref="E82:G82" si="9">100*E73/E$81</f>
        <v>76</v>
      </c>
      <c r="F82" s="32">
        <f t="shared" si="9"/>
        <v>62.900453195811842</v>
      </c>
      <c r="G82" s="32">
        <f t="shared" si="9"/>
        <v>95.973598888374241</v>
      </c>
      <c r="H82" s="40"/>
      <c r="I82" s="40"/>
      <c r="J82" s="40"/>
      <c r="K82" s="40"/>
      <c r="L82" s="40"/>
    </row>
    <row r="83" spans="1:12" x14ac:dyDescent="0.3">
      <c r="B83" s="133" t="s">
        <v>849</v>
      </c>
      <c r="C83" s="133" t="s">
        <v>302</v>
      </c>
      <c r="D83" s="32">
        <f>100*D77/D$81</f>
        <v>27.000000000000004</v>
      </c>
      <c r="E83" s="32">
        <f t="shared" ref="E83:G83" si="10">100*E77/E$81</f>
        <v>23.999999999999996</v>
      </c>
      <c r="F83" s="32">
        <f t="shared" si="10"/>
        <v>5.46960462572277</v>
      </c>
      <c r="G83" s="32">
        <f t="shared" si="10"/>
        <v>0.9694302918017601</v>
      </c>
      <c r="H83" s="40"/>
      <c r="I83" s="40"/>
      <c r="J83" s="40"/>
      <c r="K83" s="40"/>
      <c r="L83" s="40"/>
    </row>
    <row r="84" spans="1:12" x14ac:dyDescent="0.3">
      <c r="B84" s="133" t="s">
        <v>847</v>
      </c>
      <c r="C84" s="133" t="s">
        <v>302</v>
      </c>
      <c r="D84" s="41">
        <f>100*D80/D81</f>
        <v>0</v>
      </c>
      <c r="E84" s="41">
        <f t="shared" ref="E84:G84" si="11">100*E80/E81</f>
        <v>0</v>
      </c>
      <c r="F84" s="41">
        <f t="shared" si="11"/>
        <v>31.629942178465384</v>
      </c>
      <c r="G84" s="41">
        <f t="shared" si="11"/>
        <v>3.0569708198239924</v>
      </c>
      <c r="H84" s="40"/>
      <c r="I84" s="40"/>
      <c r="J84" s="40"/>
      <c r="K84" s="40"/>
      <c r="L84" s="40"/>
    </row>
    <row r="85" spans="1:12" x14ac:dyDescent="0.3">
      <c r="B85" s="133" t="s">
        <v>2165</v>
      </c>
      <c r="C85" s="133" t="s">
        <v>302</v>
      </c>
      <c r="D85" s="41">
        <f>SUM(D82:D84)</f>
        <v>100</v>
      </c>
      <c r="E85" s="41">
        <f t="shared" ref="E85:G85" si="12">SUM(E82:E84)</f>
        <v>100</v>
      </c>
      <c r="F85" s="41">
        <f t="shared" si="12"/>
        <v>100</v>
      </c>
      <c r="G85" s="41">
        <f t="shared" si="12"/>
        <v>99.999999999999986</v>
      </c>
      <c r="H85" s="40"/>
      <c r="I85" s="40"/>
      <c r="J85" s="40"/>
      <c r="K85" s="40"/>
      <c r="L85" s="40"/>
    </row>
    <row r="86" spans="1:12" x14ac:dyDescent="0.3">
      <c r="B86" s="133" t="s">
        <v>433</v>
      </c>
      <c r="C86" s="133" t="s">
        <v>338</v>
      </c>
      <c r="D86" s="134"/>
      <c r="E86" s="134"/>
      <c r="F86" s="8">
        <f>F79-F80</f>
        <v>0.72000000000000008</v>
      </c>
      <c r="G86" s="8">
        <f>G79-G80</f>
        <v>1.5</v>
      </c>
      <c r="H86" s="6"/>
      <c r="I86" s="6"/>
      <c r="J86" s="6"/>
      <c r="K86" s="6"/>
    </row>
    <row r="87" spans="1:12" x14ac:dyDescent="0.3">
      <c r="A87" s="148"/>
      <c r="B87" s="148" t="s">
        <v>460</v>
      </c>
      <c r="C87" s="133" t="s">
        <v>338</v>
      </c>
      <c r="F87" s="8">
        <f>F86/4</f>
        <v>0.18000000000000002</v>
      </c>
      <c r="G87" s="8">
        <f>G86/4</f>
        <v>0.375</v>
      </c>
      <c r="H87" s="6"/>
      <c r="I87" s="6"/>
      <c r="J87" s="6"/>
      <c r="K87" s="6"/>
      <c r="L87" s="133" t="s">
        <v>1908</v>
      </c>
    </row>
    <row r="88" spans="1:12" x14ac:dyDescent="0.3">
      <c r="A88" s="148"/>
      <c r="B88" s="148" t="s">
        <v>402</v>
      </c>
      <c r="C88" s="133" t="s">
        <v>338</v>
      </c>
      <c r="D88" s="134"/>
      <c r="E88" s="134"/>
      <c r="F88" s="134">
        <f>F73-$D73</f>
        <v>0.7</v>
      </c>
      <c r="G88" s="134">
        <f>G73-$E73</f>
        <v>1.6519999999999999</v>
      </c>
      <c r="H88" s="6"/>
      <c r="I88" s="6"/>
      <c r="J88" s="6"/>
      <c r="K88" s="6"/>
      <c r="L88" s="133" t="s">
        <v>1902</v>
      </c>
    </row>
    <row r="89" spans="1:12" x14ac:dyDescent="0.3">
      <c r="A89" s="148"/>
      <c r="B89" s="148" t="s">
        <v>2086</v>
      </c>
      <c r="C89" s="133" t="s">
        <v>338</v>
      </c>
      <c r="F89" s="10">
        <f>D77-F77</f>
        <v>0.23618225134008342</v>
      </c>
      <c r="G89" s="10">
        <f>E77-G77</f>
        <v>0.43802472089314198</v>
      </c>
      <c r="H89" s="6"/>
      <c r="I89" s="6"/>
      <c r="J89" s="6"/>
      <c r="K89" s="6"/>
    </row>
    <row r="90" spans="1:12" x14ac:dyDescent="0.3">
      <c r="A90" s="148"/>
      <c r="B90" s="148" t="s">
        <v>93</v>
      </c>
      <c r="F90" s="8">
        <f>F79/D77</f>
        <v>4.1199294532627864</v>
      </c>
      <c r="G90" s="8">
        <f>G79/E77</f>
        <v>3.4061624649859943</v>
      </c>
      <c r="H90" s="6"/>
      <c r="I90" s="6"/>
      <c r="J90" s="6"/>
      <c r="K90" s="6"/>
    </row>
    <row r="91" spans="1:12" x14ac:dyDescent="0.3">
      <c r="A91" s="148"/>
      <c r="B91" s="148" t="s">
        <v>462</v>
      </c>
      <c r="C91" s="133" t="s">
        <v>302</v>
      </c>
      <c r="F91" s="189">
        <f>F86/F79</f>
        <v>0.45</v>
      </c>
      <c r="G91" s="189">
        <f>G86/G79</f>
        <v>0.9375</v>
      </c>
      <c r="H91" s="6"/>
      <c r="I91" s="6"/>
      <c r="J91" s="6"/>
      <c r="K91" s="6"/>
    </row>
    <row r="92" spans="1:12" x14ac:dyDescent="0.3">
      <c r="A92" s="148"/>
      <c r="B92" s="148" t="s">
        <v>2085</v>
      </c>
      <c r="C92" s="133" t="s">
        <v>302</v>
      </c>
      <c r="F92" s="59">
        <f>F88/F87</f>
        <v>3.8888888888888884</v>
      </c>
      <c r="G92" s="59">
        <f>G88/G87</f>
        <v>4.4053333333333331</v>
      </c>
      <c r="H92" s="6"/>
      <c r="I92" s="6"/>
      <c r="J92" s="6"/>
      <c r="K92" s="6"/>
    </row>
    <row r="93" spans="1:12" x14ac:dyDescent="0.3">
      <c r="A93" s="148"/>
      <c r="B93" s="148" t="s">
        <v>2087</v>
      </c>
      <c r="F93" s="59">
        <f>F89/F87</f>
        <v>1.3121236185560188</v>
      </c>
      <c r="G93" s="59">
        <f>G89/G87</f>
        <v>1.168065922381712</v>
      </c>
      <c r="H93" s="6"/>
      <c r="I93" s="6"/>
      <c r="J93" s="6"/>
      <c r="K93" s="6"/>
    </row>
    <row r="94" spans="1:12" x14ac:dyDescent="0.3">
      <c r="A94" s="148"/>
      <c r="B94" s="148" t="s">
        <v>2088</v>
      </c>
      <c r="F94" s="193">
        <f>F88/F89</f>
        <v>2.9638128861429824</v>
      </c>
      <c r="G94" s="193">
        <f>G88/G89</f>
        <v>3.7714766340847974</v>
      </c>
      <c r="H94" s="6"/>
      <c r="I94" s="6"/>
      <c r="J94" s="6"/>
      <c r="K94" s="6"/>
    </row>
    <row r="95" spans="1:12" x14ac:dyDescent="0.3">
      <c r="A95" s="148"/>
      <c r="B95" s="148" t="s">
        <v>2096</v>
      </c>
      <c r="C95" s="133" t="s">
        <v>92</v>
      </c>
      <c r="D95" s="37"/>
      <c r="E95" s="148"/>
      <c r="F95" s="37">
        <f>F88/D77</f>
        <v>1.8024691358024689</v>
      </c>
      <c r="G95" s="37">
        <f>G88/E77</f>
        <v>3.516862745098039</v>
      </c>
      <c r="H95" s="37"/>
      <c r="I95" s="148"/>
    </row>
    <row r="96" spans="1:12" x14ac:dyDescent="0.3">
      <c r="A96" s="148"/>
      <c r="B96" s="148" t="s">
        <v>2097</v>
      </c>
      <c r="C96" s="133" t="s">
        <v>92</v>
      </c>
      <c r="D96" s="96"/>
      <c r="E96" s="95"/>
      <c r="F96" s="96">
        <f>E78/D78</f>
        <v>1.3607456140350878</v>
      </c>
      <c r="G96" s="95">
        <f>G78/E78</f>
        <v>1.6202495543672013</v>
      </c>
      <c r="H96" s="96"/>
      <c r="I96" s="148"/>
    </row>
    <row r="97" spans="1:12" x14ac:dyDescent="0.3">
      <c r="A97" s="148"/>
      <c r="B97" s="148" t="s">
        <v>2081</v>
      </c>
      <c r="F97" s="41">
        <f>F86/F88</f>
        <v>1.0285714285714287</v>
      </c>
      <c r="G97" s="41">
        <f>G86/G88</f>
        <v>0.90799031476997583</v>
      </c>
      <c r="H97" s="6"/>
      <c r="I97" s="6"/>
      <c r="J97" s="6"/>
      <c r="K97" s="6"/>
      <c r="L97" s="133" t="s">
        <v>2163</v>
      </c>
    </row>
    <row r="98" spans="1:12" x14ac:dyDescent="0.3">
      <c r="A98" s="148"/>
      <c r="B98" s="148" t="s">
        <v>2137</v>
      </c>
      <c r="F98" s="8">
        <f>F86/F89</f>
        <v>3.048493254318497</v>
      </c>
      <c r="G98" s="8">
        <f>G86/G89</f>
        <v>3.4244642561302641</v>
      </c>
      <c r="H98" s="6"/>
      <c r="I98" s="6"/>
      <c r="J98" s="6"/>
      <c r="K98" s="6"/>
    </row>
    <row r="100" spans="1:12" x14ac:dyDescent="0.3">
      <c r="B100" s="102" t="s">
        <v>359</v>
      </c>
      <c r="D100" s="133" t="s">
        <v>619</v>
      </c>
      <c r="E100" s="133" t="s">
        <v>948</v>
      </c>
      <c r="F100" s="133" t="s">
        <v>949</v>
      </c>
      <c r="G100" s="133" t="s">
        <v>950</v>
      </c>
      <c r="L100" s="133" t="s">
        <v>1909</v>
      </c>
    </row>
    <row r="101" spans="1:12" x14ac:dyDescent="0.3">
      <c r="B101" s="133" t="s">
        <v>1795</v>
      </c>
      <c r="D101" s="133" t="s">
        <v>1910</v>
      </c>
      <c r="E101" s="133" t="s">
        <v>1911</v>
      </c>
      <c r="F101" s="133" t="s">
        <v>1910</v>
      </c>
      <c r="G101" s="133" t="s">
        <v>1911</v>
      </c>
    </row>
    <row r="102" spans="1:12" x14ac:dyDescent="0.3">
      <c r="B102" s="133" t="s">
        <v>1791</v>
      </c>
      <c r="D102" s="133" t="s">
        <v>1104</v>
      </c>
      <c r="E102" s="133" t="s">
        <v>1104</v>
      </c>
      <c r="F102" s="133" t="s">
        <v>1105</v>
      </c>
      <c r="G102" s="133" t="s">
        <v>1105</v>
      </c>
    </row>
    <row r="103" spans="1:12" x14ac:dyDescent="0.3">
      <c r="B103" s="133" t="s">
        <v>33</v>
      </c>
      <c r="C103" s="133" t="s">
        <v>270</v>
      </c>
      <c r="D103" s="133">
        <f>D70</f>
        <v>3.5</v>
      </c>
      <c r="E103" s="133">
        <f>E70</f>
        <v>3.5</v>
      </c>
      <c r="F103" s="133">
        <f>F70</f>
        <v>3.5</v>
      </c>
      <c r="G103" s="133">
        <f>G70</f>
        <v>3.5</v>
      </c>
    </row>
    <row r="104" spans="1:12" x14ac:dyDescent="0.3">
      <c r="B104" s="133" t="s">
        <v>26</v>
      </c>
      <c r="C104" s="133" t="s">
        <v>25</v>
      </c>
      <c r="D104" s="133">
        <f t="shared" ref="D104:G104" si="13">$D$23</f>
        <v>10</v>
      </c>
      <c r="E104" s="133">
        <f t="shared" si="13"/>
        <v>10</v>
      </c>
      <c r="F104" s="133">
        <f t="shared" si="13"/>
        <v>10</v>
      </c>
      <c r="G104" s="133">
        <f t="shared" si="13"/>
        <v>10</v>
      </c>
    </row>
    <row r="105" spans="1:12" x14ac:dyDescent="0.3">
      <c r="B105" s="133" t="s">
        <v>321</v>
      </c>
      <c r="C105" s="133" t="s">
        <v>338</v>
      </c>
      <c r="F105" s="8">
        <f>F79</f>
        <v>1.6</v>
      </c>
      <c r="G105" s="8">
        <f>G79</f>
        <v>1.6</v>
      </c>
      <c r="H105" s="6"/>
      <c r="I105" s="6"/>
      <c r="J105" s="6"/>
      <c r="K105" s="6"/>
    </row>
    <row r="106" spans="1:12" x14ac:dyDescent="0.3">
      <c r="B106" s="133" t="s">
        <v>351</v>
      </c>
      <c r="C106" s="133" t="s">
        <v>377</v>
      </c>
      <c r="D106" s="10">
        <f>D71</f>
        <v>0.3</v>
      </c>
      <c r="E106" s="10">
        <f t="shared" ref="E106:G106" si="14">E71</f>
        <v>0.42499999999999999</v>
      </c>
      <c r="F106" s="10">
        <f t="shared" si="14"/>
        <v>0.5</v>
      </c>
      <c r="G106" s="10">
        <f t="shared" si="14"/>
        <v>0.89700000000000002</v>
      </c>
    </row>
    <row r="107" spans="1:12" x14ac:dyDescent="0.3">
      <c r="B107" s="133" t="s">
        <v>352</v>
      </c>
      <c r="C107" s="133" t="s">
        <v>377</v>
      </c>
      <c r="F107" s="10">
        <f>F72</f>
        <v>0.2</v>
      </c>
      <c r="G107" s="10">
        <f>G72</f>
        <v>0.47200000000000003</v>
      </c>
    </row>
    <row r="108" spans="1:12" x14ac:dyDescent="0.3">
      <c r="B108" s="133" t="s">
        <v>383</v>
      </c>
      <c r="C108" s="133" t="s">
        <v>302</v>
      </c>
      <c r="F108" s="59">
        <f>F107/D106</f>
        <v>0.66666666666666674</v>
      </c>
      <c r="G108" s="59">
        <f>G107/D106</f>
        <v>1.5733333333333335</v>
      </c>
      <c r="J108" s="10"/>
      <c r="L108" s="133" t="s">
        <v>2164</v>
      </c>
    </row>
    <row r="109" spans="1:12" x14ac:dyDescent="0.3">
      <c r="B109" s="133" t="s">
        <v>293</v>
      </c>
      <c r="C109" s="133" t="s">
        <v>338</v>
      </c>
      <c r="D109" s="134">
        <f>D73</f>
        <v>1.05</v>
      </c>
      <c r="E109" s="134">
        <f>E73</f>
        <v>1.4875</v>
      </c>
      <c r="F109" s="134">
        <f>F73</f>
        <v>1.75</v>
      </c>
      <c r="G109" s="134">
        <f>G73</f>
        <v>3.1395</v>
      </c>
    </row>
    <row r="110" spans="1:12" x14ac:dyDescent="0.3">
      <c r="B110" s="133" t="s">
        <v>402</v>
      </c>
      <c r="C110" s="133" t="s">
        <v>338</v>
      </c>
      <c r="F110" s="10">
        <f>F109-$D109</f>
        <v>0.7</v>
      </c>
      <c r="G110" s="10">
        <f>G109-$E109</f>
        <v>1.6519999999999999</v>
      </c>
      <c r="J110" s="10"/>
    </row>
    <row r="111" spans="1:12" x14ac:dyDescent="0.3">
      <c r="B111" s="133" t="s">
        <v>3</v>
      </c>
      <c r="C111" s="133" t="s">
        <v>302</v>
      </c>
      <c r="D111" s="16">
        <f>D82</f>
        <v>73</v>
      </c>
      <c r="E111" s="16">
        <f t="shared" ref="E111:G111" si="15">E82</f>
        <v>76</v>
      </c>
      <c r="F111" s="16">
        <f t="shared" si="15"/>
        <v>62.900453195811842</v>
      </c>
      <c r="G111" s="16">
        <f t="shared" si="15"/>
        <v>95.973598888374241</v>
      </c>
      <c r="L111" s="133" t="s">
        <v>2039</v>
      </c>
    </row>
    <row r="112" spans="1:12" x14ac:dyDescent="0.3">
      <c r="B112" s="133" t="s">
        <v>277</v>
      </c>
      <c r="C112" s="133" t="s">
        <v>302</v>
      </c>
      <c r="D112" s="16">
        <f t="shared" ref="D112:G112" si="16">D83</f>
        <v>27.000000000000004</v>
      </c>
      <c r="E112" s="16">
        <f t="shared" si="16"/>
        <v>23.999999999999996</v>
      </c>
      <c r="F112" s="16">
        <f t="shared" si="16"/>
        <v>5.46960462572277</v>
      </c>
      <c r="G112" s="16">
        <f t="shared" si="16"/>
        <v>0.9694302918017601</v>
      </c>
    </row>
    <row r="113" spans="2:7" x14ac:dyDescent="0.3">
      <c r="B113" s="133" t="s">
        <v>13</v>
      </c>
      <c r="C113" s="133" t="s">
        <v>302</v>
      </c>
      <c r="D113" s="16"/>
      <c r="E113" s="16"/>
      <c r="F113" s="16">
        <f t="shared" ref="F113:G113" si="17">F84</f>
        <v>31.629942178465384</v>
      </c>
      <c r="G113" s="16">
        <f t="shared" si="17"/>
        <v>3.0569708198239924</v>
      </c>
    </row>
    <row r="114" spans="2:7" x14ac:dyDescent="0.3">
      <c r="B114" s="133" t="s">
        <v>35</v>
      </c>
      <c r="C114" s="66" t="s">
        <v>1686</v>
      </c>
      <c r="D114" s="8">
        <f>D40</f>
        <v>7.2</v>
      </c>
      <c r="E114" s="8">
        <f>E40</f>
        <v>7.3</v>
      </c>
      <c r="F114" s="8">
        <f>F40</f>
        <v>7</v>
      </c>
      <c r="G114" s="8">
        <f>G40</f>
        <v>7.2</v>
      </c>
    </row>
    <row r="115" spans="2:7" x14ac:dyDescent="0.3">
      <c r="B115" s="133" t="s">
        <v>52</v>
      </c>
      <c r="C115" s="133" t="s">
        <v>621</v>
      </c>
      <c r="D115" s="133" t="s">
        <v>1671</v>
      </c>
      <c r="E115" s="133" t="s">
        <v>1671</v>
      </c>
      <c r="F115" s="133" t="s">
        <v>1671</v>
      </c>
      <c r="G115" s="133" t="s">
        <v>1671</v>
      </c>
    </row>
    <row r="116" spans="2:7" x14ac:dyDescent="0.3">
      <c r="B116" s="133" t="s">
        <v>558</v>
      </c>
      <c r="C116" s="133" t="s">
        <v>621</v>
      </c>
      <c r="D116" s="133" t="s">
        <v>171</v>
      </c>
      <c r="E116" s="133" t="s">
        <v>171</v>
      </c>
      <c r="F116" s="133" t="s">
        <v>171</v>
      </c>
      <c r="G116" s="133" t="s">
        <v>171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FF4D-0AAA-41D2-8895-6834B95A34D3}">
  <dimension ref="B2:O89"/>
  <sheetViews>
    <sheetView workbookViewId="0"/>
  </sheetViews>
  <sheetFormatPr defaultRowHeight="14.4" x14ac:dyDescent="0.3"/>
  <cols>
    <col min="2" max="2" width="17.109375" customWidth="1"/>
    <col min="3" max="3" width="16.5546875" customWidth="1"/>
  </cols>
  <sheetData>
    <row r="2" spans="2:5" x14ac:dyDescent="0.3">
      <c r="B2" s="14" t="s">
        <v>1767</v>
      </c>
    </row>
    <row r="3" spans="2:5" x14ac:dyDescent="0.3">
      <c r="B3" t="s">
        <v>437</v>
      </c>
    </row>
    <row r="4" spans="2:5" x14ac:dyDescent="0.3">
      <c r="B4" t="s">
        <v>453</v>
      </c>
    </row>
    <row r="6" spans="2:5" s="133" customFormat="1" x14ac:dyDescent="0.3">
      <c r="B6" s="148" t="s">
        <v>114</v>
      </c>
      <c r="D6" s="133" t="s">
        <v>37</v>
      </c>
    </row>
    <row r="7" spans="2:5" s="133" customFormat="1" x14ac:dyDescent="0.3">
      <c r="B7" s="133" t="s">
        <v>667</v>
      </c>
      <c r="C7" s="133" t="s">
        <v>503</v>
      </c>
      <c r="D7" s="133">
        <v>37</v>
      </c>
    </row>
    <row r="8" spans="2:5" s="133" customFormat="1" x14ac:dyDescent="0.3">
      <c r="B8" s="133" t="s">
        <v>1324</v>
      </c>
      <c r="D8" s="133" t="s">
        <v>1091</v>
      </c>
    </row>
    <row r="9" spans="2:5" s="133" customFormat="1" x14ac:dyDescent="0.3">
      <c r="B9" s="133" t="s">
        <v>956</v>
      </c>
      <c r="C9" s="133" t="s">
        <v>22</v>
      </c>
      <c r="D9" s="133">
        <v>3.7</v>
      </c>
    </row>
    <row r="10" spans="2:5" s="133" customFormat="1" x14ac:dyDescent="0.3">
      <c r="B10" s="133" t="s">
        <v>32</v>
      </c>
      <c r="C10" s="133" t="s">
        <v>22</v>
      </c>
      <c r="D10" s="133">
        <v>3</v>
      </c>
    </row>
    <row r="11" spans="2:5" s="133" customFormat="1" x14ac:dyDescent="0.3">
      <c r="B11" s="133" t="s">
        <v>326</v>
      </c>
      <c r="D11" s="133" t="s">
        <v>1355</v>
      </c>
    </row>
    <row r="12" spans="2:5" s="133" customFormat="1" x14ac:dyDescent="0.3">
      <c r="B12" s="133" t="s">
        <v>344</v>
      </c>
      <c r="D12" s="26" t="s">
        <v>694</v>
      </c>
    </row>
    <row r="13" spans="2:5" s="133" customFormat="1" x14ac:dyDescent="0.3">
      <c r="B13" s="133" t="s">
        <v>1332</v>
      </c>
      <c r="D13" s="133" t="s">
        <v>1519</v>
      </c>
    </row>
    <row r="14" spans="2:5" s="133" customFormat="1" x14ac:dyDescent="0.3">
      <c r="B14" s="133" t="s">
        <v>1330</v>
      </c>
      <c r="D14" s="103" t="s">
        <v>1671</v>
      </c>
    </row>
    <row r="15" spans="2:5" s="133" customFormat="1" x14ac:dyDescent="0.3">
      <c r="B15" s="133" t="s">
        <v>1968</v>
      </c>
      <c r="D15" s="133" t="s">
        <v>1969</v>
      </c>
      <c r="E15" s="133" t="s">
        <v>1971</v>
      </c>
    </row>
    <row r="16" spans="2:5" s="133" customFormat="1" x14ac:dyDescent="0.3">
      <c r="B16" s="133" t="s">
        <v>1541</v>
      </c>
      <c r="D16" s="133" t="s">
        <v>1612</v>
      </c>
    </row>
    <row r="17" spans="2:12" s="133" customFormat="1" x14ac:dyDescent="0.3">
      <c r="B17" s="133" t="s">
        <v>1599</v>
      </c>
      <c r="D17" s="133" t="s">
        <v>2122</v>
      </c>
    </row>
    <row r="18" spans="2:12" s="133" customFormat="1" x14ac:dyDescent="0.3"/>
    <row r="19" spans="2:12" x14ac:dyDescent="0.3">
      <c r="B19" t="s">
        <v>450</v>
      </c>
      <c r="C19" t="s">
        <v>439</v>
      </c>
      <c r="D19">
        <v>200.4</v>
      </c>
      <c r="L19" t="s">
        <v>451</v>
      </c>
    </row>
    <row r="20" spans="2:12" x14ac:dyDescent="0.3">
      <c r="B20" t="s">
        <v>14</v>
      </c>
      <c r="C20" t="s">
        <v>30</v>
      </c>
      <c r="D20">
        <v>125.7</v>
      </c>
    </row>
    <row r="21" spans="2:12" x14ac:dyDescent="0.3">
      <c r="B21" t="s">
        <v>452</v>
      </c>
      <c r="C21" t="s">
        <v>10</v>
      </c>
      <c r="D21">
        <v>40</v>
      </c>
    </row>
    <row r="22" spans="2:12" x14ac:dyDescent="0.3">
      <c r="B22" t="s">
        <v>9</v>
      </c>
      <c r="C22" t="s">
        <v>10</v>
      </c>
      <c r="D22">
        <v>3000</v>
      </c>
    </row>
    <row r="23" spans="2:12" x14ac:dyDescent="0.3">
      <c r="B23" t="s">
        <v>33</v>
      </c>
      <c r="C23" t="s">
        <v>361</v>
      </c>
      <c r="D23" s="3">
        <f>D21*D19/D22</f>
        <v>2.6720000000000002</v>
      </c>
    </row>
    <row r="24" spans="2:12" x14ac:dyDescent="0.3">
      <c r="C24" t="s">
        <v>270</v>
      </c>
      <c r="D24" s="3">
        <f>D23*D20/D19</f>
        <v>1.6759999999999999</v>
      </c>
    </row>
    <row r="25" spans="2:12" x14ac:dyDescent="0.3">
      <c r="B25" t="s">
        <v>26</v>
      </c>
      <c r="C25" t="s">
        <v>25</v>
      </c>
      <c r="D25" s="8">
        <f>D22/D21</f>
        <v>75</v>
      </c>
    </row>
    <row r="27" spans="2:12" x14ac:dyDescent="0.3">
      <c r="D27" t="s">
        <v>440</v>
      </c>
      <c r="E27" t="s">
        <v>441</v>
      </c>
      <c r="F27" t="s">
        <v>442</v>
      </c>
      <c r="G27" t="s">
        <v>443</v>
      </c>
      <c r="H27" t="s">
        <v>444</v>
      </c>
      <c r="I27" s="24" t="s">
        <v>448</v>
      </c>
      <c r="K27" t="s">
        <v>445</v>
      </c>
    </row>
    <row r="28" spans="2:12" x14ac:dyDescent="0.3">
      <c r="B28" t="s">
        <v>308</v>
      </c>
      <c r="C28" t="s">
        <v>290</v>
      </c>
      <c r="D28">
        <v>1440</v>
      </c>
      <c r="E28">
        <v>900</v>
      </c>
      <c r="F28">
        <v>920</v>
      </c>
      <c r="G28">
        <v>930</v>
      </c>
      <c r="H28">
        <v>940</v>
      </c>
      <c r="I28" s="24">
        <v>790</v>
      </c>
      <c r="K28" t="s">
        <v>469</v>
      </c>
    </row>
    <row r="29" spans="2:12" x14ac:dyDescent="0.3">
      <c r="B29" t="s">
        <v>3</v>
      </c>
      <c r="C29" t="s">
        <v>302</v>
      </c>
      <c r="D29" s="8">
        <v>52.4</v>
      </c>
      <c r="E29" s="8">
        <v>74</v>
      </c>
      <c r="F29" s="8">
        <v>82.8</v>
      </c>
      <c r="G29" s="8">
        <v>87.2</v>
      </c>
      <c r="H29" s="8">
        <v>90.6</v>
      </c>
      <c r="I29" s="53">
        <v>92.1</v>
      </c>
    </row>
    <row r="30" spans="2:12" x14ac:dyDescent="0.3">
      <c r="B30" t="s">
        <v>277</v>
      </c>
      <c r="C30" t="s">
        <v>302</v>
      </c>
      <c r="D30" s="8">
        <v>47</v>
      </c>
      <c r="E30" s="8">
        <v>25.5</v>
      </c>
      <c r="F30" s="8">
        <v>17.5</v>
      </c>
      <c r="G30" s="8">
        <v>12.6</v>
      </c>
      <c r="H30" s="8">
        <v>7.5</v>
      </c>
      <c r="I30" s="53">
        <v>3.5</v>
      </c>
    </row>
    <row r="31" spans="2:12" x14ac:dyDescent="0.3">
      <c r="B31" t="s">
        <v>13</v>
      </c>
      <c r="C31" t="s">
        <v>302</v>
      </c>
      <c r="D31">
        <v>0</v>
      </c>
      <c r="E31">
        <v>0</v>
      </c>
      <c r="F31">
        <v>0</v>
      </c>
      <c r="G31">
        <v>0</v>
      </c>
      <c r="H31">
        <v>0.8</v>
      </c>
      <c r="I31" s="24">
        <v>4.0999999999999996</v>
      </c>
    </row>
    <row r="32" spans="2:12" x14ac:dyDescent="0.3">
      <c r="B32" t="s">
        <v>293</v>
      </c>
      <c r="C32" t="s">
        <v>290</v>
      </c>
      <c r="D32">
        <v>750</v>
      </c>
      <c r="E32">
        <v>680</v>
      </c>
      <c r="F32">
        <v>760</v>
      </c>
      <c r="G32">
        <v>800</v>
      </c>
      <c r="H32">
        <v>850</v>
      </c>
      <c r="I32" s="24">
        <v>730</v>
      </c>
    </row>
    <row r="33" spans="2:11" x14ac:dyDescent="0.3">
      <c r="B33" t="s">
        <v>351</v>
      </c>
      <c r="C33" t="s">
        <v>377</v>
      </c>
      <c r="D33">
        <v>0.28000000000000003</v>
      </c>
      <c r="E33">
        <v>0.26</v>
      </c>
      <c r="F33">
        <v>0.28000000000000003</v>
      </c>
      <c r="G33">
        <v>0.28999999999999998</v>
      </c>
      <c r="H33">
        <v>0.28000000000000003</v>
      </c>
      <c r="I33" s="24">
        <v>0.24</v>
      </c>
    </row>
    <row r="34" spans="2:11" x14ac:dyDescent="0.3">
      <c r="B34" t="s">
        <v>35</v>
      </c>
      <c r="D34">
        <v>7.5</v>
      </c>
      <c r="E34">
        <v>7.2</v>
      </c>
      <c r="F34">
        <v>7.2</v>
      </c>
      <c r="G34">
        <v>7.4</v>
      </c>
      <c r="H34">
        <v>7.8</v>
      </c>
      <c r="I34" s="24">
        <v>8.6999999999999993</v>
      </c>
    </row>
    <row r="35" spans="2:11" x14ac:dyDescent="0.3">
      <c r="B35" t="s">
        <v>438</v>
      </c>
      <c r="C35" t="s">
        <v>439</v>
      </c>
      <c r="D35">
        <v>9.6</v>
      </c>
      <c r="E35">
        <v>15.5</v>
      </c>
      <c r="F35">
        <v>16.5</v>
      </c>
      <c r="G35">
        <v>12.2</v>
      </c>
      <c r="H35">
        <v>9.8000000000000007</v>
      </c>
      <c r="I35" s="24">
        <v>13.4</v>
      </c>
    </row>
    <row r="36" spans="2:11" x14ac:dyDescent="0.3">
      <c r="I36" s="24"/>
    </row>
    <row r="37" spans="2:11" x14ac:dyDescent="0.3">
      <c r="B37" t="s">
        <v>446</v>
      </c>
      <c r="C37" t="s">
        <v>399</v>
      </c>
      <c r="D37">
        <v>1</v>
      </c>
      <c r="E37">
        <v>5</v>
      </c>
      <c r="F37">
        <v>5</v>
      </c>
      <c r="G37">
        <v>5</v>
      </c>
      <c r="H37">
        <v>5</v>
      </c>
      <c r="I37" s="24">
        <v>5</v>
      </c>
    </row>
    <row r="38" spans="2:11" x14ac:dyDescent="0.3">
      <c r="B38" t="s">
        <v>392</v>
      </c>
      <c r="C38" t="s">
        <v>447</v>
      </c>
      <c r="D38">
        <v>0</v>
      </c>
      <c r="E38">
        <v>0</v>
      </c>
      <c r="F38">
        <v>0.09</v>
      </c>
      <c r="G38">
        <v>0.13</v>
      </c>
      <c r="H38">
        <v>0.18</v>
      </c>
      <c r="I38" s="24">
        <v>0.25</v>
      </c>
    </row>
    <row r="39" spans="2:11" s="133" customFormat="1" x14ac:dyDescent="0.3">
      <c r="C39" s="133" t="s">
        <v>1940</v>
      </c>
      <c r="I39" s="24"/>
    </row>
    <row r="40" spans="2:11" x14ac:dyDescent="0.3">
      <c r="B40" t="s">
        <v>454</v>
      </c>
      <c r="C40" t="s">
        <v>361</v>
      </c>
      <c r="D40" s="3">
        <f>$D23</f>
        <v>2.6720000000000002</v>
      </c>
      <c r="E40" s="3">
        <f>$D23</f>
        <v>2.6720000000000002</v>
      </c>
      <c r="F40">
        <v>2.83</v>
      </c>
      <c r="G40">
        <v>2.9</v>
      </c>
      <c r="H40">
        <v>3</v>
      </c>
      <c r="I40" s="24">
        <v>3.14</v>
      </c>
      <c r="K40" t="s">
        <v>1949</v>
      </c>
    </row>
    <row r="41" spans="2:11" x14ac:dyDescent="0.3">
      <c r="C41" t="s">
        <v>270</v>
      </c>
      <c r="D41" s="3">
        <f>$D24</f>
        <v>1.6759999999999999</v>
      </c>
      <c r="E41" s="3">
        <f>$D24</f>
        <v>1.6759999999999999</v>
      </c>
      <c r="I41" s="24"/>
    </row>
    <row r="42" spans="2:11" x14ac:dyDescent="0.3">
      <c r="B42" t="s">
        <v>455</v>
      </c>
      <c r="C42" t="s">
        <v>458</v>
      </c>
      <c r="D42" s="3">
        <v>2.25</v>
      </c>
      <c r="E42" s="3">
        <v>2.0299999999999998</v>
      </c>
      <c r="F42">
        <v>2.2799999999999998</v>
      </c>
      <c r="G42" s="3">
        <v>2.41</v>
      </c>
      <c r="H42" s="3">
        <v>2.5499999999999998</v>
      </c>
      <c r="I42" s="46">
        <v>2.19</v>
      </c>
      <c r="K42" t="s">
        <v>457</v>
      </c>
    </row>
    <row r="43" spans="2:11" x14ac:dyDescent="0.3">
      <c r="B43" t="s">
        <v>456</v>
      </c>
      <c r="C43" t="s">
        <v>31</v>
      </c>
      <c r="D43" s="3">
        <v>0.66</v>
      </c>
      <c r="E43" s="3">
        <v>2.54</v>
      </c>
      <c r="F43">
        <v>5.22</v>
      </c>
      <c r="G43">
        <v>5.44</v>
      </c>
      <c r="H43">
        <v>5.7</v>
      </c>
      <c r="I43" s="24">
        <v>5.82</v>
      </c>
    </row>
    <row r="44" spans="2:11" x14ac:dyDescent="0.3">
      <c r="B44" s="27" t="s">
        <v>430</v>
      </c>
      <c r="F44" s="3">
        <f>(F53-F56-4*F59)/F53</f>
        <v>-0.25638005496662686</v>
      </c>
      <c r="G44" s="3">
        <f>(G53-G56-4*G59)/G53</f>
        <v>-0.27320954907161799</v>
      </c>
      <c r="H44" s="3">
        <f>(H53-H56-4*H59)/H53</f>
        <v>-0.27318518518518453</v>
      </c>
      <c r="I44" s="46">
        <f>(I53-I56-4*I59)/I53</f>
        <v>0.70396178343949078</v>
      </c>
    </row>
    <row r="45" spans="2:11" x14ac:dyDescent="0.3">
      <c r="B45" s="27" t="s">
        <v>430</v>
      </c>
      <c r="F45" s="3">
        <f>(F53-F56-4*F59)/F57</f>
        <v>-0.25638005496662686</v>
      </c>
      <c r="G45" s="3">
        <f>(G53-G56-4*G59)/G57</f>
        <v>-0.27320954907161799</v>
      </c>
      <c r="H45" s="3">
        <f>(H53-H56-4*H59)/H57</f>
        <v>-0.27704326923076855</v>
      </c>
      <c r="I45" s="46">
        <f>(I53-I56-4*I59)/I57</f>
        <v>0.73425811509281069</v>
      </c>
    </row>
    <row r="46" spans="2:11" x14ac:dyDescent="0.3">
      <c r="I46" s="24"/>
    </row>
    <row r="47" spans="2:11" x14ac:dyDescent="0.3">
      <c r="B47" s="6" t="s">
        <v>877</v>
      </c>
    </row>
    <row r="48" spans="2:11" x14ac:dyDescent="0.3">
      <c r="B48" s="27" t="s">
        <v>459</v>
      </c>
      <c r="C48" t="s">
        <v>302</v>
      </c>
      <c r="D48" s="8">
        <f t="shared" ref="D48:I48" si="0">SUM(D29:D31)</f>
        <v>99.4</v>
      </c>
      <c r="E48" s="8">
        <f t="shared" si="0"/>
        <v>99.5</v>
      </c>
      <c r="F48" s="8">
        <f t="shared" si="0"/>
        <v>100.3</v>
      </c>
      <c r="G48" s="8">
        <f t="shared" si="0"/>
        <v>99.8</v>
      </c>
      <c r="H48" s="8">
        <f t="shared" si="0"/>
        <v>98.899999999999991</v>
      </c>
      <c r="I48" s="53">
        <f t="shared" si="0"/>
        <v>99.699999999999989</v>
      </c>
    </row>
    <row r="49" spans="2:11" x14ac:dyDescent="0.3">
      <c r="B49" t="s">
        <v>293</v>
      </c>
      <c r="C49" s="12" t="s">
        <v>338</v>
      </c>
      <c r="D49" s="3">
        <f t="shared" ref="D49:I49" si="1">D28*D29/100000</f>
        <v>0.75456000000000001</v>
      </c>
      <c r="E49" s="3">
        <f t="shared" si="1"/>
        <v>0.66600000000000004</v>
      </c>
      <c r="F49" s="3">
        <f t="shared" si="1"/>
        <v>0.76175999999999999</v>
      </c>
      <c r="G49" s="3">
        <f t="shared" si="1"/>
        <v>0.81096000000000001</v>
      </c>
      <c r="H49" s="3">
        <f t="shared" si="1"/>
        <v>0.85163999999999995</v>
      </c>
      <c r="I49" s="46">
        <f t="shared" si="1"/>
        <v>0.72758999999999996</v>
      </c>
    </row>
    <row r="50" spans="2:11" x14ac:dyDescent="0.3">
      <c r="C50" s="12" t="s">
        <v>338</v>
      </c>
      <c r="D50" s="3">
        <f t="shared" ref="D50:I50" si="2">D42/3+D43/3000</f>
        <v>0.75022</v>
      </c>
      <c r="E50" s="3">
        <f t="shared" si="2"/>
        <v>0.6775133333333333</v>
      </c>
      <c r="F50" s="3">
        <f t="shared" si="2"/>
        <v>0.76173999999999986</v>
      </c>
      <c r="G50" s="3">
        <f t="shared" si="2"/>
        <v>0.80514666666666668</v>
      </c>
      <c r="H50" s="3">
        <f t="shared" si="2"/>
        <v>0.85189999999999999</v>
      </c>
      <c r="I50" s="46">
        <f t="shared" si="2"/>
        <v>0.73194000000000004</v>
      </c>
    </row>
    <row r="51" spans="2:11" x14ac:dyDescent="0.3">
      <c r="B51" t="s">
        <v>350</v>
      </c>
      <c r="C51" s="12" t="s">
        <v>338</v>
      </c>
      <c r="D51" s="3">
        <f t="shared" ref="D51:I51" si="3">D28*D30/100000</f>
        <v>0.67679999999999996</v>
      </c>
      <c r="E51" s="3">
        <f t="shared" si="3"/>
        <v>0.22950000000000001</v>
      </c>
      <c r="F51" s="3">
        <f t="shared" si="3"/>
        <v>0.161</v>
      </c>
      <c r="G51" s="3">
        <f t="shared" si="3"/>
        <v>0.11718000000000001</v>
      </c>
      <c r="H51" s="3">
        <f t="shared" si="3"/>
        <v>7.0499999999999993E-2</v>
      </c>
      <c r="I51" s="46">
        <f t="shared" si="3"/>
        <v>2.7650000000000001E-2</v>
      </c>
    </row>
    <row r="52" spans="2:11" s="133" customFormat="1" x14ac:dyDescent="0.3">
      <c r="B52" s="133" t="s">
        <v>308</v>
      </c>
      <c r="C52" s="103" t="s">
        <v>338</v>
      </c>
      <c r="D52" s="134">
        <f>D49+D51</f>
        <v>1.43136</v>
      </c>
      <c r="E52" s="134">
        <f t="shared" ref="E52:I52" si="4">E49+E51</f>
        <v>0.89550000000000007</v>
      </c>
      <c r="F52" s="134">
        <f t="shared" si="4"/>
        <v>0.92276000000000002</v>
      </c>
      <c r="G52" s="134">
        <f t="shared" si="4"/>
        <v>0.92813999999999997</v>
      </c>
      <c r="H52" s="134">
        <f t="shared" si="4"/>
        <v>0.92213999999999996</v>
      </c>
      <c r="I52" s="134">
        <f t="shared" si="4"/>
        <v>0.75523999999999991</v>
      </c>
    </row>
    <row r="53" spans="2:11" x14ac:dyDescent="0.3">
      <c r="B53" t="s">
        <v>321</v>
      </c>
      <c r="C53" s="12" t="s">
        <v>338</v>
      </c>
      <c r="D53" s="3"/>
      <c r="E53" s="3"/>
      <c r="F53" s="3">
        <f>F38*F40</f>
        <v>0.25469999999999998</v>
      </c>
      <c r="G53" s="3">
        <f>G38*G40</f>
        <v>0.377</v>
      </c>
      <c r="H53" s="3">
        <f>H38*H40</f>
        <v>0.54</v>
      </c>
      <c r="I53" s="46">
        <f>I38*I40</f>
        <v>0.78500000000000003</v>
      </c>
    </row>
    <row r="54" spans="2:11" s="133" customFormat="1" x14ac:dyDescent="0.3">
      <c r="C54" s="103" t="s">
        <v>361</v>
      </c>
      <c r="D54" s="134"/>
      <c r="E54" s="134"/>
      <c r="F54" s="134">
        <f>F53*Data!$C$40</f>
        <v>0.18180814831477715</v>
      </c>
      <c r="G54" s="134">
        <f>G53*Data!$C$40</f>
        <v>0.26910746727393398</v>
      </c>
      <c r="H54" s="134">
        <f>H53*Data!$C$40</f>
        <v>0.38545897169210708</v>
      </c>
      <c r="I54" s="46">
        <f>I53*Data!$C$40</f>
        <v>0.56034313477463715</v>
      </c>
    </row>
    <row r="55" spans="2:11" s="133" customFormat="1" x14ac:dyDescent="0.3">
      <c r="B55" s="133" t="s">
        <v>1948</v>
      </c>
      <c r="C55" s="103"/>
      <c r="D55" s="134"/>
      <c r="E55" s="134"/>
      <c r="F55" s="34">
        <f>F54/$D23</f>
        <v>6.8041971674692045E-2</v>
      </c>
      <c r="G55" s="34">
        <f t="shared" ref="G55:I55" si="5">G54/$D23</f>
        <v>0.10071387248275972</v>
      </c>
      <c r="H55" s="34">
        <f t="shared" si="5"/>
        <v>0.14425859719015982</v>
      </c>
      <c r="I55" s="196">
        <f t="shared" si="5"/>
        <v>0.20970925702643606</v>
      </c>
    </row>
    <row r="56" spans="2:11" x14ac:dyDescent="0.3">
      <c r="B56" s="133" t="s">
        <v>323</v>
      </c>
      <c r="C56" s="12" t="s">
        <v>338</v>
      </c>
      <c r="F56" s="3">
        <f>F28*F31/100000</f>
        <v>0</v>
      </c>
      <c r="G56" s="3">
        <f>G28*G31/100000</f>
        <v>0</v>
      </c>
      <c r="H56" s="3">
        <f>H28*H31/100000</f>
        <v>7.5199999999999998E-3</v>
      </c>
      <c r="I56" s="46">
        <f>I28*I31/100000</f>
        <v>3.2389999999999995E-2</v>
      </c>
    </row>
    <row r="57" spans="2:11" x14ac:dyDescent="0.3">
      <c r="B57" s="133" t="s">
        <v>433</v>
      </c>
      <c r="C57" s="12" t="s">
        <v>338</v>
      </c>
      <c r="F57" s="3">
        <f>F53-F56</f>
        <v>0.25469999999999998</v>
      </c>
      <c r="G57" s="3">
        <f>G53-G56</f>
        <v>0.377</v>
      </c>
      <c r="H57" s="3">
        <f>H53-H56</f>
        <v>0.53248000000000006</v>
      </c>
      <c r="I57" s="46">
        <f>I53-I56</f>
        <v>0.75261</v>
      </c>
    </row>
    <row r="58" spans="2:11" x14ac:dyDescent="0.3">
      <c r="B58" s="148" t="s">
        <v>460</v>
      </c>
      <c r="C58" s="12" t="s">
        <v>338</v>
      </c>
      <c r="F58" s="3">
        <f>F57/4</f>
        <v>6.3674999999999995E-2</v>
      </c>
      <c r="G58" s="3">
        <f>G57/4</f>
        <v>9.425E-2</v>
      </c>
      <c r="H58" s="3">
        <f>H57/4</f>
        <v>0.13312000000000002</v>
      </c>
      <c r="I58" s="46">
        <f>I57/4</f>
        <v>0.1881525</v>
      </c>
    </row>
    <row r="59" spans="2:11" x14ac:dyDescent="0.3">
      <c r="B59" s="148" t="s">
        <v>402</v>
      </c>
      <c r="C59" s="12" t="s">
        <v>338</v>
      </c>
      <c r="F59">
        <f>F82</f>
        <v>7.999999999999996E-2</v>
      </c>
      <c r="G59">
        <f>G82</f>
        <v>0.12</v>
      </c>
      <c r="H59">
        <f>H82</f>
        <v>0.16999999999999993</v>
      </c>
      <c r="I59" s="24">
        <f>I82</f>
        <v>4.9999999999999933E-2</v>
      </c>
    </row>
    <row r="60" spans="2:11" x14ac:dyDescent="0.3">
      <c r="B60" s="148" t="s">
        <v>2086</v>
      </c>
      <c r="C60" s="12" t="s">
        <v>338</v>
      </c>
      <c r="F60" s="3">
        <f>$E51-F51</f>
        <v>6.8500000000000005E-2</v>
      </c>
      <c r="G60" s="3">
        <f>$E51-G51</f>
        <v>0.11232</v>
      </c>
      <c r="H60" s="3">
        <f>$E51-H51</f>
        <v>0.15900000000000003</v>
      </c>
      <c r="I60" s="46">
        <f>$E51-I51</f>
        <v>0.20185</v>
      </c>
    </row>
    <row r="61" spans="2:11" s="133" customFormat="1" x14ac:dyDescent="0.3">
      <c r="B61" s="148" t="s">
        <v>93</v>
      </c>
      <c r="F61" s="134">
        <f>F77/$E51</f>
        <v>1.1098039215686273</v>
      </c>
      <c r="G61" s="134">
        <f>G77/$E51</f>
        <v>1.6427015250544661</v>
      </c>
      <c r="H61" s="134">
        <f>H77/$E51</f>
        <v>2.3529411764705883</v>
      </c>
      <c r="I61" s="134">
        <f>I77/$E51</f>
        <v>3.420479302832244</v>
      </c>
      <c r="K61" s="133" t="s">
        <v>135</v>
      </c>
    </row>
    <row r="62" spans="2:11" s="133" customFormat="1" x14ac:dyDescent="0.3">
      <c r="B62" s="148" t="s">
        <v>462</v>
      </c>
      <c r="C62" s="103" t="s">
        <v>92</v>
      </c>
      <c r="F62" s="134">
        <f>F57/F53</f>
        <v>1</v>
      </c>
      <c r="G62" s="134">
        <f t="shared" ref="G62:I62" si="6">G57/G53</f>
        <v>1</v>
      </c>
      <c r="H62" s="134">
        <f t="shared" si="6"/>
        <v>0.9860740740740741</v>
      </c>
      <c r="I62" s="134">
        <f t="shared" si="6"/>
        <v>0.95873885350318466</v>
      </c>
    </row>
    <row r="63" spans="2:11" x14ac:dyDescent="0.3">
      <c r="B63" s="148" t="s">
        <v>2085</v>
      </c>
      <c r="F63" s="3">
        <f>F59/F58</f>
        <v>1.2563800549666269</v>
      </c>
      <c r="G63" s="3">
        <f>G59/G58</f>
        <v>1.273209549071618</v>
      </c>
      <c r="H63" s="3">
        <f>H59/H58</f>
        <v>1.2770432692307685</v>
      </c>
      <c r="I63" s="46">
        <f>I59/I58</f>
        <v>0.26574188490718931</v>
      </c>
      <c r="K63" s="3"/>
    </row>
    <row r="64" spans="2:11" x14ac:dyDescent="0.3">
      <c r="B64" s="148" t="s">
        <v>2087</v>
      </c>
      <c r="F64" s="3">
        <f>F60/F58</f>
        <v>1.075775422065175</v>
      </c>
      <c r="G64" s="3">
        <f>G60/G58</f>
        <v>1.1917241379310346</v>
      </c>
      <c r="H64" s="3">
        <f>H60/H58</f>
        <v>1.1944110576923077</v>
      </c>
      <c r="I64" s="46">
        <f>I60/I58</f>
        <v>1.0727999893703246</v>
      </c>
    </row>
    <row r="65" spans="2:15" x14ac:dyDescent="0.3">
      <c r="B65" s="148" t="s">
        <v>2088</v>
      </c>
      <c r="F65" s="3">
        <f>F59/F60</f>
        <v>1.1678832116788314</v>
      </c>
      <c r="G65" s="3">
        <f>G59/G60</f>
        <v>1.0683760683760684</v>
      </c>
      <c r="H65" s="3">
        <f>H59/H60</f>
        <v>1.0691823899371062</v>
      </c>
      <c r="I65" s="46">
        <f>I59/I60</f>
        <v>0.24770869457517924</v>
      </c>
    </row>
    <row r="66" spans="2:15" s="133" customFormat="1" x14ac:dyDescent="0.3">
      <c r="B66" s="148" t="s">
        <v>2096</v>
      </c>
      <c r="C66" s="133" t="s">
        <v>92</v>
      </c>
      <c r="D66" s="37"/>
      <c r="E66" s="37"/>
      <c r="F66" s="37">
        <f>F59/$E51</f>
        <v>0.3485838779956425</v>
      </c>
      <c r="G66" s="37">
        <f>G59/$E51</f>
        <v>0.52287581699346397</v>
      </c>
      <c r="H66" s="37">
        <f>H59/$E51</f>
        <v>0.74074074074074037</v>
      </c>
      <c r="I66" s="37">
        <f>I59/$E51</f>
        <v>0.2178649237472764</v>
      </c>
      <c r="J66" s="37"/>
      <c r="K66" s="37"/>
      <c r="L66" s="37"/>
      <c r="M66" s="37"/>
      <c r="N66" s="37"/>
      <c r="O66" s="37"/>
    </row>
    <row r="67" spans="2:15" s="133" customFormat="1" x14ac:dyDescent="0.3">
      <c r="B67" s="148" t="s">
        <v>2097</v>
      </c>
      <c r="C67" s="133" t="s">
        <v>92</v>
      </c>
      <c r="D67" s="37"/>
      <c r="E67" s="37"/>
      <c r="F67" s="37">
        <f>F52/E52</f>
        <v>1.0304410943606923</v>
      </c>
      <c r="G67" s="37">
        <f>G52/F52</f>
        <v>1.0058303350817113</v>
      </c>
      <c r="H67" s="37">
        <f>H52/G52</f>
        <v>0.99353545801279974</v>
      </c>
      <c r="I67" s="37">
        <f>I52/H52</f>
        <v>0.81900795974580864</v>
      </c>
      <c r="J67" s="37"/>
      <c r="K67" s="37"/>
      <c r="L67" s="37"/>
      <c r="M67" s="37"/>
      <c r="N67" s="37"/>
      <c r="O67" s="37"/>
    </row>
    <row r="68" spans="2:15" x14ac:dyDescent="0.3">
      <c r="B68" s="148" t="s">
        <v>2081</v>
      </c>
      <c r="F68" s="3">
        <f>F57/F59</f>
        <v>3.1837500000000012</v>
      </c>
      <c r="G68" s="3">
        <f>G57/G59</f>
        <v>3.1416666666666666</v>
      </c>
      <c r="H68" s="3">
        <f>H57/H59</f>
        <v>3.1322352941176486</v>
      </c>
      <c r="I68" s="46">
        <f>I57/I59</f>
        <v>15.05220000000002</v>
      </c>
      <c r="K68" s="3"/>
    </row>
    <row r="69" spans="2:15" x14ac:dyDescent="0.3">
      <c r="B69" s="148" t="s">
        <v>2137</v>
      </c>
      <c r="F69" s="3">
        <f>F57/F60</f>
        <v>3.7182481751824814</v>
      </c>
      <c r="G69" s="3">
        <f>G57/G60</f>
        <v>3.3564814814814814</v>
      </c>
      <c r="H69" s="3">
        <f>H57/H60</f>
        <v>3.3489308176100625</v>
      </c>
      <c r="I69" s="46">
        <f>I57/I60</f>
        <v>3.7285608124845182</v>
      </c>
    </row>
    <row r="71" spans="2:15" s="133" customFormat="1" x14ac:dyDescent="0.3">
      <c r="E71" s="133" t="s">
        <v>1598</v>
      </c>
      <c r="H71" s="133" t="s">
        <v>1608</v>
      </c>
    </row>
    <row r="72" spans="2:15" x14ac:dyDescent="0.3">
      <c r="B72" s="40" t="s">
        <v>359</v>
      </c>
      <c r="C72" s="12"/>
      <c r="I72" s="24"/>
    </row>
    <row r="73" spans="2:15" s="133" customFormat="1" x14ac:dyDescent="0.3">
      <c r="B73" s="95" t="s">
        <v>1795</v>
      </c>
      <c r="C73" s="103"/>
      <c r="D73" s="133" t="s">
        <v>1950</v>
      </c>
      <c r="E73" s="133" t="s">
        <v>1951</v>
      </c>
      <c r="F73" s="133" t="s">
        <v>1951</v>
      </c>
      <c r="G73" s="133" t="s">
        <v>1951</v>
      </c>
      <c r="H73" s="133" t="s">
        <v>1951</v>
      </c>
      <c r="I73" s="24" t="s">
        <v>1951</v>
      </c>
    </row>
    <row r="74" spans="2:15" s="133" customFormat="1" x14ac:dyDescent="0.3">
      <c r="B74" s="95" t="s">
        <v>1791</v>
      </c>
      <c r="C74" s="103"/>
      <c r="D74" s="133" t="s">
        <v>1104</v>
      </c>
      <c r="E74" s="133" t="s">
        <v>1104</v>
      </c>
      <c r="F74" s="133" t="s">
        <v>1105</v>
      </c>
      <c r="G74" s="133" t="s">
        <v>1105</v>
      </c>
      <c r="H74" s="133" t="s">
        <v>1105</v>
      </c>
      <c r="I74" s="24" t="s">
        <v>1105</v>
      </c>
    </row>
    <row r="75" spans="2:15" x14ac:dyDescent="0.3">
      <c r="B75" s="12" t="s">
        <v>33</v>
      </c>
      <c r="C75" s="12" t="s">
        <v>270</v>
      </c>
      <c r="D75" s="3">
        <f t="shared" ref="D75:I75" si="7">$D23</f>
        <v>2.6720000000000002</v>
      </c>
      <c r="E75" s="134">
        <f t="shared" si="7"/>
        <v>2.6720000000000002</v>
      </c>
      <c r="F75" s="134">
        <f t="shared" si="7"/>
        <v>2.6720000000000002</v>
      </c>
      <c r="G75" s="134">
        <f t="shared" si="7"/>
        <v>2.6720000000000002</v>
      </c>
      <c r="H75" s="134">
        <f t="shared" si="7"/>
        <v>2.6720000000000002</v>
      </c>
      <c r="I75" s="81">
        <f t="shared" si="7"/>
        <v>2.6720000000000002</v>
      </c>
      <c r="K75" t="s">
        <v>1613</v>
      </c>
    </row>
    <row r="76" spans="2:15" x14ac:dyDescent="0.3">
      <c r="B76" s="12" t="s">
        <v>26</v>
      </c>
      <c r="C76" s="12" t="s">
        <v>25</v>
      </c>
      <c r="D76" s="16">
        <f t="shared" ref="D76:I76" si="8">$D25</f>
        <v>75</v>
      </c>
      <c r="E76" s="16">
        <f t="shared" si="8"/>
        <v>75</v>
      </c>
      <c r="F76" s="16">
        <f t="shared" si="8"/>
        <v>75</v>
      </c>
      <c r="G76" s="16">
        <f t="shared" si="8"/>
        <v>75</v>
      </c>
      <c r="H76" s="16">
        <f t="shared" si="8"/>
        <v>75</v>
      </c>
      <c r="I76" s="242">
        <f t="shared" si="8"/>
        <v>75</v>
      </c>
      <c r="K76" t="s">
        <v>449</v>
      </c>
    </row>
    <row r="77" spans="2:15" s="133" customFormat="1" x14ac:dyDescent="0.3">
      <c r="B77" s="148" t="s">
        <v>1544</v>
      </c>
      <c r="C77" s="133" t="s">
        <v>338</v>
      </c>
      <c r="F77" s="134">
        <f>F53</f>
        <v>0.25469999999999998</v>
      </c>
      <c r="G77" s="134">
        <f>G53</f>
        <v>0.377</v>
      </c>
      <c r="H77" s="134">
        <f>H53</f>
        <v>0.54</v>
      </c>
      <c r="I77" s="81">
        <f>I53</f>
        <v>0.78500000000000003</v>
      </c>
      <c r="K77" s="133" t="s">
        <v>155</v>
      </c>
    </row>
    <row r="78" spans="2:15" x14ac:dyDescent="0.3">
      <c r="B78" s="12" t="s">
        <v>351</v>
      </c>
      <c r="C78" s="12" t="s">
        <v>377</v>
      </c>
      <c r="D78">
        <f t="shared" ref="D78:I78" si="9">D33</f>
        <v>0.28000000000000003</v>
      </c>
      <c r="E78">
        <f t="shared" si="9"/>
        <v>0.26</v>
      </c>
      <c r="F78">
        <f t="shared" si="9"/>
        <v>0.28000000000000003</v>
      </c>
      <c r="G78">
        <f t="shared" si="9"/>
        <v>0.28999999999999998</v>
      </c>
      <c r="H78">
        <f t="shared" si="9"/>
        <v>0.28000000000000003</v>
      </c>
      <c r="I78" s="24">
        <f t="shared" si="9"/>
        <v>0.24</v>
      </c>
      <c r="K78" t="s">
        <v>470</v>
      </c>
    </row>
    <row r="79" spans="2:15" x14ac:dyDescent="0.3">
      <c r="B79" s="12" t="s">
        <v>352</v>
      </c>
      <c r="C79" s="12" t="s">
        <v>377</v>
      </c>
      <c r="F79">
        <f>F78-E78</f>
        <v>2.0000000000000018E-2</v>
      </c>
      <c r="G79">
        <f>G78-E78</f>
        <v>2.9999999999999971E-2</v>
      </c>
      <c r="H79">
        <f>H78-E78</f>
        <v>2.0000000000000018E-2</v>
      </c>
      <c r="I79" s="24">
        <f>I78-E78</f>
        <v>-2.0000000000000018E-2</v>
      </c>
    </row>
    <row r="80" spans="2:15" x14ac:dyDescent="0.3">
      <c r="B80" s="12" t="s">
        <v>383</v>
      </c>
      <c r="C80" s="12" t="s">
        <v>92</v>
      </c>
      <c r="F80" s="3">
        <f>F79/$E78</f>
        <v>7.6923076923076983E-2</v>
      </c>
      <c r="G80" s="3">
        <f>G79/$E78</f>
        <v>0.11538461538461527</v>
      </c>
      <c r="H80" s="3">
        <f>H79/$E78</f>
        <v>7.6923076923076983E-2</v>
      </c>
      <c r="I80" s="46">
        <f>I79/$E78</f>
        <v>-7.6923076923076983E-2</v>
      </c>
    </row>
    <row r="81" spans="2:11" x14ac:dyDescent="0.3">
      <c r="B81" s="12" t="s">
        <v>293</v>
      </c>
      <c r="C81" s="12" t="s">
        <v>338</v>
      </c>
      <c r="D81" s="3">
        <f t="shared" ref="D81:I81" si="10">D32/1000</f>
        <v>0.75</v>
      </c>
      <c r="E81" s="3">
        <f t="shared" si="10"/>
        <v>0.68</v>
      </c>
      <c r="F81" s="3">
        <f t="shared" si="10"/>
        <v>0.76</v>
      </c>
      <c r="G81" s="3">
        <f t="shared" si="10"/>
        <v>0.8</v>
      </c>
      <c r="H81" s="3">
        <f t="shared" si="10"/>
        <v>0.85</v>
      </c>
      <c r="I81" s="46">
        <f t="shared" si="10"/>
        <v>0.73</v>
      </c>
    </row>
    <row r="82" spans="2:11" x14ac:dyDescent="0.3">
      <c r="B82" s="12" t="s">
        <v>402</v>
      </c>
      <c r="C82" s="12" t="s">
        <v>338</v>
      </c>
      <c r="F82">
        <f>F81-E81</f>
        <v>7.999999999999996E-2</v>
      </c>
      <c r="G82">
        <f>G81-E81</f>
        <v>0.12</v>
      </c>
      <c r="H82">
        <f>H81-E81</f>
        <v>0.16999999999999993</v>
      </c>
      <c r="I82" s="24">
        <f>I81-E81</f>
        <v>4.9999999999999933E-2</v>
      </c>
    </row>
    <row r="83" spans="2:11" x14ac:dyDescent="0.3">
      <c r="B83" s="12" t="s">
        <v>3</v>
      </c>
      <c r="C83" s="12" t="s">
        <v>302</v>
      </c>
      <c r="D83" s="8">
        <f t="shared" ref="D83:I84" si="11">D29</f>
        <v>52.4</v>
      </c>
      <c r="E83" s="8">
        <f t="shared" si="11"/>
        <v>74</v>
      </c>
      <c r="F83" s="8">
        <f t="shared" si="11"/>
        <v>82.8</v>
      </c>
      <c r="G83" s="8">
        <f t="shared" si="11"/>
        <v>87.2</v>
      </c>
      <c r="H83" s="8">
        <f t="shared" si="11"/>
        <v>90.6</v>
      </c>
      <c r="I83" s="53">
        <f t="shared" si="11"/>
        <v>92.1</v>
      </c>
    </row>
    <row r="84" spans="2:11" x14ac:dyDescent="0.3">
      <c r="B84" s="12" t="s">
        <v>277</v>
      </c>
      <c r="C84" s="12" t="s">
        <v>302</v>
      </c>
      <c r="D84" s="8">
        <f t="shared" si="11"/>
        <v>47</v>
      </c>
      <c r="E84" s="8">
        <f t="shared" si="11"/>
        <v>25.5</v>
      </c>
      <c r="F84" s="8">
        <f t="shared" si="11"/>
        <v>17.5</v>
      </c>
      <c r="G84" s="8">
        <f t="shared" si="11"/>
        <v>12.6</v>
      </c>
      <c r="H84" s="8">
        <f t="shared" si="11"/>
        <v>7.5</v>
      </c>
      <c r="I84" s="53">
        <f t="shared" si="11"/>
        <v>3.5</v>
      </c>
    </row>
    <row r="85" spans="2:11" x14ac:dyDescent="0.3">
      <c r="B85" s="12" t="s">
        <v>13</v>
      </c>
      <c r="C85" s="12" t="s">
        <v>302</v>
      </c>
      <c r="D85" s="8"/>
      <c r="E85" s="8"/>
      <c r="F85" s="8"/>
      <c r="G85" s="8"/>
      <c r="H85" s="8">
        <f>H31</f>
        <v>0.8</v>
      </c>
      <c r="I85" s="53">
        <f>I31</f>
        <v>4.0999999999999996</v>
      </c>
    </row>
    <row r="86" spans="2:11" x14ac:dyDescent="0.3">
      <c r="B86" s="12" t="s">
        <v>35</v>
      </c>
      <c r="C86" s="12"/>
      <c r="D86" s="8">
        <f t="shared" ref="D86:I86" si="12">D34</f>
        <v>7.5</v>
      </c>
      <c r="E86" s="8">
        <f t="shared" si="12"/>
        <v>7.2</v>
      </c>
      <c r="F86" s="8">
        <f t="shared" si="12"/>
        <v>7.2</v>
      </c>
      <c r="G86" s="8">
        <f t="shared" si="12"/>
        <v>7.4</v>
      </c>
      <c r="H86" s="8">
        <f t="shared" si="12"/>
        <v>7.8</v>
      </c>
      <c r="I86" s="53">
        <f t="shared" si="12"/>
        <v>8.6999999999999993</v>
      </c>
    </row>
    <row r="87" spans="2:11" x14ac:dyDescent="0.3">
      <c r="B87" s="12" t="s">
        <v>52</v>
      </c>
      <c r="C87" s="12" t="s">
        <v>621</v>
      </c>
      <c r="D87" s="8" t="s">
        <v>1671</v>
      </c>
      <c r="E87" s="8" t="s">
        <v>1671</v>
      </c>
      <c r="F87" s="8" t="s">
        <v>1671</v>
      </c>
      <c r="G87" s="8" t="s">
        <v>1671</v>
      </c>
      <c r="H87" s="8" t="s">
        <v>1671</v>
      </c>
      <c r="I87" s="243" t="s">
        <v>1671</v>
      </c>
      <c r="K87" t="s">
        <v>742</v>
      </c>
    </row>
    <row r="88" spans="2:11" x14ac:dyDescent="0.3">
      <c r="B88" s="12" t="s">
        <v>558</v>
      </c>
      <c r="C88" s="12" t="s">
        <v>621</v>
      </c>
      <c r="D88" s="8" t="s">
        <v>1674</v>
      </c>
      <c r="E88" s="8" t="s">
        <v>1674</v>
      </c>
      <c r="F88" s="8" t="s">
        <v>1674</v>
      </c>
      <c r="G88" s="8" t="s">
        <v>1674</v>
      </c>
      <c r="H88" s="8" t="s">
        <v>1674</v>
      </c>
      <c r="I88" s="243" t="s">
        <v>1674</v>
      </c>
      <c r="K88" t="s">
        <v>744</v>
      </c>
    </row>
    <row r="89" spans="2:11" x14ac:dyDescent="0.3">
      <c r="B89" s="12" t="s">
        <v>757</v>
      </c>
      <c r="C89" s="12" t="s">
        <v>758</v>
      </c>
      <c r="D89" s="8"/>
      <c r="E89" s="8"/>
      <c r="F89" s="8"/>
      <c r="G89" s="8"/>
      <c r="H89" s="8"/>
      <c r="I89" s="53"/>
      <c r="K89" t="s">
        <v>1614</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EBF6-B6C0-4F62-9152-4F141983B638}">
  <dimension ref="A2:P98"/>
  <sheetViews>
    <sheetView zoomScaleNormal="100" workbookViewId="0"/>
  </sheetViews>
  <sheetFormatPr defaultRowHeight="14.4" x14ac:dyDescent="0.3"/>
  <cols>
    <col min="2" max="2" width="18.5546875" customWidth="1"/>
    <col min="3" max="3" width="11" customWidth="1"/>
  </cols>
  <sheetData>
    <row r="2" spans="2:4" x14ac:dyDescent="0.3">
      <c r="B2" s="14" t="s">
        <v>1778</v>
      </c>
    </row>
    <row r="3" spans="2:4" x14ac:dyDescent="0.3">
      <c r="B3" t="s">
        <v>522</v>
      </c>
    </row>
    <row r="4" spans="2:4" x14ac:dyDescent="0.3">
      <c r="B4" t="s">
        <v>531</v>
      </c>
    </row>
    <row r="6" spans="2:4" x14ac:dyDescent="0.3">
      <c r="B6" s="148" t="s">
        <v>114</v>
      </c>
      <c r="D6" s="101" t="s">
        <v>209</v>
      </c>
    </row>
    <row r="7" spans="2:4" s="101" customFormat="1" x14ac:dyDescent="0.3">
      <c r="B7" s="101" t="s">
        <v>667</v>
      </c>
      <c r="C7" s="101" t="s">
        <v>503</v>
      </c>
      <c r="D7" s="101">
        <v>40</v>
      </c>
    </row>
    <row r="8" spans="2:4" s="101" customFormat="1" x14ac:dyDescent="0.3">
      <c r="B8" s="101" t="s">
        <v>1324</v>
      </c>
      <c r="D8" s="101" t="s">
        <v>1091</v>
      </c>
    </row>
    <row r="9" spans="2:4" s="101" customFormat="1" x14ac:dyDescent="0.3">
      <c r="B9" s="101" t="s">
        <v>956</v>
      </c>
      <c r="C9" s="101" t="s">
        <v>22</v>
      </c>
      <c r="D9" s="101">
        <v>142</v>
      </c>
    </row>
    <row r="10" spans="2:4" s="101" customFormat="1" x14ac:dyDescent="0.3">
      <c r="B10" s="101" t="s">
        <v>32</v>
      </c>
      <c r="C10" s="101" t="s">
        <v>22</v>
      </c>
      <c r="D10" s="101">
        <v>100</v>
      </c>
    </row>
    <row r="11" spans="2:4" s="101" customFormat="1" x14ac:dyDescent="0.3">
      <c r="B11" s="101" t="s">
        <v>326</v>
      </c>
      <c r="D11" s="101" t="s">
        <v>1339</v>
      </c>
    </row>
    <row r="12" spans="2:4" s="101" customFormat="1" x14ac:dyDescent="0.3">
      <c r="B12" s="101" t="s">
        <v>344</v>
      </c>
      <c r="D12" s="101" t="s">
        <v>694</v>
      </c>
    </row>
    <row r="13" spans="2:4" s="101" customFormat="1" x14ac:dyDescent="0.3">
      <c r="B13" s="101" t="s">
        <v>1332</v>
      </c>
      <c r="D13" s="101" t="s">
        <v>1340</v>
      </c>
    </row>
    <row r="14" spans="2:4" s="101" customFormat="1" x14ac:dyDescent="0.3">
      <c r="B14" s="101" t="s">
        <v>1330</v>
      </c>
      <c r="D14" s="101" t="s">
        <v>1333</v>
      </c>
    </row>
    <row r="15" spans="2:4" s="133" customFormat="1" x14ac:dyDescent="0.3">
      <c r="B15" s="133" t="s">
        <v>1968</v>
      </c>
      <c r="D15" s="133" t="s">
        <v>1969</v>
      </c>
    </row>
    <row r="16" spans="2:4" s="133" customFormat="1" x14ac:dyDescent="0.3">
      <c r="B16" s="133" t="s">
        <v>1541</v>
      </c>
      <c r="D16" s="133" t="s">
        <v>533</v>
      </c>
    </row>
    <row r="17" spans="2:6" s="133" customFormat="1" x14ac:dyDescent="0.3">
      <c r="B17" s="133" t="s">
        <v>1599</v>
      </c>
      <c r="D17" s="133" t="s">
        <v>2122</v>
      </c>
    </row>
    <row r="18" spans="2:6" s="133" customFormat="1" x14ac:dyDescent="0.3"/>
    <row r="19" spans="2:6" s="101" customFormat="1" x14ac:dyDescent="0.3"/>
    <row r="20" spans="2:6" x14ac:dyDescent="0.3">
      <c r="B20" t="s">
        <v>14</v>
      </c>
      <c r="C20" t="s">
        <v>302</v>
      </c>
      <c r="D20">
        <v>11</v>
      </c>
    </row>
    <row r="21" spans="2:6" x14ac:dyDescent="0.3">
      <c r="C21" t="s">
        <v>30</v>
      </c>
      <c r="D21">
        <f>D20*1000/100</f>
        <v>110</v>
      </c>
    </row>
    <row r="22" spans="2:6" x14ac:dyDescent="0.3">
      <c r="B22" t="s">
        <v>452</v>
      </c>
      <c r="C22" t="s">
        <v>458</v>
      </c>
      <c r="D22">
        <v>3.5</v>
      </c>
    </row>
    <row r="23" spans="2:6" x14ac:dyDescent="0.3">
      <c r="C23" t="s">
        <v>34</v>
      </c>
      <c r="D23">
        <f>D21*D22</f>
        <v>385</v>
      </c>
    </row>
    <row r="24" spans="2:6" x14ac:dyDescent="0.3">
      <c r="B24" t="s">
        <v>26</v>
      </c>
      <c r="C24" t="s">
        <v>25</v>
      </c>
      <c r="D24">
        <v>28</v>
      </c>
    </row>
    <row r="25" spans="2:6" x14ac:dyDescent="0.3">
      <c r="B25" s="6" t="s">
        <v>40</v>
      </c>
      <c r="C25" t="s">
        <v>25</v>
      </c>
      <c r="D25" s="8">
        <f>D26/D22</f>
        <v>28.571428571428573</v>
      </c>
      <c r="F25" t="s">
        <v>524</v>
      </c>
    </row>
    <row r="26" spans="2:6" x14ac:dyDescent="0.3">
      <c r="B26" t="s">
        <v>11</v>
      </c>
      <c r="C26" t="s">
        <v>22</v>
      </c>
      <c r="D26">
        <v>100</v>
      </c>
    </row>
    <row r="27" spans="2:6" x14ac:dyDescent="0.3">
      <c r="B27" s="6" t="s">
        <v>40</v>
      </c>
      <c r="C27" t="s">
        <v>22</v>
      </c>
      <c r="D27">
        <f>D22*D24</f>
        <v>98</v>
      </c>
      <c r="F27" t="s">
        <v>524</v>
      </c>
    </row>
    <row r="28" spans="2:6" x14ac:dyDescent="0.3">
      <c r="B28" t="s">
        <v>523</v>
      </c>
      <c r="C28" t="s">
        <v>22</v>
      </c>
      <c r="D28">
        <v>142</v>
      </c>
    </row>
    <row r="29" spans="2:6" x14ac:dyDescent="0.3">
      <c r="B29" s="6" t="s">
        <v>33</v>
      </c>
      <c r="C29" t="s">
        <v>270</v>
      </c>
      <c r="D29">
        <f>D23/D26</f>
        <v>3.85</v>
      </c>
      <c r="F29" t="s">
        <v>1343</v>
      </c>
    </row>
    <row r="30" spans="2:6" x14ac:dyDescent="0.3">
      <c r="B30" s="27" t="s">
        <v>530</v>
      </c>
      <c r="C30" t="s">
        <v>25</v>
      </c>
      <c r="D30">
        <v>71</v>
      </c>
      <c r="F30" t="s">
        <v>539</v>
      </c>
    </row>
    <row r="31" spans="2:6" x14ac:dyDescent="0.3">
      <c r="C31" t="s">
        <v>26</v>
      </c>
      <c r="D31" s="3">
        <f>D30/D25</f>
        <v>2.4849999999999999</v>
      </c>
    </row>
    <row r="34" spans="2:16" x14ac:dyDescent="0.3">
      <c r="B34" t="s">
        <v>525</v>
      </c>
      <c r="C34" t="s">
        <v>348</v>
      </c>
      <c r="D34">
        <v>5.2</v>
      </c>
    </row>
    <row r="35" spans="2:16" x14ac:dyDescent="0.3">
      <c r="C35" t="s">
        <v>458</v>
      </c>
      <c r="D35">
        <v>125</v>
      </c>
      <c r="F35" t="s">
        <v>577</v>
      </c>
    </row>
    <row r="36" spans="2:16" x14ac:dyDescent="0.3">
      <c r="B36" s="6" t="s">
        <v>40</v>
      </c>
      <c r="C36" t="s">
        <v>458</v>
      </c>
      <c r="D36">
        <f>D34*24</f>
        <v>124.80000000000001</v>
      </c>
      <c r="F36" t="s">
        <v>524</v>
      </c>
    </row>
    <row r="37" spans="2:16" x14ac:dyDescent="0.3">
      <c r="B37" t="s">
        <v>526</v>
      </c>
      <c r="C37" t="s">
        <v>302</v>
      </c>
      <c r="D37">
        <v>63.4</v>
      </c>
    </row>
    <row r="38" spans="2:16" x14ac:dyDescent="0.3">
      <c r="B38" t="s">
        <v>527</v>
      </c>
      <c r="C38" t="s">
        <v>302</v>
      </c>
      <c r="D38">
        <v>36.299999999999997</v>
      </c>
    </row>
    <row r="39" spans="2:16" x14ac:dyDescent="0.3">
      <c r="B39" t="s">
        <v>528</v>
      </c>
      <c r="C39" t="s">
        <v>302</v>
      </c>
      <c r="D39">
        <v>57.7</v>
      </c>
    </row>
    <row r="40" spans="2:16" x14ac:dyDescent="0.3">
      <c r="B40" t="s">
        <v>529</v>
      </c>
      <c r="C40" t="s">
        <v>302</v>
      </c>
      <c r="D40">
        <v>42</v>
      </c>
    </row>
    <row r="42" spans="2:16" x14ac:dyDescent="0.3">
      <c r="B42" t="s">
        <v>538</v>
      </c>
      <c r="D42" s="105">
        <v>7.45</v>
      </c>
      <c r="E42" s="105">
        <v>7.52</v>
      </c>
      <c r="F42" s="105">
        <v>7.63</v>
      </c>
      <c r="G42" s="13">
        <v>7.7</v>
      </c>
      <c r="I42" s="105">
        <v>7.7</v>
      </c>
      <c r="J42" s="3"/>
      <c r="K42" s="3"/>
      <c r="L42" s="3"/>
      <c r="M42" s="3"/>
      <c r="N42" s="77">
        <v>7.8</v>
      </c>
      <c r="P42" t="s">
        <v>547</v>
      </c>
    </row>
    <row r="44" spans="2:16" x14ac:dyDescent="0.3">
      <c r="B44" s="36" t="s">
        <v>534</v>
      </c>
      <c r="M44" s="20" t="s">
        <v>1344</v>
      </c>
    </row>
    <row r="45" spans="2:16" x14ac:dyDescent="0.3">
      <c r="D45">
        <v>1</v>
      </c>
      <c r="E45">
        <v>2</v>
      </c>
      <c r="F45">
        <v>3</v>
      </c>
      <c r="G45">
        <v>4</v>
      </c>
      <c r="H45" t="s">
        <v>540</v>
      </c>
      <c r="I45" t="s">
        <v>42</v>
      </c>
      <c r="J45" t="s">
        <v>541</v>
      </c>
      <c r="K45" t="s">
        <v>542</v>
      </c>
      <c r="L45" t="s">
        <v>543</v>
      </c>
      <c r="M45" t="s">
        <v>544</v>
      </c>
      <c r="N45" t="s">
        <v>545</v>
      </c>
    </row>
    <row r="46" spans="2:16" x14ac:dyDescent="0.3">
      <c r="B46" t="s">
        <v>533</v>
      </c>
      <c r="C46" t="s">
        <v>347</v>
      </c>
      <c r="D46">
        <v>0</v>
      </c>
      <c r="E46">
        <v>12</v>
      </c>
      <c r="F46">
        <v>20</v>
      </c>
      <c r="G46">
        <v>31</v>
      </c>
      <c r="I46">
        <v>31</v>
      </c>
      <c r="J46">
        <v>31</v>
      </c>
      <c r="K46">
        <v>34</v>
      </c>
      <c r="L46">
        <v>38</v>
      </c>
      <c r="M46">
        <v>42</v>
      </c>
      <c r="N46">
        <v>42</v>
      </c>
    </row>
    <row r="47" spans="2:16" x14ac:dyDescent="0.3">
      <c r="C47" t="s">
        <v>338</v>
      </c>
      <c r="D47" s="3">
        <f>D46*60*24/(1000*100)</f>
        <v>0</v>
      </c>
      <c r="E47" s="3">
        <f>E46*60*24/(1000*100)</f>
        <v>0.17280000000000001</v>
      </c>
      <c r="F47" s="3">
        <f>F46*60*24/(1000*100)</f>
        <v>0.28799999999999998</v>
      </c>
      <c r="G47" s="3">
        <f>G46*60*24/(1000*100)</f>
        <v>0.44640000000000002</v>
      </c>
      <c r="I47" s="3">
        <f t="shared" ref="I47:N47" si="0">I46*60*24/(1000*100)</f>
        <v>0.44640000000000002</v>
      </c>
      <c r="J47" s="3">
        <f t="shared" si="0"/>
        <v>0.44640000000000002</v>
      </c>
      <c r="K47" s="3">
        <f t="shared" si="0"/>
        <v>0.48959999999999998</v>
      </c>
      <c r="L47" s="3">
        <f t="shared" si="0"/>
        <v>0.54720000000000002</v>
      </c>
      <c r="M47" s="3">
        <f t="shared" si="0"/>
        <v>0.6048</v>
      </c>
      <c r="N47" s="3">
        <f t="shared" si="0"/>
        <v>0.6048</v>
      </c>
    </row>
    <row r="48" spans="2:16" x14ac:dyDescent="0.3">
      <c r="B48" t="s">
        <v>546</v>
      </c>
      <c r="C48" t="s">
        <v>347</v>
      </c>
      <c r="D48" s="3"/>
      <c r="E48" s="3"/>
      <c r="F48" s="3"/>
      <c r="G48" s="3"/>
      <c r="I48" s="8">
        <v>3.5</v>
      </c>
      <c r="J48" s="8">
        <v>3.5</v>
      </c>
      <c r="K48" s="8">
        <v>3.5</v>
      </c>
      <c r="L48" s="8">
        <v>3.5</v>
      </c>
      <c r="M48" s="8">
        <v>3.5</v>
      </c>
      <c r="N48" s="106">
        <v>0</v>
      </c>
    </row>
    <row r="49" spans="2:16" x14ac:dyDescent="0.3">
      <c r="C49" t="s">
        <v>338</v>
      </c>
      <c r="D49" s="3"/>
      <c r="E49" s="3"/>
      <c r="F49" s="3"/>
      <c r="G49" s="3"/>
      <c r="I49" s="3">
        <f>I48*60*24/(1000*100)</f>
        <v>5.04E-2</v>
      </c>
      <c r="J49" s="3">
        <f>J48*60*24/(1000*100)</f>
        <v>5.04E-2</v>
      </c>
      <c r="K49" s="3">
        <f>K48*60*24/(1000*100)</f>
        <v>5.04E-2</v>
      </c>
      <c r="L49" s="3">
        <f>L48*60*24/(1000*100)</f>
        <v>5.04E-2</v>
      </c>
      <c r="M49" s="3">
        <f>M48*60*24/(1000*100)</f>
        <v>5.04E-2</v>
      </c>
      <c r="N49" s="3"/>
    </row>
    <row r="50" spans="2:16" x14ac:dyDescent="0.3">
      <c r="B50" t="s">
        <v>535</v>
      </c>
      <c r="C50" t="s">
        <v>532</v>
      </c>
      <c r="D50" s="44">
        <v>1</v>
      </c>
      <c r="E50" s="44">
        <v>1.25</v>
      </c>
      <c r="F50" s="44">
        <v>1.35</v>
      </c>
      <c r="G50" s="44">
        <v>1.55</v>
      </c>
      <c r="P50" t="s">
        <v>536</v>
      </c>
    </row>
    <row r="51" spans="2:16" x14ac:dyDescent="0.3">
      <c r="C51" t="s">
        <v>348</v>
      </c>
      <c r="D51">
        <v>5.2</v>
      </c>
      <c r="E51" s="101">
        <v>5.2</v>
      </c>
      <c r="F51" s="101">
        <v>5.2</v>
      </c>
      <c r="G51" s="101">
        <v>5.2</v>
      </c>
      <c r="I51">
        <v>5</v>
      </c>
      <c r="K51">
        <v>5.6</v>
      </c>
      <c r="L51">
        <v>5.6</v>
      </c>
      <c r="M51">
        <v>5.6</v>
      </c>
      <c r="N51">
        <v>5</v>
      </c>
    </row>
    <row r="52" spans="2:16" x14ac:dyDescent="0.3">
      <c r="C52" t="s">
        <v>458</v>
      </c>
      <c r="D52">
        <f>D51*24</f>
        <v>124.80000000000001</v>
      </c>
      <c r="E52" s="101">
        <f>E51*24</f>
        <v>124.80000000000001</v>
      </c>
      <c r="F52" s="101">
        <f>F51*24</f>
        <v>124.80000000000001</v>
      </c>
      <c r="G52" s="101">
        <f>G51*24</f>
        <v>124.80000000000001</v>
      </c>
      <c r="I52">
        <f>I51*24</f>
        <v>120</v>
      </c>
      <c r="M52" s="101">
        <f>M51*24</f>
        <v>134.39999999999998</v>
      </c>
      <c r="N52">
        <f>N51*24</f>
        <v>120</v>
      </c>
      <c r="P52" t="s">
        <v>2199</v>
      </c>
    </row>
    <row r="53" spans="2:16" x14ac:dyDescent="0.3">
      <c r="C53" t="s">
        <v>338</v>
      </c>
      <c r="D53">
        <f>D52/D26</f>
        <v>1.2480000000000002</v>
      </c>
      <c r="E53">
        <f>D53</f>
        <v>1.2480000000000002</v>
      </c>
      <c r="F53">
        <f>E53</f>
        <v>1.2480000000000002</v>
      </c>
      <c r="G53">
        <f>F53</f>
        <v>1.2480000000000002</v>
      </c>
      <c r="I53">
        <f>I52/$D$26</f>
        <v>1.2</v>
      </c>
      <c r="M53" s="101">
        <f>M52/$D$26</f>
        <v>1.3439999999999999</v>
      </c>
      <c r="N53" s="3">
        <f>N52/$D$26</f>
        <v>1.2</v>
      </c>
    </row>
    <row r="54" spans="2:16" x14ac:dyDescent="0.3">
      <c r="B54" t="s">
        <v>3</v>
      </c>
      <c r="C54" t="s">
        <v>302</v>
      </c>
      <c r="D54" s="104">
        <f xml:space="preserve"> 0.35*D46 + 57.4</f>
        <v>57.4</v>
      </c>
      <c r="E54" s="104">
        <f xml:space="preserve"> 0.35*E46 + 57.4</f>
        <v>61.599999999999994</v>
      </c>
      <c r="F54" s="104">
        <f xml:space="preserve"> 0.35*F46 + 57.4</f>
        <v>64.400000000000006</v>
      </c>
      <c r="G54" s="104">
        <f xml:space="preserve"> 0.35*G46 + 57.4</f>
        <v>68.25</v>
      </c>
      <c r="I54">
        <v>66.7</v>
      </c>
      <c r="M54" s="107">
        <v>67.5</v>
      </c>
      <c r="N54">
        <v>70.5</v>
      </c>
      <c r="P54" s="36" t="s">
        <v>1345</v>
      </c>
    </row>
    <row r="55" spans="2:16" x14ac:dyDescent="0.3">
      <c r="B55" t="s">
        <v>277</v>
      </c>
      <c r="C55" t="s">
        <v>302</v>
      </c>
      <c r="D55" s="104">
        <f>-0.35 *D46 + 42.4</f>
        <v>42.4</v>
      </c>
      <c r="E55" s="104">
        <f>-0.35 *E46 + 42.4</f>
        <v>38.200000000000003</v>
      </c>
      <c r="F55" s="104">
        <f>-0.35 *F46 + 42.4</f>
        <v>35.4</v>
      </c>
      <c r="G55" s="104">
        <f>-0.35 *G46 + 42.4</f>
        <v>31.549999999999997</v>
      </c>
      <c r="M55" s="108">
        <f>100-M54-M56</f>
        <v>32.5</v>
      </c>
      <c r="N55" s="103">
        <v>28.9</v>
      </c>
      <c r="P55" s="50" t="s">
        <v>537</v>
      </c>
    </row>
    <row r="56" spans="2:16" x14ac:dyDescent="0.3">
      <c r="B56" t="s">
        <v>13</v>
      </c>
      <c r="C56" t="s">
        <v>302</v>
      </c>
      <c r="D56" s="8"/>
      <c r="E56" s="8"/>
      <c r="F56" s="8"/>
      <c r="G56" s="3">
        <v>0.04</v>
      </c>
      <c r="I56">
        <v>0.16</v>
      </c>
      <c r="M56" s="101">
        <v>0</v>
      </c>
      <c r="N56">
        <v>0.4</v>
      </c>
    </row>
    <row r="57" spans="2:16" x14ac:dyDescent="0.3">
      <c r="B57" s="6" t="s">
        <v>40</v>
      </c>
      <c r="D57" s="8">
        <f>SUM(D54:D56)</f>
        <v>99.8</v>
      </c>
      <c r="E57" s="8">
        <f>SUM(E54:E56)</f>
        <v>99.8</v>
      </c>
      <c r="F57" s="8">
        <f>SUM(F54:F56)</f>
        <v>99.800000000000011</v>
      </c>
      <c r="G57" s="8">
        <f>SUM(G54:G56)</f>
        <v>99.84</v>
      </c>
    </row>
    <row r="58" spans="2:16" x14ac:dyDescent="0.3">
      <c r="B58" s="27" t="s">
        <v>549</v>
      </c>
      <c r="C58" t="s">
        <v>348</v>
      </c>
      <c r="D58" s="8"/>
      <c r="E58" s="8"/>
      <c r="F58" s="8"/>
      <c r="G58" s="8"/>
      <c r="I58">
        <v>3.34</v>
      </c>
      <c r="M58" s="103">
        <v>3.8</v>
      </c>
      <c r="N58">
        <v>3.66</v>
      </c>
    </row>
    <row r="59" spans="2:16" x14ac:dyDescent="0.3">
      <c r="B59" s="6"/>
      <c r="C59" t="s">
        <v>338</v>
      </c>
      <c r="D59" s="8"/>
      <c r="E59" s="8"/>
      <c r="F59" s="8"/>
      <c r="G59" s="8"/>
      <c r="I59" s="3">
        <f>I58*24/$D$26</f>
        <v>0.80159999999999998</v>
      </c>
      <c r="M59" s="3">
        <f>M58*24/$D$26</f>
        <v>0.91199999999999992</v>
      </c>
      <c r="N59" s="3">
        <f>N58*24/$D$26</f>
        <v>0.87840000000000007</v>
      </c>
    </row>
    <row r="60" spans="2:16" x14ac:dyDescent="0.3">
      <c r="B60" s="6" t="s">
        <v>40</v>
      </c>
      <c r="C60" t="s">
        <v>338</v>
      </c>
      <c r="D60" s="10">
        <f>D53*D54/100</f>
        <v>0.7163520000000001</v>
      </c>
      <c r="E60" s="10">
        <f>E53*E54/100</f>
        <v>0.76876800000000001</v>
      </c>
      <c r="F60" s="10">
        <f>F53*F54/100</f>
        <v>0.8037120000000002</v>
      </c>
      <c r="G60" s="10">
        <f>G53*G54/100</f>
        <v>0.85176000000000018</v>
      </c>
      <c r="I60" s="3">
        <f>I53*I54/100</f>
        <v>0.80040000000000011</v>
      </c>
      <c r="M60" s="3">
        <f>M53*M54/100</f>
        <v>0.9071999999999999</v>
      </c>
      <c r="N60" s="3">
        <f>N53*N54/100</f>
        <v>0.84599999999999997</v>
      </c>
      <c r="P60" t="s">
        <v>524</v>
      </c>
    </row>
    <row r="61" spans="2:16" x14ac:dyDescent="0.3">
      <c r="B61" s="27" t="s">
        <v>548</v>
      </c>
      <c r="C61" t="s">
        <v>348</v>
      </c>
      <c r="D61" s="8"/>
      <c r="E61" s="8"/>
      <c r="F61" s="8"/>
      <c r="G61" s="8"/>
      <c r="I61">
        <v>1.66</v>
      </c>
      <c r="M61" s="103">
        <v>1.8</v>
      </c>
      <c r="N61">
        <v>1.94</v>
      </c>
    </row>
    <row r="62" spans="2:16" x14ac:dyDescent="0.3">
      <c r="B62" s="6"/>
      <c r="C62" t="s">
        <v>338</v>
      </c>
      <c r="D62" s="8"/>
      <c r="E62" s="8"/>
      <c r="F62" s="8"/>
      <c r="G62" s="8"/>
      <c r="I62" s="3">
        <f>I61*24/$D$26</f>
        <v>0.39839999999999998</v>
      </c>
      <c r="M62" s="10">
        <f>M61*24/$D$26</f>
        <v>0.43200000000000005</v>
      </c>
      <c r="N62" s="3">
        <f>N61*24/$D$26</f>
        <v>0.46560000000000001</v>
      </c>
    </row>
    <row r="63" spans="2:16" x14ac:dyDescent="0.3">
      <c r="B63" s="6" t="s">
        <v>40</v>
      </c>
      <c r="C63" t="s">
        <v>338</v>
      </c>
      <c r="D63" s="10">
        <f>D53*D55/100</f>
        <v>0.52915200000000007</v>
      </c>
      <c r="E63" s="10">
        <f>E53*E55/100</f>
        <v>0.47673600000000016</v>
      </c>
      <c r="F63" s="10">
        <f>F53*F55/100</f>
        <v>0.44179200000000007</v>
      </c>
      <c r="G63" s="10">
        <f>G53*G55/100</f>
        <v>0.39374400000000004</v>
      </c>
      <c r="I63" s="10">
        <f>I53*I55/100</f>
        <v>0</v>
      </c>
      <c r="M63" s="10">
        <f>M53*M55/100</f>
        <v>0.43679999999999991</v>
      </c>
      <c r="N63" s="10">
        <f>N53*N55/100</f>
        <v>0.3468</v>
      </c>
    </row>
    <row r="64" spans="2:16" x14ac:dyDescent="0.3">
      <c r="B64" s="27" t="s">
        <v>550</v>
      </c>
      <c r="C64" t="s">
        <v>348</v>
      </c>
      <c r="D64" s="3"/>
      <c r="E64" s="3"/>
      <c r="F64" s="3"/>
      <c r="G64" s="3"/>
    </row>
    <row r="65" spans="1:16" x14ac:dyDescent="0.3">
      <c r="A65" s="133"/>
      <c r="B65" s="27"/>
      <c r="C65" t="s">
        <v>338</v>
      </c>
      <c r="D65" s="3"/>
      <c r="E65" s="3"/>
      <c r="F65" s="3"/>
      <c r="G65" s="3"/>
    </row>
    <row r="66" spans="1:16" x14ac:dyDescent="0.3">
      <c r="A66" s="133"/>
      <c r="B66" s="6" t="s">
        <v>40</v>
      </c>
      <c r="C66" t="s">
        <v>338</v>
      </c>
      <c r="D66" s="3"/>
      <c r="E66" s="3">
        <f>E55*E56/100</f>
        <v>0</v>
      </c>
      <c r="F66" s="3">
        <f>F55*F56/100</f>
        <v>0</v>
      </c>
      <c r="G66" s="3">
        <f>G55*G56/100</f>
        <v>1.2619999999999999E-2</v>
      </c>
      <c r="I66" s="3">
        <f>I55*I56/100</f>
        <v>0</v>
      </c>
      <c r="M66" s="3">
        <f>M55*M56/100</f>
        <v>0</v>
      </c>
      <c r="N66" s="3">
        <f>N55*N56/100</f>
        <v>0.11560000000000001</v>
      </c>
    </row>
    <row r="67" spans="1:16" s="101" customFormat="1" x14ac:dyDescent="0.3">
      <c r="A67" s="133"/>
      <c r="B67" s="133" t="s">
        <v>433</v>
      </c>
      <c r="C67" s="101" t="s">
        <v>338</v>
      </c>
      <c r="D67" s="3"/>
      <c r="E67" s="3">
        <f>E47-E66</f>
        <v>0.17280000000000001</v>
      </c>
      <c r="F67" s="3">
        <f>F47-F66</f>
        <v>0.28799999999999998</v>
      </c>
      <c r="G67" s="3">
        <f>G47-G66</f>
        <v>0.43378</v>
      </c>
      <c r="I67" s="3">
        <f>I47-I66</f>
        <v>0.44640000000000002</v>
      </c>
      <c r="M67" s="3">
        <f>M47-M66</f>
        <v>0.6048</v>
      </c>
      <c r="N67" s="3">
        <f>N47-N66</f>
        <v>0.48919999999999997</v>
      </c>
    </row>
    <row r="68" spans="1:16" s="101" customFormat="1" x14ac:dyDescent="0.3">
      <c r="A68" s="148"/>
      <c r="B68" s="148" t="s">
        <v>460</v>
      </c>
      <c r="C68" s="101" t="s">
        <v>338</v>
      </c>
      <c r="D68" s="3"/>
      <c r="E68" s="3">
        <f>E67/4</f>
        <v>4.3200000000000002E-2</v>
      </c>
      <c r="F68" s="3">
        <f>F67/4</f>
        <v>7.1999999999999995E-2</v>
      </c>
      <c r="G68" s="3">
        <f>G67/4</f>
        <v>0.108445</v>
      </c>
      <c r="I68" s="3">
        <f>I67/4</f>
        <v>0.1116</v>
      </c>
      <c r="M68" s="3">
        <f>M67/4</f>
        <v>0.1512</v>
      </c>
      <c r="N68" s="3">
        <f>N67/4</f>
        <v>0.12229999999999999</v>
      </c>
    </row>
    <row r="69" spans="1:16" s="101" customFormat="1" x14ac:dyDescent="0.3">
      <c r="A69" s="148"/>
      <c r="B69" s="148" t="s">
        <v>402</v>
      </c>
      <c r="C69" s="101" t="s">
        <v>338</v>
      </c>
      <c r="D69" s="3"/>
      <c r="E69" s="10">
        <f>E60-$D60</f>
        <v>5.2415999999999907E-2</v>
      </c>
      <c r="F69" s="10">
        <f>F60-$D60</f>
        <v>8.7360000000000104E-2</v>
      </c>
      <c r="G69" s="10">
        <f>G60-$D60</f>
        <v>0.13540800000000008</v>
      </c>
      <c r="I69" s="10">
        <f>I60-$D60</f>
        <v>8.4048000000000012E-2</v>
      </c>
      <c r="M69" s="10">
        <f>M60-$D60</f>
        <v>0.1908479999999998</v>
      </c>
      <c r="N69" s="10">
        <f>N60-$D60</f>
        <v>0.12964799999999987</v>
      </c>
    </row>
    <row r="70" spans="1:16" s="101" customFormat="1" x14ac:dyDescent="0.3">
      <c r="A70" s="148"/>
      <c r="B70" s="148" t="s">
        <v>2086</v>
      </c>
      <c r="C70" s="101" t="s">
        <v>338</v>
      </c>
      <c r="D70" s="3"/>
      <c r="E70" s="10">
        <f>$D63-E63</f>
        <v>5.2415999999999907E-2</v>
      </c>
      <c r="F70" s="10">
        <f>$D63-F63</f>
        <v>8.7359999999999993E-2</v>
      </c>
      <c r="G70" s="10">
        <f>$D63-G63</f>
        <v>0.13540800000000003</v>
      </c>
      <c r="I70" s="10">
        <f>$D63-I63</f>
        <v>0.52915200000000007</v>
      </c>
      <c r="M70" s="10">
        <f>$D63-M63</f>
        <v>9.2352000000000156E-2</v>
      </c>
      <c r="N70" s="10">
        <f>$D63-N63</f>
        <v>0.18235200000000007</v>
      </c>
    </row>
    <row r="71" spans="1:16" s="133" customFormat="1" x14ac:dyDescent="0.3">
      <c r="A71" s="148"/>
      <c r="B71" s="148" t="s">
        <v>93</v>
      </c>
      <c r="D71" s="134"/>
      <c r="E71" s="134">
        <f>E47/$D63</f>
        <v>0.32656023222060954</v>
      </c>
      <c r="F71" s="134">
        <f>F47/$D63</f>
        <v>0.5442670537010158</v>
      </c>
      <c r="G71" s="134">
        <f>G47/$D63</f>
        <v>0.84361393323657463</v>
      </c>
      <c r="I71" s="134">
        <f t="shared" ref="I71:N71" si="1">I47/($D63+I49)</f>
        <v>0.77025012423389094</v>
      </c>
      <c r="J71" s="134">
        <f t="shared" si="1"/>
        <v>0.77025012423389094</v>
      </c>
      <c r="K71" s="134">
        <f t="shared" si="1"/>
        <v>0.84479045883717063</v>
      </c>
      <c r="L71" s="134">
        <f t="shared" si="1"/>
        <v>0.9441775716415437</v>
      </c>
      <c r="M71" s="134">
        <f t="shared" si="1"/>
        <v>1.0435646844459168</v>
      </c>
      <c r="N71" s="134">
        <f t="shared" si="1"/>
        <v>1.1429608127721333</v>
      </c>
      <c r="P71" s="133" t="s">
        <v>1562</v>
      </c>
    </row>
    <row r="72" spans="1:16" s="101" customFormat="1" x14ac:dyDescent="0.3">
      <c r="A72" s="148"/>
      <c r="B72" s="148" t="s">
        <v>462</v>
      </c>
      <c r="D72" s="3"/>
      <c r="E72" s="3">
        <f>E67/E47</f>
        <v>1</v>
      </c>
      <c r="F72" s="3">
        <f>F67/F47</f>
        <v>1</v>
      </c>
      <c r="G72" s="3">
        <f>G67/G47</f>
        <v>0.9717293906810035</v>
      </c>
      <c r="I72" s="3">
        <f>I67/I47</f>
        <v>1</v>
      </c>
      <c r="M72" s="3">
        <f>M67/M47</f>
        <v>1</v>
      </c>
      <c r="N72" s="3">
        <f>N67/N47</f>
        <v>0.80886243386243384</v>
      </c>
    </row>
    <row r="73" spans="1:16" s="101" customFormat="1" x14ac:dyDescent="0.3">
      <c r="A73" s="148"/>
      <c r="B73" s="148" t="s">
        <v>2085</v>
      </c>
      <c r="D73" s="3"/>
      <c r="E73" s="3">
        <f>E69/E68</f>
        <v>1.2133333333333312</v>
      </c>
      <c r="F73" s="3">
        <f>F69/F68</f>
        <v>1.2133333333333349</v>
      </c>
      <c r="G73" s="3">
        <f>G69/G68</f>
        <v>1.2486329475771136</v>
      </c>
      <c r="I73" s="3">
        <f>I69/I68</f>
        <v>0.75311827956989252</v>
      </c>
      <c r="M73" s="3">
        <f>M69/M68</f>
        <v>1.2622222222222208</v>
      </c>
      <c r="N73" s="3">
        <f>N69/N68</f>
        <v>1.0600817661488133</v>
      </c>
    </row>
    <row r="74" spans="1:16" s="101" customFormat="1" x14ac:dyDescent="0.3">
      <c r="A74" s="148"/>
      <c r="B74" s="148" t="s">
        <v>2087</v>
      </c>
      <c r="D74" s="3"/>
      <c r="E74" s="3">
        <f>E70/E68</f>
        <v>1.2133333333333312</v>
      </c>
      <c r="F74" s="3">
        <f>F70/F68</f>
        <v>1.2133333333333334</v>
      </c>
      <c r="G74" s="3">
        <f>G70/G68</f>
        <v>1.2486329475771132</v>
      </c>
      <c r="I74" s="3">
        <f>I70/I68</f>
        <v>4.7415053763440866</v>
      </c>
      <c r="M74" s="3">
        <f>M70/M68</f>
        <v>0.61079365079365178</v>
      </c>
      <c r="N74" s="3">
        <f>N70/N68</f>
        <v>1.4910220768601805</v>
      </c>
    </row>
    <row r="75" spans="1:16" s="101" customFormat="1" x14ac:dyDescent="0.3">
      <c r="A75" s="148"/>
      <c r="B75" s="148" t="s">
        <v>2088</v>
      </c>
      <c r="D75" s="3"/>
      <c r="E75" s="3">
        <f>E69/E70</f>
        <v>1</v>
      </c>
      <c r="F75" s="3">
        <f>F69/F70</f>
        <v>1.0000000000000013</v>
      </c>
      <c r="G75" s="3">
        <f>G69/G70</f>
        <v>1.0000000000000004</v>
      </c>
      <c r="I75" s="3">
        <f>I69/I70</f>
        <v>0.15883526850507984</v>
      </c>
      <c r="M75" s="3">
        <f>M69/M70</f>
        <v>2.0665280665280608</v>
      </c>
      <c r="N75" s="3">
        <f>N69/N70</f>
        <v>0.71097657278231019</v>
      </c>
    </row>
    <row r="76" spans="1:16" s="133" customFormat="1" x14ac:dyDescent="0.3">
      <c r="A76" s="148"/>
      <c r="B76" s="148" t="s">
        <v>2096</v>
      </c>
      <c r="C76" s="133" t="s">
        <v>92</v>
      </c>
      <c r="D76" s="37"/>
      <c r="E76" s="91">
        <f>E69/$D63</f>
        <v>9.9056603773584717E-2</v>
      </c>
      <c r="F76" s="91">
        <f>F69/$D63</f>
        <v>0.16509433962264169</v>
      </c>
      <c r="G76" s="91">
        <f>G69/$D63</f>
        <v>0.25589622641509446</v>
      </c>
      <c r="H76" s="37"/>
      <c r="I76" s="91">
        <f>I69/$D63</f>
        <v>0.15883526850507984</v>
      </c>
      <c r="M76" s="91">
        <f>M69/$D63</f>
        <v>0.3606676342525395</v>
      </c>
      <c r="N76" s="91">
        <f>N69/$D63</f>
        <v>0.24501088534107376</v>
      </c>
    </row>
    <row r="77" spans="1:16" s="133" customFormat="1" x14ac:dyDescent="0.3">
      <c r="A77" s="148"/>
      <c r="B77" s="148" t="s">
        <v>2097</v>
      </c>
      <c r="C77" s="133" t="s">
        <v>92</v>
      </c>
      <c r="D77" s="96"/>
      <c r="E77" s="98">
        <f>E53/$D53</f>
        <v>1</v>
      </c>
      <c r="F77" s="98">
        <f>F53/$D53</f>
        <v>1</v>
      </c>
      <c r="G77" s="98">
        <f>G53/$D53</f>
        <v>1</v>
      </c>
      <c r="H77" s="98"/>
      <c r="I77" s="98">
        <f>I53/$D53</f>
        <v>0.96153846153846134</v>
      </c>
      <c r="J77" s="10"/>
      <c r="K77" s="10"/>
      <c r="L77" s="10"/>
      <c r="M77" s="98">
        <f>M53/$D53</f>
        <v>1.0769230769230766</v>
      </c>
      <c r="N77" s="98">
        <f>N53/$D53</f>
        <v>0.96153846153846134</v>
      </c>
    </row>
    <row r="78" spans="1:16" s="101" customFormat="1" x14ac:dyDescent="0.3">
      <c r="A78" s="148"/>
      <c r="B78" s="148" t="s">
        <v>2081</v>
      </c>
      <c r="D78" s="3"/>
      <c r="E78" s="3">
        <f>E67/E69</f>
        <v>3.2967032967033028</v>
      </c>
      <c r="F78" s="3">
        <f>F67/F69</f>
        <v>3.2967032967032925</v>
      </c>
      <c r="G78" s="3">
        <f>G67/G69</f>
        <v>3.2035034857615483</v>
      </c>
      <c r="I78" s="3">
        <f>I67/I69</f>
        <v>5.3112507138777838</v>
      </c>
      <c r="M78" s="3">
        <f>M67/M69</f>
        <v>3.1690140845070456</v>
      </c>
      <c r="N78" s="3">
        <f>N67/N69</f>
        <v>3.7732938417869959</v>
      </c>
    </row>
    <row r="79" spans="1:16" s="101" customFormat="1" x14ac:dyDescent="0.3">
      <c r="A79" s="148"/>
      <c r="B79" s="148" t="s">
        <v>2137</v>
      </c>
      <c r="D79" s="3"/>
      <c r="E79" s="3">
        <f>E67/E70</f>
        <v>3.2967032967033028</v>
      </c>
      <c r="F79" s="3">
        <f>F67/F70</f>
        <v>3.2967032967032965</v>
      </c>
      <c r="G79" s="3">
        <f>G67/G70</f>
        <v>3.2035034857615496</v>
      </c>
      <c r="I79" s="3">
        <f>I67/I70</f>
        <v>0.84361393323657463</v>
      </c>
      <c r="M79" s="3">
        <f>M67/M70</f>
        <v>6.5488565488565378</v>
      </c>
      <c r="N79" s="3">
        <f>N67/N70</f>
        <v>2.6827235237343148</v>
      </c>
    </row>
    <row r="80" spans="1:16" x14ac:dyDescent="0.3">
      <c r="A80" s="148"/>
      <c r="I80" s="101"/>
      <c r="N80" s="101"/>
    </row>
    <row r="81" spans="1:16" x14ac:dyDescent="0.3">
      <c r="A81" s="148"/>
      <c r="B81" s="40" t="s">
        <v>359</v>
      </c>
      <c r="C81" s="12"/>
      <c r="D81">
        <v>1</v>
      </c>
      <c r="E81">
        <v>2</v>
      </c>
      <c r="F81">
        <v>3</v>
      </c>
      <c r="G81">
        <v>4</v>
      </c>
      <c r="H81" t="s">
        <v>540</v>
      </c>
      <c r="I81" s="101" t="s">
        <v>42</v>
      </c>
      <c r="M81" t="s">
        <v>544</v>
      </c>
      <c r="N81" s="101" t="s">
        <v>545</v>
      </c>
    </row>
    <row r="82" spans="1:16" s="133" customFormat="1" x14ac:dyDescent="0.3">
      <c r="A82" s="148"/>
      <c r="B82" s="103" t="s">
        <v>1795</v>
      </c>
      <c r="C82" s="103"/>
      <c r="D82" s="133" t="s">
        <v>2156</v>
      </c>
      <c r="E82" s="66" t="s">
        <v>1686</v>
      </c>
      <c r="F82" s="66" t="s">
        <v>1686</v>
      </c>
      <c r="G82" s="133" t="s">
        <v>1798</v>
      </c>
      <c r="I82" s="66" t="s">
        <v>1686</v>
      </c>
      <c r="M82" s="66" t="s">
        <v>1686</v>
      </c>
      <c r="N82" s="66" t="s">
        <v>1686</v>
      </c>
    </row>
    <row r="83" spans="1:16" x14ac:dyDescent="0.3">
      <c r="B83" s="12" t="s">
        <v>1791</v>
      </c>
      <c r="C83" s="12"/>
      <c r="D83" t="s">
        <v>1104</v>
      </c>
      <c r="E83" s="133" t="s">
        <v>1105</v>
      </c>
      <c r="F83" s="133" t="s">
        <v>1105</v>
      </c>
      <c r="G83" s="133" t="s">
        <v>1105</v>
      </c>
      <c r="M83" t="s">
        <v>1359</v>
      </c>
    </row>
    <row r="84" spans="1:16" x14ac:dyDescent="0.3">
      <c r="B84" s="12" t="s">
        <v>33</v>
      </c>
      <c r="C84" s="12" t="s">
        <v>270</v>
      </c>
      <c r="D84">
        <f>$D29</f>
        <v>3.85</v>
      </c>
      <c r="E84" s="101">
        <f>$D29</f>
        <v>3.85</v>
      </c>
      <c r="F84" s="101">
        <f>$D29</f>
        <v>3.85</v>
      </c>
      <c r="G84" s="101">
        <f>$D29</f>
        <v>3.85</v>
      </c>
      <c r="I84" s="101">
        <f>$D29</f>
        <v>3.85</v>
      </c>
      <c r="M84" s="101">
        <f>$D29</f>
        <v>3.85</v>
      </c>
      <c r="N84" s="101">
        <f>$D29</f>
        <v>3.85</v>
      </c>
    </row>
    <row r="85" spans="1:16" x14ac:dyDescent="0.3">
      <c r="B85" s="12" t="s">
        <v>26</v>
      </c>
      <c r="C85" s="12" t="s">
        <v>25</v>
      </c>
      <c r="D85">
        <f>$D24</f>
        <v>28</v>
      </c>
      <c r="E85" s="101">
        <f>$D24</f>
        <v>28</v>
      </c>
      <c r="F85" s="101">
        <f>$D24</f>
        <v>28</v>
      </c>
      <c r="G85" s="101">
        <f>$D24</f>
        <v>28</v>
      </c>
      <c r="I85" s="101">
        <f>$D24</f>
        <v>28</v>
      </c>
      <c r="M85" s="101">
        <f>$D24</f>
        <v>28</v>
      </c>
      <c r="N85" s="101">
        <f>$D24</f>
        <v>28</v>
      </c>
    </row>
    <row r="86" spans="1:16" s="133" customFormat="1" x14ac:dyDescent="0.3">
      <c r="A86" s="148"/>
      <c r="B86" s="148" t="s">
        <v>1544</v>
      </c>
      <c r="C86" s="133" t="s">
        <v>338</v>
      </c>
      <c r="D86" s="134"/>
      <c r="E86" s="134">
        <f>E47</f>
        <v>0.17280000000000001</v>
      </c>
      <c r="F86" s="134">
        <f>F47</f>
        <v>0.28799999999999998</v>
      </c>
      <c r="G86" s="134">
        <f>G47</f>
        <v>0.44640000000000002</v>
      </c>
      <c r="H86" s="134"/>
      <c r="I86" s="134">
        <f t="shared" ref="I86:N86" si="2">I47</f>
        <v>0.44640000000000002</v>
      </c>
      <c r="J86" s="134">
        <f t="shared" si="2"/>
        <v>0.44640000000000002</v>
      </c>
      <c r="K86" s="134">
        <f t="shared" si="2"/>
        <v>0.48959999999999998</v>
      </c>
      <c r="L86" s="134">
        <f t="shared" si="2"/>
        <v>0.54720000000000002</v>
      </c>
      <c r="M86" s="134">
        <f t="shared" si="2"/>
        <v>0.6048</v>
      </c>
      <c r="N86" s="134">
        <f t="shared" si="2"/>
        <v>0.6048</v>
      </c>
    </row>
    <row r="87" spans="1:16" x14ac:dyDescent="0.3">
      <c r="B87" s="12" t="s">
        <v>351</v>
      </c>
      <c r="C87" s="12" t="s">
        <v>377</v>
      </c>
      <c r="D87" s="10">
        <f>D60/D84</f>
        <v>0.18606545454545456</v>
      </c>
      <c r="E87" s="10">
        <f>E60/E84</f>
        <v>0.19968</v>
      </c>
      <c r="F87" s="10">
        <f>F60/F84</f>
        <v>0.20875636363636368</v>
      </c>
      <c r="G87" s="10">
        <f>G60/G84</f>
        <v>0.22123636363636368</v>
      </c>
      <c r="I87" s="10">
        <f>I60/I84</f>
        <v>0.20789610389610391</v>
      </c>
      <c r="M87" s="10">
        <f>M60/M84</f>
        <v>0.23563636363636362</v>
      </c>
      <c r="N87" s="10">
        <f>N60/N84</f>
        <v>0.21974025974025974</v>
      </c>
    </row>
    <row r="88" spans="1:16" x14ac:dyDescent="0.3">
      <c r="B88" s="12" t="s">
        <v>352</v>
      </c>
      <c r="C88" s="12" t="s">
        <v>377</v>
      </c>
      <c r="E88" s="10">
        <f>E87-$D87</f>
        <v>1.3614545454545435E-2</v>
      </c>
      <c r="F88" s="10">
        <f>F87-$D87</f>
        <v>2.2690909090909123E-2</v>
      </c>
      <c r="G88" s="10">
        <f>G87-$D87</f>
        <v>3.5170909090909114E-2</v>
      </c>
      <c r="I88" s="10">
        <f>I87-$D87</f>
        <v>2.183064935064935E-2</v>
      </c>
      <c r="M88" s="10">
        <f>M87-$D87</f>
        <v>4.9570909090909054E-2</v>
      </c>
      <c r="N88" s="10">
        <f>N87-$D87</f>
        <v>3.3674805194805174E-2</v>
      </c>
    </row>
    <row r="89" spans="1:16" x14ac:dyDescent="0.3">
      <c r="B89" s="12" t="s">
        <v>383</v>
      </c>
      <c r="C89" s="12" t="s">
        <v>92</v>
      </c>
      <c r="E89" s="10">
        <f>E88/$D87</f>
        <v>7.3170731707316958E-2</v>
      </c>
      <c r="F89" s="10">
        <f>F88/$D87</f>
        <v>0.12195121951219529</v>
      </c>
      <c r="G89" s="10">
        <f>G88/$D87</f>
        <v>0.18902439024390255</v>
      </c>
      <c r="I89" s="10">
        <f>I88/$D87</f>
        <v>0.11732779415706243</v>
      </c>
      <c r="M89" s="10">
        <f>M88/$D87</f>
        <v>0.26641651031894914</v>
      </c>
      <c r="N89" s="10">
        <f>N88/$D87</f>
        <v>0.1809836504958455</v>
      </c>
    </row>
    <row r="90" spans="1:16" x14ac:dyDescent="0.3">
      <c r="B90" s="12" t="s">
        <v>293</v>
      </c>
      <c r="C90" s="12" t="s">
        <v>338</v>
      </c>
      <c r="D90" s="10">
        <f>D60</f>
        <v>0.7163520000000001</v>
      </c>
      <c r="E90" s="10">
        <f>E60</f>
        <v>0.76876800000000001</v>
      </c>
      <c r="F90" s="10">
        <f>F60</f>
        <v>0.8037120000000002</v>
      </c>
      <c r="G90" s="10">
        <f>G60</f>
        <v>0.85176000000000018</v>
      </c>
      <c r="I90" s="10">
        <f>I60</f>
        <v>0.80040000000000011</v>
      </c>
      <c r="M90" s="10">
        <f>M60</f>
        <v>0.9071999999999999</v>
      </c>
      <c r="N90" s="10">
        <f>N60</f>
        <v>0.84599999999999997</v>
      </c>
    </row>
    <row r="91" spans="1:16" x14ac:dyDescent="0.3">
      <c r="B91" s="12" t="s">
        <v>402</v>
      </c>
      <c r="C91" s="12" t="s">
        <v>338</v>
      </c>
      <c r="E91" s="10">
        <f>E90-$D90</f>
        <v>5.2415999999999907E-2</v>
      </c>
      <c r="F91" s="10">
        <f>F90-$D90</f>
        <v>8.7360000000000104E-2</v>
      </c>
      <c r="G91" s="10">
        <f>G90-$D90</f>
        <v>0.13540800000000008</v>
      </c>
      <c r="I91" s="10">
        <f>I90-$D90</f>
        <v>8.4048000000000012E-2</v>
      </c>
      <c r="M91" s="10">
        <f>M90-$D90</f>
        <v>0.1908479999999998</v>
      </c>
      <c r="N91" s="10">
        <f>N90-$D90</f>
        <v>0.12964799999999987</v>
      </c>
    </row>
    <row r="92" spans="1:16" x14ac:dyDescent="0.3">
      <c r="B92" t="s">
        <v>3</v>
      </c>
      <c r="C92" t="s">
        <v>302</v>
      </c>
      <c r="D92" s="8">
        <f t="shared" ref="D92:G93" si="3">D54</f>
        <v>57.4</v>
      </c>
      <c r="E92" s="8">
        <f t="shared" si="3"/>
        <v>61.599999999999994</v>
      </c>
      <c r="F92" s="8">
        <f t="shared" si="3"/>
        <v>64.400000000000006</v>
      </c>
      <c r="G92" s="8">
        <f t="shared" si="3"/>
        <v>68.25</v>
      </c>
      <c r="I92" s="8">
        <f>I54</f>
        <v>66.7</v>
      </c>
      <c r="M92" s="8">
        <f t="shared" ref="M92:N94" si="4">M54</f>
        <v>67.5</v>
      </c>
      <c r="N92" s="8">
        <f t="shared" si="4"/>
        <v>70.5</v>
      </c>
    </row>
    <row r="93" spans="1:16" x14ac:dyDescent="0.3">
      <c r="B93" t="s">
        <v>277</v>
      </c>
      <c r="C93" t="s">
        <v>302</v>
      </c>
      <c r="D93" s="8">
        <f t="shared" si="3"/>
        <v>42.4</v>
      </c>
      <c r="E93" s="8">
        <f t="shared" si="3"/>
        <v>38.200000000000003</v>
      </c>
      <c r="F93" s="8">
        <f t="shared" si="3"/>
        <v>35.4</v>
      </c>
      <c r="G93" s="8">
        <f t="shared" si="3"/>
        <v>31.549999999999997</v>
      </c>
      <c r="I93" s="8">
        <f>I55</f>
        <v>0</v>
      </c>
      <c r="M93" s="8">
        <f t="shared" si="4"/>
        <v>32.5</v>
      </c>
      <c r="N93" s="8">
        <f t="shared" si="4"/>
        <v>28.9</v>
      </c>
    </row>
    <row r="94" spans="1:16" x14ac:dyDescent="0.3">
      <c r="B94" t="s">
        <v>13</v>
      </c>
      <c r="C94" t="s">
        <v>302</v>
      </c>
      <c r="G94" s="8">
        <f>G56</f>
        <v>0.04</v>
      </c>
      <c r="I94" s="8">
        <f>I56</f>
        <v>0.16</v>
      </c>
      <c r="M94" s="8">
        <f t="shared" si="4"/>
        <v>0</v>
      </c>
      <c r="N94" s="8">
        <f t="shared" si="4"/>
        <v>0.4</v>
      </c>
    </row>
    <row r="95" spans="1:16" x14ac:dyDescent="0.3">
      <c r="B95" s="12" t="s">
        <v>35</v>
      </c>
      <c r="C95" s="12"/>
      <c r="D95" s="3">
        <f>D42</f>
        <v>7.45</v>
      </c>
      <c r="E95" s="3">
        <f>E42</f>
        <v>7.52</v>
      </c>
      <c r="F95" s="3">
        <f>F42</f>
        <v>7.63</v>
      </c>
      <c r="G95" s="3">
        <f>G42</f>
        <v>7.7</v>
      </c>
      <c r="I95" s="3">
        <f>I42</f>
        <v>7.7</v>
      </c>
      <c r="M95">
        <v>7.8</v>
      </c>
      <c r="N95" s="3">
        <f>N42</f>
        <v>7.8</v>
      </c>
      <c r="P95" t="s">
        <v>40</v>
      </c>
    </row>
    <row r="96" spans="1:16" x14ac:dyDescent="0.3">
      <c r="B96" s="12" t="s">
        <v>52</v>
      </c>
      <c r="C96" s="12" t="s">
        <v>621</v>
      </c>
      <c r="D96" t="s">
        <v>1671</v>
      </c>
      <c r="E96" s="133" t="s">
        <v>1671</v>
      </c>
      <c r="F96" s="133" t="s">
        <v>1671</v>
      </c>
      <c r="G96" s="133" t="s">
        <v>1671</v>
      </c>
      <c r="H96" s="133" t="s">
        <v>1671</v>
      </c>
      <c r="I96" s="133" t="s">
        <v>1671</v>
      </c>
      <c r="J96" s="133" t="s">
        <v>1671</v>
      </c>
      <c r="K96" s="133" t="s">
        <v>1671</v>
      </c>
      <c r="L96" s="133" t="s">
        <v>1671</v>
      </c>
      <c r="M96" s="133" t="s">
        <v>1671</v>
      </c>
      <c r="N96" s="133" t="s">
        <v>1671</v>
      </c>
    </row>
    <row r="97" spans="2:14" x14ac:dyDescent="0.3">
      <c r="B97" s="12" t="s">
        <v>558</v>
      </c>
      <c r="C97" s="12" t="s">
        <v>621</v>
      </c>
      <c r="D97" s="133" t="s">
        <v>1671</v>
      </c>
      <c r="E97" s="133" t="s">
        <v>1671</v>
      </c>
      <c r="F97" s="133" t="s">
        <v>1671</v>
      </c>
      <c r="G97" s="133" t="s">
        <v>1671</v>
      </c>
      <c r="H97" s="133" t="s">
        <v>1671</v>
      </c>
      <c r="I97" s="133" t="s">
        <v>1671</v>
      </c>
      <c r="J97" s="133" t="s">
        <v>1671</v>
      </c>
      <c r="K97" s="133" t="s">
        <v>1671</v>
      </c>
      <c r="L97" s="133" t="s">
        <v>1671</v>
      </c>
      <c r="M97" s="133" t="s">
        <v>1671</v>
      </c>
      <c r="N97" s="133" t="s">
        <v>1671</v>
      </c>
    </row>
    <row r="98" spans="2:14" x14ac:dyDescent="0.3">
      <c r="B98" s="12"/>
      <c r="C98" s="12"/>
      <c r="D98" s="3"/>
      <c r="E98" s="3"/>
      <c r="F98" s="3"/>
      <c r="G98" s="3"/>
      <c r="I98" s="3"/>
      <c r="N98"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B30C-3A81-4706-AEB6-AE674D19D6E5}">
  <dimension ref="A2:O93"/>
  <sheetViews>
    <sheetView workbookViewId="0"/>
  </sheetViews>
  <sheetFormatPr defaultRowHeight="14.4" x14ac:dyDescent="0.3"/>
  <cols>
    <col min="2" max="2" width="19.33203125" customWidth="1"/>
  </cols>
  <sheetData>
    <row r="2" spans="2:8" x14ac:dyDescent="0.3">
      <c r="B2" s="14" t="s">
        <v>1774</v>
      </c>
      <c r="C2" s="101" t="s">
        <v>1363</v>
      </c>
    </row>
    <row r="3" spans="2:8" x14ac:dyDescent="0.3">
      <c r="B3" t="s">
        <v>1106</v>
      </c>
    </row>
    <row r="4" spans="2:8" x14ac:dyDescent="0.3">
      <c r="B4" t="s">
        <v>1081</v>
      </c>
    </row>
    <row r="6" spans="2:8" x14ac:dyDescent="0.3">
      <c r="B6" s="148" t="s">
        <v>114</v>
      </c>
      <c r="C6" s="133"/>
      <c r="D6" s="133" t="s">
        <v>1412</v>
      </c>
      <c r="E6" s="133"/>
      <c r="F6" s="133"/>
      <c r="G6" s="133" t="s">
        <v>1391</v>
      </c>
      <c r="H6" s="133"/>
    </row>
    <row r="7" spans="2:8" s="101" customFormat="1" x14ac:dyDescent="0.3">
      <c r="B7" s="101" t="s">
        <v>667</v>
      </c>
      <c r="C7" s="101" t="s">
        <v>503</v>
      </c>
      <c r="D7" s="101">
        <v>55</v>
      </c>
    </row>
    <row r="8" spans="2:8" s="101" customFormat="1" x14ac:dyDescent="0.3">
      <c r="B8" s="101" t="s">
        <v>1324</v>
      </c>
      <c r="D8" s="101" t="s">
        <v>1091</v>
      </c>
    </row>
    <row r="9" spans="2:8" s="101" customFormat="1" x14ac:dyDescent="0.3">
      <c r="B9" s="101" t="s">
        <v>956</v>
      </c>
      <c r="C9" s="101" t="s">
        <v>22</v>
      </c>
      <c r="D9" s="101">
        <v>1.8</v>
      </c>
    </row>
    <row r="10" spans="2:8" s="101" customFormat="1" x14ac:dyDescent="0.3">
      <c r="B10" s="101" t="s">
        <v>32</v>
      </c>
      <c r="C10" s="101" t="s">
        <v>22</v>
      </c>
      <c r="D10" s="101">
        <f>D36*D19</f>
        <v>1.2</v>
      </c>
      <c r="G10" s="101" t="s">
        <v>2187</v>
      </c>
    </row>
    <row r="11" spans="2:8" s="101" customFormat="1" x14ac:dyDescent="0.3">
      <c r="B11" s="101" t="s">
        <v>326</v>
      </c>
      <c r="D11" s="6" t="s">
        <v>2117</v>
      </c>
    </row>
    <row r="12" spans="2:8" s="101" customFormat="1" x14ac:dyDescent="0.3">
      <c r="B12" s="101" t="s">
        <v>344</v>
      </c>
      <c r="D12" s="6" t="s">
        <v>2117</v>
      </c>
    </row>
    <row r="13" spans="2:8" s="101" customFormat="1" x14ac:dyDescent="0.3">
      <c r="B13" s="101" t="s">
        <v>1332</v>
      </c>
      <c r="D13" s="6" t="s">
        <v>2117</v>
      </c>
    </row>
    <row r="14" spans="2:8" s="101" customFormat="1" x14ac:dyDescent="0.3">
      <c r="B14" s="101" t="s">
        <v>1330</v>
      </c>
      <c r="D14" s="6" t="s">
        <v>2117</v>
      </c>
    </row>
    <row r="15" spans="2:8" s="133" customFormat="1" x14ac:dyDescent="0.3">
      <c r="B15" s="133" t="s">
        <v>1968</v>
      </c>
      <c r="D15" s="133" t="s">
        <v>1969</v>
      </c>
      <c r="E15" s="133" t="s">
        <v>1971</v>
      </c>
    </row>
    <row r="16" spans="2:8" s="133" customFormat="1" x14ac:dyDescent="0.3">
      <c r="B16" s="133" t="s">
        <v>1541</v>
      </c>
      <c r="D16" s="148" t="s">
        <v>1545</v>
      </c>
    </row>
    <row r="17" spans="2:12" s="133" customFormat="1" x14ac:dyDescent="0.3">
      <c r="B17" s="133" t="s">
        <v>1599</v>
      </c>
      <c r="D17" s="148" t="s">
        <v>2122</v>
      </c>
    </row>
    <row r="18" spans="2:12" s="101" customFormat="1" x14ac:dyDescent="0.3"/>
    <row r="19" spans="2:12" s="101" customFormat="1" x14ac:dyDescent="0.3">
      <c r="B19" s="148" t="s">
        <v>26</v>
      </c>
      <c r="C19" s="101" t="s">
        <v>25</v>
      </c>
      <c r="D19" s="101">
        <v>15</v>
      </c>
      <c r="E19" s="101">
        <v>15</v>
      </c>
    </row>
    <row r="20" spans="2:12" x14ac:dyDescent="0.3">
      <c r="J20" s="101"/>
    </row>
    <row r="21" spans="2:12" x14ac:dyDescent="0.3">
      <c r="B21" t="s">
        <v>733</v>
      </c>
      <c r="J21" s="101"/>
    </row>
    <row r="22" spans="2:12" x14ac:dyDescent="0.3">
      <c r="B22" t="s">
        <v>9</v>
      </c>
      <c r="C22" t="s">
        <v>22</v>
      </c>
      <c r="D22">
        <v>1.2</v>
      </c>
    </row>
    <row r="23" spans="2:12" x14ac:dyDescent="0.3">
      <c r="B23" t="s">
        <v>667</v>
      </c>
      <c r="C23" t="s">
        <v>503</v>
      </c>
      <c r="D23">
        <v>55</v>
      </c>
    </row>
    <row r="24" spans="2:12" x14ac:dyDescent="0.3">
      <c r="B24" t="s">
        <v>1078</v>
      </c>
      <c r="C24" t="s">
        <v>566</v>
      </c>
      <c r="D24">
        <v>23</v>
      </c>
      <c r="E24">
        <v>86</v>
      </c>
    </row>
    <row r="25" spans="2:12" x14ac:dyDescent="0.3">
      <c r="B25" t="s">
        <v>35</v>
      </c>
      <c r="D25">
        <v>4.5</v>
      </c>
      <c r="E25">
        <v>4.5</v>
      </c>
      <c r="K25" s="3"/>
    </row>
    <row r="26" spans="2:12" x14ac:dyDescent="0.3">
      <c r="B26" t="s">
        <v>27</v>
      </c>
      <c r="C26" t="s">
        <v>47</v>
      </c>
      <c r="D26">
        <v>64.900000000000006</v>
      </c>
      <c r="E26">
        <v>64.900000000000006</v>
      </c>
      <c r="K26" s="3"/>
      <c r="L26" s="101"/>
    </row>
    <row r="27" spans="2:12" x14ac:dyDescent="0.3">
      <c r="B27" t="s">
        <v>14</v>
      </c>
      <c r="C27" t="s">
        <v>47</v>
      </c>
      <c r="D27">
        <v>55.6</v>
      </c>
      <c r="E27">
        <v>55.6</v>
      </c>
    </row>
    <row r="28" spans="2:12" x14ac:dyDescent="0.3">
      <c r="B28" t="s">
        <v>48</v>
      </c>
      <c r="C28" t="s">
        <v>47</v>
      </c>
      <c r="D28">
        <v>76</v>
      </c>
      <c r="E28">
        <v>76</v>
      </c>
    </row>
    <row r="29" spans="2:12" x14ac:dyDescent="0.3">
      <c r="B29" t="s">
        <v>1079</v>
      </c>
      <c r="C29" t="s">
        <v>47</v>
      </c>
      <c r="D29">
        <v>8.6999999999999993</v>
      </c>
      <c r="E29">
        <v>8.6999999999999993</v>
      </c>
    </row>
    <row r="30" spans="2:12" x14ac:dyDescent="0.3">
      <c r="B30" t="s">
        <v>52</v>
      </c>
      <c r="C30" t="s">
        <v>47</v>
      </c>
      <c r="D30">
        <v>0.114</v>
      </c>
      <c r="E30">
        <v>0.114</v>
      </c>
    </row>
    <row r="31" spans="2:12" x14ac:dyDescent="0.3">
      <c r="B31" t="s">
        <v>1080</v>
      </c>
      <c r="C31" t="s">
        <v>994</v>
      </c>
      <c r="E31">
        <v>40</v>
      </c>
    </row>
    <row r="32" spans="2:12" x14ac:dyDescent="0.3">
      <c r="B32" t="s">
        <v>321</v>
      </c>
      <c r="C32" t="s">
        <v>338</v>
      </c>
      <c r="E32">
        <v>0.8</v>
      </c>
    </row>
    <row r="33" spans="2:15" s="133" customFormat="1" x14ac:dyDescent="0.3"/>
    <row r="34" spans="2:15" s="101" customFormat="1" x14ac:dyDescent="0.3">
      <c r="B34" t="s">
        <v>550</v>
      </c>
      <c r="C34" t="s">
        <v>338</v>
      </c>
      <c r="D34"/>
      <c r="E34" s="103">
        <v>0.08</v>
      </c>
      <c r="F34"/>
      <c r="G34" t="s">
        <v>1107</v>
      </c>
    </row>
    <row r="35" spans="2:15" s="101" customFormat="1" x14ac:dyDescent="0.3"/>
    <row r="36" spans="2:15" s="101" customFormat="1" x14ac:dyDescent="0.3">
      <c r="B36" s="101" t="s">
        <v>1388</v>
      </c>
      <c r="C36" s="101" t="s">
        <v>1389</v>
      </c>
      <c r="D36" s="101">
        <v>0.08</v>
      </c>
      <c r="E36" s="101">
        <v>0.08</v>
      </c>
    </row>
    <row r="37" spans="2:15" s="101" customFormat="1" x14ac:dyDescent="0.3">
      <c r="B37" s="101" t="s">
        <v>33</v>
      </c>
      <c r="C37" t="s">
        <v>270</v>
      </c>
      <c r="D37" s="3">
        <f>D27/D19</f>
        <v>3.7066666666666666</v>
      </c>
    </row>
    <row r="38" spans="2:15" s="101" customFormat="1" x14ac:dyDescent="0.3">
      <c r="C38" s="101" t="s">
        <v>361</v>
      </c>
      <c r="D38" s="3">
        <f>D28/D19</f>
        <v>5.0666666666666664</v>
      </c>
    </row>
    <row r="39" spans="2:15" s="101" customFormat="1" x14ac:dyDescent="0.3">
      <c r="B39" s="101" t="s">
        <v>1390</v>
      </c>
      <c r="D39" s="101">
        <v>2</v>
      </c>
    </row>
    <row r="40" spans="2:15" s="101" customFormat="1" x14ac:dyDescent="0.3">
      <c r="B40" s="101" t="s">
        <v>33</v>
      </c>
      <c r="C40" s="101" t="s">
        <v>270</v>
      </c>
      <c r="D40" s="3">
        <f>D37/D39</f>
        <v>1.8533333333333333</v>
      </c>
    </row>
    <row r="41" spans="2:15" x14ac:dyDescent="0.3">
      <c r="B41" s="101"/>
      <c r="C41" s="101" t="s">
        <v>361</v>
      </c>
      <c r="D41" s="3">
        <f>D38/D39</f>
        <v>2.5333333333333332</v>
      </c>
    </row>
    <row r="42" spans="2:15" s="133" customFormat="1" x14ac:dyDescent="0.3">
      <c r="D42" s="134"/>
    </row>
    <row r="43" spans="2:15" s="101" customFormat="1" x14ac:dyDescent="0.3">
      <c r="B43" s="101" t="s">
        <v>1394</v>
      </c>
      <c r="D43" s="3"/>
    </row>
    <row r="44" spans="2:15" s="101" customFormat="1" x14ac:dyDescent="0.3">
      <c r="D44" s="3"/>
    </row>
    <row r="45" spans="2:15" s="101" customFormat="1" x14ac:dyDescent="0.3">
      <c r="B45" s="6" t="s">
        <v>1393</v>
      </c>
      <c r="J45" s="114" t="s">
        <v>1398</v>
      </c>
      <c r="K45" s="84"/>
      <c r="L45" s="84"/>
      <c r="M45" s="84"/>
    </row>
    <row r="46" spans="2:15" s="101" customFormat="1" x14ac:dyDescent="0.3">
      <c r="D46" s="101" t="s">
        <v>1104</v>
      </c>
      <c r="E46" s="101" t="s">
        <v>1105</v>
      </c>
      <c r="J46" s="84"/>
      <c r="K46" s="84"/>
      <c r="L46" s="84" t="s">
        <v>1104</v>
      </c>
      <c r="M46" s="84" t="s">
        <v>1105</v>
      </c>
      <c r="O46" s="84" t="s">
        <v>1397</v>
      </c>
    </row>
    <row r="47" spans="2:15" s="101" customFormat="1" x14ac:dyDescent="0.3">
      <c r="B47" s="101" t="s">
        <v>2037</v>
      </c>
      <c r="C47" s="101" t="s">
        <v>338</v>
      </c>
      <c r="D47" s="10">
        <v>1.3770497520541651</v>
      </c>
      <c r="E47" s="10">
        <v>1.4420878414043405</v>
      </c>
      <c r="J47" s="84" t="s">
        <v>308</v>
      </c>
      <c r="K47" s="84" t="s">
        <v>338</v>
      </c>
      <c r="L47" s="35">
        <v>1.3097245179063359</v>
      </c>
      <c r="M47" s="35">
        <v>1.3866666666666667</v>
      </c>
    </row>
    <row r="48" spans="2:15" s="101" customFormat="1" x14ac:dyDescent="0.3">
      <c r="B48" s="101" t="s">
        <v>293</v>
      </c>
      <c r="C48" s="101" t="s">
        <v>338</v>
      </c>
      <c r="D48" s="10">
        <v>0.90344060736707843</v>
      </c>
      <c r="E48" s="3">
        <v>1.0484308043772022</v>
      </c>
      <c r="J48" s="84" t="s">
        <v>293</v>
      </c>
      <c r="K48" s="84" t="s">
        <v>338</v>
      </c>
      <c r="L48" s="85">
        <v>0.88580914736752947</v>
      </c>
      <c r="M48" s="85">
        <v>0.99842309546167307</v>
      </c>
    </row>
    <row r="49" spans="1:13" s="101" customFormat="1" x14ac:dyDescent="0.3">
      <c r="B49" s="101" t="s">
        <v>1082</v>
      </c>
      <c r="C49" s="101" t="s">
        <v>338</v>
      </c>
      <c r="D49" s="10">
        <v>0.47360860761853429</v>
      </c>
      <c r="E49" s="3">
        <v>0.31990686105439858</v>
      </c>
      <c r="J49" s="84" t="s">
        <v>1082</v>
      </c>
      <c r="K49" s="84" t="s">
        <v>338</v>
      </c>
      <c r="L49" s="85">
        <v>0.42391537053880674</v>
      </c>
      <c r="M49" s="85">
        <v>0.35368190467045563</v>
      </c>
    </row>
    <row r="50" spans="1:13" s="101" customFormat="1" x14ac:dyDescent="0.3">
      <c r="B50" s="101" t="s">
        <v>550</v>
      </c>
      <c r="C50" s="101" t="s">
        <v>338</v>
      </c>
      <c r="D50" s="3"/>
      <c r="E50" s="3">
        <v>7.3750175972739695E-2</v>
      </c>
      <c r="J50" s="84" t="s">
        <v>550</v>
      </c>
      <c r="K50" s="84" t="s">
        <v>338</v>
      </c>
      <c r="L50" s="84"/>
      <c r="M50" s="85">
        <v>8.3935475869593046E-2</v>
      </c>
    </row>
    <row r="51" spans="1:13" s="133" customFormat="1" x14ac:dyDescent="0.3">
      <c r="B51" s="133" t="s">
        <v>308</v>
      </c>
      <c r="D51" s="10">
        <f>SUM(D48:D49)</f>
        <v>1.3770492149856128</v>
      </c>
      <c r="E51" s="10">
        <f>SUM(E48:E49)</f>
        <v>1.3683376654316008</v>
      </c>
      <c r="J51" s="84"/>
      <c r="K51" s="84"/>
      <c r="L51" s="85"/>
      <c r="M51" s="85"/>
    </row>
    <row r="52" spans="1:13" x14ac:dyDescent="0.3">
      <c r="B52" t="s">
        <v>3</v>
      </c>
      <c r="C52" t="s">
        <v>302</v>
      </c>
      <c r="D52" s="8">
        <v>65.606969248525914</v>
      </c>
      <c r="E52" s="3">
        <v>72.702284443104006</v>
      </c>
      <c r="G52" s="101"/>
      <c r="J52" s="84" t="s">
        <v>3</v>
      </c>
      <c r="K52" s="84" t="s">
        <v>302</v>
      </c>
      <c r="L52" s="115">
        <v>67.644965324935185</v>
      </c>
      <c r="M52" s="115">
        <v>72.037330538365865</v>
      </c>
    </row>
    <row r="53" spans="1:13" x14ac:dyDescent="0.3">
      <c r="B53" t="s">
        <v>277</v>
      </c>
      <c r="C53" t="s">
        <v>302</v>
      </c>
      <c r="D53" s="8">
        <v>34.392991750083503</v>
      </c>
      <c r="E53" s="8">
        <v>22.183590476906414</v>
      </c>
      <c r="G53" s="101"/>
      <c r="J53" s="84" t="s">
        <v>277</v>
      </c>
      <c r="K53" s="84" t="s">
        <v>302</v>
      </c>
      <c r="L53" s="115">
        <v>32.355034675064807</v>
      </c>
      <c r="M53" s="115">
        <v>50.692395943157173</v>
      </c>
    </row>
    <row r="54" spans="1:13" x14ac:dyDescent="0.3">
      <c r="B54" t="s">
        <v>13</v>
      </c>
      <c r="C54" t="s">
        <v>302</v>
      </c>
      <c r="D54" s="10"/>
      <c r="E54" s="8">
        <v>5.1141250799895763</v>
      </c>
      <c r="G54" s="101"/>
      <c r="J54" s="84" t="s">
        <v>13</v>
      </c>
      <c r="K54" s="84" t="s">
        <v>302</v>
      </c>
      <c r="L54" s="115"/>
      <c r="M54" s="115">
        <v>6.0449660339849851</v>
      </c>
    </row>
    <row r="55" spans="1:13" s="133" customFormat="1" x14ac:dyDescent="0.3">
      <c r="B55" s="133" t="s">
        <v>459</v>
      </c>
      <c r="C55" s="133" t="s">
        <v>302</v>
      </c>
      <c r="D55" s="198">
        <f>SUM(D52:D54)</f>
        <v>99.999960998609424</v>
      </c>
      <c r="E55" s="198">
        <f>SUM(E52:E54)</f>
        <v>100</v>
      </c>
      <c r="J55" s="84"/>
      <c r="K55" s="84"/>
      <c r="L55" s="115"/>
      <c r="M55" s="115"/>
    </row>
    <row r="56" spans="1:13" s="133" customFormat="1" x14ac:dyDescent="0.3">
      <c r="B56" s="133" t="s">
        <v>332</v>
      </c>
      <c r="C56" s="133" t="s">
        <v>302</v>
      </c>
      <c r="D56" s="198">
        <f>100*D52/(D52+D53)</f>
        <v>65.606994836166209</v>
      </c>
      <c r="E56" s="198">
        <f>100*E52/(E52+E53)</f>
        <v>76.620766267258048</v>
      </c>
      <c r="J56" s="84"/>
      <c r="K56" s="84"/>
      <c r="L56" s="115"/>
      <c r="M56" s="115"/>
    </row>
    <row r="57" spans="1:13" s="133" customFormat="1" x14ac:dyDescent="0.3">
      <c r="B57" s="133" t="s">
        <v>333</v>
      </c>
      <c r="C57" s="133" t="s">
        <v>302</v>
      </c>
      <c r="D57" s="198">
        <f>100*D53/(D52+D53)</f>
        <v>34.393005163833777</v>
      </c>
      <c r="E57" s="198">
        <f>100*E53/(E52+E53)</f>
        <v>23.379233732741955</v>
      </c>
      <c r="J57" s="84"/>
      <c r="K57" s="84"/>
      <c r="L57" s="115"/>
      <c r="M57" s="115"/>
    </row>
    <row r="58" spans="1:13" x14ac:dyDescent="0.3">
      <c r="B58" t="s">
        <v>35</v>
      </c>
      <c r="D58" s="3">
        <v>7.7391105312569399</v>
      </c>
      <c r="E58" s="3">
        <v>7.9158771962726826</v>
      </c>
      <c r="J58" s="84" t="s">
        <v>35</v>
      </c>
      <c r="K58" s="84"/>
      <c r="L58" s="35">
        <v>7.76</v>
      </c>
      <c r="M58" s="35">
        <v>7.9793333333333338</v>
      </c>
    </row>
    <row r="59" spans="1:13" s="101" customFormat="1" x14ac:dyDescent="0.3">
      <c r="B59" s="101" t="s">
        <v>52</v>
      </c>
      <c r="C59" s="101" t="s">
        <v>621</v>
      </c>
      <c r="D59" s="3">
        <v>0.10991196540070783</v>
      </c>
      <c r="E59" s="3">
        <v>0.12059393120791559</v>
      </c>
      <c r="J59" s="84" t="s">
        <v>52</v>
      </c>
      <c r="K59" s="84" t="s">
        <v>621</v>
      </c>
      <c r="L59" s="84"/>
      <c r="M59" s="84"/>
    </row>
    <row r="60" spans="1:13" s="101" customFormat="1" x14ac:dyDescent="0.3">
      <c r="A60" s="133"/>
      <c r="B60" t="s">
        <v>558</v>
      </c>
      <c r="C60" s="103" t="s">
        <v>47</v>
      </c>
      <c r="D60" s="13">
        <v>0.37922815147093547</v>
      </c>
      <c r="E60" s="13">
        <v>0.50383934254486595</v>
      </c>
      <c r="F60"/>
      <c r="G60" t="s">
        <v>1395</v>
      </c>
      <c r="J60" s="84" t="s">
        <v>558</v>
      </c>
      <c r="K60" s="84" t="s">
        <v>621</v>
      </c>
      <c r="L60" s="85">
        <v>1.3747359991587303E-3</v>
      </c>
      <c r="M60" s="85">
        <v>6.9588833923953694E-4</v>
      </c>
    </row>
    <row r="61" spans="1:13" s="101" customFormat="1" x14ac:dyDescent="0.3">
      <c r="A61" s="133"/>
      <c r="B61" s="101" t="s">
        <v>351</v>
      </c>
      <c r="D61" s="10">
        <f>D48/$D37</f>
        <v>0.24373397680766506</v>
      </c>
      <c r="E61" s="10">
        <f>E48/$D37</f>
        <v>0.28285003715212287</v>
      </c>
      <c r="J61" s="103"/>
      <c r="K61" s="103"/>
      <c r="L61" s="103"/>
      <c r="M61" s="103"/>
    </row>
    <row r="62" spans="1:13" s="101" customFormat="1" x14ac:dyDescent="0.3">
      <c r="B62" s="133" t="s">
        <v>433</v>
      </c>
      <c r="C62" s="101" t="s">
        <v>338</v>
      </c>
      <c r="E62" s="10">
        <f>$E32-E50</f>
        <v>0.72624982402726035</v>
      </c>
      <c r="J62" s="113" t="s">
        <v>433</v>
      </c>
      <c r="K62" s="84" t="s">
        <v>338</v>
      </c>
      <c r="L62" s="31"/>
      <c r="M62" s="10">
        <f>$E32-M50</f>
        <v>0.716064524130407</v>
      </c>
    </row>
    <row r="63" spans="1:13" s="133" customFormat="1" x14ac:dyDescent="0.3">
      <c r="B63" s="148" t="s">
        <v>460</v>
      </c>
      <c r="E63" s="134">
        <f>E62/4</f>
        <v>0.18156245600681509</v>
      </c>
      <c r="G63" s="133" t="s">
        <v>1558</v>
      </c>
      <c r="J63" s="113"/>
      <c r="K63" s="84"/>
      <c r="L63" s="31"/>
      <c r="M63" s="134"/>
    </row>
    <row r="64" spans="1:13" s="101" customFormat="1" x14ac:dyDescent="0.3">
      <c r="B64" s="148" t="s">
        <v>402</v>
      </c>
      <c r="C64" s="101" t="s">
        <v>338</v>
      </c>
      <c r="E64" s="10">
        <f>E48-D48</f>
        <v>0.14499019701012372</v>
      </c>
      <c r="J64" s="113" t="s">
        <v>460</v>
      </c>
      <c r="K64" s="84" t="s">
        <v>338</v>
      </c>
      <c r="L64" s="31"/>
      <c r="M64" s="10">
        <f>M67/4</f>
        <v>0.22377016379075218</v>
      </c>
    </row>
    <row r="65" spans="2:15" s="101" customFormat="1" x14ac:dyDescent="0.3">
      <c r="B65" s="148" t="s">
        <v>2086</v>
      </c>
      <c r="C65" s="101" t="s">
        <v>338</v>
      </c>
      <c r="E65" s="3">
        <f>D49-E49</f>
        <v>0.15370174656413571</v>
      </c>
      <c r="J65" s="113" t="s">
        <v>461</v>
      </c>
      <c r="K65" s="84" t="s">
        <v>338</v>
      </c>
      <c r="L65" s="31"/>
      <c r="M65" s="3">
        <f>M48-L48</f>
        <v>0.1126139480941436</v>
      </c>
    </row>
    <row r="66" spans="2:15" s="101" customFormat="1" x14ac:dyDescent="0.3">
      <c r="B66" s="148" t="s">
        <v>93</v>
      </c>
      <c r="C66" s="101" t="s">
        <v>338</v>
      </c>
      <c r="E66" s="3">
        <f>E32/D49</f>
        <v>1.6891584889528783</v>
      </c>
      <c r="J66" s="113" t="s">
        <v>465</v>
      </c>
      <c r="K66" s="84" t="s">
        <v>338</v>
      </c>
      <c r="L66" s="31"/>
      <c r="M66" s="3">
        <f>L49-M49</f>
        <v>7.0233465868351108E-2</v>
      </c>
    </row>
    <row r="67" spans="2:15" s="101" customFormat="1" x14ac:dyDescent="0.3">
      <c r="B67" s="148" t="s">
        <v>462</v>
      </c>
      <c r="E67" s="3">
        <f>E62/$E32</f>
        <v>0.90781228003407544</v>
      </c>
      <c r="J67" s="113" t="s">
        <v>462</v>
      </c>
      <c r="K67" s="84"/>
      <c r="L67" s="31"/>
      <c r="M67" s="3">
        <f>M62/$E32</f>
        <v>0.89508065516300872</v>
      </c>
    </row>
    <row r="68" spans="2:15" s="101" customFormat="1" x14ac:dyDescent="0.3">
      <c r="B68" s="148" t="s">
        <v>2085</v>
      </c>
      <c r="E68" s="3">
        <f>E64/E63</f>
        <v>0.79856926480814627</v>
      </c>
      <c r="J68" s="113" t="s">
        <v>463</v>
      </c>
      <c r="K68" s="84"/>
      <c r="L68" s="31"/>
      <c r="M68" s="3">
        <f>M65/M64</f>
        <v>0.50325720903278726</v>
      </c>
    </row>
    <row r="69" spans="2:15" s="101" customFormat="1" x14ac:dyDescent="0.3">
      <c r="B69" s="148" t="s">
        <v>2087</v>
      </c>
      <c r="E69" s="3">
        <f>E65/E63</f>
        <v>0.84655027225654178</v>
      </c>
      <c r="J69" s="113" t="s">
        <v>466</v>
      </c>
      <c r="K69" s="84"/>
      <c r="L69" s="31"/>
      <c r="M69" s="3">
        <f>M66/M64</f>
        <v>0.31386430022023193</v>
      </c>
    </row>
    <row r="70" spans="2:15" s="101" customFormat="1" x14ac:dyDescent="0.3">
      <c r="B70" s="148" t="s">
        <v>2088</v>
      </c>
      <c r="E70" s="3">
        <f>E64/E65</f>
        <v>0.94332172698911465</v>
      </c>
      <c r="J70" s="113" t="s">
        <v>464</v>
      </c>
      <c r="K70" s="84"/>
      <c r="L70" s="31"/>
      <c r="M70" s="3">
        <f>M65/M66</f>
        <v>1.6034229081793065</v>
      </c>
    </row>
    <row r="71" spans="2:15" s="133" customFormat="1" x14ac:dyDescent="0.3">
      <c r="B71" s="148" t="s">
        <v>2096</v>
      </c>
      <c r="C71" s="133" t="s">
        <v>92</v>
      </c>
      <c r="D71" s="37"/>
      <c r="E71" s="37">
        <f>E64/D49</f>
        <v>0.30613927761825088</v>
      </c>
      <c r="F71" s="37"/>
      <c r="G71" s="37"/>
      <c r="H71" s="37"/>
      <c r="I71" s="37"/>
      <c r="J71" s="37"/>
      <c r="K71" s="37"/>
      <c r="L71" s="37"/>
      <c r="M71" s="37"/>
      <c r="N71" s="37"/>
      <c r="O71" s="37"/>
    </row>
    <row r="72" spans="2:15" s="133" customFormat="1" x14ac:dyDescent="0.3">
      <c r="B72" s="148" t="s">
        <v>2097</v>
      </c>
      <c r="C72" s="133" t="s">
        <v>92</v>
      </c>
      <c r="D72" s="37"/>
      <c r="E72" s="37">
        <f>E51/D51</f>
        <v>0.99367375584023476</v>
      </c>
      <c r="F72" s="37"/>
      <c r="G72" s="37"/>
      <c r="H72" s="37"/>
      <c r="I72" s="37"/>
      <c r="J72" s="37"/>
      <c r="K72" s="37"/>
      <c r="L72" s="37"/>
      <c r="M72" s="37"/>
      <c r="N72" s="37"/>
      <c r="O72" s="37"/>
    </row>
    <row r="73" spans="2:15" s="101" customFormat="1" x14ac:dyDescent="0.3">
      <c r="B73" s="148" t="s">
        <v>2081</v>
      </c>
      <c r="E73" s="3">
        <f>E62/E64</f>
        <v>5.0089581158135195</v>
      </c>
      <c r="J73" s="113" t="s">
        <v>850</v>
      </c>
      <c r="K73" s="84"/>
      <c r="L73" s="31"/>
      <c r="M73" s="3">
        <f>M62/M65</f>
        <v>6.3585775674234206</v>
      </c>
    </row>
    <row r="74" spans="2:15" s="101" customFormat="1" x14ac:dyDescent="0.3">
      <c r="B74" s="148" t="s">
        <v>2137</v>
      </c>
      <c r="E74" s="3">
        <f>E62/E65</f>
        <v>4.7250590202253511</v>
      </c>
      <c r="J74" s="113" t="s">
        <v>851</v>
      </c>
      <c r="K74" s="84"/>
      <c r="L74" s="31"/>
      <c r="M74" s="3">
        <f>M62/M66</f>
        <v>10.195488935041762</v>
      </c>
      <c r="O74" s="101" t="s">
        <v>1399</v>
      </c>
    </row>
    <row r="75" spans="2:15" s="101" customFormat="1" x14ac:dyDescent="0.3">
      <c r="L75" s="10"/>
      <c r="M75" s="10"/>
    </row>
    <row r="76" spans="2:15" x14ac:dyDescent="0.3">
      <c r="B76" s="6" t="s">
        <v>359</v>
      </c>
      <c r="J76" s="114" t="s">
        <v>359</v>
      </c>
      <c r="K76" s="84"/>
      <c r="L76" s="84"/>
      <c r="M76" s="84"/>
      <c r="O76" s="109" t="s">
        <v>1961</v>
      </c>
    </row>
    <row r="77" spans="2:15" s="133" customFormat="1" x14ac:dyDescent="0.3">
      <c r="B77" s="148" t="s">
        <v>1795</v>
      </c>
      <c r="D77" s="66" t="s">
        <v>1686</v>
      </c>
      <c r="E77" s="66" t="s">
        <v>1686</v>
      </c>
      <c r="J77" s="114"/>
      <c r="K77" s="84"/>
      <c r="L77" s="84"/>
      <c r="M77" s="84"/>
    </row>
    <row r="78" spans="2:15" s="133" customFormat="1" x14ac:dyDescent="0.3">
      <c r="B78" s="148" t="s">
        <v>1791</v>
      </c>
      <c r="D78" s="133" t="s">
        <v>1104</v>
      </c>
      <c r="E78" s="133" t="s">
        <v>1105</v>
      </c>
      <c r="J78" s="114"/>
      <c r="K78" s="84"/>
      <c r="L78" s="84" t="s">
        <v>1104</v>
      </c>
      <c r="M78" s="84" t="s">
        <v>1105</v>
      </c>
    </row>
    <row r="79" spans="2:15" x14ac:dyDescent="0.3">
      <c r="B79" t="s">
        <v>33</v>
      </c>
      <c r="C79" t="s">
        <v>270</v>
      </c>
      <c r="D79" s="13">
        <f>$D37</f>
        <v>3.7066666666666666</v>
      </c>
      <c r="E79" s="3">
        <f>$D37</f>
        <v>3.7066666666666666</v>
      </c>
      <c r="G79" t="s">
        <v>2188</v>
      </c>
      <c r="J79" s="84" t="s">
        <v>33</v>
      </c>
      <c r="K79" s="84" t="s">
        <v>270</v>
      </c>
      <c r="L79" s="35">
        <f>$D37</f>
        <v>3.7066666666666666</v>
      </c>
      <c r="M79" s="35">
        <f>$D37</f>
        <v>3.7066666666666666</v>
      </c>
    </row>
    <row r="80" spans="2:15" x14ac:dyDescent="0.3">
      <c r="B80" t="s">
        <v>26</v>
      </c>
      <c r="C80" t="s">
        <v>25</v>
      </c>
      <c r="D80">
        <f>D19</f>
        <v>15</v>
      </c>
      <c r="E80" s="133">
        <f>E19</f>
        <v>15</v>
      </c>
      <c r="J80" s="84" t="s">
        <v>26</v>
      </c>
      <c r="K80" s="84" t="s">
        <v>25</v>
      </c>
      <c r="L80" s="84">
        <v>15</v>
      </c>
      <c r="M80" s="84">
        <v>15</v>
      </c>
    </row>
    <row r="81" spans="2:15" s="133" customFormat="1" x14ac:dyDescent="0.3">
      <c r="B81" s="148" t="s">
        <v>1557</v>
      </c>
      <c r="C81" s="133" t="s">
        <v>338</v>
      </c>
      <c r="E81" s="134">
        <f>E32</f>
        <v>0.8</v>
      </c>
      <c r="G81" s="133" t="s">
        <v>99</v>
      </c>
      <c r="J81" s="113"/>
      <c r="K81" s="84"/>
      <c r="L81" s="31"/>
      <c r="M81" s="134"/>
    </row>
    <row r="82" spans="2:15" x14ac:dyDescent="0.3">
      <c r="B82" t="s">
        <v>351</v>
      </c>
      <c r="C82" t="s">
        <v>377</v>
      </c>
      <c r="D82" s="10">
        <f>D48/D79</f>
        <v>0.24373397680766506</v>
      </c>
      <c r="E82" s="10">
        <f>E48/E79</f>
        <v>0.28285003715212287</v>
      </c>
      <c r="J82" s="84" t="s">
        <v>351</v>
      </c>
      <c r="K82" s="84" t="s">
        <v>377</v>
      </c>
      <c r="L82" s="85">
        <f>L48/L79</f>
        <v>0.23897728795886586</v>
      </c>
      <c r="M82" s="85">
        <f>M48/M79</f>
        <v>0.26935874877563121</v>
      </c>
    </row>
    <row r="83" spans="2:15" x14ac:dyDescent="0.3">
      <c r="B83" t="s">
        <v>352</v>
      </c>
      <c r="C83" t="s">
        <v>377</v>
      </c>
      <c r="E83" s="10">
        <f>E82-D82</f>
        <v>3.9116060344457804E-2</v>
      </c>
      <c r="J83" s="84" t="s">
        <v>352</v>
      </c>
      <c r="K83" s="84" t="s">
        <v>377</v>
      </c>
      <c r="L83" s="84"/>
      <c r="M83" s="85">
        <f>M82-L82</f>
        <v>3.0381460816765349E-2</v>
      </c>
    </row>
    <row r="84" spans="2:15" x14ac:dyDescent="0.3">
      <c r="B84" t="s">
        <v>353</v>
      </c>
      <c r="C84" t="s">
        <v>92</v>
      </c>
      <c r="E84" s="10">
        <f>E83/D82</f>
        <v>0.16048669478414576</v>
      </c>
      <c r="J84" s="84" t="s">
        <v>353</v>
      </c>
      <c r="K84" s="84" t="s">
        <v>92</v>
      </c>
      <c r="L84" s="84"/>
      <c r="M84" s="85">
        <f>M83/L82</f>
        <v>0.12713116412131509</v>
      </c>
    </row>
    <row r="85" spans="2:15" x14ac:dyDescent="0.3">
      <c r="B85" t="s">
        <v>293</v>
      </c>
      <c r="C85" t="s">
        <v>338</v>
      </c>
      <c r="D85" s="3">
        <f>D48</f>
        <v>0.90344060736707843</v>
      </c>
      <c r="E85" s="3">
        <f>E48</f>
        <v>1.0484308043772022</v>
      </c>
      <c r="J85" s="84" t="s">
        <v>293</v>
      </c>
      <c r="K85" s="84" t="s">
        <v>338</v>
      </c>
      <c r="L85" s="85">
        <v>0.90342203936007992</v>
      </c>
      <c r="M85" s="85">
        <v>1.037773373737374</v>
      </c>
    </row>
    <row r="86" spans="2:15" x14ac:dyDescent="0.3">
      <c r="B86" t="s">
        <v>402</v>
      </c>
      <c r="C86" t="s">
        <v>338</v>
      </c>
      <c r="E86" s="10">
        <f>E85-D85</f>
        <v>0.14499019701012372</v>
      </c>
      <c r="J86" s="84" t="s">
        <v>402</v>
      </c>
      <c r="K86" s="84" t="s">
        <v>338</v>
      </c>
      <c r="L86" s="84"/>
      <c r="M86" s="85">
        <v>0.13435133437729407</v>
      </c>
    </row>
    <row r="87" spans="2:15" x14ac:dyDescent="0.3">
      <c r="B87" t="s">
        <v>3</v>
      </c>
      <c r="C87" t="s">
        <v>302</v>
      </c>
      <c r="D87" s="8">
        <f>D52</f>
        <v>65.606969248525914</v>
      </c>
      <c r="E87" s="8">
        <f>E52</f>
        <v>72.702284443104006</v>
      </c>
      <c r="J87" s="84" t="s">
        <v>3</v>
      </c>
      <c r="K87" s="84" t="s">
        <v>302</v>
      </c>
      <c r="L87" s="85">
        <v>0.67640923714857426</v>
      </c>
      <c r="M87" s="85">
        <v>0.70702727272727273</v>
      </c>
    </row>
    <row r="88" spans="2:15" x14ac:dyDescent="0.3">
      <c r="B88" t="s">
        <v>277</v>
      </c>
      <c r="C88" t="s">
        <v>302</v>
      </c>
      <c r="D88" s="8">
        <f>D53</f>
        <v>34.392991750083503</v>
      </c>
      <c r="E88" s="8">
        <f>E53</f>
        <v>22.183590476906414</v>
      </c>
      <c r="J88" s="84" t="s">
        <v>277</v>
      </c>
      <c r="K88" s="84" t="s">
        <v>302</v>
      </c>
      <c r="L88" s="85">
        <v>0.32359076285142574</v>
      </c>
      <c r="M88" s="85">
        <v>0.24448995427368156</v>
      </c>
    </row>
    <row r="89" spans="2:15" x14ac:dyDescent="0.3">
      <c r="B89" t="s">
        <v>13</v>
      </c>
      <c r="C89" t="s">
        <v>302</v>
      </c>
      <c r="E89" s="8">
        <f>E54</f>
        <v>5.1141250799895763</v>
      </c>
      <c r="J89" s="84" t="s">
        <v>13</v>
      </c>
      <c r="K89" s="84" t="s">
        <v>302</v>
      </c>
      <c r="L89" s="85"/>
      <c r="M89" s="85">
        <v>4.8482772999045687E-2</v>
      </c>
    </row>
    <row r="90" spans="2:15" x14ac:dyDescent="0.3">
      <c r="B90" t="s">
        <v>35</v>
      </c>
      <c r="D90" s="3">
        <f>D58</f>
        <v>7.7391105312569399</v>
      </c>
      <c r="E90" s="3">
        <f>E58</f>
        <v>7.9158771962726826</v>
      </c>
      <c r="J90" s="84" t="s">
        <v>35</v>
      </c>
      <c r="K90" s="84"/>
      <c r="L90" s="35">
        <v>7.76</v>
      </c>
      <c r="M90" s="35">
        <v>7.9927272727272713</v>
      </c>
    </row>
    <row r="91" spans="2:15" x14ac:dyDescent="0.3">
      <c r="B91" t="s">
        <v>52</v>
      </c>
      <c r="C91" t="s">
        <v>621</v>
      </c>
      <c r="D91" s="31">
        <f>D59</f>
        <v>0.10991196540070783</v>
      </c>
      <c r="E91" s="31">
        <f>E59</f>
        <v>0.12059393120791559</v>
      </c>
      <c r="J91" s="84" t="s">
        <v>52</v>
      </c>
      <c r="K91" s="84" t="s">
        <v>621</v>
      </c>
      <c r="L91" s="85">
        <v>0.10625860627059272</v>
      </c>
      <c r="M91" s="85">
        <v>0.11762468620579689</v>
      </c>
      <c r="O91" t="s">
        <v>1392</v>
      </c>
    </row>
    <row r="92" spans="2:15" x14ac:dyDescent="0.3">
      <c r="B92" t="s">
        <v>558</v>
      </c>
      <c r="C92" t="s">
        <v>621</v>
      </c>
      <c r="D92" s="10">
        <f>L92</f>
        <v>1.3747359991587301E-3</v>
      </c>
      <c r="E92" s="10">
        <f>M92</f>
        <v>1.0727821164823999E-3</v>
      </c>
      <c r="G92" t="s">
        <v>1396</v>
      </c>
      <c r="J92" s="84" t="s">
        <v>558</v>
      </c>
      <c r="K92" s="84" t="s">
        <v>621</v>
      </c>
      <c r="L92" s="85">
        <v>1.3747359991587301E-3</v>
      </c>
      <c r="M92" s="85">
        <v>1.0727821164823999E-3</v>
      </c>
    </row>
    <row r="93" spans="2:15" x14ac:dyDescent="0.3">
      <c r="B93" s="12"/>
      <c r="C93" s="12"/>
      <c r="J93" s="101"/>
      <c r="K93" s="101"/>
      <c r="L93" s="101"/>
      <c r="M93" s="101"/>
      <c r="N93" s="10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8CB8-5DA9-4F6A-BC53-28635D8D5934}">
  <dimension ref="A2:P394"/>
  <sheetViews>
    <sheetView zoomScaleNormal="100" workbookViewId="0"/>
  </sheetViews>
  <sheetFormatPr defaultRowHeight="14.4" x14ac:dyDescent="0.3"/>
  <cols>
    <col min="1" max="1" width="11.77734375" customWidth="1"/>
    <col min="2" max="2" width="25.77734375" customWidth="1"/>
    <col min="3" max="3" width="10.109375" customWidth="1"/>
    <col min="4" max="4" width="12.33203125" customWidth="1"/>
    <col min="5" max="6" width="8.21875" bestFit="1" customWidth="1"/>
    <col min="7" max="7" width="9.77734375" customWidth="1"/>
    <col min="8" max="9" width="8.21875" bestFit="1" customWidth="1"/>
    <col min="10" max="10" width="9.5546875" bestFit="1" customWidth="1"/>
    <col min="11" max="11" width="8.21875" bestFit="1" customWidth="1"/>
    <col min="12" max="12" width="8.6640625" bestFit="1" customWidth="1"/>
    <col min="15" max="15" width="8.21875" bestFit="1" customWidth="1"/>
    <col min="16" max="16" width="12.33203125" bestFit="1" customWidth="1"/>
    <col min="17" max="17" width="7.109375" bestFit="1" customWidth="1"/>
    <col min="18" max="18" width="8.88671875" bestFit="1" customWidth="1"/>
    <col min="19" max="19" width="7.44140625" bestFit="1" customWidth="1"/>
    <col min="20" max="20" width="15.5546875" bestFit="1" customWidth="1"/>
    <col min="21" max="21" width="7" bestFit="1" customWidth="1"/>
    <col min="22" max="22" width="8.109375" bestFit="1" customWidth="1"/>
    <col min="23" max="23" width="8.77734375" bestFit="1" customWidth="1"/>
    <col min="24" max="24" width="18.44140625" bestFit="1" customWidth="1"/>
    <col min="25" max="25" width="14.33203125" bestFit="1" customWidth="1"/>
    <col min="26" max="26" width="16" bestFit="1" customWidth="1"/>
  </cols>
  <sheetData>
    <row r="2" spans="1:6" x14ac:dyDescent="0.3">
      <c r="B2" s="14" t="s">
        <v>1744</v>
      </c>
    </row>
    <row r="3" spans="1:6" x14ac:dyDescent="0.3">
      <c r="B3" t="s">
        <v>266</v>
      </c>
    </row>
    <row r="4" spans="1:6" x14ac:dyDescent="0.3">
      <c r="B4" t="s">
        <v>502</v>
      </c>
    </row>
    <row r="6" spans="1:6" s="101" customFormat="1" x14ac:dyDescent="0.3">
      <c r="A6" s="148"/>
      <c r="B6" s="148" t="s">
        <v>114</v>
      </c>
      <c r="D6" s="101" t="s">
        <v>209</v>
      </c>
    </row>
    <row r="7" spans="1:6" s="101" customFormat="1" x14ac:dyDescent="0.3">
      <c r="A7" s="133"/>
      <c r="B7" s="101" t="s">
        <v>667</v>
      </c>
      <c r="C7" s="101" t="s">
        <v>503</v>
      </c>
      <c r="D7" s="101">
        <v>55</v>
      </c>
    </row>
    <row r="8" spans="1:6" s="101" customFormat="1" x14ac:dyDescent="0.3">
      <c r="A8" s="133"/>
      <c r="B8" s="101" t="s">
        <v>1324</v>
      </c>
      <c r="D8" s="101" t="s">
        <v>1091</v>
      </c>
    </row>
    <row r="9" spans="1:6" s="101" customFormat="1" x14ac:dyDescent="0.3">
      <c r="A9" s="133"/>
      <c r="B9" s="101" t="s">
        <v>956</v>
      </c>
      <c r="C9" s="101" t="s">
        <v>22</v>
      </c>
      <c r="D9" s="101">
        <v>4.5</v>
      </c>
    </row>
    <row r="10" spans="1:6" x14ac:dyDescent="0.3">
      <c r="A10" s="133"/>
      <c r="B10" t="s">
        <v>32</v>
      </c>
      <c r="C10" t="s">
        <v>22</v>
      </c>
      <c r="D10">
        <v>3.5</v>
      </c>
    </row>
    <row r="11" spans="1:6" s="101" customFormat="1" x14ac:dyDescent="0.3">
      <c r="A11" s="133"/>
      <c r="B11" s="101" t="s">
        <v>326</v>
      </c>
      <c r="D11" s="101" t="s">
        <v>1355</v>
      </c>
      <c r="E11" s="101">
        <v>65</v>
      </c>
      <c r="F11" s="101" t="s">
        <v>327</v>
      </c>
    </row>
    <row r="12" spans="1:6" s="101" customFormat="1" x14ac:dyDescent="0.3">
      <c r="A12" s="133"/>
      <c r="B12" s="101" t="s">
        <v>344</v>
      </c>
      <c r="D12" s="101" t="s">
        <v>694</v>
      </c>
    </row>
    <row r="13" spans="1:6" s="101" customFormat="1" x14ac:dyDescent="0.3">
      <c r="A13" s="133"/>
      <c r="B13" s="101" t="s">
        <v>1332</v>
      </c>
      <c r="D13" s="101" t="s">
        <v>342</v>
      </c>
    </row>
    <row r="14" spans="1:6" s="101" customFormat="1" x14ac:dyDescent="0.3">
      <c r="A14" s="133"/>
      <c r="B14" s="101" t="s">
        <v>1330</v>
      </c>
      <c r="D14" s="101" t="s">
        <v>1333</v>
      </c>
      <c r="E14" s="101" t="s">
        <v>1789</v>
      </c>
    </row>
    <row r="15" spans="1:6" s="133" customFormat="1" x14ac:dyDescent="0.3">
      <c r="B15" s="133" t="s">
        <v>1968</v>
      </c>
      <c r="D15" s="133" t="s">
        <v>2090</v>
      </c>
      <c r="E15" s="133" t="s">
        <v>1970</v>
      </c>
    </row>
    <row r="16" spans="1:6" s="133" customFormat="1" x14ac:dyDescent="0.3">
      <c r="B16" s="133" t="s">
        <v>1541</v>
      </c>
      <c r="D16" s="133" t="s">
        <v>2151</v>
      </c>
    </row>
    <row r="17" spans="2:16" s="133" customFormat="1" x14ac:dyDescent="0.3">
      <c r="B17" s="133" t="s">
        <v>1599</v>
      </c>
      <c r="D17" s="133" t="s">
        <v>1790</v>
      </c>
    </row>
    <row r="18" spans="2:16" s="101" customFormat="1" x14ac:dyDescent="0.3"/>
    <row r="19" spans="2:16" s="101" customFormat="1" x14ac:dyDescent="0.3">
      <c r="B19" s="101" t="s">
        <v>35</v>
      </c>
      <c r="D19" s="101">
        <v>7.2</v>
      </c>
    </row>
    <row r="20" spans="2:16" s="101" customFormat="1" x14ac:dyDescent="0.3">
      <c r="B20" s="101" t="s">
        <v>1316</v>
      </c>
      <c r="C20" s="101" t="s">
        <v>1317</v>
      </c>
      <c r="D20" s="101">
        <v>0.9</v>
      </c>
    </row>
    <row r="21" spans="2:16" s="101" customFormat="1" x14ac:dyDescent="0.3">
      <c r="B21" s="101" t="s">
        <v>1079</v>
      </c>
      <c r="C21" s="101" t="s">
        <v>693</v>
      </c>
      <c r="D21" s="101">
        <v>2.1</v>
      </c>
    </row>
    <row r="22" spans="2:16" x14ac:dyDescent="0.3">
      <c r="B22" t="s">
        <v>27</v>
      </c>
      <c r="C22" t="s">
        <v>28</v>
      </c>
      <c r="D22">
        <v>60</v>
      </c>
    </row>
    <row r="23" spans="2:16" x14ac:dyDescent="0.3">
      <c r="B23" t="s">
        <v>29</v>
      </c>
      <c r="C23" t="s">
        <v>28</v>
      </c>
      <c r="D23">
        <v>30</v>
      </c>
    </row>
    <row r="24" spans="2:16" x14ac:dyDescent="0.3">
      <c r="B24" t="s">
        <v>1321</v>
      </c>
      <c r="C24" t="s">
        <v>30</v>
      </c>
      <c r="D24">
        <v>26</v>
      </c>
    </row>
    <row r="25" spans="2:16" x14ac:dyDescent="0.3">
      <c r="B25" t="s">
        <v>138</v>
      </c>
      <c r="D25" s="10">
        <f>D24/D23</f>
        <v>0.8666666666666667</v>
      </c>
    </row>
    <row r="26" spans="2:16" x14ac:dyDescent="0.3">
      <c r="B26" t="s">
        <v>452</v>
      </c>
      <c r="C26" t="s">
        <v>268</v>
      </c>
      <c r="D26">
        <v>60</v>
      </c>
    </row>
    <row r="27" spans="2:16" x14ac:dyDescent="0.3">
      <c r="C27" t="s">
        <v>269</v>
      </c>
      <c r="D27">
        <v>4</v>
      </c>
    </row>
    <row r="28" spans="2:16" x14ac:dyDescent="0.3">
      <c r="C28" t="s">
        <v>31</v>
      </c>
      <c r="D28">
        <f>D26*D27</f>
        <v>240</v>
      </c>
    </row>
    <row r="29" spans="2:16" x14ac:dyDescent="0.3">
      <c r="B29" t="s">
        <v>26</v>
      </c>
      <c r="C29" t="s">
        <v>25</v>
      </c>
      <c r="D29" s="3">
        <f>D10*1000/D28</f>
        <v>14.583333333333334</v>
      </c>
      <c r="F29" t="s">
        <v>1322</v>
      </c>
    </row>
    <row r="30" spans="2:16" x14ac:dyDescent="0.3">
      <c r="B30" t="s">
        <v>33</v>
      </c>
      <c r="C30" t="s">
        <v>34</v>
      </c>
      <c r="D30" s="3">
        <f>D28*D24/1000</f>
        <v>6.24</v>
      </c>
      <c r="F30" t="s">
        <v>1320</v>
      </c>
    </row>
    <row r="31" spans="2:16" x14ac:dyDescent="0.3">
      <c r="C31" t="s">
        <v>270</v>
      </c>
      <c r="D31" s="3">
        <f>D30/D10</f>
        <v>1.7828571428571429</v>
      </c>
      <c r="P31" s="3"/>
    </row>
    <row r="32" spans="2:16" x14ac:dyDescent="0.3">
      <c r="B32" t="s">
        <v>267</v>
      </c>
      <c r="C32" t="s">
        <v>24</v>
      </c>
      <c r="D32">
        <v>1.5</v>
      </c>
    </row>
    <row r="33" spans="2:16" x14ac:dyDescent="0.3">
      <c r="C33" t="s">
        <v>25</v>
      </c>
      <c r="D33">
        <v>45</v>
      </c>
      <c r="F33" t="s">
        <v>1334</v>
      </c>
    </row>
    <row r="34" spans="2:16" x14ac:dyDescent="0.3">
      <c r="B34" t="s">
        <v>26</v>
      </c>
      <c r="C34" t="s">
        <v>1315</v>
      </c>
      <c r="D34">
        <v>3</v>
      </c>
    </row>
    <row r="35" spans="2:16" x14ac:dyDescent="0.3">
      <c r="B35" t="s">
        <v>26</v>
      </c>
      <c r="C35" t="s">
        <v>25</v>
      </c>
      <c r="D35">
        <f>D33/D34</f>
        <v>15</v>
      </c>
    </row>
    <row r="36" spans="2:16" s="101" customFormat="1" x14ac:dyDescent="0.3"/>
    <row r="37" spans="2:16" x14ac:dyDescent="0.3">
      <c r="B37" t="s">
        <v>307</v>
      </c>
      <c r="D37" t="s">
        <v>305</v>
      </c>
      <c r="E37" t="s">
        <v>306</v>
      </c>
      <c r="F37" t="s">
        <v>313</v>
      </c>
      <c r="P37" s="3"/>
    </row>
    <row r="38" spans="2:16" x14ac:dyDescent="0.3">
      <c r="B38" t="s">
        <v>308</v>
      </c>
      <c r="C38" t="s">
        <v>315</v>
      </c>
      <c r="D38" s="8">
        <v>29.1</v>
      </c>
      <c r="E38">
        <v>25.1</v>
      </c>
      <c r="F38" t="s">
        <v>314</v>
      </c>
      <c r="P38" s="3"/>
    </row>
    <row r="39" spans="2:16" x14ac:dyDescent="0.3">
      <c r="B39" t="s">
        <v>3</v>
      </c>
      <c r="C39" t="s">
        <v>302</v>
      </c>
      <c r="D39" s="16">
        <v>65</v>
      </c>
      <c r="E39">
        <v>62</v>
      </c>
      <c r="H39" t="s">
        <v>1319</v>
      </c>
      <c r="P39" s="3"/>
    </row>
    <row r="40" spans="2:16" x14ac:dyDescent="0.3">
      <c r="B40" t="s">
        <v>13</v>
      </c>
      <c r="C40" t="s">
        <v>302</v>
      </c>
      <c r="D40" s="16">
        <v>20</v>
      </c>
      <c r="E40">
        <v>0</v>
      </c>
      <c r="F40" t="s">
        <v>314</v>
      </c>
      <c r="P40" s="3"/>
    </row>
    <row r="41" spans="2:16" x14ac:dyDescent="0.3">
      <c r="B41" t="s">
        <v>277</v>
      </c>
      <c r="C41" t="s">
        <v>302</v>
      </c>
      <c r="D41" s="16">
        <v>15</v>
      </c>
      <c r="E41">
        <v>38</v>
      </c>
      <c r="F41" t="s">
        <v>314</v>
      </c>
      <c r="P41" s="3"/>
    </row>
    <row r="42" spans="2:16" x14ac:dyDescent="0.3">
      <c r="B42" t="s">
        <v>319</v>
      </c>
      <c r="C42" t="s">
        <v>315</v>
      </c>
      <c r="D42" s="8">
        <v>18.899999999999999</v>
      </c>
      <c r="E42">
        <v>15.5</v>
      </c>
      <c r="F42" t="s">
        <v>314</v>
      </c>
      <c r="P42" s="3"/>
    </row>
    <row r="43" spans="2:16" x14ac:dyDescent="0.3">
      <c r="B43" t="s">
        <v>320</v>
      </c>
      <c r="C43" t="s">
        <v>315</v>
      </c>
      <c r="D43" s="8">
        <v>4.3</v>
      </c>
      <c r="E43">
        <v>9.5</v>
      </c>
      <c r="F43" t="s">
        <v>314</v>
      </c>
      <c r="P43" s="3"/>
    </row>
    <row r="44" spans="2:16" x14ac:dyDescent="0.3">
      <c r="B44" t="s">
        <v>296</v>
      </c>
      <c r="C44" t="s">
        <v>315</v>
      </c>
      <c r="D44" s="8">
        <v>22.8</v>
      </c>
      <c r="E44">
        <v>0</v>
      </c>
      <c r="F44" t="s">
        <v>314</v>
      </c>
      <c r="P44" s="3"/>
    </row>
    <row r="45" spans="2:16" x14ac:dyDescent="0.3">
      <c r="B45" t="s">
        <v>35</v>
      </c>
      <c r="D45" s="3">
        <v>8.3000000000000007</v>
      </c>
      <c r="E45">
        <v>8</v>
      </c>
      <c r="F45" t="s">
        <v>314</v>
      </c>
      <c r="P45" s="3"/>
    </row>
    <row r="46" spans="2:16" x14ac:dyDescent="0.3">
      <c r="B46" t="s">
        <v>309</v>
      </c>
      <c r="C46" t="s">
        <v>316</v>
      </c>
      <c r="D46" s="8">
        <v>24</v>
      </c>
      <c r="E46">
        <v>7.2</v>
      </c>
      <c r="F46" t="s">
        <v>314</v>
      </c>
      <c r="P46" s="3"/>
    </row>
    <row r="47" spans="2:16" x14ac:dyDescent="0.3">
      <c r="B47" t="s">
        <v>310</v>
      </c>
      <c r="C47" t="s">
        <v>316</v>
      </c>
      <c r="D47" s="8">
        <v>4</v>
      </c>
      <c r="E47">
        <v>1.3</v>
      </c>
      <c r="F47" t="s">
        <v>314</v>
      </c>
      <c r="P47" s="3"/>
    </row>
    <row r="48" spans="2:16" x14ac:dyDescent="0.3">
      <c r="B48" t="s">
        <v>311</v>
      </c>
      <c r="C48" t="s">
        <v>316</v>
      </c>
      <c r="D48" s="3">
        <v>0.8</v>
      </c>
      <c r="E48">
        <v>0.21</v>
      </c>
      <c r="F48" t="s">
        <v>314</v>
      </c>
      <c r="P48" s="3"/>
    </row>
    <row r="49" spans="2:16" x14ac:dyDescent="0.3">
      <c r="B49" t="s">
        <v>312</v>
      </c>
      <c r="C49" t="s">
        <v>47</v>
      </c>
      <c r="D49" s="3">
        <v>1.28</v>
      </c>
      <c r="E49">
        <v>1.21</v>
      </c>
      <c r="P49" s="3"/>
    </row>
    <row r="50" spans="2:16" x14ac:dyDescent="0.3">
      <c r="C50" s="3"/>
      <c r="P50" s="3"/>
    </row>
    <row r="51" spans="2:16" x14ac:dyDescent="0.3">
      <c r="B51" s="6" t="s">
        <v>877</v>
      </c>
      <c r="C51" s="3"/>
      <c r="P51" s="3"/>
    </row>
    <row r="52" spans="2:16" x14ac:dyDescent="0.3">
      <c r="B52" s="27" t="s">
        <v>2046</v>
      </c>
      <c r="C52" t="s">
        <v>315</v>
      </c>
      <c r="D52" s="8">
        <f>D42+D43+D38*D40/100</f>
        <v>29.02</v>
      </c>
      <c r="E52" s="8">
        <f>E42+E43+E38*E40/100</f>
        <v>25</v>
      </c>
      <c r="P52" s="3"/>
    </row>
    <row r="53" spans="2:16" x14ac:dyDescent="0.3">
      <c r="B53" s="27" t="s">
        <v>332</v>
      </c>
      <c r="C53" t="s">
        <v>302</v>
      </c>
      <c r="D53" s="37">
        <f>D39/(D$39+D$41)</f>
        <v>0.8125</v>
      </c>
      <c r="E53" s="27"/>
      <c r="P53" s="3"/>
    </row>
    <row r="54" spans="2:16" x14ac:dyDescent="0.3">
      <c r="B54" s="27" t="s">
        <v>333</v>
      </c>
      <c r="C54" t="s">
        <v>302</v>
      </c>
      <c r="D54" s="37">
        <f>D41/(D$39+D$41)</f>
        <v>0.1875</v>
      </c>
      <c r="E54" s="27"/>
      <c r="P54" s="3"/>
    </row>
    <row r="55" spans="2:16" x14ac:dyDescent="0.3">
      <c r="B55" s="27" t="s">
        <v>317</v>
      </c>
      <c r="C55" t="s">
        <v>315</v>
      </c>
      <c r="D55" s="39">
        <f>D38*D39/100</f>
        <v>18.914999999999999</v>
      </c>
      <c r="E55" s="39">
        <f>E38*E39/100</f>
        <v>15.562000000000001</v>
      </c>
      <c r="P55" s="3"/>
    </row>
    <row r="56" spans="2:16" x14ac:dyDescent="0.3">
      <c r="B56" s="27" t="s">
        <v>318</v>
      </c>
      <c r="C56" t="s">
        <v>315</v>
      </c>
      <c r="D56" s="39">
        <f>D38*D41/100</f>
        <v>4.3650000000000002</v>
      </c>
      <c r="E56" s="39">
        <f>E38*E41/100</f>
        <v>9.5380000000000003</v>
      </c>
      <c r="P56" s="3"/>
    </row>
    <row r="57" spans="2:16" x14ac:dyDescent="0.3">
      <c r="B57" s="27" t="s">
        <v>321</v>
      </c>
      <c r="C57" t="s">
        <v>315</v>
      </c>
      <c r="D57" s="39">
        <v>28.6</v>
      </c>
      <c r="E57" s="27"/>
      <c r="P57" s="3"/>
    </row>
    <row r="58" spans="2:16" x14ac:dyDescent="0.3">
      <c r="B58" s="27" t="s">
        <v>323</v>
      </c>
      <c r="C58" t="s">
        <v>315</v>
      </c>
      <c r="D58" s="39">
        <f>D40*D38/100</f>
        <v>5.82</v>
      </c>
      <c r="E58" s="27"/>
      <c r="P58" s="3"/>
    </row>
    <row r="59" spans="2:16" x14ac:dyDescent="0.3">
      <c r="B59" s="27" t="s">
        <v>433</v>
      </c>
      <c r="C59" t="s">
        <v>315</v>
      </c>
      <c r="D59" s="39">
        <f>D57-D58</f>
        <v>22.78</v>
      </c>
      <c r="E59" s="27"/>
      <c r="P59" s="3"/>
    </row>
    <row r="60" spans="2:16" x14ac:dyDescent="0.3">
      <c r="B60" s="27" t="s">
        <v>461</v>
      </c>
      <c r="C60" t="s">
        <v>315</v>
      </c>
      <c r="D60" s="37">
        <f>D42-E42</f>
        <v>3.3999999999999986</v>
      </c>
      <c r="E60" s="27"/>
      <c r="I60" t="s">
        <v>380</v>
      </c>
      <c r="P60" s="3"/>
    </row>
    <row r="61" spans="2:16" x14ac:dyDescent="0.3">
      <c r="B61" s="27" t="s">
        <v>465</v>
      </c>
      <c r="C61" t="s">
        <v>315</v>
      </c>
      <c r="D61" s="37">
        <f>E43-D43</f>
        <v>5.2</v>
      </c>
      <c r="E61" s="27"/>
      <c r="I61" t="s">
        <v>380</v>
      </c>
      <c r="P61" s="3"/>
    </row>
    <row r="62" spans="2:16" x14ac:dyDescent="0.3">
      <c r="B62" s="27" t="s">
        <v>2046</v>
      </c>
      <c r="C62" t="s">
        <v>338</v>
      </c>
      <c r="D62" s="10">
        <f>D52*24/1000</f>
        <v>0.69647999999999999</v>
      </c>
      <c r="E62" s="10">
        <f>E52*24/1000</f>
        <v>0.6</v>
      </c>
      <c r="P62" s="3"/>
    </row>
    <row r="63" spans="2:16" s="101" customFormat="1" x14ac:dyDescent="0.3">
      <c r="B63" s="27" t="s">
        <v>317</v>
      </c>
      <c r="C63" s="101" t="s">
        <v>338</v>
      </c>
      <c r="D63" s="37">
        <f>D55*24/1000</f>
        <v>0.45395999999999997</v>
      </c>
      <c r="E63" s="37">
        <f>E55*24/1000</f>
        <v>0.37348800000000004</v>
      </c>
      <c r="P63" s="3"/>
    </row>
    <row r="64" spans="2:16" s="101" customFormat="1" x14ac:dyDescent="0.3">
      <c r="B64" s="27" t="s">
        <v>318</v>
      </c>
      <c r="C64" s="101" t="s">
        <v>338</v>
      </c>
      <c r="D64" s="37">
        <f>D56*24/1000</f>
        <v>0.10476000000000001</v>
      </c>
      <c r="E64" s="37">
        <f>E56*24/1000</f>
        <v>0.228912</v>
      </c>
      <c r="P64" s="3"/>
    </row>
    <row r="65" spans="1:16" s="133" customFormat="1" x14ac:dyDescent="0.3">
      <c r="B65" s="148" t="s">
        <v>308</v>
      </c>
      <c r="C65" s="133" t="s">
        <v>338</v>
      </c>
      <c r="D65" s="37">
        <f>SUM(D63:D64)</f>
        <v>0.55871999999999999</v>
      </c>
      <c r="E65" s="37">
        <f>SUM(E63:E64)</f>
        <v>0.60240000000000005</v>
      </c>
      <c r="P65" s="134"/>
    </row>
    <row r="66" spans="1:16" s="101" customFormat="1" x14ac:dyDescent="0.3">
      <c r="A66" s="133"/>
      <c r="B66" s="133" t="s">
        <v>321</v>
      </c>
      <c r="C66" s="101" t="s">
        <v>338</v>
      </c>
      <c r="D66" s="37">
        <f>D57*24/1000</f>
        <v>0.68640000000000012</v>
      </c>
      <c r="E66" s="37"/>
      <c r="P66" s="3"/>
    </row>
    <row r="67" spans="1:16" s="101" customFormat="1" x14ac:dyDescent="0.3">
      <c r="A67" s="133"/>
      <c r="B67" s="133" t="s">
        <v>323</v>
      </c>
      <c r="C67" s="101" t="s">
        <v>338</v>
      </c>
      <c r="D67" s="37">
        <f>D58*24/1000</f>
        <v>0.13968</v>
      </c>
      <c r="E67" s="37"/>
      <c r="P67" s="3"/>
    </row>
    <row r="68" spans="1:16" s="101" customFormat="1" x14ac:dyDescent="0.3">
      <c r="A68" s="133"/>
      <c r="B68" s="133" t="s">
        <v>433</v>
      </c>
      <c r="C68" s="101" t="s">
        <v>338</v>
      </c>
      <c r="D68" s="37">
        <f>D59*24/1000</f>
        <v>0.54671999999999998</v>
      </c>
      <c r="E68" s="37"/>
      <c r="P68" s="3"/>
    </row>
    <row r="69" spans="1:16" x14ac:dyDescent="0.3">
      <c r="A69" s="148"/>
      <c r="B69" s="148" t="s">
        <v>460</v>
      </c>
      <c r="C69" s="101" t="s">
        <v>338</v>
      </c>
      <c r="D69" s="37">
        <f>D68/4</f>
        <v>0.13668</v>
      </c>
      <c r="E69" s="27"/>
      <c r="I69" t="s">
        <v>381</v>
      </c>
      <c r="P69" s="3"/>
    </row>
    <row r="70" spans="1:16" s="101" customFormat="1" x14ac:dyDescent="0.3">
      <c r="A70" s="148"/>
      <c r="B70" s="148" t="s">
        <v>402</v>
      </c>
      <c r="C70" s="101" t="s">
        <v>338</v>
      </c>
      <c r="D70" s="37">
        <f>D60*24/1000</f>
        <v>8.1599999999999964E-2</v>
      </c>
      <c r="E70" s="37"/>
      <c r="P70" s="3"/>
    </row>
    <row r="71" spans="1:16" s="101" customFormat="1" x14ac:dyDescent="0.3">
      <c r="A71" s="148"/>
      <c r="B71" s="148" t="s">
        <v>2086</v>
      </c>
      <c r="C71" s="101" t="s">
        <v>338</v>
      </c>
      <c r="D71" s="37">
        <f>D61*24/1000</f>
        <v>0.12480000000000001</v>
      </c>
      <c r="E71" s="37"/>
      <c r="P71" s="3"/>
    </row>
    <row r="72" spans="1:16" s="133" customFormat="1" x14ac:dyDescent="0.3">
      <c r="A72" s="148"/>
      <c r="B72" s="148" t="s">
        <v>93</v>
      </c>
      <c r="D72" s="37">
        <f>D66/E64</f>
        <v>2.9985321870413091</v>
      </c>
      <c r="E72" s="148"/>
      <c r="P72" s="134"/>
    </row>
    <row r="73" spans="1:16" x14ac:dyDescent="0.3">
      <c r="A73" s="148"/>
      <c r="B73" s="148" t="s">
        <v>462</v>
      </c>
      <c r="C73" t="s">
        <v>92</v>
      </c>
      <c r="D73" s="37">
        <f>D68/D66</f>
        <v>0.79650349650349639</v>
      </c>
      <c r="E73" s="27"/>
      <c r="P73" s="3"/>
    </row>
    <row r="74" spans="1:16" x14ac:dyDescent="0.3">
      <c r="A74" s="148"/>
      <c r="B74" s="148" t="s">
        <v>2085</v>
      </c>
      <c r="C74" t="s">
        <v>92</v>
      </c>
      <c r="D74" s="37">
        <f>D70/D69</f>
        <v>0.59701492537313405</v>
      </c>
      <c r="E74" s="27"/>
      <c r="P74" s="3"/>
    </row>
    <row r="75" spans="1:16" x14ac:dyDescent="0.3">
      <c r="A75" s="148"/>
      <c r="B75" s="148" t="s">
        <v>2087</v>
      </c>
      <c r="C75" t="s">
        <v>92</v>
      </c>
      <c r="D75" s="37">
        <f>D71/D69</f>
        <v>0.91308165057067614</v>
      </c>
      <c r="E75" s="27"/>
      <c r="P75" s="3"/>
    </row>
    <row r="76" spans="1:16" x14ac:dyDescent="0.3">
      <c r="A76" s="148"/>
      <c r="B76" s="148" t="s">
        <v>2088</v>
      </c>
      <c r="C76" t="s">
        <v>92</v>
      </c>
      <c r="D76" s="37">
        <f>D70/D71</f>
        <v>0.65384615384615352</v>
      </c>
      <c r="E76" s="27"/>
      <c r="P76" s="3"/>
    </row>
    <row r="77" spans="1:16" s="133" customFormat="1" x14ac:dyDescent="0.3">
      <c r="A77" s="148"/>
      <c r="B77" s="148" t="s">
        <v>2096</v>
      </c>
      <c r="C77" s="133" t="s">
        <v>92</v>
      </c>
      <c r="D77" s="37">
        <f>D70/E64</f>
        <v>0.35646886139651901</v>
      </c>
      <c r="E77" s="148"/>
      <c r="F77" s="37"/>
      <c r="G77" s="148"/>
      <c r="H77" s="37"/>
      <c r="I77" s="148"/>
    </row>
    <row r="78" spans="1:16" s="133" customFormat="1" x14ac:dyDescent="0.3">
      <c r="A78" s="148"/>
      <c r="B78" s="148" t="s">
        <v>2097</v>
      </c>
      <c r="C78" s="133" t="s">
        <v>92</v>
      </c>
      <c r="D78" s="37">
        <f>D65/E65</f>
        <v>0.92749003984063738</v>
      </c>
      <c r="E78" s="148"/>
      <c r="F78" s="37"/>
      <c r="G78" s="148"/>
      <c r="H78" s="37"/>
      <c r="I78" s="148"/>
    </row>
    <row r="79" spans="1:16" x14ac:dyDescent="0.3">
      <c r="A79" s="148"/>
      <c r="B79" s="148" t="s">
        <v>2081</v>
      </c>
      <c r="D79" s="37">
        <f>D59/D60</f>
        <v>6.7000000000000028</v>
      </c>
      <c r="E79" s="27"/>
      <c r="P79" s="3"/>
    </row>
    <row r="80" spans="1:16" x14ac:dyDescent="0.3">
      <c r="A80" s="148"/>
      <c r="B80" s="148" t="s">
        <v>2137</v>
      </c>
      <c r="D80" s="37">
        <f>D68/D71</f>
        <v>4.3807692307692303</v>
      </c>
      <c r="E80" s="27"/>
      <c r="P80" s="3"/>
    </row>
    <row r="81" spans="1:16" x14ac:dyDescent="0.3">
      <c r="A81" s="148"/>
      <c r="B81" s="27"/>
      <c r="C81" s="3"/>
      <c r="D81" s="6"/>
      <c r="P81" s="3"/>
    </row>
    <row r="82" spans="1:16" x14ac:dyDescent="0.3">
      <c r="B82" s="6" t="s">
        <v>359</v>
      </c>
      <c r="P82" s="3"/>
    </row>
    <row r="83" spans="1:16" s="133" customFormat="1" x14ac:dyDescent="0.3">
      <c r="B83" s="133" t="s">
        <v>1795</v>
      </c>
      <c r="D83" s="477" t="s">
        <v>1686</v>
      </c>
      <c r="E83" s="477" t="s">
        <v>1686</v>
      </c>
      <c r="P83" s="134"/>
    </row>
    <row r="84" spans="1:16" s="133" customFormat="1" x14ac:dyDescent="0.3">
      <c r="B84" s="133" t="s">
        <v>1791</v>
      </c>
      <c r="D84" s="134" t="s">
        <v>1105</v>
      </c>
      <c r="E84" s="134" t="s">
        <v>1104</v>
      </c>
      <c r="P84" s="134"/>
    </row>
    <row r="85" spans="1:16" x14ac:dyDescent="0.3">
      <c r="B85" t="s">
        <v>33</v>
      </c>
      <c r="C85" t="s">
        <v>270</v>
      </c>
      <c r="D85" s="3">
        <f>D30</f>
        <v>6.24</v>
      </c>
      <c r="E85" s="3">
        <f>D30</f>
        <v>6.24</v>
      </c>
      <c r="P85" s="3"/>
    </row>
    <row r="86" spans="1:16" x14ac:dyDescent="0.3">
      <c r="B86" t="s">
        <v>26</v>
      </c>
      <c r="C86" t="s">
        <v>25</v>
      </c>
      <c r="D86" s="8">
        <f>D29</f>
        <v>14.583333333333334</v>
      </c>
      <c r="E86" s="8">
        <f>D29</f>
        <v>14.583333333333334</v>
      </c>
      <c r="G86" s="3">
        <f>D29</f>
        <v>14.583333333333334</v>
      </c>
      <c r="H86" t="s">
        <v>1318</v>
      </c>
      <c r="P86" s="3"/>
    </row>
    <row r="87" spans="1:16" s="133" customFormat="1" x14ac:dyDescent="0.3">
      <c r="B87" s="148" t="s">
        <v>1544</v>
      </c>
      <c r="C87" s="133" t="s">
        <v>338</v>
      </c>
      <c r="D87" s="37">
        <f>D66</f>
        <v>0.68640000000000012</v>
      </c>
      <c r="E87" s="148"/>
      <c r="P87" s="134"/>
    </row>
    <row r="88" spans="1:16" x14ac:dyDescent="0.3">
      <c r="B88" t="s">
        <v>351</v>
      </c>
      <c r="C88" t="s">
        <v>377</v>
      </c>
      <c r="D88" s="10">
        <f>D42*24/(D85*1000)</f>
        <v>7.2692307692307681E-2</v>
      </c>
      <c r="E88" s="10">
        <f>E42*24/(E85*1000)</f>
        <v>5.9615384615384619E-2</v>
      </c>
      <c r="P88" s="3"/>
    </row>
    <row r="89" spans="1:16" x14ac:dyDescent="0.3">
      <c r="B89" t="s">
        <v>352</v>
      </c>
      <c r="C89" t="s">
        <v>377</v>
      </c>
      <c r="D89" s="10">
        <f>D88-E88</f>
        <v>1.3076923076923062E-2</v>
      </c>
      <c r="P89" s="3"/>
    </row>
    <row r="90" spans="1:16" x14ac:dyDescent="0.3">
      <c r="B90" t="s">
        <v>353</v>
      </c>
      <c r="C90" t="s">
        <v>92</v>
      </c>
      <c r="D90" s="10">
        <f>D89/E88</f>
        <v>0.21935483870967717</v>
      </c>
      <c r="P90" s="3"/>
    </row>
    <row r="91" spans="1:16" x14ac:dyDescent="0.3">
      <c r="B91" t="s">
        <v>293</v>
      </c>
      <c r="C91" t="s">
        <v>338</v>
      </c>
      <c r="D91" s="10">
        <f>D42*24/1000</f>
        <v>0.45359999999999995</v>
      </c>
      <c r="E91" s="10">
        <f>E42*24/1000</f>
        <v>0.372</v>
      </c>
      <c r="P91" s="3"/>
    </row>
    <row r="92" spans="1:16" x14ac:dyDescent="0.3">
      <c r="B92" t="s">
        <v>402</v>
      </c>
      <c r="C92" t="s">
        <v>338</v>
      </c>
      <c r="D92" s="10">
        <f>D91-E91</f>
        <v>8.159999999999995E-2</v>
      </c>
      <c r="P92" s="3"/>
    </row>
    <row r="93" spans="1:16" x14ac:dyDescent="0.3">
      <c r="B93" t="s">
        <v>3</v>
      </c>
      <c r="C93" t="s">
        <v>302</v>
      </c>
      <c r="D93" s="8">
        <f>D39</f>
        <v>65</v>
      </c>
      <c r="E93" s="8">
        <f>E39</f>
        <v>62</v>
      </c>
      <c r="P93" s="3"/>
    </row>
    <row r="94" spans="1:16" x14ac:dyDescent="0.3">
      <c r="B94" t="s">
        <v>277</v>
      </c>
      <c r="C94" t="s">
        <v>302</v>
      </c>
      <c r="D94" s="8">
        <f>D41</f>
        <v>15</v>
      </c>
      <c r="E94" s="8">
        <f>E41</f>
        <v>38</v>
      </c>
      <c r="P94" s="3"/>
    </row>
    <row r="95" spans="1:16" x14ac:dyDescent="0.3">
      <c r="B95" t="s">
        <v>13</v>
      </c>
      <c r="C95" t="s">
        <v>302</v>
      </c>
      <c r="D95" s="8">
        <f>D40</f>
        <v>20</v>
      </c>
      <c r="E95" s="8">
        <f>E40</f>
        <v>0</v>
      </c>
      <c r="P95" s="3"/>
    </row>
    <row r="96" spans="1:16" x14ac:dyDescent="0.3">
      <c r="B96" t="s">
        <v>35</v>
      </c>
      <c r="D96" s="8">
        <f>D45</f>
        <v>8.3000000000000007</v>
      </c>
      <c r="E96" s="8">
        <f>E45</f>
        <v>8</v>
      </c>
      <c r="P96" s="3"/>
    </row>
    <row r="97" spans="2:16" x14ac:dyDescent="0.3">
      <c r="B97" t="s">
        <v>52</v>
      </c>
      <c r="C97" t="s">
        <v>621</v>
      </c>
      <c r="D97" s="3">
        <f>D49/Data!$C$34</f>
        <v>9.1384837256455839E-2</v>
      </c>
      <c r="E97" s="3">
        <f>E49/Data!$C$34</f>
        <v>8.638722896899341E-2</v>
      </c>
      <c r="P97" s="3"/>
    </row>
    <row r="98" spans="2:16" x14ac:dyDescent="0.3">
      <c r="B98" t="s">
        <v>558</v>
      </c>
      <c r="C98" t="s">
        <v>621</v>
      </c>
      <c r="D98" s="3">
        <f>(D46+D47+D48)/1000</f>
        <v>2.8799999999999999E-2</v>
      </c>
      <c r="E98" s="3">
        <f>(E46+E47+E48)/1000</f>
        <v>8.7100000000000007E-3</v>
      </c>
      <c r="P98" s="3"/>
    </row>
    <row r="99" spans="2:16" x14ac:dyDescent="0.3">
      <c r="B99" s="12" t="s">
        <v>757</v>
      </c>
      <c r="C99" s="12" t="s">
        <v>758</v>
      </c>
      <c r="D99" s="8"/>
      <c r="E99" s="8"/>
      <c r="G99" t="s">
        <v>759</v>
      </c>
      <c r="P99" s="3"/>
    </row>
    <row r="100" spans="2:16" x14ac:dyDescent="0.3">
      <c r="C100" s="3"/>
      <c r="P100" s="3"/>
    </row>
    <row r="102" spans="2:16" x14ac:dyDescent="0.3">
      <c r="B102" s="28" t="s">
        <v>1746</v>
      </c>
    </row>
    <row r="103" spans="2:16" x14ac:dyDescent="0.3">
      <c r="B103" s="12" t="s">
        <v>271</v>
      </c>
    </row>
    <row r="104" spans="2:16" x14ac:dyDescent="0.3">
      <c r="B104" s="12" t="s">
        <v>471</v>
      </c>
    </row>
    <row r="107" spans="2:16" x14ac:dyDescent="0.3">
      <c r="B107" s="14" t="s">
        <v>1745</v>
      </c>
    </row>
    <row r="108" spans="2:16" x14ac:dyDescent="0.3">
      <c r="B108" t="s">
        <v>272</v>
      </c>
    </row>
    <row r="109" spans="2:16" x14ac:dyDescent="0.3">
      <c r="B109" t="s">
        <v>472</v>
      </c>
    </row>
    <row r="111" spans="2:16" s="101" customFormat="1" x14ac:dyDescent="0.3">
      <c r="B111" s="148" t="s">
        <v>114</v>
      </c>
      <c r="D111" s="101" t="s">
        <v>1411</v>
      </c>
    </row>
    <row r="112" spans="2:16" s="101" customFormat="1" x14ac:dyDescent="0.3">
      <c r="B112" s="101" t="s">
        <v>667</v>
      </c>
      <c r="C112" s="101" t="s">
        <v>503</v>
      </c>
      <c r="D112" s="101">
        <v>55</v>
      </c>
    </row>
    <row r="113" spans="2:10" s="101" customFormat="1" x14ac:dyDescent="0.3">
      <c r="B113" s="101" t="s">
        <v>1324</v>
      </c>
      <c r="D113" s="101" t="s">
        <v>1091</v>
      </c>
    </row>
    <row r="114" spans="2:10" s="101" customFormat="1" x14ac:dyDescent="0.3">
      <c r="B114" s="101" t="s">
        <v>956</v>
      </c>
      <c r="C114" s="101" t="s">
        <v>22</v>
      </c>
      <c r="D114" s="101">
        <v>1</v>
      </c>
    </row>
    <row r="115" spans="2:10" s="101" customFormat="1" x14ac:dyDescent="0.3">
      <c r="B115" s="101" t="s">
        <v>32</v>
      </c>
      <c r="C115" s="101" t="s">
        <v>22</v>
      </c>
      <c r="D115" s="101">
        <v>0.6</v>
      </c>
    </row>
    <row r="116" spans="2:10" s="101" customFormat="1" x14ac:dyDescent="0.3">
      <c r="B116" s="101" t="s">
        <v>326</v>
      </c>
      <c r="D116" s="101" t="s">
        <v>1360</v>
      </c>
      <c r="E116" s="101" t="s">
        <v>1361</v>
      </c>
      <c r="F116" s="101" t="s">
        <v>327</v>
      </c>
    </row>
    <row r="117" spans="2:10" s="101" customFormat="1" x14ac:dyDescent="0.3">
      <c r="B117" s="101" t="s">
        <v>344</v>
      </c>
      <c r="D117" s="101" t="s">
        <v>694</v>
      </c>
    </row>
    <row r="118" spans="2:10" s="101" customFormat="1" x14ac:dyDescent="0.3">
      <c r="B118" s="101" t="s">
        <v>1332</v>
      </c>
      <c r="D118" s="101" t="s">
        <v>2148</v>
      </c>
    </row>
    <row r="119" spans="2:10" s="101" customFormat="1" x14ac:dyDescent="0.3">
      <c r="B119" s="101" t="s">
        <v>1330</v>
      </c>
      <c r="D119" s="101" t="s">
        <v>1333</v>
      </c>
    </row>
    <row r="120" spans="2:10" s="133" customFormat="1" x14ac:dyDescent="0.3">
      <c r="B120" s="133" t="s">
        <v>1968</v>
      </c>
      <c r="D120" s="133" t="s">
        <v>2090</v>
      </c>
      <c r="E120" s="133" t="s">
        <v>1970</v>
      </c>
    </row>
    <row r="121" spans="2:10" s="133" customFormat="1" x14ac:dyDescent="0.3">
      <c r="B121" s="133" t="s">
        <v>1541</v>
      </c>
      <c r="D121" s="133" t="s">
        <v>1600</v>
      </c>
    </row>
    <row r="122" spans="2:10" s="133" customFormat="1" x14ac:dyDescent="0.3">
      <c r="B122" s="133" t="s">
        <v>1599</v>
      </c>
      <c r="D122" s="133" t="s">
        <v>2127</v>
      </c>
    </row>
    <row r="123" spans="2:10" s="101" customFormat="1" x14ac:dyDescent="0.3"/>
    <row r="124" spans="2:10" x14ac:dyDescent="0.3">
      <c r="B124" t="s">
        <v>44</v>
      </c>
      <c r="D124" t="s">
        <v>45</v>
      </c>
      <c r="E124" t="s">
        <v>46</v>
      </c>
      <c r="F124" t="s">
        <v>49</v>
      </c>
      <c r="G124" s="6" t="s">
        <v>40</v>
      </c>
      <c r="H124" t="s">
        <v>209</v>
      </c>
      <c r="I124" t="s">
        <v>213</v>
      </c>
      <c r="J124" t="s">
        <v>363</v>
      </c>
    </row>
    <row r="125" spans="2:10" x14ac:dyDescent="0.3">
      <c r="B125" t="s">
        <v>14</v>
      </c>
      <c r="C125" t="s">
        <v>47</v>
      </c>
      <c r="D125">
        <v>24.1</v>
      </c>
      <c r="E125">
        <v>98</v>
      </c>
      <c r="F125">
        <v>25.1</v>
      </c>
      <c r="G125" s="8">
        <f>(2*E125/4+3*D125)/5</f>
        <v>24.26</v>
      </c>
      <c r="H125" s="8">
        <f>3*D125/5</f>
        <v>14.460000000000003</v>
      </c>
      <c r="I125" s="8">
        <f>2*E125/20</f>
        <v>9.8000000000000007</v>
      </c>
    </row>
    <row r="126" spans="2:10" x14ac:dyDescent="0.3">
      <c r="B126" t="s">
        <v>48</v>
      </c>
      <c r="C126" t="s">
        <v>47</v>
      </c>
      <c r="D126">
        <v>40.4</v>
      </c>
      <c r="E126">
        <v>150</v>
      </c>
      <c r="F126">
        <v>40</v>
      </c>
      <c r="G126" s="8">
        <f>(2*E126/4+3*D126)/5</f>
        <v>39.239999999999995</v>
      </c>
      <c r="H126" s="8">
        <f>3*D126/5</f>
        <v>24.24</v>
      </c>
      <c r="I126" s="8">
        <f>2*E126/20</f>
        <v>15</v>
      </c>
    </row>
    <row r="127" spans="2:10" x14ac:dyDescent="0.3">
      <c r="B127" t="s">
        <v>51</v>
      </c>
      <c r="C127" t="s">
        <v>17</v>
      </c>
      <c r="D127">
        <v>1092</v>
      </c>
      <c r="E127">
        <v>460</v>
      </c>
      <c r="F127">
        <v>701</v>
      </c>
      <c r="G127" s="8">
        <f>(2*E127/4+3*D127)/5</f>
        <v>701.2</v>
      </c>
      <c r="H127" s="8">
        <f>3*D127/5</f>
        <v>655.20000000000005</v>
      </c>
      <c r="I127" s="8">
        <f>2*E127/20</f>
        <v>46</v>
      </c>
    </row>
    <row r="128" spans="2:10" x14ac:dyDescent="0.3">
      <c r="B128" t="s">
        <v>52</v>
      </c>
      <c r="C128" t="s">
        <v>17</v>
      </c>
      <c r="D128">
        <v>540</v>
      </c>
      <c r="E128">
        <v>89</v>
      </c>
      <c r="F128">
        <v>330</v>
      </c>
      <c r="G128" s="8">
        <f>(2*E128/4+3*D128)/5</f>
        <v>332.9</v>
      </c>
      <c r="H128" s="8">
        <f>3*D128/5</f>
        <v>324</v>
      </c>
      <c r="I128" s="8">
        <f>2*E128/20</f>
        <v>8.9</v>
      </c>
    </row>
    <row r="129" spans="2:11" x14ac:dyDescent="0.3">
      <c r="B129" t="s">
        <v>50</v>
      </c>
    </row>
    <row r="131" spans="2:11" x14ac:dyDescent="0.3">
      <c r="B131" t="s">
        <v>26</v>
      </c>
      <c r="C131">
        <v>15</v>
      </c>
      <c r="D131" t="s">
        <v>25</v>
      </c>
    </row>
    <row r="132" spans="2:11" x14ac:dyDescent="0.3">
      <c r="B132" t="s">
        <v>33</v>
      </c>
      <c r="C132" s="3">
        <f>F125/C131</f>
        <v>1.6733333333333333</v>
      </c>
      <c r="D132" t="s">
        <v>270</v>
      </c>
    </row>
    <row r="133" spans="2:11" x14ac:dyDescent="0.3">
      <c r="C133" s="3">
        <f>F126/C131</f>
        <v>2.6666666666666665</v>
      </c>
      <c r="D133" t="s">
        <v>361</v>
      </c>
    </row>
    <row r="134" spans="2:11" x14ac:dyDescent="0.3">
      <c r="B134" t="s">
        <v>362</v>
      </c>
      <c r="C134" s="3">
        <f>F126/F125</f>
        <v>1.593625498007968</v>
      </c>
    </row>
    <row r="136" spans="2:11" x14ac:dyDescent="0.3">
      <c r="B136" t="s">
        <v>287</v>
      </c>
      <c r="D136" t="s">
        <v>273</v>
      </c>
      <c r="F136" t="s">
        <v>274</v>
      </c>
      <c r="H136" t="s">
        <v>275</v>
      </c>
    </row>
    <row r="137" spans="2:11" x14ac:dyDescent="0.3">
      <c r="D137" t="s">
        <v>324</v>
      </c>
      <c r="E137" t="s">
        <v>325</v>
      </c>
      <c r="F137" t="s">
        <v>324</v>
      </c>
      <c r="G137" t="s">
        <v>325</v>
      </c>
      <c r="H137" t="s">
        <v>324</v>
      </c>
      <c r="I137" t="s">
        <v>325</v>
      </c>
    </row>
    <row r="138" spans="2:11" x14ac:dyDescent="0.3">
      <c r="B138" t="s">
        <v>326</v>
      </c>
      <c r="C138" t="s">
        <v>327</v>
      </c>
      <c r="D138">
        <v>150</v>
      </c>
      <c r="E138">
        <v>150</v>
      </c>
      <c r="F138">
        <v>300</v>
      </c>
      <c r="G138">
        <v>300</v>
      </c>
      <c r="H138">
        <v>150</v>
      </c>
      <c r="I138">
        <v>150</v>
      </c>
    </row>
    <row r="139" spans="2:11" x14ac:dyDescent="0.3">
      <c r="B139" t="s">
        <v>328</v>
      </c>
      <c r="D139" t="s">
        <v>329</v>
      </c>
      <c r="E139" t="s">
        <v>301</v>
      </c>
      <c r="F139" t="s">
        <v>330</v>
      </c>
      <c r="G139" t="s">
        <v>301</v>
      </c>
      <c r="H139" t="s">
        <v>331</v>
      </c>
      <c r="I139" t="s">
        <v>301</v>
      </c>
    </row>
    <row r="140" spans="2:11" x14ac:dyDescent="0.3">
      <c r="B140" t="s">
        <v>308</v>
      </c>
      <c r="C140" s="36" t="s">
        <v>315</v>
      </c>
      <c r="D140">
        <v>1429</v>
      </c>
      <c r="E140">
        <v>874</v>
      </c>
      <c r="F140">
        <v>1235</v>
      </c>
      <c r="G140">
        <v>895</v>
      </c>
      <c r="H140">
        <v>1180</v>
      </c>
      <c r="I140">
        <v>873</v>
      </c>
      <c r="K140" t="s">
        <v>364</v>
      </c>
    </row>
    <row r="141" spans="2:11" x14ac:dyDescent="0.3">
      <c r="B141" t="s">
        <v>3</v>
      </c>
      <c r="C141" t="s">
        <v>302</v>
      </c>
      <c r="D141">
        <v>53</v>
      </c>
      <c r="E141">
        <v>55</v>
      </c>
      <c r="F141">
        <v>68</v>
      </c>
      <c r="G141">
        <v>56</v>
      </c>
      <c r="H141">
        <v>75</v>
      </c>
      <c r="I141">
        <v>56.7</v>
      </c>
    </row>
    <row r="142" spans="2:11" x14ac:dyDescent="0.3">
      <c r="B142" t="s">
        <v>277</v>
      </c>
      <c r="C142" t="s">
        <v>302</v>
      </c>
      <c r="D142">
        <v>13</v>
      </c>
      <c r="E142">
        <v>45</v>
      </c>
      <c r="F142">
        <v>8.8000000000000007</v>
      </c>
      <c r="G142">
        <v>44</v>
      </c>
      <c r="H142">
        <v>6.6</v>
      </c>
      <c r="I142">
        <v>43.3</v>
      </c>
    </row>
    <row r="143" spans="2:11" x14ac:dyDescent="0.3">
      <c r="B143" t="s">
        <v>335</v>
      </c>
      <c r="C143" t="s">
        <v>302</v>
      </c>
      <c r="D143">
        <v>34</v>
      </c>
      <c r="E143">
        <v>0</v>
      </c>
      <c r="F143">
        <v>23.2</v>
      </c>
      <c r="G143">
        <v>0</v>
      </c>
      <c r="H143">
        <v>18.399999999999999</v>
      </c>
      <c r="I143">
        <v>0</v>
      </c>
    </row>
    <row r="144" spans="2:11" x14ac:dyDescent="0.3">
      <c r="B144" t="s">
        <v>319</v>
      </c>
      <c r="C144" s="36" t="s">
        <v>315</v>
      </c>
      <c r="D144">
        <v>757</v>
      </c>
      <c r="E144">
        <v>480</v>
      </c>
      <c r="F144">
        <v>839</v>
      </c>
      <c r="G144">
        <v>501</v>
      </c>
      <c r="H144">
        <v>885</v>
      </c>
      <c r="I144">
        <v>494</v>
      </c>
      <c r="K144" t="s">
        <v>365</v>
      </c>
    </row>
    <row r="145" spans="2:11" x14ac:dyDescent="0.3">
      <c r="B145" t="s">
        <v>320</v>
      </c>
      <c r="C145" s="36" t="s">
        <v>315</v>
      </c>
      <c r="D145">
        <v>185</v>
      </c>
      <c r="E145">
        <v>393</v>
      </c>
      <c r="F145">
        <v>108</v>
      </c>
      <c r="G145">
        <v>393</v>
      </c>
      <c r="H145">
        <v>78</v>
      </c>
      <c r="I145">
        <v>378</v>
      </c>
      <c r="K145" t="s">
        <v>365</v>
      </c>
    </row>
    <row r="146" spans="2:11" x14ac:dyDescent="0.3">
      <c r="B146" t="s">
        <v>296</v>
      </c>
      <c r="C146" s="36" t="s">
        <v>315</v>
      </c>
      <c r="D146">
        <v>1214</v>
      </c>
      <c r="E146" t="s">
        <v>301</v>
      </c>
      <c r="F146">
        <v>1413</v>
      </c>
      <c r="G146" t="s">
        <v>301</v>
      </c>
      <c r="H146">
        <v>1482</v>
      </c>
      <c r="I146" t="s">
        <v>301</v>
      </c>
      <c r="K146" t="s">
        <v>365</v>
      </c>
    </row>
    <row r="147" spans="2:11" x14ac:dyDescent="0.3">
      <c r="B147" t="s">
        <v>336</v>
      </c>
      <c r="C147" t="s">
        <v>302</v>
      </c>
      <c r="D147">
        <v>95</v>
      </c>
      <c r="E147" t="s">
        <v>301</v>
      </c>
      <c r="F147">
        <v>98</v>
      </c>
      <c r="G147" t="s">
        <v>301</v>
      </c>
      <c r="H147">
        <v>106</v>
      </c>
      <c r="I147" t="s">
        <v>301</v>
      </c>
    </row>
    <row r="148" spans="2:11" x14ac:dyDescent="0.3">
      <c r="B148" t="s">
        <v>35</v>
      </c>
      <c r="D148">
        <v>7.74</v>
      </c>
      <c r="E148">
        <v>7.28</v>
      </c>
      <c r="F148">
        <v>7.84</v>
      </c>
      <c r="G148">
        <v>7.33</v>
      </c>
      <c r="H148">
        <v>7.89</v>
      </c>
      <c r="I148">
        <v>7.31</v>
      </c>
    </row>
    <row r="149" spans="2:11" x14ac:dyDescent="0.3">
      <c r="B149" t="s">
        <v>309</v>
      </c>
      <c r="C149" t="s">
        <v>316</v>
      </c>
      <c r="D149">
        <v>2.1</v>
      </c>
      <c r="E149">
        <v>0.6</v>
      </c>
      <c r="F149">
        <v>2.2999999999999998</v>
      </c>
      <c r="G149">
        <v>0.5</v>
      </c>
      <c r="H149">
        <v>2.5</v>
      </c>
      <c r="I149">
        <v>0.8</v>
      </c>
    </row>
    <row r="150" spans="2:11" x14ac:dyDescent="0.3">
      <c r="B150" t="s">
        <v>310</v>
      </c>
      <c r="C150" t="s">
        <v>316</v>
      </c>
      <c r="D150">
        <v>0.8</v>
      </c>
      <c r="E150">
        <v>0.3</v>
      </c>
      <c r="F150">
        <v>0.7</v>
      </c>
      <c r="G150">
        <v>0.2</v>
      </c>
      <c r="H150">
        <v>0.5</v>
      </c>
      <c r="I150">
        <v>0.2</v>
      </c>
    </row>
    <row r="151" spans="2:11" x14ac:dyDescent="0.3">
      <c r="B151" t="s">
        <v>337</v>
      </c>
      <c r="C151" t="s">
        <v>47</v>
      </c>
      <c r="D151">
        <v>8.9</v>
      </c>
      <c r="E151">
        <v>8.5</v>
      </c>
      <c r="F151">
        <v>7.8</v>
      </c>
      <c r="G151">
        <v>8.3000000000000007</v>
      </c>
      <c r="H151">
        <v>8.4</v>
      </c>
      <c r="I151">
        <v>8.1999999999999993</v>
      </c>
    </row>
    <row r="153" spans="2:11" x14ac:dyDescent="0.3">
      <c r="B153" t="s">
        <v>52</v>
      </c>
      <c r="C153" t="s">
        <v>17</v>
      </c>
      <c r="H153">
        <v>525</v>
      </c>
      <c r="I153">
        <v>515</v>
      </c>
      <c r="K153" t="s">
        <v>740</v>
      </c>
    </row>
    <row r="154" spans="2:11" s="133" customFormat="1" x14ac:dyDescent="0.3">
      <c r="D154" s="133" t="s">
        <v>273</v>
      </c>
      <c r="F154" s="133" t="s">
        <v>274</v>
      </c>
      <c r="H154" s="133" t="s">
        <v>275</v>
      </c>
    </row>
    <row r="155" spans="2:11" x14ac:dyDescent="0.3">
      <c r="B155" s="6" t="s">
        <v>877</v>
      </c>
      <c r="D155" s="133" t="s">
        <v>324</v>
      </c>
      <c r="E155" s="133" t="s">
        <v>325</v>
      </c>
      <c r="F155" s="133" t="s">
        <v>324</v>
      </c>
      <c r="G155" s="133" t="s">
        <v>325</v>
      </c>
      <c r="H155" s="133" t="s">
        <v>324</v>
      </c>
      <c r="I155" s="133" t="s">
        <v>325</v>
      </c>
    </row>
    <row r="156" spans="2:11" x14ac:dyDescent="0.3">
      <c r="B156" s="27" t="s">
        <v>2046</v>
      </c>
      <c r="C156" t="s">
        <v>338</v>
      </c>
      <c r="D156" s="10">
        <f>(D144+D145+D140*(D143/100))/1000</f>
        <v>1.4278600000000001</v>
      </c>
      <c r="E156" s="10">
        <f t="shared" ref="E156:I156" si="0">(E144+E145+E140*(E143/100))/1000</f>
        <v>0.873</v>
      </c>
      <c r="F156" s="10">
        <f t="shared" si="0"/>
        <v>1.2335199999999999</v>
      </c>
      <c r="G156" s="10">
        <f t="shared" si="0"/>
        <v>0.89400000000000002</v>
      </c>
      <c r="H156" s="10">
        <f t="shared" si="0"/>
        <v>1.1801199999999998</v>
      </c>
      <c r="I156" s="10">
        <f t="shared" si="0"/>
        <v>0.872</v>
      </c>
      <c r="K156" t="s">
        <v>366</v>
      </c>
    </row>
    <row r="157" spans="2:11" x14ac:dyDescent="0.3">
      <c r="B157" s="27" t="s">
        <v>332</v>
      </c>
      <c r="C157" t="s">
        <v>302</v>
      </c>
      <c r="D157" s="37">
        <f>D141/(D$141+D$142)</f>
        <v>0.80303030303030298</v>
      </c>
      <c r="E157" s="27"/>
      <c r="F157" s="37">
        <f>F141/(F$141+F$142)</f>
        <v>0.88541666666666674</v>
      </c>
      <c r="G157" s="37"/>
      <c r="H157" s="37">
        <f>H141/(H$141+H$142)</f>
        <v>0.91911764705882359</v>
      </c>
      <c r="I157" s="37">
        <f>I141/(I$141+I$142)</f>
        <v>0.56700000000000006</v>
      </c>
    </row>
    <row r="158" spans="2:11" x14ac:dyDescent="0.3">
      <c r="B158" s="27" t="s">
        <v>333</v>
      </c>
      <c r="C158" t="s">
        <v>302</v>
      </c>
      <c r="D158" s="37">
        <f>D142/(D$141+D$142)</f>
        <v>0.19696969696969696</v>
      </c>
      <c r="E158" s="27"/>
      <c r="F158" s="37">
        <f>F142/(F$141+F$142)</f>
        <v>0.11458333333333334</v>
      </c>
      <c r="G158" s="37"/>
      <c r="H158" s="37">
        <f>H142/(H$141+H$142)</f>
        <v>8.0882352941176475E-2</v>
      </c>
      <c r="I158" s="37">
        <f>I142/(I$141+I$142)</f>
        <v>0.433</v>
      </c>
    </row>
    <row r="159" spans="2:11" x14ac:dyDescent="0.3">
      <c r="B159" s="27" t="s">
        <v>317</v>
      </c>
      <c r="C159" t="s">
        <v>338</v>
      </c>
      <c r="D159" s="91">
        <f>D140*D141/100000</f>
        <v>0.75736999999999999</v>
      </c>
      <c r="E159" s="91">
        <f t="shared" ref="E159:I159" si="1">E140*E141/100000</f>
        <v>0.48070000000000002</v>
      </c>
      <c r="F159" s="91">
        <f t="shared" si="1"/>
        <v>0.83979999999999999</v>
      </c>
      <c r="G159" s="91">
        <f t="shared" si="1"/>
        <v>0.50119999999999998</v>
      </c>
      <c r="H159" s="91">
        <f t="shared" si="1"/>
        <v>0.88500000000000001</v>
      </c>
      <c r="I159" s="91">
        <f t="shared" si="1"/>
        <v>0.49499100000000007</v>
      </c>
      <c r="K159" t="s">
        <v>1559</v>
      </c>
    </row>
    <row r="160" spans="2:11" x14ac:dyDescent="0.3">
      <c r="B160" s="27" t="s">
        <v>318</v>
      </c>
      <c r="C160" t="s">
        <v>338</v>
      </c>
      <c r="D160" s="91">
        <f>D140*D142/100000</f>
        <v>0.18576999999999999</v>
      </c>
      <c r="E160" s="91">
        <f t="shared" ref="E160:I160" si="2">E140*E142/100000</f>
        <v>0.39329999999999998</v>
      </c>
      <c r="F160" s="91">
        <f t="shared" si="2"/>
        <v>0.10868</v>
      </c>
      <c r="G160" s="91">
        <f t="shared" si="2"/>
        <v>0.39379999999999998</v>
      </c>
      <c r="H160" s="91">
        <f t="shared" si="2"/>
        <v>7.7880000000000005E-2</v>
      </c>
      <c r="I160" s="91">
        <f t="shared" si="2"/>
        <v>0.37800899999999993</v>
      </c>
      <c r="J160" s="91"/>
    </row>
    <row r="161" spans="1:16" s="133" customFormat="1" x14ac:dyDescent="0.3">
      <c r="B161" s="148" t="s">
        <v>2044</v>
      </c>
      <c r="C161" s="133" t="s">
        <v>338</v>
      </c>
      <c r="D161" s="91">
        <f>SUM(D159:D160)</f>
        <v>0.94313999999999998</v>
      </c>
      <c r="E161" s="91">
        <f t="shared" ref="E161:I161" si="3">SUM(E159:E160)</f>
        <v>0.874</v>
      </c>
      <c r="F161" s="91">
        <f t="shared" si="3"/>
        <v>0.94847999999999999</v>
      </c>
      <c r="G161" s="91">
        <f t="shared" si="3"/>
        <v>0.89500000000000002</v>
      </c>
      <c r="H161" s="91">
        <f t="shared" si="3"/>
        <v>0.96287999999999996</v>
      </c>
      <c r="I161" s="91">
        <f t="shared" si="3"/>
        <v>0.873</v>
      </c>
      <c r="J161" s="91"/>
      <c r="K161" s="133" t="s">
        <v>2045</v>
      </c>
    </row>
    <row r="162" spans="1:16" x14ac:dyDescent="0.3">
      <c r="A162" s="133"/>
      <c r="B162" s="133" t="s">
        <v>321</v>
      </c>
      <c r="C162" s="133" t="s">
        <v>338</v>
      </c>
      <c r="D162" s="39">
        <f>$M162</f>
        <v>1.7</v>
      </c>
      <c r="E162" s="27"/>
      <c r="F162" s="39">
        <f>$M162</f>
        <v>1.7</v>
      </c>
      <c r="G162" s="27"/>
      <c r="H162" s="39">
        <f>$M162</f>
        <v>1.7</v>
      </c>
      <c r="I162" s="27"/>
      <c r="K162" t="s">
        <v>322</v>
      </c>
      <c r="L162">
        <v>1.5</v>
      </c>
      <c r="M162">
        <v>1.7</v>
      </c>
      <c r="O162" t="s">
        <v>338</v>
      </c>
    </row>
    <row r="163" spans="1:16" x14ac:dyDescent="0.3">
      <c r="A163" s="133"/>
      <c r="B163" s="133" t="s">
        <v>323</v>
      </c>
      <c r="C163" s="133" t="s">
        <v>338</v>
      </c>
      <c r="D163" s="91">
        <f>D143*D140/100000</f>
        <v>0.48586000000000001</v>
      </c>
      <c r="E163" s="38"/>
      <c r="F163" s="91">
        <f>F143*F140/100000</f>
        <v>0.28652</v>
      </c>
      <c r="G163" s="38"/>
      <c r="H163" s="91">
        <f>H143*H140/100000</f>
        <v>0.21712000000000001</v>
      </c>
      <c r="I163" s="27"/>
      <c r="K163" t="s">
        <v>339</v>
      </c>
    </row>
    <row r="164" spans="1:16" x14ac:dyDescent="0.3">
      <c r="A164" s="133"/>
      <c r="B164" s="133" t="s">
        <v>433</v>
      </c>
      <c r="C164" s="133" t="s">
        <v>338</v>
      </c>
      <c r="D164" s="91">
        <f>D162-D163</f>
        <v>1.21414</v>
      </c>
      <c r="E164" s="27"/>
      <c r="F164" s="91">
        <f>F162-F163</f>
        <v>1.4134799999999998</v>
      </c>
      <c r="G164" s="27"/>
      <c r="H164" s="91">
        <f>H162-H163</f>
        <v>1.48288</v>
      </c>
      <c r="I164" s="27"/>
    </row>
    <row r="165" spans="1:16" x14ac:dyDescent="0.3">
      <c r="A165" s="148"/>
      <c r="B165" s="148" t="s">
        <v>460</v>
      </c>
      <c r="C165" s="133" t="s">
        <v>338</v>
      </c>
      <c r="D165" s="91">
        <f>D164/4</f>
        <v>0.303535</v>
      </c>
      <c r="E165" s="38"/>
      <c r="F165" s="91">
        <f>F164/4</f>
        <v>0.35336999999999996</v>
      </c>
      <c r="G165" s="38"/>
      <c r="H165" s="91">
        <f>H164/4</f>
        <v>0.37071999999999999</v>
      </c>
      <c r="I165" s="27"/>
      <c r="K165" t="s">
        <v>381</v>
      </c>
    </row>
    <row r="166" spans="1:16" x14ac:dyDescent="0.3">
      <c r="A166" s="148"/>
      <c r="B166" s="148" t="s">
        <v>402</v>
      </c>
      <c r="C166" s="133" t="s">
        <v>338</v>
      </c>
      <c r="D166" s="91">
        <f>(D144-E144)/1000</f>
        <v>0.27700000000000002</v>
      </c>
      <c r="E166" s="38"/>
      <c r="F166" s="91">
        <f>(F144-G144)/1000</f>
        <v>0.33800000000000002</v>
      </c>
      <c r="G166" s="38"/>
      <c r="H166" s="91">
        <f>(H144-I144)/1000</f>
        <v>0.39100000000000001</v>
      </c>
      <c r="I166" s="27"/>
      <c r="K166" t="s">
        <v>380</v>
      </c>
    </row>
    <row r="167" spans="1:16" x14ac:dyDescent="0.3">
      <c r="A167" s="148"/>
      <c r="B167" s="148" t="s">
        <v>2086</v>
      </c>
      <c r="C167" s="133" t="s">
        <v>338</v>
      </c>
      <c r="D167" s="91">
        <f>(E145-D145)/1000</f>
        <v>0.20799999999999999</v>
      </c>
      <c r="E167" s="27"/>
      <c r="F167" s="91">
        <f>(G145-F145)/1000</f>
        <v>0.28499999999999998</v>
      </c>
      <c r="G167" s="27"/>
      <c r="H167" s="91">
        <f>(I145-H145)/1000</f>
        <v>0.3</v>
      </c>
      <c r="I167" s="27"/>
      <c r="K167" t="s">
        <v>380</v>
      </c>
    </row>
    <row r="168" spans="1:16" x14ac:dyDescent="0.3">
      <c r="A168" s="148"/>
      <c r="B168" s="148" t="s">
        <v>93</v>
      </c>
      <c r="C168" s="133"/>
      <c r="D168" s="3">
        <f>D162/E160</f>
        <v>4.3224002034070681</v>
      </c>
      <c r="E168" s="6"/>
      <c r="F168" s="134">
        <f>F162/G160</f>
        <v>4.3169121381411886</v>
      </c>
      <c r="H168" s="134">
        <f>H162/I160</f>
        <v>4.4972474200349737</v>
      </c>
      <c r="K168" t="s">
        <v>135</v>
      </c>
    </row>
    <row r="169" spans="1:16" x14ac:dyDescent="0.3">
      <c r="A169" s="148"/>
      <c r="B169" s="148" t="s">
        <v>462</v>
      </c>
      <c r="C169" t="s">
        <v>92</v>
      </c>
      <c r="D169" s="37">
        <f>D164/D162</f>
        <v>0.71420000000000006</v>
      </c>
      <c r="E169" s="27"/>
      <c r="F169" s="37">
        <f>F164/F162</f>
        <v>0.83145882352941169</v>
      </c>
      <c r="G169" s="27"/>
      <c r="H169" s="37">
        <f>H164/H162</f>
        <v>0.87228235294117651</v>
      </c>
      <c r="I169" s="27"/>
    </row>
    <row r="170" spans="1:16" x14ac:dyDescent="0.3">
      <c r="A170" s="148"/>
      <c r="B170" s="148" t="s">
        <v>2085</v>
      </c>
      <c r="C170" t="s">
        <v>92</v>
      </c>
      <c r="D170" s="37">
        <f>D166/D165</f>
        <v>0.91258009784703586</v>
      </c>
      <c r="E170" s="27"/>
      <c r="F170" s="37">
        <f>F166/F165</f>
        <v>0.95650451368254252</v>
      </c>
      <c r="G170" s="27"/>
      <c r="H170" s="37">
        <f>H166/H165</f>
        <v>1.0547043590850238</v>
      </c>
      <c r="I170" s="27"/>
      <c r="K170" t="s">
        <v>367</v>
      </c>
    </row>
    <row r="171" spans="1:16" x14ac:dyDescent="0.3">
      <c r="A171" s="148"/>
      <c r="B171" s="148" t="s">
        <v>2087</v>
      </c>
      <c r="C171" t="s">
        <v>92</v>
      </c>
      <c r="D171" s="37">
        <f>D167/D165</f>
        <v>0.68525870163243119</v>
      </c>
      <c r="E171" s="27"/>
      <c r="F171" s="37">
        <f>F167/F165</f>
        <v>0.80652007810510229</v>
      </c>
      <c r="G171" s="27"/>
      <c r="H171" s="37">
        <f>H167/H165</f>
        <v>0.80923608113940437</v>
      </c>
      <c r="I171" s="27"/>
    </row>
    <row r="172" spans="1:16" x14ac:dyDescent="0.3">
      <c r="A172" s="148"/>
      <c r="B172" s="148" t="s">
        <v>2088</v>
      </c>
      <c r="C172" t="s">
        <v>92</v>
      </c>
      <c r="D172" s="37">
        <f>D166/D167</f>
        <v>1.3317307692307694</v>
      </c>
      <c r="E172" s="27"/>
      <c r="F172" s="37">
        <f>F166/F167</f>
        <v>1.1859649122807019</v>
      </c>
      <c r="G172" s="27"/>
      <c r="H172" s="37">
        <f>H166/H167</f>
        <v>1.3033333333333335</v>
      </c>
      <c r="I172" s="27"/>
    </row>
    <row r="173" spans="1:16" s="133" customFormat="1" x14ac:dyDescent="0.3">
      <c r="A173" s="148"/>
      <c r="B173" s="148" t="s">
        <v>2096</v>
      </c>
      <c r="C173" s="133" t="s">
        <v>92</v>
      </c>
      <c r="D173" s="37">
        <f>D166/E160</f>
        <v>0.70429697431985772</v>
      </c>
      <c r="E173" s="148"/>
      <c r="F173" s="37">
        <f>F166/G160</f>
        <v>0.85830370746571871</v>
      </c>
      <c r="G173" s="148"/>
      <c r="H173" s="37">
        <f>H166/I160</f>
        <v>1.0343669066080439</v>
      </c>
      <c r="I173" s="148"/>
    </row>
    <row r="174" spans="1:16" s="133" customFormat="1" x14ac:dyDescent="0.3">
      <c r="A174" s="148"/>
      <c r="B174" s="148" t="s">
        <v>2097</v>
      </c>
      <c r="C174" s="133" t="s">
        <v>92</v>
      </c>
      <c r="D174" s="96">
        <f>D161/E161</f>
        <v>1.0791075514874142</v>
      </c>
      <c r="E174" s="95"/>
      <c r="F174" s="96">
        <f>F161/G161</f>
        <v>1.0597541899441341</v>
      </c>
      <c r="G174" s="95"/>
      <c r="H174" s="96">
        <f>H161/I161</f>
        <v>1.102955326460481</v>
      </c>
      <c r="I174" s="148"/>
    </row>
    <row r="175" spans="1:16" x14ac:dyDescent="0.3">
      <c r="A175" s="148"/>
      <c r="B175" s="148" t="s">
        <v>2081</v>
      </c>
      <c r="D175" s="37">
        <f>D164/D166</f>
        <v>4.3831768953068586</v>
      </c>
      <c r="E175" s="37"/>
      <c r="F175" s="37">
        <f>F164/F166</f>
        <v>4.18189349112426</v>
      </c>
      <c r="G175" s="37"/>
      <c r="H175" s="37">
        <f>H164/H166</f>
        <v>3.7925319693094628</v>
      </c>
      <c r="P175" s="3"/>
    </row>
    <row r="176" spans="1:16" x14ac:dyDescent="0.3">
      <c r="A176" s="148"/>
      <c r="B176" s="148" t="s">
        <v>2137</v>
      </c>
      <c r="D176" s="37">
        <f>D164/D167</f>
        <v>5.8372115384615384</v>
      </c>
      <c r="E176" s="37"/>
      <c r="F176" s="37">
        <f>F164/F167</f>
        <v>4.9595789473684206</v>
      </c>
      <c r="G176" s="37"/>
      <c r="H176" s="37">
        <f>H164/H167</f>
        <v>4.9429333333333334</v>
      </c>
      <c r="P176" s="3"/>
    </row>
    <row r="177" spans="2:16" x14ac:dyDescent="0.3">
      <c r="B177" s="6"/>
      <c r="D177" s="3"/>
      <c r="E177" s="6"/>
    </row>
    <row r="178" spans="2:16" x14ac:dyDescent="0.3">
      <c r="D178" s="101" t="s">
        <v>273</v>
      </c>
      <c r="E178" s="101"/>
      <c r="F178" s="101" t="s">
        <v>274</v>
      </c>
      <c r="G178" s="101"/>
      <c r="H178" s="101" t="s">
        <v>275</v>
      </c>
      <c r="I178" s="101"/>
    </row>
    <row r="179" spans="2:16" x14ac:dyDescent="0.3">
      <c r="B179" s="6" t="s">
        <v>359</v>
      </c>
      <c r="D179" s="101" t="s">
        <v>324</v>
      </c>
      <c r="E179" s="101" t="s">
        <v>325</v>
      </c>
      <c r="F179" s="101" t="s">
        <v>324</v>
      </c>
      <c r="G179" s="101" t="s">
        <v>325</v>
      </c>
      <c r="H179" s="101" t="s">
        <v>324</v>
      </c>
      <c r="I179" s="101" t="s">
        <v>325</v>
      </c>
    </row>
    <row r="180" spans="2:16" s="133" customFormat="1" x14ac:dyDescent="0.3">
      <c r="B180" s="148" t="s">
        <v>1795</v>
      </c>
      <c r="D180" s="133" t="s">
        <v>1802</v>
      </c>
      <c r="E180" s="133" t="s">
        <v>1802</v>
      </c>
      <c r="F180" s="133" t="s">
        <v>1803</v>
      </c>
      <c r="G180" s="133" t="s">
        <v>1803</v>
      </c>
      <c r="H180" s="133" t="s">
        <v>1804</v>
      </c>
      <c r="I180" s="133" t="s">
        <v>1804</v>
      </c>
    </row>
    <row r="181" spans="2:16" s="133" customFormat="1" x14ac:dyDescent="0.3">
      <c r="B181" s="148" t="s">
        <v>1791</v>
      </c>
      <c r="D181" s="133" t="s">
        <v>1105</v>
      </c>
      <c r="E181" s="133" t="s">
        <v>1104</v>
      </c>
      <c r="F181" s="133" t="s">
        <v>1105</v>
      </c>
      <c r="G181" s="133" t="s">
        <v>1104</v>
      </c>
      <c r="H181" s="133" t="s">
        <v>1105</v>
      </c>
      <c r="I181" s="133" t="s">
        <v>1104</v>
      </c>
    </row>
    <row r="182" spans="2:16" x14ac:dyDescent="0.3">
      <c r="B182" t="s">
        <v>33</v>
      </c>
      <c r="C182" t="s">
        <v>270</v>
      </c>
      <c r="D182" s="3">
        <f>C132</f>
        <v>1.6733333333333333</v>
      </c>
      <c r="E182" s="3">
        <f t="shared" ref="E182:I183" si="4">D182</f>
        <v>1.6733333333333333</v>
      </c>
      <c r="F182" s="3">
        <f t="shared" si="4"/>
        <v>1.6733333333333333</v>
      </c>
      <c r="G182" s="3">
        <f t="shared" si="4"/>
        <v>1.6733333333333333</v>
      </c>
      <c r="H182" s="3">
        <f t="shared" si="4"/>
        <v>1.6733333333333333</v>
      </c>
      <c r="I182" s="3">
        <f t="shared" si="4"/>
        <v>1.6733333333333333</v>
      </c>
    </row>
    <row r="183" spans="2:16" x14ac:dyDescent="0.3">
      <c r="B183" t="s">
        <v>26</v>
      </c>
      <c r="C183" t="s">
        <v>25</v>
      </c>
      <c r="D183" s="8">
        <f>C131</f>
        <v>15</v>
      </c>
      <c r="E183" s="8">
        <f t="shared" si="4"/>
        <v>15</v>
      </c>
      <c r="F183" s="8">
        <f t="shared" si="4"/>
        <v>15</v>
      </c>
      <c r="G183" s="8">
        <f t="shared" si="4"/>
        <v>15</v>
      </c>
      <c r="H183" s="8">
        <f t="shared" si="4"/>
        <v>15</v>
      </c>
      <c r="I183" s="8">
        <f t="shared" si="4"/>
        <v>15</v>
      </c>
    </row>
    <row r="184" spans="2:16" s="133" customFormat="1" x14ac:dyDescent="0.3">
      <c r="B184" s="148" t="s">
        <v>1544</v>
      </c>
      <c r="C184" s="133" t="s">
        <v>338</v>
      </c>
      <c r="D184" s="37">
        <f>D162</f>
        <v>1.7</v>
      </c>
      <c r="E184" s="37"/>
      <c r="F184" s="37">
        <f>F162</f>
        <v>1.7</v>
      </c>
      <c r="G184" s="37"/>
      <c r="H184" s="37">
        <f>H162</f>
        <v>1.7</v>
      </c>
      <c r="K184" s="133" t="s">
        <v>99</v>
      </c>
      <c r="P184" s="134"/>
    </row>
    <row r="185" spans="2:16" x14ac:dyDescent="0.3">
      <c r="B185" t="s">
        <v>351</v>
      </c>
      <c r="C185" t="s">
        <v>377</v>
      </c>
      <c r="D185" s="10">
        <f t="shared" ref="D185:I185" si="5">D144/(D182*1000)</f>
        <v>0.45239043824701197</v>
      </c>
      <c r="E185" s="10">
        <f t="shared" si="5"/>
        <v>0.28685258964143429</v>
      </c>
      <c r="F185" s="10">
        <f t="shared" si="5"/>
        <v>0.50139442231075704</v>
      </c>
      <c r="G185" s="10">
        <f t="shared" si="5"/>
        <v>0.29940239043824701</v>
      </c>
      <c r="H185" s="10">
        <f t="shared" si="5"/>
        <v>0.5288844621513944</v>
      </c>
      <c r="I185" s="10">
        <f t="shared" si="5"/>
        <v>0.29521912350597612</v>
      </c>
    </row>
    <row r="186" spans="2:16" x14ac:dyDescent="0.3">
      <c r="B186" t="s">
        <v>352</v>
      </c>
      <c r="C186" t="s">
        <v>377</v>
      </c>
      <c r="D186" s="10">
        <f>D185-E185</f>
        <v>0.16553784860557769</v>
      </c>
      <c r="E186" s="10"/>
      <c r="F186" s="10">
        <f>F185-G185</f>
        <v>0.20199203187251003</v>
      </c>
      <c r="G186" s="10"/>
      <c r="H186" s="10">
        <f>H185-I185</f>
        <v>0.23366533864541827</v>
      </c>
      <c r="I186" s="10"/>
    </row>
    <row r="187" spans="2:16" x14ac:dyDescent="0.3">
      <c r="B187" t="s">
        <v>353</v>
      </c>
      <c r="C187" t="s">
        <v>92</v>
      </c>
      <c r="D187" s="10">
        <f>D186/E185</f>
        <v>0.57708333333333328</v>
      </c>
      <c r="F187" s="10">
        <f>F186/G185</f>
        <v>0.67465069860279459</v>
      </c>
      <c r="H187" s="10">
        <f>H186/I185</f>
        <v>0.79149797570850178</v>
      </c>
    </row>
    <row r="188" spans="2:16" x14ac:dyDescent="0.3">
      <c r="B188" t="s">
        <v>293</v>
      </c>
      <c r="C188" t="s">
        <v>338</v>
      </c>
      <c r="D188" s="10">
        <f t="shared" ref="D188:I188" si="6">D144/1000</f>
        <v>0.75700000000000001</v>
      </c>
      <c r="E188" s="10">
        <f t="shared" si="6"/>
        <v>0.48</v>
      </c>
      <c r="F188" s="10">
        <f t="shared" si="6"/>
        <v>0.83899999999999997</v>
      </c>
      <c r="G188" s="10">
        <f t="shared" si="6"/>
        <v>0.501</v>
      </c>
      <c r="H188" s="10">
        <f t="shared" si="6"/>
        <v>0.88500000000000001</v>
      </c>
      <c r="I188" s="10">
        <f t="shared" si="6"/>
        <v>0.49399999999999999</v>
      </c>
    </row>
    <row r="189" spans="2:16" x14ac:dyDescent="0.3">
      <c r="B189" t="s">
        <v>402</v>
      </c>
      <c r="C189" t="s">
        <v>338</v>
      </c>
      <c r="D189" s="10">
        <f>D188-E188</f>
        <v>0.27700000000000002</v>
      </c>
      <c r="E189" s="10"/>
      <c r="F189" s="10">
        <f>F188-G188</f>
        <v>0.33799999999999997</v>
      </c>
      <c r="G189" s="10"/>
      <c r="H189" s="10">
        <f>H188-I188</f>
        <v>0.39100000000000001</v>
      </c>
      <c r="I189" s="10"/>
    </row>
    <row r="190" spans="2:16" x14ac:dyDescent="0.3">
      <c r="B190" t="s">
        <v>3</v>
      </c>
      <c r="C190" t="s">
        <v>302</v>
      </c>
      <c r="D190" s="8">
        <f t="shared" ref="D190:I192" si="7">D141</f>
        <v>53</v>
      </c>
      <c r="E190" s="8">
        <f t="shared" si="7"/>
        <v>55</v>
      </c>
      <c r="F190" s="8">
        <f t="shared" si="7"/>
        <v>68</v>
      </c>
      <c r="G190" s="8">
        <f t="shared" si="7"/>
        <v>56</v>
      </c>
      <c r="H190" s="8">
        <f t="shared" si="7"/>
        <v>75</v>
      </c>
      <c r="I190" s="8">
        <f t="shared" si="7"/>
        <v>56.7</v>
      </c>
    </row>
    <row r="191" spans="2:16" x14ac:dyDescent="0.3">
      <c r="B191" t="s">
        <v>277</v>
      </c>
      <c r="C191" t="s">
        <v>302</v>
      </c>
      <c r="D191" s="8">
        <f t="shared" si="7"/>
        <v>13</v>
      </c>
      <c r="E191" s="8">
        <f t="shared" si="7"/>
        <v>45</v>
      </c>
      <c r="F191" s="8">
        <f t="shared" si="7"/>
        <v>8.8000000000000007</v>
      </c>
      <c r="G191" s="8">
        <f t="shared" si="7"/>
        <v>44</v>
      </c>
      <c r="H191" s="8">
        <f t="shared" si="7"/>
        <v>6.6</v>
      </c>
      <c r="I191" s="8">
        <f t="shared" si="7"/>
        <v>43.3</v>
      </c>
    </row>
    <row r="192" spans="2:16" x14ac:dyDescent="0.3">
      <c r="B192" t="s">
        <v>13</v>
      </c>
      <c r="C192" t="s">
        <v>302</v>
      </c>
      <c r="D192" s="8">
        <f t="shared" si="7"/>
        <v>34</v>
      </c>
      <c r="E192" s="8">
        <f t="shared" si="7"/>
        <v>0</v>
      </c>
      <c r="F192" s="8">
        <f t="shared" si="7"/>
        <v>23.2</v>
      </c>
      <c r="G192" s="8">
        <f t="shared" si="7"/>
        <v>0</v>
      </c>
      <c r="H192" s="8">
        <f t="shared" si="7"/>
        <v>18.399999999999999</v>
      </c>
      <c r="I192" s="8">
        <f t="shared" si="7"/>
        <v>0</v>
      </c>
    </row>
    <row r="193" spans="2:11" x14ac:dyDescent="0.3">
      <c r="B193" t="s">
        <v>35</v>
      </c>
      <c r="D193" s="3">
        <f t="shared" ref="D193:I193" si="8">D148</f>
        <v>7.74</v>
      </c>
      <c r="E193" s="3">
        <f t="shared" si="8"/>
        <v>7.28</v>
      </c>
      <c r="F193" s="3">
        <f t="shared" si="8"/>
        <v>7.84</v>
      </c>
      <c r="G193" s="3">
        <f t="shared" si="8"/>
        <v>7.33</v>
      </c>
      <c r="H193" s="3">
        <f t="shared" si="8"/>
        <v>7.89</v>
      </c>
      <c r="I193" s="3">
        <f t="shared" si="8"/>
        <v>7.31</v>
      </c>
    </row>
    <row r="194" spans="2:11" x14ac:dyDescent="0.3">
      <c r="B194" t="s">
        <v>52</v>
      </c>
      <c r="C194" t="s">
        <v>621</v>
      </c>
      <c r="H194" s="10">
        <f>H153/(1000*Data!$C34)</f>
        <v>3.7482062155968214E-2</v>
      </c>
      <c r="I194" s="10">
        <f>I153/(1000*Data!$C34)</f>
        <v>3.6768118114902153E-2</v>
      </c>
      <c r="K194" s="26" t="s">
        <v>669</v>
      </c>
    </row>
    <row r="195" spans="2:11" x14ac:dyDescent="0.3">
      <c r="B195" t="s">
        <v>558</v>
      </c>
      <c r="C195" t="s">
        <v>621</v>
      </c>
      <c r="D195" s="10">
        <f t="shared" ref="D195:I195" si="9">SUM(D149:D150)/1000</f>
        <v>2.9000000000000002E-3</v>
      </c>
      <c r="E195" s="10">
        <f t="shared" si="9"/>
        <v>8.9999999999999987E-4</v>
      </c>
      <c r="F195" s="10">
        <f t="shared" si="9"/>
        <v>3.0000000000000001E-3</v>
      </c>
      <c r="G195" s="10">
        <f t="shared" si="9"/>
        <v>6.9999999999999999E-4</v>
      </c>
      <c r="H195" s="10">
        <f t="shared" si="9"/>
        <v>3.0000000000000001E-3</v>
      </c>
      <c r="I195" s="10">
        <f t="shared" si="9"/>
        <v>1E-3</v>
      </c>
    </row>
    <row r="196" spans="2:11" x14ac:dyDescent="0.3">
      <c r="B196" s="12" t="s">
        <v>757</v>
      </c>
      <c r="C196" s="12" t="s">
        <v>758</v>
      </c>
      <c r="D196" s="3">
        <f t="shared" ref="D196:I196" si="10">D182/D151</f>
        <v>0.18801498127340824</v>
      </c>
      <c r="E196" s="3">
        <f t="shared" si="10"/>
        <v>0.19686274509803922</v>
      </c>
      <c r="F196" s="3">
        <f t="shared" si="10"/>
        <v>0.21452991452991454</v>
      </c>
      <c r="G196" s="3">
        <f t="shared" si="10"/>
        <v>0.20160642570281123</v>
      </c>
      <c r="H196" s="3">
        <f t="shared" si="10"/>
        <v>0.19920634920634919</v>
      </c>
      <c r="I196" s="3">
        <f t="shared" si="10"/>
        <v>0.20406504065040651</v>
      </c>
    </row>
    <row r="199" spans="2:11" x14ac:dyDescent="0.3">
      <c r="B199" s="14" t="s">
        <v>1747</v>
      </c>
    </row>
    <row r="200" spans="2:11" x14ac:dyDescent="0.3">
      <c r="B200" s="27" t="s">
        <v>1194</v>
      </c>
    </row>
    <row r="201" spans="2:11" x14ac:dyDescent="0.3">
      <c r="B201" s="86" t="s">
        <v>1153</v>
      </c>
    </row>
    <row r="203" spans="2:11" x14ac:dyDescent="0.3">
      <c r="B203" t="s">
        <v>114</v>
      </c>
      <c r="D203" s="133" t="s">
        <v>1411</v>
      </c>
    </row>
    <row r="204" spans="2:11" s="101" customFormat="1" x14ac:dyDescent="0.3">
      <c r="B204" s="101" t="s">
        <v>667</v>
      </c>
      <c r="C204" s="101" t="s">
        <v>503</v>
      </c>
      <c r="D204" s="101">
        <v>55</v>
      </c>
    </row>
    <row r="205" spans="2:11" s="101" customFormat="1" x14ac:dyDescent="0.3">
      <c r="B205" s="101" t="s">
        <v>1324</v>
      </c>
      <c r="D205" s="101" t="s">
        <v>1091</v>
      </c>
    </row>
    <row r="206" spans="2:11" s="101" customFormat="1" x14ac:dyDescent="0.3">
      <c r="B206" s="101" t="s">
        <v>956</v>
      </c>
      <c r="C206" s="101" t="s">
        <v>22</v>
      </c>
      <c r="D206" s="101">
        <v>1</v>
      </c>
    </row>
    <row r="207" spans="2:11" s="101" customFormat="1" x14ac:dyDescent="0.3">
      <c r="B207" s="101" t="s">
        <v>32</v>
      </c>
      <c r="C207" s="101" t="s">
        <v>22</v>
      </c>
      <c r="D207" s="101">
        <v>0.6</v>
      </c>
    </row>
    <row r="208" spans="2:11" s="101" customFormat="1" x14ac:dyDescent="0.3">
      <c r="B208" s="101" t="s">
        <v>326</v>
      </c>
      <c r="D208" s="101" t="s">
        <v>1360</v>
      </c>
      <c r="E208" s="101">
        <v>150</v>
      </c>
      <c r="F208" s="101" t="s">
        <v>327</v>
      </c>
    </row>
    <row r="209" spans="2:5" s="101" customFormat="1" x14ac:dyDescent="0.3">
      <c r="B209" s="101" t="s">
        <v>344</v>
      </c>
      <c r="D209" s="101" t="s">
        <v>694</v>
      </c>
    </row>
    <row r="210" spans="2:5" s="101" customFormat="1" x14ac:dyDescent="0.3">
      <c r="B210" s="101" t="s">
        <v>1332</v>
      </c>
      <c r="D210" s="101" t="s">
        <v>1362</v>
      </c>
    </row>
    <row r="211" spans="2:5" s="101" customFormat="1" x14ac:dyDescent="0.3">
      <c r="B211" s="101" t="s">
        <v>1330</v>
      </c>
      <c r="D211" s="101" t="s">
        <v>1333</v>
      </c>
    </row>
    <row r="212" spans="2:5" s="133" customFormat="1" x14ac:dyDescent="0.3">
      <c r="B212" s="133" t="s">
        <v>1968</v>
      </c>
      <c r="D212" s="133" t="s">
        <v>2090</v>
      </c>
      <c r="E212" s="133" t="s">
        <v>1970</v>
      </c>
    </row>
    <row r="213" spans="2:5" s="133" customFormat="1" x14ac:dyDescent="0.3">
      <c r="B213" s="133" t="s">
        <v>1541</v>
      </c>
      <c r="D213" s="133" t="s">
        <v>533</v>
      </c>
    </row>
    <row r="214" spans="2:5" s="101" customFormat="1" x14ac:dyDescent="0.3">
      <c r="B214" s="101" t="s">
        <v>1599</v>
      </c>
      <c r="D214" s="101" t="s">
        <v>2127</v>
      </c>
    </row>
    <row r="215" spans="2:5" s="133" customFormat="1" x14ac:dyDescent="0.3"/>
    <row r="216" spans="2:5" s="101" customFormat="1" x14ac:dyDescent="0.3">
      <c r="B216" s="6" t="s">
        <v>114</v>
      </c>
      <c r="D216" s="101" t="s">
        <v>1411</v>
      </c>
    </row>
    <row r="217" spans="2:5" x14ac:dyDescent="0.3">
      <c r="B217" s="6" t="s">
        <v>35</v>
      </c>
      <c r="D217">
        <v>6.85</v>
      </c>
    </row>
    <row r="218" spans="2:5" x14ac:dyDescent="0.3">
      <c r="B218" t="s">
        <v>27</v>
      </c>
      <c r="C218" t="s">
        <v>47</v>
      </c>
      <c r="D218">
        <v>28.5</v>
      </c>
    </row>
    <row r="219" spans="2:5" x14ac:dyDescent="0.3">
      <c r="B219" t="s">
        <v>14</v>
      </c>
      <c r="C219" t="s">
        <v>47</v>
      </c>
      <c r="D219">
        <v>25</v>
      </c>
    </row>
    <row r="220" spans="2:5" x14ac:dyDescent="0.3">
      <c r="B220" t="s">
        <v>48</v>
      </c>
      <c r="C220" t="s">
        <v>47</v>
      </c>
      <c r="D220">
        <v>40</v>
      </c>
    </row>
    <row r="221" spans="2:5" x14ac:dyDescent="0.3">
      <c r="B221" t="s">
        <v>51</v>
      </c>
      <c r="C221" t="s">
        <v>17</v>
      </c>
      <c r="D221">
        <v>701</v>
      </c>
    </row>
    <row r="222" spans="2:5" x14ac:dyDescent="0.3">
      <c r="B222" t="s">
        <v>1102</v>
      </c>
      <c r="C222" t="s">
        <v>17</v>
      </c>
      <c r="D222">
        <v>330</v>
      </c>
    </row>
    <row r="223" spans="2:5" x14ac:dyDescent="0.3">
      <c r="B223" t="s">
        <v>1110</v>
      </c>
      <c r="C223" t="s">
        <v>17</v>
      </c>
      <c r="D223">
        <v>31.2</v>
      </c>
    </row>
    <row r="224" spans="2:5" x14ac:dyDescent="0.3">
      <c r="B224" t="s">
        <v>1163</v>
      </c>
      <c r="C224" t="s">
        <v>17</v>
      </c>
      <c r="D224">
        <v>8.1999999999999993</v>
      </c>
    </row>
    <row r="226" spans="2:11" x14ac:dyDescent="0.3">
      <c r="B226" t="s">
        <v>33</v>
      </c>
      <c r="C226" t="s">
        <v>270</v>
      </c>
      <c r="D226" s="3">
        <f>D219/D228</f>
        <v>1.6666666666666667</v>
      </c>
      <c r="K226" s="133" t="s">
        <v>2316</v>
      </c>
    </row>
    <row r="227" spans="2:11" x14ac:dyDescent="0.3">
      <c r="D227" s="133">
        <v>1.67</v>
      </c>
      <c r="E227" s="133">
        <v>1.67</v>
      </c>
      <c r="F227" s="133">
        <v>1.67</v>
      </c>
      <c r="G227" s="133">
        <v>1.67</v>
      </c>
      <c r="H227" s="133">
        <v>1.67</v>
      </c>
      <c r="I227" s="133">
        <v>1.67</v>
      </c>
      <c r="J227" s="133"/>
      <c r="K227" s="133" t="s">
        <v>2315</v>
      </c>
    </row>
    <row r="228" spans="2:11" s="133" customFormat="1" x14ac:dyDescent="0.3">
      <c r="B228" s="133" t="s">
        <v>26</v>
      </c>
      <c r="C228" s="133" t="s">
        <v>566</v>
      </c>
      <c r="D228" s="133">
        <v>15</v>
      </c>
      <c r="E228" s="133">
        <v>15</v>
      </c>
      <c r="F228" s="133">
        <v>15</v>
      </c>
      <c r="G228" s="133">
        <v>15</v>
      </c>
      <c r="H228" s="133">
        <v>15</v>
      </c>
      <c r="I228" s="133">
        <v>15</v>
      </c>
    </row>
    <row r="229" spans="2:11" s="133" customFormat="1" x14ac:dyDescent="0.3"/>
    <row r="232" spans="2:11" x14ac:dyDescent="0.3">
      <c r="B232" t="s">
        <v>287</v>
      </c>
      <c r="C232" t="s">
        <v>738</v>
      </c>
      <c r="D232" t="s">
        <v>1154</v>
      </c>
      <c r="F232" t="s">
        <v>1155</v>
      </c>
      <c r="H232" t="s">
        <v>1156</v>
      </c>
    </row>
    <row r="233" spans="2:11" x14ac:dyDescent="0.3">
      <c r="B233" t="s">
        <v>915</v>
      </c>
      <c r="D233">
        <v>45</v>
      </c>
      <c r="F233">
        <v>45</v>
      </c>
      <c r="H233">
        <f>134-92+1</f>
        <v>43</v>
      </c>
    </row>
    <row r="234" spans="2:11" x14ac:dyDescent="0.3">
      <c r="B234" t="s">
        <v>1157</v>
      </c>
      <c r="C234" t="s">
        <v>327</v>
      </c>
      <c r="D234">
        <v>2</v>
      </c>
      <c r="F234">
        <v>3</v>
      </c>
      <c r="H234">
        <v>4</v>
      </c>
    </row>
    <row r="235" spans="2:11" x14ac:dyDescent="0.3">
      <c r="B235" t="s">
        <v>1158</v>
      </c>
      <c r="C235" t="s">
        <v>399</v>
      </c>
      <c r="D235">
        <v>0.32</v>
      </c>
      <c r="F235">
        <v>0.56000000000000005</v>
      </c>
      <c r="H235">
        <v>0.75</v>
      </c>
    </row>
    <row r="236" spans="2:11" x14ac:dyDescent="0.3">
      <c r="B236" t="s">
        <v>321</v>
      </c>
      <c r="C236" t="s">
        <v>290</v>
      </c>
      <c r="D236">
        <v>930</v>
      </c>
      <c r="F236">
        <v>1440</v>
      </c>
      <c r="H236">
        <v>1760</v>
      </c>
    </row>
    <row r="237" spans="2:11" x14ac:dyDescent="0.3">
      <c r="B237" t="s">
        <v>308</v>
      </c>
      <c r="C237" t="s">
        <v>290</v>
      </c>
      <c r="D237">
        <v>868</v>
      </c>
      <c r="E237">
        <v>847</v>
      </c>
      <c r="F237">
        <v>885</v>
      </c>
      <c r="G237">
        <v>853</v>
      </c>
      <c r="H237">
        <v>895</v>
      </c>
      <c r="I237">
        <v>865</v>
      </c>
    </row>
    <row r="238" spans="2:11" x14ac:dyDescent="0.3">
      <c r="B238" t="s">
        <v>3</v>
      </c>
      <c r="C238" t="s">
        <v>302</v>
      </c>
      <c r="D238">
        <v>78.400000000000006</v>
      </c>
      <c r="E238">
        <v>54.2</v>
      </c>
      <c r="F238">
        <v>90.2</v>
      </c>
      <c r="G238">
        <v>53.1</v>
      </c>
      <c r="H238">
        <v>96.1</v>
      </c>
      <c r="I238">
        <v>55.4</v>
      </c>
    </row>
    <row r="239" spans="2:11" x14ac:dyDescent="0.3">
      <c r="B239" t="s">
        <v>277</v>
      </c>
      <c r="C239" t="s">
        <v>302</v>
      </c>
      <c r="D239">
        <v>21.6</v>
      </c>
      <c r="E239">
        <v>45.8</v>
      </c>
      <c r="F239">
        <v>9.8000000000000007</v>
      </c>
      <c r="G239">
        <v>46.9</v>
      </c>
      <c r="H239">
        <v>3.9</v>
      </c>
      <c r="I239">
        <v>44.6</v>
      </c>
    </row>
    <row r="240" spans="2:11" x14ac:dyDescent="0.3">
      <c r="B240" t="s">
        <v>1159</v>
      </c>
      <c r="C240" t="s">
        <v>303</v>
      </c>
      <c r="D240">
        <v>268</v>
      </c>
      <c r="E240">
        <v>275</v>
      </c>
      <c r="F240">
        <v>262</v>
      </c>
      <c r="G240">
        <v>271</v>
      </c>
      <c r="H240">
        <v>251</v>
      </c>
      <c r="I240">
        <v>286</v>
      </c>
    </row>
    <row r="241" spans="2:11" x14ac:dyDescent="0.3">
      <c r="B241" t="s">
        <v>1160</v>
      </c>
      <c r="C241" t="s">
        <v>303</v>
      </c>
      <c r="D241">
        <v>401</v>
      </c>
      <c r="E241">
        <v>413</v>
      </c>
      <c r="F241">
        <v>390</v>
      </c>
      <c r="G241">
        <v>408</v>
      </c>
      <c r="H241">
        <v>424</v>
      </c>
      <c r="I241">
        <v>433</v>
      </c>
    </row>
    <row r="242" spans="2:11" x14ac:dyDescent="0.3">
      <c r="B242" t="s">
        <v>35</v>
      </c>
      <c r="D242" s="3">
        <v>7.61</v>
      </c>
      <c r="E242" s="3">
        <v>7.29</v>
      </c>
      <c r="F242" s="3">
        <v>7.9</v>
      </c>
      <c r="G242" s="3">
        <v>7.28</v>
      </c>
      <c r="H242" s="3">
        <v>8.31</v>
      </c>
      <c r="I242" s="3">
        <v>7.3</v>
      </c>
    </row>
    <row r="243" spans="2:11" x14ac:dyDescent="0.3">
      <c r="B243" t="s">
        <v>309</v>
      </c>
      <c r="C243" t="s">
        <v>316</v>
      </c>
      <c r="D243">
        <v>3.5</v>
      </c>
      <c r="E243">
        <v>1.2</v>
      </c>
      <c r="F243">
        <v>10.199999999999999</v>
      </c>
      <c r="G243">
        <v>1.4</v>
      </c>
      <c r="H243">
        <v>36</v>
      </c>
      <c r="I243">
        <v>1.5</v>
      </c>
    </row>
    <row r="244" spans="2:11" x14ac:dyDescent="0.3">
      <c r="B244" t="s">
        <v>310</v>
      </c>
      <c r="C244" t="s">
        <v>316</v>
      </c>
      <c r="D244">
        <v>0.8</v>
      </c>
      <c r="E244">
        <v>0.4</v>
      </c>
      <c r="F244">
        <v>1.6</v>
      </c>
      <c r="G244">
        <v>0.3</v>
      </c>
      <c r="H244">
        <v>1.8</v>
      </c>
      <c r="I244">
        <v>0.4</v>
      </c>
    </row>
    <row r="245" spans="2:11" x14ac:dyDescent="0.3">
      <c r="B245" t="s">
        <v>1161</v>
      </c>
      <c r="C245" t="s">
        <v>47</v>
      </c>
      <c r="D245">
        <v>8.3000000000000007</v>
      </c>
      <c r="E245">
        <v>8.4</v>
      </c>
      <c r="F245">
        <v>8.1999999999999993</v>
      </c>
      <c r="G245">
        <v>8.4</v>
      </c>
      <c r="H245">
        <v>10.199999999999999</v>
      </c>
      <c r="I245">
        <v>8.5</v>
      </c>
    </row>
    <row r="246" spans="2:11" x14ac:dyDescent="0.3">
      <c r="B246" t="s">
        <v>1162</v>
      </c>
      <c r="C246" t="s">
        <v>316</v>
      </c>
      <c r="D246">
        <v>102</v>
      </c>
      <c r="E246">
        <v>115</v>
      </c>
      <c r="F246">
        <v>85</v>
      </c>
      <c r="G246">
        <v>120</v>
      </c>
      <c r="H246">
        <v>66</v>
      </c>
      <c r="I246">
        <v>110</v>
      </c>
    </row>
    <row r="249" spans="2:11" x14ac:dyDescent="0.3">
      <c r="B249" s="6" t="s">
        <v>877</v>
      </c>
    </row>
    <row r="250" spans="2:11" x14ac:dyDescent="0.3">
      <c r="B250" t="s">
        <v>747</v>
      </c>
      <c r="C250" t="s">
        <v>302</v>
      </c>
      <c r="D250">
        <f t="shared" ref="D250:I250" si="11">SUM(D238:D239)</f>
        <v>100</v>
      </c>
      <c r="E250">
        <f t="shared" si="11"/>
        <v>100</v>
      </c>
      <c r="F250">
        <f t="shared" si="11"/>
        <v>100</v>
      </c>
      <c r="G250">
        <f t="shared" si="11"/>
        <v>100</v>
      </c>
      <c r="H250">
        <f t="shared" si="11"/>
        <v>100</v>
      </c>
      <c r="I250">
        <f t="shared" si="11"/>
        <v>100</v>
      </c>
    </row>
    <row r="251" spans="2:11" x14ac:dyDescent="0.3">
      <c r="B251" t="s">
        <v>1165</v>
      </c>
      <c r="E251" s="3">
        <f>E287/E284</f>
        <v>1.6700000000000002</v>
      </c>
      <c r="G251" s="3">
        <f>G287/G284</f>
        <v>1.6700000000000002</v>
      </c>
      <c r="I251" s="3">
        <f>I287/I284</f>
        <v>1.67</v>
      </c>
      <c r="K251" t="s">
        <v>197</v>
      </c>
    </row>
    <row r="252" spans="2:11" x14ac:dyDescent="0.3">
      <c r="B252" t="s">
        <v>1166</v>
      </c>
      <c r="C252" t="s">
        <v>338</v>
      </c>
      <c r="D252" s="10">
        <f t="shared" ref="D252:I252" si="12">D237*D238/100000</f>
        <v>0.68051200000000012</v>
      </c>
      <c r="E252" s="10">
        <f t="shared" si="12"/>
        <v>0.45907400000000004</v>
      </c>
      <c r="F252" s="10">
        <f t="shared" si="12"/>
        <v>0.79827000000000004</v>
      </c>
      <c r="G252" s="10">
        <f t="shared" si="12"/>
        <v>0.45294300000000004</v>
      </c>
      <c r="H252" s="10">
        <f t="shared" si="12"/>
        <v>0.86009500000000005</v>
      </c>
      <c r="I252" s="10">
        <f t="shared" si="12"/>
        <v>0.47921000000000002</v>
      </c>
    </row>
    <row r="253" spans="2:11" x14ac:dyDescent="0.3">
      <c r="B253" t="s">
        <v>1164</v>
      </c>
      <c r="C253" t="s">
        <v>377</v>
      </c>
      <c r="D253" s="10">
        <f t="shared" ref="D253:I253" si="13">D252/D281</f>
        <v>0.40749221556886234</v>
      </c>
      <c r="E253" s="10">
        <f t="shared" si="13"/>
        <v>0.27489461077844313</v>
      </c>
      <c r="F253" s="10">
        <f t="shared" si="13"/>
        <v>0.47800598802395211</v>
      </c>
      <c r="G253" s="10">
        <f t="shared" si="13"/>
        <v>0.27122335329341318</v>
      </c>
      <c r="H253" s="10">
        <f t="shared" si="13"/>
        <v>0.51502694610778443</v>
      </c>
      <c r="I253" s="10">
        <f t="shared" si="13"/>
        <v>0.28695209580838327</v>
      </c>
      <c r="K253" t="s">
        <v>197</v>
      </c>
    </row>
    <row r="254" spans="2:11" x14ac:dyDescent="0.3">
      <c r="B254" t="s">
        <v>807</v>
      </c>
      <c r="C254" t="s">
        <v>377</v>
      </c>
      <c r="D254">
        <f t="shared" ref="D254:I254" si="14">D240/1000</f>
        <v>0.26800000000000002</v>
      </c>
      <c r="E254">
        <f t="shared" si="14"/>
        <v>0.27500000000000002</v>
      </c>
      <c r="F254">
        <f t="shared" si="14"/>
        <v>0.26200000000000001</v>
      </c>
      <c r="G254">
        <f t="shared" si="14"/>
        <v>0.27100000000000002</v>
      </c>
      <c r="H254">
        <f t="shared" si="14"/>
        <v>0.251</v>
      </c>
      <c r="I254">
        <f t="shared" si="14"/>
        <v>0.28599999999999998</v>
      </c>
      <c r="K254" t="s">
        <v>1168</v>
      </c>
    </row>
    <row r="255" spans="2:11" x14ac:dyDescent="0.3">
      <c r="B255" t="s">
        <v>352</v>
      </c>
      <c r="C255" t="s">
        <v>377</v>
      </c>
      <c r="D255" s="10">
        <f>D253-D254</f>
        <v>0.13949221556886232</v>
      </c>
      <c r="F255" s="10">
        <f>F253-F254</f>
        <v>0.2160059880239521</v>
      </c>
      <c r="H255" s="10">
        <f>H253-H254</f>
        <v>0.26402694610778443</v>
      </c>
    </row>
    <row r="256" spans="2:11" x14ac:dyDescent="0.3">
      <c r="B256" t="s">
        <v>1167</v>
      </c>
      <c r="C256" t="s">
        <v>338</v>
      </c>
      <c r="D256" s="10">
        <f t="shared" ref="D256:I256" si="15">D254*$D$226</f>
        <v>0.44666666666666671</v>
      </c>
      <c r="E256" s="10">
        <f t="shared" si="15"/>
        <v>0.45833333333333337</v>
      </c>
      <c r="F256" s="10">
        <f t="shared" si="15"/>
        <v>0.4366666666666667</v>
      </c>
      <c r="G256" s="10">
        <f t="shared" si="15"/>
        <v>0.45166666666666672</v>
      </c>
      <c r="H256" s="10">
        <f t="shared" si="15"/>
        <v>0.41833333333333333</v>
      </c>
      <c r="I256" s="10">
        <f t="shared" si="15"/>
        <v>0.47666666666666663</v>
      </c>
    </row>
    <row r="257" spans="1:11" x14ac:dyDescent="0.3">
      <c r="B257" t="s">
        <v>402</v>
      </c>
      <c r="C257" t="s">
        <v>338</v>
      </c>
      <c r="D257" s="10">
        <f>D252-D256</f>
        <v>0.2338453333333334</v>
      </c>
      <c r="E257" s="10"/>
      <c r="F257" s="10">
        <f>F252-F256</f>
        <v>0.36160333333333333</v>
      </c>
      <c r="G257" s="10"/>
      <c r="H257" s="10">
        <f>H252-H256</f>
        <v>0.44176166666666672</v>
      </c>
      <c r="I257" s="10"/>
      <c r="K257" t="s">
        <v>1170</v>
      </c>
    </row>
    <row r="258" spans="1:11" x14ac:dyDescent="0.3">
      <c r="C258" t="s">
        <v>338</v>
      </c>
      <c r="D258" s="10">
        <f>D252-E252</f>
        <v>0.22143800000000008</v>
      </c>
      <c r="E258" s="10"/>
      <c r="F258" s="10">
        <f>F252-G252</f>
        <v>0.345327</v>
      </c>
      <c r="G258" s="10"/>
      <c r="H258" s="10">
        <f>H252-I252</f>
        <v>0.38088500000000003</v>
      </c>
      <c r="I258" s="10"/>
      <c r="K258" t="s">
        <v>1169</v>
      </c>
    </row>
    <row r="259" spans="1:11" x14ac:dyDescent="0.3">
      <c r="B259" t="s">
        <v>845</v>
      </c>
      <c r="C259" t="s">
        <v>338</v>
      </c>
      <c r="D259" s="10">
        <f t="shared" ref="D259:I259" si="16">D237*D239/100000</f>
        <v>0.18748800000000002</v>
      </c>
      <c r="E259" s="10">
        <f t="shared" si="16"/>
        <v>0.38792599999999999</v>
      </c>
      <c r="F259" s="10">
        <f t="shared" si="16"/>
        <v>8.6730000000000002E-2</v>
      </c>
      <c r="G259" s="10">
        <f t="shared" si="16"/>
        <v>0.400057</v>
      </c>
      <c r="H259" s="10">
        <f t="shared" si="16"/>
        <v>3.4904999999999999E-2</v>
      </c>
      <c r="I259" s="10">
        <f t="shared" si="16"/>
        <v>0.38579000000000002</v>
      </c>
    </row>
    <row r="260" spans="1:11" s="133" customFormat="1" x14ac:dyDescent="0.3">
      <c r="B260" s="133" t="s">
        <v>308</v>
      </c>
      <c r="C260" s="133" t="s">
        <v>338</v>
      </c>
      <c r="D260" s="10">
        <f>D237/1000</f>
        <v>0.86799999999999999</v>
      </c>
      <c r="E260" s="10">
        <f t="shared" ref="E260:I260" si="17">E237/1000</f>
        <v>0.84699999999999998</v>
      </c>
      <c r="F260" s="10">
        <f t="shared" si="17"/>
        <v>0.88500000000000001</v>
      </c>
      <c r="G260" s="10">
        <f t="shared" si="17"/>
        <v>0.85299999999999998</v>
      </c>
      <c r="H260" s="10">
        <f t="shared" si="17"/>
        <v>0.89500000000000002</v>
      </c>
      <c r="I260" s="10">
        <f t="shared" si="17"/>
        <v>0.86499999999999999</v>
      </c>
    </row>
    <row r="261" spans="1:11" x14ac:dyDescent="0.3">
      <c r="A261" s="133"/>
      <c r="B261" s="133" t="s">
        <v>321</v>
      </c>
      <c r="C261" t="s">
        <v>338</v>
      </c>
      <c r="D261" s="10">
        <f>D236/1000</f>
        <v>0.93</v>
      </c>
      <c r="E261" s="10"/>
      <c r="F261" s="10">
        <f>F236/1000</f>
        <v>1.44</v>
      </c>
      <c r="G261" s="10"/>
      <c r="H261" s="10">
        <f>H236/1000</f>
        <v>1.76</v>
      </c>
      <c r="I261" s="10"/>
    </row>
    <row r="262" spans="1:11" x14ac:dyDescent="0.3">
      <c r="A262" s="133"/>
      <c r="B262" s="133" t="s">
        <v>323</v>
      </c>
      <c r="C262" t="s">
        <v>338</v>
      </c>
      <c r="D262" s="10">
        <v>0</v>
      </c>
      <c r="E262" s="10"/>
      <c r="F262" s="10">
        <v>0</v>
      </c>
      <c r="G262" s="10"/>
      <c r="H262" s="10">
        <v>0</v>
      </c>
      <c r="K262" t="s">
        <v>2047</v>
      </c>
    </row>
    <row r="263" spans="1:11" x14ac:dyDescent="0.3">
      <c r="A263" s="133"/>
      <c r="B263" s="133" t="s">
        <v>433</v>
      </c>
      <c r="C263" t="s">
        <v>338</v>
      </c>
      <c r="D263" s="10">
        <f>D261-D262</f>
        <v>0.93</v>
      </c>
      <c r="E263" s="10"/>
      <c r="F263" s="10">
        <f>F261-F262</f>
        <v>1.44</v>
      </c>
      <c r="G263" s="10"/>
      <c r="H263" s="10">
        <f>H261-H262</f>
        <v>1.76</v>
      </c>
      <c r="I263" s="10"/>
    </row>
    <row r="264" spans="1:11" x14ac:dyDescent="0.3">
      <c r="A264" s="148"/>
      <c r="B264" s="148" t="s">
        <v>460</v>
      </c>
      <c r="C264" t="s">
        <v>338</v>
      </c>
      <c r="D264" s="10">
        <f>D263/4</f>
        <v>0.23250000000000001</v>
      </c>
      <c r="F264" s="10">
        <f>F263/4</f>
        <v>0.36</v>
      </c>
      <c r="H264" s="10">
        <f>H263/4</f>
        <v>0.44</v>
      </c>
    </row>
    <row r="265" spans="1:11" x14ac:dyDescent="0.3">
      <c r="A265" s="148"/>
      <c r="B265" s="148" t="s">
        <v>402</v>
      </c>
      <c r="C265" t="s">
        <v>338</v>
      </c>
      <c r="D265" s="10">
        <f>D257</f>
        <v>0.2338453333333334</v>
      </c>
      <c r="F265" s="10">
        <f>F257</f>
        <v>0.36160333333333333</v>
      </c>
      <c r="H265" s="10">
        <f>H257</f>
        <v>0.44176166666666672</v>
      </c>
    </row>
    <row r="266" spans="1:11" x14ac:dyDescent="0.3">
      <c r="A266" s="148"/>
      <c r="B266" s="148" t="s">
        <v>2086</v>
      </c>
      <c r="C266" t="s">
        <v>338</v>
      </c>
      <c r="D266" s="10">
        <f>E259-D259</f>
        <v>0.20043799999999998</v>
      </c>
      <c r="E266" s="10"/>
      <c r="F266" s="10">
        <f>G259-F259</f>
        <v>0.31332700000000002</v>
      </c>
      <c r="G266" s="10"/>
      <c r="H266" s="10">
        <f>I259-H259</f>
        <v>0.350885</v>
      </c>
      <c r="I266" s="10"/>
    </row>
    <row r="267" spans="1:11" s="133" customFormat="1" x14ac:dyDescent="0.3">
      <c r="A267" s="148"/>
      <c r="B267" s="148" t="s">
        <v>93</v>
      </c>
      <c r="D267" s="134">
        <f>D261/E259</f>
        <v>2.3973644457963634</v>
      </c>
      <c r="E267" s="134"/>
      <c r="F267" s="134">
        <f>F261/G259</f>
        <v>3.5994870730920843</v>
      </c>
      <c r="G267" s="134"/>
      <c r="H267" s="134">
        <f>H261/I259</f>
        <v>4.5620674460198547</v>
      </c>
    </row>
    <row r="268" spans="1:11" x14ac:dyDescent="0.3">
      <c r="A268" s="148"/>
      <c r="B268" s="148" t="s">
        <v>462</v>
      </c>
      <c r="C268" t="s">
        <v>92</v>
      </c>
      <c r="D268" s="3">
        <f>D263/D261</f>
        <v>1</v>
      </c>
      <c r="F268" s="3">
        <f>F263/F261</f>
        <v>1</v>
      </c>
      <c r="H268" s="3">
        <f>H263/H261</f>
        <v>1</v>
      </c>
    </row>
    <row r="269" spans="1:11" x14ac:dyDescent="0.3">
      <c r="A269" s="148"/>
      <c r="B269" s="148" t="s">
        <v>2085</v>
      </c>
      <c r="C269" t="s">
        <v>92</v>
      </c>
      <c r="D269" s="10">
        <f>D265/D264</f>
        <v>1.0057863799283158</v>
      </c>
      <c r="F269" s="10">
        <f>F265/F264</f>
        <v>1.0044537037037038</v>
      </c>
      <c r="H269" s="10">
        <f>H265/H264</f>
        <v>1.004003787878788</v>
      </c>
    </row>
    <row r="270" spans="1:11" x14ac:dyDescent="0.3">
      <c r="A270" s="148"/>
      <c r="B270" s="148" t="s">
        <v>2087</v>
      </c>
      <c r="C270" t="s">
        <v>92</v>
      </c>
      <c r="D270" s="10">
        <f>D266/D264</f>
        <v>0.86209892473118266</v>
      </c>
      <c r="F270" s="10">
        <f>F266/F264</f>
        <v>0.87035277777777786</v>
      </c>
      <c r="H270" s="10">
        <f>H266/H264</f>
        <v>0.79746590909090909</v>
      </c>
    </row>
    <row r="271" spans="1:11" x14ac:dyDescent="0.3">
      <c r="A271" s="148"/>
      <c r="B271" s="148" t="s">
        <v>2088</v>
      </c>
      <c r="C271" t="s">
        <v>92</v>
      </c>
      <c r="D271" s="10">
        <f>D265/D266</f>
        <v>1.1666716557405952</v>
      </c>
      <c r="F271" s="10">
        <f>F265/F266</f>
        <v>1.1540765185679285</v>
      </c>
      <c r="H271" s="10">
        <f>H265/H266</f>
        <v>1.2589927374115928</v>
      </c>
    </row>
    <row r="272" spans="1:11" s="133" customFormat="1" x14ac:dyDescent="0.3">
      <c r="A272" s="148"/>
      <c r="B272" s="148" t="s">
        <v>2096</v>
      </c>
      <c r="C272" s="133" t="s">
        <v>92</v>
      </c>
      <c r="D272" s="37">
        <f>D265/E259</f>
        <v>0.60280912682659427</v>
      </c>
      <c r="E272" s="148"/>
      <c r="F272" s="37">
        <f>F265/G259</f>
        <v>0.90387953050023706</v>
      </c>
      <c r="G272" s="148"/>
      <c r="H272" s="37">
        <f>H265/I259</f>
        <v>1.1450832490906107</v>
      </c>
      <c r="I272" s="148"/>
    </row>
    <row r="273" spans="1:11" s="133" customFormat="1" x14ac:dyDescent="0.3">
      <c r="A273" s="148"/>
      <c r="B273" s="148" t="s">
        <v>2097</v>
      </c>
      <c r="C273" s="133" t="s">
        <v>92</v>
      </c>
      <c r="D273" s="96">
        <f>D260/E260</f>
        <v>1.024793388429752</v>
      </c>
      <c r="E273" s="95"/>
      <c r="F273" s="96">
        <f>F260/G260</f>
        <v>1.0375146541617819</v>
      </c>
      <c r="G273" s="95"/>
      <c r="H273" s="96">
        <f>H260/I260</f>
        <v>1.0346820809248556</v>
      </c>
      <c r="I273" s="148"/>
    </row>
    <row r="274" spans="1:11" x14ac:dyDescent="0.3">
      <c r="A274" s="148"/>
      <c r="B274" s="148" t="s">
        <v>2081</v>
      </c>
      <c r="D274" s="10">
        <f>D263/D265</f>
        <v>3.9769876385531169</v>
      </c>
      <c r="F274" s="10">
        <f>F263/F265</f>
        <v>3.9822641752933694</v>
      </c>
      <c r="H274" s="10">
        <f>H263/H265</f>
        <v>3.9840487140501848</v>
      </c>
    </row>
    <row r="275" spans="1:11" x14ac:dyDescent="0.3">
      <c r="A275" s="148"/>
      <c r="B275" s="148" t="s">
        <v>2137</v>
      </c>
      <c r="D275" s="10">
        <f>D263/D266</f>
        <v>4.6398387531306451</v>
      </c>
      <c r="F275" s="10">
        <f>F263/F266</f>
        <v>4.5958375754403544</v>
      </c>
      <c r="H275" s="10">
        <f>H263/H266</f>
        <v>5.0158883964831782</v>
      </c>
    </row>
    <row r="278" spans="1:11" x14ac:dyDescent="0.3">
      <c r="B278" s="6" t="s">
        <v>359</v>
      </c>
      <c r="D278" s="133" t="s">
        <v>1154</v>
      </c>
      <c r="E278" s="133"/>
      <c r="F278" s="133" t="s">
        <v>1155</v>
      </c>
      <c r="G278" s="133"/>
      <c r="H278" s="133" t="s">
        <v>1156</v>
      </c>
      <c r="I278" s="133"/>
    </row>
    <row r="279" spans="1:11" s="133" customFormat="1" x14ac:dyDescent="0.3">
      <c r="B279" s="148" t="s">
        <v>1795</v>
      </c>
      <c r="D279" s="477" t="s">
        <v>1686</v>
      </c>
      <c r="E279" s="133" t="s">
        <v>2152</v>
      </c>
      <c r="F279" s="477" t="s">
        <v>1686</v>
      </c>
      <c r="G279" s="133" t="s">
        <v>2152</v>
      </c>
      <c r="H279" s="133" t="s">
        <v>1798</v>
      </c>
      <c r="I279" s="133" t="s">
        <v>2152</v>
      </c>
    </row>
    <row r="280" spans="1:11" s="133" customFormat="1" x14ac:dyDescent="0.3">
      <c r="B280" s="148" t="s">
        <v>1791</v>
      </c>
      <c r="D280" s="133" t="s">
        <v>1105</v>
      </c>
      <c r="E280" s="133" t="s">
        <v>1104</v>
      </c>
      <c r="F280" s="133" t="s">
        <v>1105</v>
      </c>
      <c r="G280" s="133" t="s">
        <v>1104</v>
      </c>
      <c r="H280" s="133" t="s">
        <v>1105</v>
      </c>
      <c r="I280" s="133" t="s">
        <v>1104</v>
      </c>
    </row>
    <row r="281" spans="1:11" x14ac:dyDescent="0.3">
      <c r="B281" t="s">
        <v>33</v>
      </c>
      <c r="C281" t="s">
        <v>270</v>
      </c>
      <c r="D281" s="3">
        <f>D227</f>
        <v>1.67</v>
      </c>
      <c r="E281" s="134">
        <f t="shared" ref="E281:I281" si="18">E227</f>
        <v>1.67</v>
      </c>
      <c r="F281" s="134">
        <f t="shared" si="18"/>
        <v>1.67</v>
      </c>
      <c r="G281" s="134">
        <f t="shared" si="18"/>
        <v>1.67</v>
      </c>
      <c r="H281" s="134">
        <f t="shared" si="18"/>
        <v>1.67</v>
      </c>
      <c r="I281" s="134">
        <f t="shared" si="18"/>
        <v>1.67</v>
      </c>
      <c r="K281" t="s">
        <v>2317</v>
      </c>
    </row>
    <row r="282" spans="1:11" x14ac:dyDescent="0.3">
      <c r="B282" t="s">
        <v>26</v>
      </c>
      <c r="C282" t="s">
        <v>25</v>
      </c>
      <c r="D282">
        <f>D228</f>
        <v>15</v>
      </c>
      <c r="E282" s="133">
        <f>E228</f>
        <v>15</v>
      </c>
      <c r="F282" s="133">
        <f>F228</f>
        <v>15</v>
      </c>
      <c r="G282" s="133">
        <f>G228</f>
        <v>15</v>
      </c>
      <c r="H282" s="133">
        <f>H228</f>
        <v>15</v>
      </c>
      <c r="I282" s="133">
        <f>I228</f>
        <v>15</v>
      </c>
    </row>
    <row r="283" spans="1:11" s="133" customFormat="1" x14ac:dyDescent="0.3">
      <c r="B283" s="148" t="s">
        <v>1544</v>
      </c>
      <c r="C283" s="133" t="s">
        <v>338</v>
      </c>
      <c r="D283" s="10">
        <f>D261</f>
        <v>0.93</v>
      </c>
      <c r="F283" s="10">
        <f>F261</f>
        <v>1.44</v>
      </c>
      <c r="H283" s="10">
        <f>H261</f>
        <v>1.76</v>
      </c>
    </row>
    <row r="284" spans="1:11" x14ac:dyDescent="0.3">
      <c r="B284" t="s">
        <v>351</v>
      </c>
      <c r="C284" t="s">
        <v>377</v>
      </c>
      <c r="D284" s="10">
        <f t="shared" ref="D284:I284" si="19">D253</f>
        <v>0.40749221556886234</v>
      </c>
      <c r="E284" s="10">
        <f t="shared" si="19"/>
        <v>0.27489461077844313</v>
      </c>
      <c r="F284" s="10">
        <f t="shared" si="19"/>
        <v>0.47800598802395211</v>
      </c>
      <c r="G284" s="10">
        <f t="shared" si="19"/>
        <v>0.27122335329341318</v>
      </c>
      <c r="H284" s="10">
        <f t="shared" si="19"/>
        <v>0.51502694610778443</v>
      </c>
      <c r="I284" s="10">
        <f t="shared" si="19"/>
        <v>0.28695209580838327</v>
      </c>
    </row>
    <row r="285" spans="1:11" x14ac:dyDescent="0.3">
      <c r="B285" t="s">
        <v>352</v>
      </c>
      <c r="C285" t="s">
        <v>377</v>
      </c>
      <c r="D285" s="10">
        <f>D255</f>
        <v>0.13949221556886232</v>
      </c>
      <c r="F285" s="10">
        <f>F255</f>
        <v>0.2160059880239521</v>
      </c>
      <c r="H285" s="10">
        <f>H255</f>
        <v>0.26402694610778443</v>
      </c>
      <c r="K285" t="s">
        <v>1172</v>
      </c>
    </row>
    <row r="286" spans="1:11" x14ac:dyDescent="0.3">
      <c r="B286" t="s">
        <v>353</v>
      </c>
      <c r="C286" t="s">
        <v>92</v>
      </c>
      <c r="D286" s="10">
        <f>D285/E284</f>
        <v>0.50743888784814661</v>
      </c>
      <c r="F286" s="10">
        <f>F285/G284</f>
        <v>0.79641367677610653</v>
      </c>
      <c r="G286" s="10"/>
      <c r="H286" s="10">
        <f>H285/I284</f>
        <v>0.92010809457231679</v>
      </c>
      <c r="I286" s="10"/>
    </row>
    <row r="287" spans="1:11" x14ac:dyDescent="0.3">
      <c r="B287" t="s">
        <v>293</v>
      </c>
      <c r="C287" t="s">
        <v>338</v>
      </c>
      <c r="D287" s="10">
        <f t="shared" ref="D287:I287" si="20">D252</f>
        <v>0.68051200000000012</v>
      </c>
      <c r="E287" s="10">
        <f t="shared" si="20"/>
        <v>0.45907400000000004</v>
      </c>
      <c r="F287" s="10">
        <f t="shared" si="20"/>
        <v>0.79827000000000004</v>
      </c>
      <c r="G287" s="10">
        <f t="shared" si="20"/>
        <v>0.45294300000000004</v>
      </c>
      <c r="H287" s="10">
        <f t="shared" si="20"/>
        <v>0.86009500000000005</v>
      </c>
      <c r="I287" s="10">
        <f t="shared" si="20"/>
        <v>0.47921000000000002</v>
      </c>
    </row>
    <row r="288" spans="1:11" x14ac:dyDescent="0.3">
      <c r="B288" t="s">
        <v>402</v>
      </c>
      <c r="C288" t="s">
        <v>338</v>
      </c>
      <c r="D288" s="10">
        <f>D287-E287</f>
        <v>0.22143800000000008</v>
      </c>
      <c r="F288" s="10">
        <f>F287-G287</f>
        <v>0.345327</v>
      </c>
      <c r="G288" s="10"/>
      <c r="H288" s="10">
        <f>H287-I287</f>
        <v>0.38088500000000003</v>
      </c>
      <c r="I288" s="10"/>
    </row>
    <row r="289" spans="2:11" x14ac:dyDescent="0.3">
      <c r="B289" t="s">
        <v>3</v>
      </c>
      <c r="C289" t="s">
        <v>302</v>
      </c>
      <c r="D289">
        <f t="shared" ref="D289:I290" si="21">D238</f>
        <v>78.400000000000006</v>
      </c>
      <c r="E289">
        <f t="shared" si="21"/>
        <v>54.2</v>
      </c>
      <c r="F289">
        <f t="shared" si="21"/>
        <v>90.2</v>
      </c>
      <c r="G289">
        <f t="shared" si="21"/>
        <v>53.1</v>
      </c>
      <c r="H289">
        <f t="shared" si="21"/>
        <v>96.1</v>
      </c>
      <c r="I289">
        <f t="shared" si="21"/>
        <v>55.4</v>
      </c>
    </row>
    <row r="290" spans="2:11" x14ac:dyDescent="0.3">
      <c r="B290" t="s">
        <v>277</v>
      </c>
      <c r="C290" t="s">
        <v>302</v>
      </c>
      <c r="D290">
        <f t="shared" si="21"/>
        <v>21.6</v>
      </c>
      <c r="E290">
        <f t="shared" si="21"/>
        <v>45.8</v>
      </c>
      <c r="F290">
        <f t="shared" si="21"/>
        <v>9.8000000000000007</v>
      </c>
      <c r="G290">
        <f t="shared" si="21"/>
        <v>46.9</v>
      </c>
      <c r="H290">
        <f t="shared" si="21"/>
        <v>3.9</v>
      </c>
      <c r="I290">
        <f t="shared" si="21"/>
        <v>44.6</v>
      </c>
    </row>
    <row r="291" spans="2:11" x14ac:dyDescent="0.3">
      <c r="B291" t="s">
        <v>13</v>
      </c>
      <c r="C291" t="s">
        <v>302</v>
      </c>
      <c r="D291">
        <v>0</v>
      </c>
      <c r="E291">
        <v>0</v>
      </c>
      <c r="F291">
        <v>0</v>
      </c>
      <c r="G291">
        <v>0</v>
      </c>
      <c r="H291">
        <v>0</v>
      </c>
      <c r="I291">
        <v>0</v>
      </c>
      <c r="K291" s="133" t="s">
        <v>2047</v>
      </c>
    </row>
    <row r="292" spans="2:11" x14ac:dyDescent="0.3">
      <c r="B292" t="s">
        <v>35</v>
      </c>
      <c r="D292" s="3">
        <f t="shared" ref="D292:I292" si="22">D242</f>
        <v>7.61</v>
      </c>
      <c r="E292" s="3">
        <f t="shared" si="22"/>
        <v>7.29</v>
      </c>
      <c r="F292" s="3">
        <f t="shared" si="22"/>
        <v>7.9</v>
      </c>
      <c r="G292" s="3">
        <f t="shared" si="22"/>
        <v>7.28</v>
      </c>
      <c r="H292" s="3">
        <f t="shared" si="22"/>
        <v>8.31</v>
      </c>
      <c r="I292" s="3">
        <f t="shared" si="22"/>
        <v>7.3</v>
      </c>
    </row>
    <row r="293" spans="2:11" x14ac:dyDescent="0.3">
      <c r="B293" t="s">
        <v>52</v>
      </c>
      <c r="C293" t="s">
        <v>621</v>
      </c>
    </row>
    <row r="294" spans="2:11" x14ac:dyDescent="0.3">
      <c r="B294" t="s">
        <v>558</v>
      </c>
      <c r="C294" t="s">
        <v>621</v>
      </c>
      <c r="D294">
        <f t="shared" ref="D294:I294" si="23">SUM(D243:D244)/1000</f>
        <v>4.3E-3</v>
      </c>
      <c r="E294">
        <f t="shared" si="23"/>
        <v>1.6000000000000001E-3</v>
      </c>
      <c r="F294">
        <f t="shared" si="23"/>
        <v>1.18E-2</v>
      </c>
      <c r="G294">
        <f t="shared" si="23"/>
        <v>1.6999999999999999E-3</v>
      </c>
      <c r="H294">
        <f t="shared" si="23"/>
        <v>3.78E-2</v>
      </c>
      <c r="I294">
        <f t="shared" si="23"/>
        <v>1.9E-3</v>
      </c>
    </row>
    <row r="295" spans="2:11" x14ac:dyDescent="0.3">
      <c r="B295" s="12" t="s">
        <v>757</v>
      </c>
      <c r="C295" s="12" t="s">
        <v>758</v>
      </c>
    </row>
    <row r="296" spans="2:11" s="133" customFormat="1" x14ac:dyDescent="0.3">
      <c r="B296" s="103"/>
      <c r="C296" s="103"/>
    </row>
    <row r="299" spans="2:11" x14ac:dyDescent="0.3">
      <c r="B299" s="14" t="s">
        <v>1995</v>
      </c>
    </row>
    <row r="300" spans="2:11" x14ac:dyDescent="0.3">
      <c r="B300" t="s">
        <v>1173</v>
      </c>
    </row>
    <row r="301" spans="2:11" x14ac:dyDescent="0.3">
      <c r="B301" t="s">
        <v>1174</v>
      </c>
    </row>
    <row r="303" spans="2:11" s="133" customFormat="1" x14ac:dyDescent="0.3">
      <c r="B303" s="148" t="s">
        <v>114</v>
      </c>
      <c r="D303" s="133" t="s">
        <v>2140</v>
      </c>
      <c r="E303" s="133" t="s">
        <v>1731</v>
      </c>
    </row>
    <row r="304" spans="2:11" s="133" customFormat="1" x14ac:dyDescent="0.3">
      <c r="B304" s="133" t="s">
        <v>667</v>
      </c>
      <c r="C304" s="133" t="s">
        <v>503</v>
      </c>
      <c r="D304" s="133">
        <v>55</v>
      </c>
    </row>
    <row r="305" spans="2:5" s="133" customFormat="1" x14ac:dyDescent="0.3">
      <c r="B305" s="133" t="s">
        <v>1324</v>
      </c>
      <c r="D305" s="133" t="s">
        <v>1091</v>
      </c>
    </row>
    <row r="306" spans="2:5" s="133" customFormat="1" x14ac:dyDescent="0.3">
      <c r="B306" s="133" t="s">
        <v>956</v>
      </c>
      <c r="C306" s="133" t="s">
        <v>22</v>
      </c>
      <c r="D306" s="133">
        <v>0.6</v>
      </c>
    </row>
    <row r="307" spans="2:5" s="133" customFormat="1" x14ac:dyDescent="0.3">
      <c r="B307" s="133" t="s">
        <v>32</v>
      </c>
      <c r="C307" s="133" t="s">
        <v>22</v>
      </c>
      <c r="D307" s="133">
        <v>0.4</v>
      </c>
    </row>
    <row r="308" spans="2:5" s="133" customFormat="1" x14ac:dyDescent="0.3">
      <c r="B308" s="133" t="s">
        <v>326</v>
      </c>
      <c r="D308" s="133" t="s">
        <v>1427</v>
      </c>
    </row>
    <row r="309" spans="2:5" s="133" customFormat="1" x14ac:dyDescent="0.3">
      <c r="B309" s="133" t="s">
        <v>344</v>
      </c>
      <c r="D309" s="133" t="s">
        <v>694</v>
      </c>
    </row>
    <row r="310" spans="2:5" s="133" customFormat="1" x14ac:dyDescent="0.3">
      <c r="B310" s="133" t="s">
        <v>1332</v>
      </c>
      <c r="D310" s="133" t="s">
        <v>1362</v>
      </c>
    </row>
    <row r="311" spans="2:5" s="133" customFormat="1" x14ac:dyDescent="0.3">
      <c r="B311" s="133" t="s">
        <v>1330</v>
      </c>
      <c r="D311" s="133" t="s">
        <v>1333</v>
      </c>
    </row>
    <row r="312" spans="2:5" s="133" customFormat="1" x14ac:dyDescent="0.3">
      <c r="B312" s="133" t="s">
        <v>1968</v>
      </c>
      <c r="D312" s="133" t="s">
        <v>2090</v>
      </c>
      <c r="E312" s="133" t="s">
        <v>1970</v>
      </c>
    </row>
    <row r="313" spans="2:5" s="133" customFormat="1" x14ac:dyDescent="0.3">
      <c r="B313" s="133" t="s">
        <v>1541</v>
      </c>
      <c r="D313" s="133" t="s">
        <v>1732</v>
      </c>
    </row>
    <row r="314" spans="2:5" s="133" customFormat="1" x14ac:dyDescent="0.3">
      <c r="B314" s="133" t="s">
        <v>1599</v>
      </c>
      <c r="D314" s="133" t="s">
        <v>1817</v>
      </c>
    </row>
    <row r="315" spans="2:5" s="133" customFormat="1" x14ac:dyDescent="0.3"/>
    <row r="316" spans="2:5" x14ac:dyDescent="0.3">
      <c r="B316" s="6" t="s">
        <v>114</v>
      </c>
    </row>
    <row r="317" spans="2:5" x14ac:dyDescent="0.3">
      <c r="B317" t="s">
        <v>35</v>
      </c>
      <c r="D317">
        <v>7.2</v>
      </c>
    </row>
    <row r="318" spans="2:5" x14ac:dyDescent="0.3">
      <c r="B318" t="s">
        <v>27</v>
      </c>
      <c r="C318" t="s">
        <v>47</v>
      </c>
      <c r="D318">
        <v>44</v>
      </c>
    </row>
    <row r="319" spans="2:5" x14ac:dyDescent="0.3">
      <c r="B319" t="s">
        <v>14</v>
      </c>
      <c r="C319" t="s">
        <v>47</v>
      </c>
      <c r="D319">
        <v>33.5</v>
      </c>
    </row>
    <row r="320" spans="2:5" x14ac:dyDescent="0.3">
      <c r="B320" t="s">
        <v>1175</v>
      </c>
      <c r="C320" t="s">
        <v>47</v>
      </c>
      <c r="D320">
        <v>16.2</v>
      </c>
    </row>
    <row r="321" spans="2:13" x14ac:dyDescent="0.3">
      <c r="B321" t="s">
        <v>1191</v>
      </c>
      <c r="C321" t="s">
        <v>47</v>
      </c>
      <c r="D321">
        <v>4.5</v>
      </c>
    </row>
    <row r="322" spans="2:13" x14ac:dyDescent="0.3">
      <c r="B322" t="s">
        <v>1176</v>
      </c>
      <c r="C322" t="s">
        <v>47</v>
      </c>
      <c r="D322">
        <v>2.5</v>
      </c>
    </row>
    <row r="324" spans="2:13" x14ac:dyDescent="0.3">
      <c r="B324" t="s">
        <v>26</v>
      </c>
      <c r="C324" t="s">
        <v>566</v>
      </c>
      <c r="D324">
        <v>10</v>
      </c>
    </row>
    <row r="325" spans="2:13" x14ac:dyDescent="0.3">
      <c r="B325" t="s">
        <v>32</v>
      </c>
      <c r="C325" t="s">
        <v>22</v>
      </c>
      <c r="D325">
        <v>0.4</v>
      </c>
    </row>
    <row r="326" spans="2:13" x14ac:dyDescent="0.3">
      <c r="B326" t="s">
        <v>33</v>
      </c>
      <c r="C326" t="s">
        <v>270</v>
      </c>
      <c r="D326">
        <f>D319/D324</f>
        <v>3.35</v>
      </c>
    </row>
    <row r="328" spans="2:13" x14ac:dyDescent="0.3">
      <c r="B328" t="s">
        <v>287</v>
      </c>
      <c r="C328" t="s">
        <v>738</v>
      </c>
      <c r="D328" t="s">
        <v>1177</v>
      </c>
      <c r="F328" t="s">
        <v>1178</v>
      </c>
      <c r="H328" t="s">
        <v>1179</v>
      </c>
      <c r="J328" t="s">
        <v>1180</v>
      </c>
    </row>
    <row r="329" spans="2:13" x14ac:dyDescent="0.3">
      <c r="C329" t="s">
        <v>1184</v>
      </c>
      <c r="D329" t="s">
        <v>1181</v>
      </c>
      <c r="E329" t="s">
        <v>1182</v>
      </c>
      <c r="F329" t="s">
        <v>1181</v>
      </c>
      <c r="G329" t="s">
        <v>1182</v>
      </c>
      <c r="H329" t="s">
        <v>1181</v>
      </c>
      <c r="I329" t="s">
        <v>1182</v>
      </c>
      <c r="J329" t="s">
        <v>1181</v>
      </c>
      <c r="K329" t="s">
        <v>1182</v>
      </c>
    </row>
    <row r="330" spans="2:13" x14ac:dyDescent="0.3">
      <c r="B330" t="s">
        <v>1183</v>
      </c>
      <c r="C330" t="s">
        <v>399</v>
      </c>
      <c r="D330">
        <v>0.16</v>
      </c>
      <c r="F330">
        <v>0.38</v>
      </c>
      <c r="H330">
        <v>0.93</v>
      </c>
      <c r="J330">
        <v>1.58</v>
      </c>
    </row>
    <row r="331" spans="2:13" x14ac:dyDescent="0.3">
      <c r="B331" t="s">
        <v>1019</v>
      </c>
      <c r="C331" t="s">
        <v>31</v>
      </c>
      <c r="D331">
        <v>448</v>
      </c>
      <c r="E331">
        <v>0</v>
      </c>
      <c r="F331">
        <v>985</v>
      </c>
      <c r="G331">
        <v>0</v>
      </c>
      <c r="H331">
        <v>1946</v>
      </c>
      <c r="I331">
        <v>0</v>
      </c>
      <c r="J331">
        <v>3790</v>
      </c>
      <c r="K331">
        <v>0</v>
      </c>
    </row>
    <row r="332" spans="2:13" x14ac:dyDescent="0.3">
      <c r="B332" t="s">
        <v>1019</v>
      </c>
      <c r="C332" t="s">
        <v>1185</v>
      </c>
      <c r="D332">
        <v>0.18</v>
      </c>
      <c r="F332">
        <v>0.39</v>
      </c>
      <c r="H332">
        <v>0.77</v>
      </c>
      <c r="J332">
        <v>1.5</v>
      </c>
    </row>
    <row r="333" spans="2:13" x14ac:dyDescent="0.3">
      <c r="B333" t="s">
        <v>1186</v>
      </c>
      <c r="C333" t="s">
        <v>566</v>
      </c>
      <c r="D333">
        <v>0.9</v>
      </c>
      <c r="F333">
        <v>0.4</v>
      </c>
      <c r="H333">
        <v>0.2</v>
      </c>
      <c r="J333">
        <v>0.1</v>
      </c>
    </row>
    <row r="334" spans="2:13" x14ac:dyDescent="0.3">
      <c r="B334" t="s">
        <v>2069</v>
      </c>
      <c r="C334" t="s">
        <v>290</v>
      </c>
      <c r="D334">
        <v>2232</v>
      </c>
      <c r="E334">
        <v>1101</v>
      </c>
      <c r="F334">
        <v>2463</v>
      </c>
      <c r="G334">
        <v>1027</v>
      </c>
      <c r="H334">
        <v>6075</v>
      </c>
      <c r="I334">
        <v>1080</v>
      </c>
      <c r="J334">
        <v>10375</v>
      </c>
      <c r="K334">
        <v>1036</v>
      </c>
      <c r="M334" t="s">
        <v>2073</v>
      </c>
    </row>
    <row r="335" spans="2:13" x14ac:dyDescent="0.3">
      <c r="B335" t="s">
        <v>3</v>
      </c>
      <c r="C335" t="s">
        <v>302</v>
      </c>
      <c r="D335">
        <v>42.2</v>
      </c>
      <c r="E335">
        <v>62</v>
      </c>
      <c r="F335">
        <v>35.299999999999997</v>
      </c>
      <c r="G335">
        <v>61.4</v>
      </c>
      <c r="H335">
        <v>29.8</v>
      </c>
      <c r="I335">
        <v>62.1</v>
      </c>
      <c r="J335">
        <v>19.2</v>
      </c>
      <c r="K335">
        <v>61</v>
      </c>
    </row>
    <row r="336" spans="2:13" x14ac:dyDescent="0.3">
      <c r="B336" t="s">
        <v>277</v>
      </c>
      <c r="C336" t="s">
        <v>302</v>
      </c>
      <c r="D336">
        <v>56.5</v>
      </c>
      <c r="E336">
        <v>36.9</v>
      </c>
      <c r="F336">
        <v>63.4</v>
      </c>
      <c r="G336">
        <v>38.6</v>
      </c>
      <c r="H336">
        <v>68.900000000000006</v>
      </c>
      <c r="I336">
        <v>36.6</v>
      </c>
      <c r="J336">
        <v>44.5</v>
      </c>
      <c r="K336">
        <v>38.299999999999997</v>
      </c>
      <c r="M336" s="133"/>
    </row>
    <row r="337" spans="2:13" x14ac:dyDescent="0.3">
      <c r="B337" t="s">
        <v>484</v>
      </c>
      <c r="C337" t="s">
        <v>302</v>
      </c>
      <c r="D337" s="8">
        <v>0</v>
      </c>
      <c r="F337" s="8">
        <v>0</v>
      </c>
      <c r="H337" s="8">
        <v>0</v>
      </c>
      <c r="J337">
        <v>35.200000000000003</v>
      </c>
      <c r="M337" s="133"/>
    </row>
    <row r="338" spans="2:13" x14ac:dyDescent="0.3">
      <c r="B338" t="s">
        <v>293</v>
      </c>
      <c r="C338" t="s">
        <v>290</v>
      </c>
      <c r="D338">
        <v>943</v>
      </c>
      <c r="E338">
        <v>683</v>
      </c>
      <c r="F338">
        <v>1230</v>
      </c>
      <c r="G338">
        <v>631</v>
      </c>
      <c r="H338">
        <v>1811</v>
      </c>
      <c r="I338">
        <v>674</v>
      </c>
      <c r="J338">
        <v>1992</v>
      </c>
      <c r="K338">
        <v>628</v>
      </c>
    </row>
    <row r="339" spans="2:13" x14ac:dyDescent="0.3">
      <c r="B339" t="s">
        <v>1187</v>
      </c>
      <c r="C339" t="s">
        <v>302</v>
      </c>
      <c r="D339">
        <v>92.8</v>
      </c>
      <c r="F339">
        <v>97.2</v>
      </c>
      <c r="H339">
        <v>93.5</v>
      </c>
      <c r="J339">
        <v>93.7</v>
      </c>
    </row>
    <row r="340" spans="2:13" x14ac:dyDescent="0.3">
      <c r="B340" t="s">
        <v>35</v>
      </c>
      <c r="D340" s="3">
        <v>7.1</v>
      </c>
      <c r="E340" s="3">
        <v>7.25</v>
      </c>
      <c r="F340" s="3">
        <v>7.03</v>
      </c>
      <c r="G340" s="3">
        <v>7.28</v>
      </c>
      <c r="H340" s="3">
        <v>7.03</v>
      </c>
      <c r="I340" s="3">
        <v>7.24</v>
      </c>
      <c r="J340" s="3">
        <v>7.17</v>
      </c>
      <c r="K340" s="3">
        <v>7.29</v>
      </c>
    </row>
    <row r="341" spans="2:13" x14ac:dyDescent="0.3">
      <c r="B341" t="s">
        <v>309</v>
      </c>
      <c r="C341" t="s">
        <v>316</v>
      </c>
      <c r="D341">
        <v>0.34</v>
      </c>
      <c r="E341">
        <v>0.38</v>
      </c>
      <c r="F341">
        <v>0.44</v>
      </c>
      <c r="G341">
        <v>0.56000000000000005</v>
      </c>
      <c r="H341">
        <v>0.3</v>
      </c>
      <c r="I341">
        <v>0.31</v>
      </c>
      <c r="J341">
        <v>0.41</v>
      </c>
      <c r="K341">
        <v>0.48</v>
      </c>
    </row>
    <row r="342" spans="2:13" x14ac:dyDescent="0.3">
      <c r="B342" t="s">
        <v>310</v>
      </c>
      <c r="C342" t="s">
        <v>316</v>
      </c>
      <c r="D342">
        <v>0.03</v>
      </c>
      <c r="E342">
        <v>0.02</v>
      </c>
      <c r="F342">
        <v>0.06</v>
      </c>
      <c r="G342">
        <v>0.08</v>
      </c>
      <c r="H342">
        <v>0.01</v>
      </c>
      <c r="I342">
        <v>0.03</v>
      </c>
      <c r="J342">
        <v>0.02</v>
      </c>
      <c r="K342">
        <v>0.03</v>
      </c>
    </row>
    <row r="343" spans="2:13" x14ac:dyDescent="0.3">
      <c r="B343" t="s">
        <v>1188</v>
      </c>
      <c r="C343" t="s">
        <v>302</v>
      </c>
      <c r="D343">
        <v>39.4</v>
      </c>
      <c r="E343">
        <v>41.4</v>
      </c>
      <c r="F343">
        <v>37.4</v>
      </c>
      <c r="G343">
        <v>39.5</v>
      </c>
      <c r="H343">
        <v>40.200000000000003</v>
      </c>
      <c r="I343">
        <v>42.4</v>
      </c>
      <c r="J343">
        <v>37.4</v>
      </c>
      <c r="K343">
        <v>39.4</v>
      </c>
    </row>
    <row r="344" spans="2:13" x14ac:dyDescent="0.3">
      <c r="B344" t="s">
        <v>1189</v>
      </c>
      <c r="C344" t="s">
        <v>1190</v>
      </c>
      <c r="D344">
        <v>1.4</v>
      </c>
      <c r="F344">
        <v>2.5</v>
      </c>
      <c r="H344">
        <v>3.3</v>
      </c>
      <c r="J344">
        <v>5.7</v>
      </c>
    </row>
    <row r="347" spans="2:13" x14ac:dyDescent="0.3">
      <c r="B347" s="6" t="s">
        <v>877</v>
      </c>
    </row>
    <row r="348" spans="2:13" x14ac:dyDescent="0.3">
      <c r="B348" t="s">
        <v>747</v>
      </c>
      <c r="C348" t="s">
        <v>302</v>
      </c>
      <c r="D348">
        <f t="shared" ref="D348:K348" si="24">SUM(D335:D337)</f>
        <v>98.7</v>
      </c>
      <c r="E348">
        <f t="shared" si="24"/>
        <v>98.9</v>
      </c>
      <c r="F348">
        <f>SUM(F335:F337)</f>
        <v>98.699999999999989</v>
      </c>
      <c r="G348">
        <f t="shared" si="24"/>
        <v>100</v>
      </c>
      <c r="H348">
        <f t="shared" si="24"/>
        <v>98.7</v>
      </c>
      <c r="I348">
        <f t="shared" si="24"/>
        <v>98.7</v>
      </c>
      <c r="J348">
        <f t="shared" si="24"/>
        <v>98.9</v>
      </c>
      <c r="K348">
        <f t="shared" si="24"/>
        <v>99.3</v>
      </c>
      <c r="M348" t="s">
        <v>2072</v>
      </c>
    </row>
    <row r="349" spans="2:13" s="133" customFormat="1" x14ac:dyDescent="0.3">
      <c r="B349" s="133" t="s">
        <v>332</v>
      </c>
      <c r="C349" s="133" t="s">
        <v>302</v>
      </c>
      <c r="D349" s="198">
        <f>D$348*D335/(D$335+D$336)</f>
        <v>42.2</v>
      </c>
      <c r="E349" s="198">
        <f t="shared" ref="E349:K349" si="25">E$348*E335/(E$335+E$336)</f>
        <v>62</v>
      </c>
      <c r="F349" s="198">
        <f>F$348*F335/(F$335+F$336)</f>
        <v>35.299999999999997</v>
      </c>
      <c r="G349" s="198">
        <f t="shared" si="25"/>
        <v>61.4</v>
      </c>
      <c r="H349" s="198">
        <f t="shared" si="25"/>
        <v>29.8</v>
      </c>
      <c r="I349" s="198">
        <f t="shared" si="25"/>
        <v>62.1</v>
      </c>
      <c r="J349" s="198">
        <f t="shared" si="25"/>
        <v>29.809733124018837</v>
      </c>
      <c r="K349" s="198">
        <f t="shared" si="25"/>
        <v>61.000000000000007</v>
      </c>
      <c r="M349" s="133" t="s">
        <v>2074</v>
      </c>
    </row>
    <row r="350" spans="2:13" s="133" customFormat="1" x14ac:dyDescent="0.3">
      <c r="B350" s="133" t="s">
        <v>333</v>
      </c>
      <c r="C350" s="133" t="s">
        <v>302</v>
      </c>
      <c r="D350" s="198">
        <f t="shared" ref="D350:K350" si="26">D$348*D336/(D$335+D$336)</f>
        <v>56.5</v>
      </c>
      <c r="E350" s="198">
        <f t="shared" si="26"/>
        <v>36.9</v>
      </c>
      <c r="F350" s="198">
        <f>F$348*F336/(F$335+F$336)</f>
        <v>63.4</v>
      </c>
      <c r="G350" s="198">
        <f t="shared" si="26"/>
        <v>38.6</v>
      </c>
      <c r="H350" s="198">
        <f t="shared" si="26"/>
        <v>68.900000000000006</v>
      </c>
      <c r="I350" s="198">
        <f t="shared" si="26"/>
        <v>36.6</v>
      </c>
      <c r="J350" s="198">
        <f t="shared" si="26"/>
        <v>69.090266875981158</v>
      </c>
      <c r="K350" s="198">
        <f t="shared" si="26"/>
        <v>38.299999999999997</v>
      </c>
      <c r="M350" s="133" t="s">
        <v>2074</v>
      </c>
    </row>
    <row r="351" spans="2:13" x14ac:dyDescent="0.3">
      <c r="B351" t="s">
        <v>293</v>
      </c>
      <c r="C351" t="s">
        <v>338</v>
      </c>
      <c r="D351" s="10">
        <f t="shared" ref="D351:K351" si="27">D334*D335/100000</f>
        <v>0.94190400000000007</v>
      </c>
      <c r="E351" s="10">
        <f t="shared" si="27"/>
        <v>0.68262</v>
      </c>
      <c r="F351" s="52">
        <f>F334*F335/100000</f>
        <v>0.86943899999999996</v>
      </c>
      <c r="G351" s="10">
        <f t="shared" si="27"/>
        <v>0.63057799999999997</v>
      </c>
      <c r="H351" s="10">
        <f t="shared" si="27"/>
        <v>1.8103499999999999</v>
      </c>
      <c r="I351" s="10">
        <f t="shared" si="27"/>
        <v>0.67068000000000005</v>
      </c>
      <c r="J351" s="10">
        <f t="shared" si="27"/>
        <v>1.992</v>
      </c>
      <c r="K351" s="10">
        <f t="shared" si="27"/>
        <v>0.63195999999999997</v>
      </c>
      <c r="M351" t="s">
        <v>1192</v>
      </c>
    </row>
    <row r="352" spans="2:13" x14ac:dyDescent="0.3">
      <c r="C352" t="s">
        <v>338</v>
      </c>
      <c r="D352">
        <f t="shared" ref="D352:K352" si="28">D338/1000</f>
        <v>0.94299999999999995</v>
      </c>
      <c r="E352">
        <f t="shared" si="28"/>
        <v>0.68300000000000005</v>
      </c>
      <c r="F352" s="26">
        <f t="shared" si="28"/>
        <v>1.23</v>
      </c>
      <c r="G352">
        <f t="shared" si="28"/>
        <v>0.63100000000000001</v>
      </c>
      <c r="H352">
        <f t="shared" si="28"/>
        <v>1.8109999999999999</v>
      </c>
      <c r="I352">
        <f t="shared" si="28"/>
        <v>0.67400000000000004</v>
      </c>
      <c r="J352">
        <f t="shared" si="28"/>
        <v>1.992</v>
      </c>
      <c r="K352">
        <f t="shared" si="28"/>
        <v>0.628</v>
      </c>
      <c r="M352" t="s">
        <v>1193</v>
      </c>
    </row>
    <row r="353" spans="1:11" x14ac:dyDescent="0.3">
      <c r="B353" t="s">
        <v>402</v>
      </c>
      <c r="C353" t="s">
        <v>338</v>
      </c>
      <c r="D353" s="10">
        <f>D352-E352</f>
        <v>0.2599999999999999</v>
      </c>
      <c r="F353" s="10">
        <f>F352-G352</f>
        <v>0.59899999999999998</v>
      </c>
      <c r="H353" s="10">
        <f>H352-I352</f>
        <v>1.137</v>
      </c>
      <c r="J353" s="10">
        <f>J352-K352</f>
        <v>1.3639999999999999</v>
      </c>
    </row>
    <row r="354" spans="1:11" x14ac:dyDescent="0.3">
      <c r="B354" t="s">
        <v>1082</v>
      </c>
      <c r="C354" t="s">
        <v>338</v>
      </c>
      <c r="D354" s="10">
        <f t="shared" ref="D354:K354" si="29">D334*D336/100000</f>
        <v>1.26108</v>
      </c>
      <c r="E354" s="10">
        <f t="shared" si="29"/>
        <v>0.40626899999999999</v>
      </c>
      <c r="F354" s="10">
        <f t="shared" si="29"/>
        <v>1.5615419999999998</v>
      </c>
      <c r="G354" s="10">
        <f t="shared" si="29"/>
        <v>0.39642200000000005</v>
      </c>
      <c r="H354" s="10">
        <f t="shared" si="29"/>
        <v>4.1856750000000007</v>
      </c>
      <c r="I354" s="10">
        <f t="shared" si="29"/>
        <v>0.39528000000000002</v>
      </c>
      <c r="J354" s="10">
        <f t="shared" si="29"/>
        <v>4.6168750000000003</v>
      </c>
      <c r="K354" s="10">
        <f t="shared" si="29"/>
        <v>0.39678799999999997</v>
      </c>
    </row>
    <row r="355" spans="1:11" x14ac:dyDescent="0.3">
      <c r="B355" t="s">
        <v>617</v>
      </c>
      <c r="C355" t="s">
        <v>338</v>
      </c>
      <c r="D355" s="10">
        <f>D331/(1000*$D$325)</f>
        <v>1.1200000000000001</v>
      </c>
      <c r="E355" s="10"/>
      <c r="F355" s="10">
        <f>F331/(1000*$D$325)</f>
        <v>2.4624999999999999</v>
      </c>
      <c r="G355" s="10"/>
      <c r="H355" s="10">
        <f>H331/(1000*$D$325)</f>
        <v>4.8650000000000002</v>
      </c>
      <c r="I355" s="10"/>
      <c r="J355" s="10">
        <f>J331/(1000*$D$325)</f>
        <v>9.4749999999999996</v>
      </c>
      <c r="K355" s="10"/>
    </row>
    <row r="356" spans="1:11" x14ac:dyDescent="0.3">
      <c r="B356" t="s">
        <v>351</v>
      </c>
      <c r="C356" t="s">
        <v>377</v>
      </c>
      <c r="D356" s="10">
        <f t="shared" ref="D356:K356" si="30">D352/D379</f>
        <v>0.28149253731343282</v>
      </c>
      <c r="E356" s="10">
        <f t="shared" si="30"/>
        <v>0.20388059701492539</v>
      </c>
      <c r="F356" s="10">
        <f t="shared" si="30"/>
        <v>0.36716417910447757</v>
      </c>
      <c r="G356" s="10">
        <f t="shared" si="30"/>
        <v>0.18835820895522387</v>
      </c>
      <c r="H356" s="10">
        <f t="shared" si="30"/>
        <v>0.54059701492537315</v>
      </c>
      <c r="I356" s="10">
        <f t="shared" si="30"/>
        <v>0.20119402985074628</v>
      </c>
      <c r="J356" s="10">
        <f t="shared" si="30"/>
        <v>0.5946268656716418</v>
      </c>
      <c r="K356" s="10">
        <f t="shared" si="30"/>
        <v>0.18746268656716417</v>
      </c>
    </row>
    <row r="357" spans="1:11" x14ac:dyDescent="0.3">
      <c r="B357" t="s">
        <v>1027</v>
      </c>
      <c r="C357" t="s">
        <v>377</v>
      </c>
      <c r="D357" s="10">
        <f>D356-E356</f>
        <v>7.7611940298507431E-2</v>
      </c>
      <c r="F357" s="10">
        <f>F356-G356</f>
        <v>0.1788059701492537</v>
      </c>
      <c r="H357" s="10">
        <f>H356-I356</f>
        <v>0.33940298507462685</v>
      </c>
      <c r="J357" s="10">
        <f>J356-K356</f>
        <v>0.40716417910447766</v>
      </c>
    </row>
    <row r="358" spans="1:11" s="133" customFormat="1" x14ac:dyDescent="0.3">
      <c r="B358" s="133" t="s">
        <v>1030</v>
      </c>
      <c r="C358" s="133" t="s">
        <v>338</v>
      </c>
      <c r="D358" s="10"/>
      <c r="F358" s="10"/>
      <c r="H358" s="10"/>
      <c r="J358" s="10"/>
    </row>
    <row r="359" spans="1:11" s="133" customFormat="1" x14ac:dyDescent="0.3">
      <c r="B359" s="133" t="s">
        <v>2076</v>
      </c>
      <c r="C359" s="133" t="s">
        <v>338</v>
      </c>
      <c r="D359" s="10"/>
      <c r="F359" s="10"/>
      <c r="H359" s="10"/>
      <c r="J359" s="10"/>
    </row>
    <row r="360" spans="1:11" s="133" customFormat="1" x14ac:dyDescent="0.3">
      <c r="A360" s="148"/>
      <c r="B360" s="95" t="s">
        <v>460</v>
      </c>
      <c r="C360" s="103" t="s">
        <v>1418</v>
      </c>
      <c r="D360" s="10"/>
      <c r="F360" s="10"/>
      <c r="H360" s="31" t="s">
        <v>301</v>
      </c>
      <c r="I360" s="103"/>
      <c r="J360" s="31" t="s">
        <v>301</v>
      </c>
    </row>
    <row r="361" spans="1:11" s="133" customFormat="1" x14ac:dyDescent="0.3">
      <c r="A361" s="148"/>
      <c r="B361" s="95" t="s">
        <v>461</v>
      </c>
      <c r="C361" s="103" t="s">
        <v>338</v>
      </c>
      <c r="D361" s="10"/>
      <c r="F361" s="10"/>
      <c r="H361" s="31" t="s">
        <v>301</v>
      </c>
      <c r="I361" s="103"/>
      <c r="J361" s="31" t="s">
        <v>301</v>
      </c>
    </row>
    <row r="362" spans="1:11" s="133" customFormat="1" x14ac:dyDescent="0.3">
      <c r="A362" s="148"/>
      <c r="B362" s="95" t="s">
        <v>613</v>
      </c>
      <c r="C362" s="103"/>
      <c r="D362" s="10"/>
      <c r="F362" s="10"/>
      <c r="H362" s="31" t="s">
        <v>301</v>
      </c>
      <c r="I362" s="103"/>
      <c r="J362" s="31" t="s">
        <v>301</v>
      </c>
    </row>
    <row r="363" spans="1:11" s="133" customFormat="1" x14ac:dyDescent="0.3">
      <c r="B363" s="95" t="s">
        <v>468</v>
      </c>
      <c r="C363" s="103" t="s">
        <v>338</v>
      </c>
      <c r="D363" s="10"/>
      <c r="F363" s="10"/>
      <c r="H363" s="31" t="s">
        <v>301</v>
      </c>
      <c r="I363" s="103"/>
      <c r="J363" s="31" t="s">
        <v>301</v>
      </c>
    </row>
    <row r="364" spans="1:11" x14ac:dyDescent="0.3">
      <c r="A364" s="148"/>
      <c r="B364" s="95" t="s">
        <v>93</v>
      </c>
      <c r="C364" s="103"/>
      <c r="H364" s="31" t="s">
        <v>301</v>
      </c>
      <c r="I364" s="103"/>
      <c r="J364" s="31" t="s">
        <v>301</v>
      </c>
    </row>
    <row r="365" spans="1:11" s="133" customFormat="1" x14ac:dyDescent="0.3">
      <c r="A365" s="148"/>
      <c r="B365" s="95" t="s">
        <v>462</v>
      </c>
      <c r="C365" s="103" t="s">
        <v>92</v>
      </c>
      <c r="D365" s="10"/>
      <c r="F365" s="10"/>
      <c r="H365" s="31" t="s">
        <v>301</v>
      </c>
      <c r="I365" s="103"/>
      <c r="J365" s="31" t="s">
        <v>301</v>
      </c>
    </row>
    <row r="366" spans="1:11" s="133" customFormat="1" x14ac:dyDescent="0.3">
      <c r="A366" s="148"/>
      <c r="B366" s="95" t="s">
        <v>2085</v>
      </c>
      <c r="C366" s="103" t="s">
        <v>92</v>
      </c>
      <c r="D366" s="10"/>
      <c r="F366" s="10"/>
      <c r="H366" s="31" t="s">
        <v>301</v>
      </c>
      <c r="I366" s="103"/>
      <c r="J366" s="31" t="s">
        <v>301</v>
      </c>
    </row>
    <row r="367" spans="1:11" s="133" customFormat="1" x14ac:dyDescent="0.3">
      <c r="A367" s="148"/>
      <c r="B367" s="95" t="s">
        <v>2087</v>
      </c>
      <c r="C367" s="103" t="s">
        <v>92</v>
      </c>
      <c r="D367" s="10"/>
      <c r="F367" s="10"/>
      <c r="H367" s="31" t="s">
        <v>301</v>
      </c>
      <c r="I367" s="103"/>
      <c r="J367" s="31" t="s">
        <v>301</v>
      </c>
    </row>
    <row r="368" spans="1:11" s="133" customFormat="1" x14ac:dyDescent="0.3">
      <c r="A368" s="148"/>
      <c r="B368" s="95" t="s">
        <v>2088</v>
      </c>
      <c r="C368" s="103" t="s">
        <v>92</v>
      </c>
      <c r="D368" s="10"/>
      <c r="F368" s="10"/>
      <c r="H368" s="31" t="s">
        <v>301</v>
      </c>
      <c r="I368" s="103"/>
      <c r="J368" s="31" t="s">
        <v>301</v>
      </c>
    </row>
    <row r="369" spans="1:13" s="133" customFormat="1" x14ac:dyDescent="0.3">
      <c r="A369" s="148"/>
      <c r="B369" s="95" t="s">
        <v>2096</v>
      </c>
      <c r="C369" s="103" t="s">
        <v>92</v>
      </c>
      <c r="D369" s="10"/>
      <c r="F369" s="10"/>
      <c r="H369" s="31" t="s">
        <v>301</v>
      </c>
      <c r="I369" s="103"/>
      <c r="J369" s="31" t="s">
        <v>301</v>
      </c>
    </row>
    <row r="370" spans="1:13" s="133" customFormat="1" x14ac:dyDescent="0.3">
      <c r="A370" s="148"/>
      <c r="B370" s="95" t="s">
        <v>2097</v>
      </c>
      <c r="C370" s="103" t="s">
        <v>92</v>
      </c>
      <c r="D370" s="10"/>
      <c r="F370" s="10"/>
      <c r="H370" s="31" t="s">
        <v>301</v>
      </c>
      <c r="I370" s="103"/>
      <c r="J370" s="31" t="s">
        <v>301</v>
      </c>
    </row>
    <row r="371" spans="1:13" s="133" customFormat="1" x14ac:dyDescent="0.3">
      <c r="A371" s="148"/>
      <c r="B371" s="95" t="s">
        <v>2081</v>
      </c>
      <c r="C371" s="103"/>
      <c r="D371" s="10"/>
      <c r="F371" s="10"/>
      <c r="H371" s="31" t="s">
        <v>301</v>
      </c>
      <c r="I371" s="103"/>
      <c r="J371" s="31" t="s">
        <v>301</v>
      </c>
    </row>
    <row r="372" spans="1:13" s="133" customFormat="1" x14ac:dyDescent="0.3">
      <c r="A372" s="148"/>
      <c r="B372" s="95" t="s">
        <v>2137</v>
      </c>
      <c r="C372" s="103"/>
      <c r="D372" s="10"/>
      <c r="F372" s="10"/>
      <c r="H372" s="31" t="s">
        <v>301</v>
      </c>
      <c r="I372" s="103"/>
      <c r="J372" s="31" t="s">
        <v>301</v>
      </c>
    </row>
    <row r="373" spans="1:13" s="103" customFormat="1" x14ac:dyDescent="0.3">
      <c r="B373" s="95"/>
    </row>
    <row r="374" spans="1:13" x14ac:dyDescent="0.3">
      <c r="H374" t="s">
        <v>2075</v>
      </c>
      <c r="J374" t="s">
        <v>2075</v>
      </c>
    </row>
    <row r="375" spans="1:13" x14ac:dyDescent="0.3">
      <c r="C375" t="s">
        <v>738</v>
      </c>
      <c r="D375" t="s">
        <v>1177</v>
      </c>
      <c r="F375" t="s">
        <v>1178</v>
      </c>
      <c r="H375" t="s">
        <v>1179</v>
      </c>
      <c r="J375" t="s">
        <v>1180</v>
      </c>
    </row>
    <row r="376" spans="1:13" x14ac:dyDescent="0.3">
      <c r="B376" s="6" t="s">
        <v>359</v>
      </c>
      <c r="D376" t="s">
        <v>1181</v>
      </c>
      <c r="E376" t="s">
        <v>1182</v>
      </c>
      <c r="F376" t="s">
        <v>1181</v>
      </c>
      <c r="G376" t="s">
        <v>1182</v>
      </c>
      <c r="H376" t="s">
        <v>1181</v>
      </c>
      <c r="I376" t="s">
        <v>1182</v>
      </c>
      <c r="J376" t="s">
        <v>1181</v>
      </c>
      <c r="K376" t="s">
        <v>1182</v>
      </c>
    </row>
    <row r="377" spans="1:13" s="133" customFormat="1" x14ac:dyDescent="0.3">
      <c r="B377" s="148" t="s">
        <v>1795</v>
      </c>
      <c r="D377" s="477" t="s">
        <v>1686</v>
      </c>
      <c r="E377" s="133" t="s">
        <v>2152</v>
      </c>
      <c r="F377" s="477" t="s">
        <v>1686</v>
      </c>
      <c r="G377" s="133" t="s">
        <v>2152</v>
      </c>
      <c r="H377" s="133" t="s">
        <v>1733</v>
      </c>
      <c r="I377" s="133" t="s">
        <v>2152</v>
      </c>
      <c r="J377" s="133" t="s">
        <v>1734</v>
      </c>
      <c r="K377" s="133" t="s">
        <v>2152</v>
      </c>
    </row>
    <row r="378" spans="1:13" s="133" customFormat="1" x14ac:dyDescent="0.3">
      <c r="B378" s="148" t="s">
        <v>1791</v>
      </c>
      <c r="D378" s="133" t="s">
        <v>1815</v>
      </c>
      <c r="E378" s="133" t="s">
        <v>1816</v>
      </c>
      <c r="F378" s="133" t="s">
        <v>1815</v>
      </c>
      <c r="G378" s="133" t="s">
        <v>1816</v>
      </c>
      <c r="H378" s="133" t="s">
        <v>1815</v>
      </c>
      <c r="I378" s="133" t="s">
        <v>1816</v>
      </c>
      <c r="J378" s="133" t="s">
        <v>1815</v>
      </c>
      <c r="K378" s="133" t="s">
        <v>1816</v>
      </c>
    </row>
    <row r="379" spans="1:13" x14ac:dyDescent="0.3">
      <c r="B379" t="s">
        <v>33</v>
      </c>
      <c r="C379" t="s">
        <v>270</v>
      </c>
      <c r="D379">
        <f t="shared" ref="D379:K379" si="31">$D326</f>
        <v>3.35</v>
      </c>
      <c r="E379">
        <f t="shared" si="31"/>
        <v>3.35</v>
      </c>
      <c r="F379">
        <f t="shared" si="31"/>
        <v>3.35</v>
      </c>
      <c r="G379">
        <f t="shared" si="31"/>
        <v>3.35</v>
      </c>
      <c r="H379">
        <f t="shared" si="31"/>
        <v>3.35</v>
      </c>
      <c r="I379">
        <f t="shared" si="31"/>
        <v>3.35</v>
      </c>
      <c r="J379">
        <f t="shared" si="31"/>
        <v>3.35</v>
      </c>
      <c r="K379">
        <f t="shared" si="31"/>
        <v>3.35</v>
      </c>
      <c r="M379" t="s">
        <v>101</v>
      </c>
    </row>
    <row r="380" spans="1:13" x14ac:dyDescent="0.3">
      <c r="B380" t="s">
        <v>26</v>
      </c>
      <c r="C380" t="s">
        <v>25</v>
      </c>
      <c r="D380">
        <f t="shared" ref="D380:K380" si="32">$D324</f>
        <v>10</v>
      </c>
      <c r="E380">
        <f t="shared" si="32"/>
        <v>10</v>
      </c>
      <c r="F380">
        <f t="shared" si="32"/>
        <v>10</v>
      </c>
      <c r="G380">
        <f t="shared" si="32"/>
        <v>10</v>
      </c>
      <c r="H380">
        <f t="shared" si="32"/>
        <v>10</v>
      </c>
      <c r="I380">
        <f t="shared" si="32"/>
        <v>10</v>
      </c>
      <c r="J380">
        <f t="shared" si="32"/>
        <v>10</v>
      </c>
      <c r="K380">
        <f t="shared" si="32"/>
        <v>10</v>
      </c>
      <c r="M380" t="s">
        <v>378</v>
      </c>
    </row>
    <row r="381" spans="1:13" s="133" customFormat="1" x14ac:dyDescent="0.3">
      <c r="B381" s="133" t="s">
        <v>1544</v>
      </c>
      <c r="C381" s="133" t="s">
        <v>338</v>
      </c>
      <c r="D381" s="10" t="s">
        <v>301</v>
      </c>
      <c r="F381" s="10" t="s">
        <v>301</v>
      </c>
      <c r="H381" s="10" t="s">
        <v>301</v>
      </c>
      <c r="J381" s="10" t="s">
        <v>301</v>
      </c>
      <c r="K381" s="133" t="s">
        <v>301</v>
      </c>
      <c r="M381" s="133" t="s">
        <v>2079</v>
      </c>
    </row>
    <row r="382" spans="1:13" x14ac:dyDescent="0.3">
      <c r="B382" t="s">
        <v>351</v>
      </c>
      <c r="C382" t="s">
        <v>377</v>
      </c>
      <c r="D382" s="10">
        <f t="shared" ref="D382:K382" si="33">D356</f>
        <v>0.28149253731343282</v>
      </c>
      <c r="E382" s="10">
        <f t="shared" si="33"/>
        <v>0.20388059701492539</v>
      </c>
      <c r="F382" s="10">
        <f t="shared" si="33"/>
        <v>0.36716417910447757</v>
      </c>
      <c r="G382" s="10">
        <f t="shared" si="33"/>
        <v>0.18835820895522387</v>
      </c>
      <c r="H382" s="10">
        <f t="shared" si="33"/>
        <v>0.54059701492537315</v>
      </c>
      <c r="I382" s="10">
        <f t="shared" si="33"/>
        <v>0.20119402985074628</v>
      </c>
      <c r="J382" s="10">
        <f t="shared" si="33"/>
        <v>0.5946268656716418</v>
      </c>
      <c r="K382" s="10">
        <f t="shared" si="33"/>
        <v>0.18746268656716417</v>
      </c>
    </row>
    <row r="383" spans="1:13" x14ac:dyDescent="0.3">
      <c r="B383" s="84" t="s">
        <v>1027</v>
      </c>
      <c r="C383" t="s">
        <v>377</v>
      </c>
      <c r="D383" s="10">
        <f>D357</f>
        <v>7.7611940298507431E-2</v>
      </c>
      <c r="F383" s="10">
        <f>F357</f>
        <v>0.1788059701492537</v>
      </c>
      <c r="H383" s="10">
        <f>H357</f>
        <v>0.33940298507462685</v>
      </c>
      <c r="J383" s="10">
        <f>J357</f>
        <v>0.40716417910447766</v>
      </c>
    </row>
    <row r="384" spans="1:13" x14ac:dyDescent="0.3">
      <c r="B384" t="s">
        <v>353</v>
      </c>
      <c r="C384" t="s">
        <v>92</v>
      </c>
      <c r="D384" s="10">
        <f>D383/E382</f>
        <v>0.38067349926793537</v>
      </c>
      <c r="F384" s="10">
        <f>F383/G382</f>
        <v>0.94928684627575266</v>
      </c>
      <c r="H384" s="10">
        <f>H383/I382</f>
        <v>1.6869436201780414</v>
      </c>
      <c r="J384" s="10">
        <f>J383/K382</f>
        <v>2.1719745222929943</v>
      </c>
    </row>
    <row r="385" spans="2:11" x14ac:dyDescent="0.3">
      <c r="B385" t="s">
        <v>293</v>
      </c>
      <c r="C385" t="s">
        <v>338</v>
      </c>
      <c r="D385">
        <f t="shared" ref="D385:K385" si="34">D352</f>
        <v>0.94299999999999995</v>
      </c>
      <c r="E385">
        <f t="shared" si="34"/>
        <v>0.68300000000000005</v>
      </c>
      <c r="F385">
        <f t="shared" si="34"/>
        <v>1.23</v>
      </c>
      <c r="G385">
        <f t="shared" si="34"/>
        <v>0.63100000000000001</v>
      </c>
      <c r="H385">
        <f t="shared" si="34"/>
        <v>1.8109999999999999</v>
      </c>
      <c r="I385">
        <f t="shared" si="34"/>
        <v>0.67400000000000004</v>
      </c>
      <c r="J385">
        <f t="shared" si="34"/>
        <v>1.992</v>
      </c>
      <c r="K385">
        <f t="shared" si="34"/>
        <v>0.628</v>
      </c>
    </row>
    <row r="386" spans="2:11" x14ac:dyDescent="0.3">
      <c r="B386" t="s">
        <v>402</v>
      </c>
      <c r="C386" t="s">
        <v>338</v>
      </c>
      <c r="D386" s="10">
        <f>D353</f>
        <v>0.2599999999999999</v>
      </c>
      <c r="E386" s="10"/>
      <c r="F386" s="10">
        <f>F353</f>
        <v>0.59899999999999998</v>
      </c>
      <c r="G386" s="10"/>
      <c r="H386" s="10">
        <f>H353</f>
        <v>1.137</v>
      </c>
      <c r="I386" s="10"/>
      <c r="J386" s="10">
        <f>J353</f>
        <v>1.3639999999999999</v>
      </c>
      <c r="K386" s="10"/>
    </row>
    <row r="387" spans="2:11" x14ac:dyDescent="0.3">
      <c r="B387" t="s">
        <v>3</v>
      </c>
      <c r="C387" t="s">
        <v>302</v>
      </c>
      <c r="D387">
        <f t="shared" ref="D387:K389" si="35">D335</f>
        <v>42.2</v>
      </c>
      <c r="E387">
        <f t="shared" si="35"/>
        <v>62</v>
      </c>
      <c r="F387">
        <f t="shared" si="35"/>
        <v>35.299999999999997</v>
      </c>
      <c r="G387">
        <f t="shared" si="35"/>
        <v>61.4</v>
      </c>
      <c r="H387">
        <f t="shared" si="35"/>
        <v>29.8</v>
      </c>
      <c r="I387">
        <f t="shared" si="35"/>
        <v>62.1</v>
      </c>
      <c r="J387">
        <f t="shared" si="35"/>
        <v>19.2</v>
      </c>
      <c r="K387">
        <f t="shared" si="35"/>
        <v>61</v>
      </c>
    </row>
    <row r="388" spans="2:11" x14ac:dyDescent="0.3">
      <c r="B388" t="s">
        <v>277</v>
      </c>
      <c r="C388" t="s">
        <v>302</v>
      </c>
      <c r="D388">
        <f t="shared" si="35"/>
        <v>56.5</v>
      </c>
      <c r="E388">
        <f t="shared" si="35"/>
        <v>36.9</v>
      </c>
      <c r="F388">
        <f t="shared" si="35"/>
        <v>63.4</v>
      </c>
      <c r="G388">
        <f t="shared" si="35"/>
        <v>38.6</v>
      </c>
      <c r="H388">
        <f t="shared" si="35"/>
        <v>68.900000000000006</v>
      </c>
      <c r="I388">
        <f t="shared" si="35"/>
        <v>36.6</v>
      </c>
      <c r="J388">
        <f t="shared" si="35"/>
        <v>44.5</v>
      </c>
      <c r="K388">
        <f t="shared" si="35"/>
        <v>38.299999999999997</v>
      </c>
    </row>
    <row r="389" spans="2:11" x14ac:dyDescent="0.3">
      <c r="B389" s="84" t="s">
        <v>484</v>
      </c>
      <c r="C389" t="s">
        <v>302</v>
      </c>
      <c r="D389">
        <f t="shared" si="35"/>
        <v>0</v>
      </c>
      <c r="E389">
        <f t="shared" si="35"/>
        <v>0</v>
      </c>
      <c r="F389">
        <f t="shared" si="35"/>
        <v>0</v>
      </c>
      <c r="G389">
        <f t="shared" si="35"/>
        <v>0</v>
      </c>
      <c r="H389">
        <f t="shared" si="35"/>
        <v>0</v>
      </c>
      <c r="I389">
        <f t="shared" si="35"/>
        <v>0</v>
      </c>
      <c r="J389">
        <f t="shared" si="35"/>
        <v>35.200000000000003</v>
      </c>
      <c r="K389">
        <f t="shared" si="35"/>
        <v>0</v>
      </c>
    </row>
    <row r="390" spans="2:11" x14ac:dyDescent="0.3">
      <c r="B390" t="s">
        <v>35</v>
      </c>
      <c r="D390" s="3">
        <f t="shared" ref="D390:K390" si="36">D340</f>
        <v>7.1</v>
      </c>
      <c r="E390" s="3">
        <f t="shared" si="36"/>
        <v>7.25</v>
      </c>
      <c r="F390" s="3">
        <f t="shared" si="36"/>
        <v>7.03</v>
      </c>
      <c r="G390" s="3">
        <f t="shared" si="36"/>
        <v>7.28</v>
      </c>
      <c r="H390" s="3">
        <f t="shared" si="36"/>
        <v>7.03</v>
      </c>
      <c r="I390" s="3">
        <f t="shared" si="36"/>
        <v>7.24</v>
      </c>
      <c r="J390" s="3">
        <f t="shared" si="36"/>
        <v>7.17</v>
      </c>
      <c r="K390" s="3">
        <f t="shared" si="36"/>
        <v>7.29</v>
      </c>
    </row>
    <row r="391" spans="2:11" x14ac:dyDescent="0.3">
      <c r="B391" t="s">
        <v>52</v>
      </c>
      <c r="C391" t="s">
        <v>621</v>
      </c>
      <c r="D391" t="s">
        <v>1671</v>
      </c>
      <c r="E391" s="133" t="s">
        <v>1671</v>
      </c>
      <c r="F391" s="133" t="s">
        <v>1671</v>
      </c>
      <c r="G391" s="133" t="s">
        <v>1671</v>
      </c>
      <c r="H391" s="133" t="s">
        <v>1671</v>
      </c>
      <c r="I391" s="133" t="s">
        <v>1671</v>
      </c>
      <c r="J391" s="133" t="s">
        <v>1671</v>
      </c>
      <c r="K391" s="133" t="s">
        <v>1671</v>
      </c>
    </row>
    <row r="392" spans="2:11" x14ac:dyDescent="0.3">
      <c r="B392" t="s">
        <v>558</v>
      </c>
      <c r="C392" t="s">
        <v>621</v>
      </c>
      <c r="D392" s="61">
        <f t="shared" ref="D392:K392" si="37">SUM(D341:D342)/1000</f>
        <v>3.6999999999999999E-4</v>
      </c>
      <c r="E392" s="61">
        <f t="shared" si="37"/>
        <v>4.0000000000000002E-4</v>
      </c>
      <c r="F392" s="61">
        <f t="shared" si="37"/>
        <v>5.0000000000000001E-4</v>
      </c>
      <c r="G392" s="61">
        <f t="shared" si="37"/>
        <v>6.4000000000000005E-4</v>
      </c>
      <c r="H392" s="61">
        <f t="shared" si="37"/>
        <v>3.1E-4</v>
      </c>
      <c r="I392" s="61">
        <f t="shared" si="37"/>
        <v>3.3999999999999997E-4</v>
      </c>
      <c r="J392" s="61">
        <f t="shared" si="37"/>
        <v>4.2999999999999999E-4</v>
      </c>
      <c r="K392" s="61">
        <f t="shared" si="37"/>
        <v>5.1000000000000004E-4</v>
      </c>
    </row>
    <row r="393" spans="2:11" x14ac:dyDescent="0.3">
      <c r="B393" s="12"/>
      <c r="C393" s="12"/>
    </row>
    <row r="394" spans="2:11" s="133" customFormat="1" x14ac:dyDescent="0.3">
      <c r="B394" s="103"/>
      <c r="C394" s="10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FD28-ADE1-4488-823A-ABCBB89D11E7}">
  <dimension ref="A2:O91"/>
  <sheetViews>
    <sheetView workbookViewId="0"/>
  </sheetViews>
  <sheetFormatPr defaultRowHeight="14.4" x14ac:dyDescent="0.3"/>
  <cols>
    <col min="2" max="2" width="20.109375" customWidth="1"/>
    <col min="3" max="3" width="11.109375" customWidth="1"/>
    <col min="12" max="12" width="6.5546875" bestFit="1" customWidth="1"/>
  </cols>
  <sheetData>
    <row r="2" spans="2:5" x14ac:dyDescent="0.3">
      <c r="B2" s="14" t="s">
        <v>1750</v>
      </c>
    </row>
    <row r="3" spans="2:5" x14ac:dyDescent="0.3">
      <c r="B3" t="s">
        <v>1012</v>
      </c>
    </row>
    <row r="4" spans="2:5" x14ac:dyDescent="0.3">
      <c r="B4" t="s">
        <v>1013</v>
      </c>
    </row>
    <row r="6" spans="2:5" s="133" customFormat="1" x14ac:dyDescent="0.3">
      <c r="B6" s="148" t="s">
        <v>114</v>
      </c>
      <c r="D6" s="133" t="s">
        <v>214</v>
      </c>
    </row>
    <row r="7" spans="2:5" s="133" customFormat="1" x14ac:dyDescent="0.3">
      <c r="B7" s="133" t="s">
        <v>667</v>
      </c>
      <c r="C7" s="133" t="s">
        <v>503</v>
      </c>
      <c r="D7" s="133">
        <v>37</v>
      </c>
    </row>
    <row r="8" spans="2:5" s="133" customFormat="1" x14ac:dyDescent="0.3">
      <c r="B8" s="133" t="s">
        <v>1324</v>
      </c>
      <c r="D8" s="133" t="s">
        <v>1626</v>
      </c>
    </row>
    <row r="9" spans="2:5" s="133" customFormat="1" x14ac:dyDescent="0.3">
      <c r="B9" s="133" t="s">
        <v>956</v>
      </c>
      <c r="C9" s="133" t="s">
        <v>22</v>
      </c>
      <c r="D9" s="133">
        <v>1.2</v>
      </c>
    </row>
    <row r="10" spans="2:5" s="133" customFormat="1" x14ac:dyDescent="0.3">
      <c r="B10" s="133" t="s">
        <v>32</v>
      </c>
      <c r="C10" s="133" t="s">
        <v>22</v>
      </c>
      <c r="D10" s="133">
        <v>1</v>
      </c>
    </row>
    <row r="11" spans="2:5" s="133" customFormat="1" x14ac:dyDescent="0.3">
      <c r="B11" s="133" t="s">
        <v>326</v>
      </c>
      <c r="D11" s="133" t="s">
        <v>1666</v>
      </c>
    </row>
    <row r="12" spans="2:5" s="133" customFormat="1" x14ac:dyDescent="0.3">
      <c r="B12" s="133" t="s">
        <v>344</v>
      </c>
      <c r="D12" s="133" t="s">
        <v>665</v>
      </c>
    </row>
    <row r="13" spans="2:5" s="133" customFormat="1" x14ac:dyDescent="0.3">
      <c r="B13" s="133" t="s">
        <v>1332</v>
      </c>
      <c r="D13" s="133" t="s">
        <v>1665</v>
      </c>
    </row>
    <row r="14" spans="2:5" s="133" customFormat="1" x14ac:dyDescent="0.3">
      <c r="B14" s="133" t="s">
        <v>1330</v>
      </c>
      <c r="D14" s="133" t="s">
        <v>1333</v>
      </c>
    </row>
    <row r="15" spans="2:5" s="133" customFormat="1" x14ac:dyDescent="0.3">
      <c r="B15" s="133" t="s">
        <v>1968</v>
      </c>
      <c r="D15" s="133" t="s">
        <v>2090</v>
      </c>
      <c r="E15" s="133" t="s">
        <v>1970</v>
      </c>
    </row>
    <row r="16" spans="2:5" s="133" customFormat="1" x14ac:dyDescent="0.3">
      <c r="B16" s="133" t="s">
        <v>1541</v>
      </c>
      <c r="D16" s="133" t="s">
        <v>1668</v>
      </c>
    </row>
    <row r="17" spans="2:13" s="133" customFormat="1" x14ac:dyDescent="0.3">
      <c r="B17" s="133" t="s">
        <v>1599</v>
      </c>
      <c r="D17" s="133" t="s">
        <v>1667</v>
      </c>
    </row>
    <row r="18" spans="2:13" s="133" customFormat="1" x14ac:dyDescent="0.3"/>
    <row r="19" spans="2:13" x14ac:dyDescent="0.3">
      <c r="B19" t="s">
        <v>1023</v>
      </c>
      <c r="C19" t="s">
        <v>47</v>
      </c>
      <c r="D19">
        <v>15</v>
      </c>
    </row>
    <row r="20" spans="2:13" x14ac:dyDescent="0.3">
      <c r="B20" t="s">
        <v>1024</v>
      </c>
      <c r="C20" t="s">
        <v>1025</v>
      </c>
      <c r="D20" s="10">
        <v>1.0656931194939898</v>
      </c>
    </row>
    <row r="21" spans="2:13" x14ac:dyDescent="0.3">
      <c r="B21" t="s">
        <v>26</v>
      </c>
      <c r="C21" t="s">
        <v>25</v>
      </c>
      <c r="D21">
        <v>3</v>
      </c>
    </row>
    <row r="22" spans="2:13" x14ac:dyDescent="0.3">
      <c r="B22" t="s">
        <v>33</v>
      </c>
      <c r="C22" t="s">
        <v>270</v>
      </c>
      <c r="D22">
        <f>D19/D21</f>
        <v>5</v>
      </c>
    </row>
    <row r="23" spans="2:13" x14ac:dyDescent="0.3">
      <c r="C23" t="s">
        <v>361</v>
      </c>
      <c r="D23" s="3">
        <f>D19*D20/D21</f>
        <v>5.3284655974699495</v>
      </c>
      <c r="F23" t="s">
        <v>1026</v>
      </c>
    </row>
    <row r="24" spans="2:13" x14ac:dyDescent="0.3">
      <c r="B24" t="s">
        <v>32</v>
      </c>
      <c r="C24" t="s">
        <v>22</v>
      </c>
      <c r="D24">
        <v>1</v>
      </c>
    </row>
    <row r="25" spans="2:13" x14ac:dyDescent="0.3">
      <c r="B25" t="s">
        <v>1037</v>
      </c>
      <c r="D25">
        <f>1/4</f>
        <v>0.25</v>
      </c>
      <c r="F25" t="s">
        <v>1036</v>
      </c>
    </row>
    <row r="26" spans="2:13" x14ac:dyDescent="0.3">
      <c r="B26" t="s">
        <v>1038</v>
      </c>
      <c r="D26">
        <v>3</v>
      </c>
    </row>
    <row r="28" spans="2:13" x14ac:dyDescent="0.3">
      <c r="B28" t="s">
        <v>287</v>
      </c>
    </row>
    <row r="29" spans="2:13" x14ac:dyDescent="0.3">
      <c r="D29" t="s">
        <v>1014</v>
      </c>
      <c r="E29" t="s">
        <v>1015</v>
      </c>
      <c r="G29" t="s">
        <v>1016</v>
      </c>
      <c r="I29" t="s">
        <v>1017</v>
      </c>
      <c r="K29" t="s">
        <v>1018</v>
      </c>
    </row>
    <row r="30" spans="2:13" x14ac:dyDescent="0.3">
      <c r="D30" t="s">
        <v>65</v>
      </c>
      <c r="E30" t="s">
        <v>70</v>
      </c>
      <c r="F30" t="s">
        <v>65</v>
      </c>
      <c r="G30" t="s">
        <v>70</v>
      </c>
      <c r="H30" t="s">
        <v>65</v>
      </c>
      <c r="I30" t="s">
        <v>70</v>
      </c>
      <c r="J30" t="s">
        <v>65</v>
      </c>
      <c r="K30" t="s">
        <v>70</v>
      </c>
    </row>
    <row r="31" spans="2:13" x14ac:dyDescent="0.3">
      <c r="B31" t="s">
        <v>1019</v>
      </c>
      <c r="C31" t="s">
        <v>31</v>
      </c>
      <c r="D31">
        <v>0</v>
      </c>
      <c r="E31">
        <v>0</v>
      </c>
      <c r="F31">
        <v>2500</v>
      </c>
      <c r="G31">
        <v>0</v>
      </c>
      <c r="H31">
        <v>2500</v>
      </c>
      <c r="I31">
        <v>0</v>
      </c>
      <c r="J31">
        <v>5000</v>
      </c>
      <c r="K31">
        <v>0</v>
      </c>
    </row>
    <row r="32" spans="2:13" x14ac:dyDescent="0.3">
      <c r="B32" t="s">
        <v>2175</v>
      </c>
      <c r="C32" t="s">
        <v>347</v>
      </c>
      <c r="D32">
        <v>0</v>
      </c>
      <c r="E32">
        <v>0</v>
      </c>
      <c r="F32">
        <v>0</v>
      </c>
      <c r="G32">
        <v>0</v>
      </c>
      <c r="H32">
        <v>1500</v>
      </c>
      <c r="I32">
        <v>1500</v>
      </c>
      <c r="J32">
        <v>1500</v>
      </c>
      <c r="K32">
        <v>1500</v>
      </c>
      <c r="M32" t="s">
        <v>2176</v>
      </c>
    </row>
    <row r="33" spans="2:13" x14ac:dyDescent="0.3">
      <c r="B33" t="s">
        <v>2037</v>
      </c>
      <c r="C33" t="s">
        <v>290</v>
      </c>
      <c r="D33">
        <v>2067.5</v>
      </c>
      <c r="E33">
        <v>2085.1999999999998</v>
      </c>
      <c r="F33">
        <v>4632.5</v>
      </c>
      <c r="G33">
        <v>2072.5</v>
      </c>
      <c r="H33">
        <v>4920</v>
      </c>
      <c r="I33">
        <v>2120</v>
      </c>
      <c r="J33">
        <v>7307.5</v>
      </c>
      <c r="K33">
        <v>2100</v>
      </c>
      <c r="M33" t="s">
        <v>1033</v>
      </c>
    </row>
    <row r="34" spans="2:13" x14ac:dyDescent="0.3">
      <c r="B34" t="s">
        <v>3</v>
      </c>
      <c r="C34" t="s">
        <v>302</v>
      </c>
      <c r="D34">
        <v>73.5</v>
      </c>
      <c r="E34">
        <v>71.900000000000006</v>
      </c>
      <c r="F34">
        <v>36.9</v>
      </c>
      <c r="G34">
        <v>73.900000000000006</v>
      </c>
      <c r="H34">
        <v>43.1</v>
      </c>
      <c r="I34">
        <v>74.5</v>
      </c>
      <c r="J34">
        <v>36.700000000000003</v>
      </c>
      <c r="K34">
        <v>74.2</v>
      </c>
    </row>
    <row r="35" spans="2:13" x14ac:dyDescent="0.3">
      <c r="B35" t="s">
        <v>277</v>
      </c>
      <c r="C35" t="s">
        <v>302</v>
      </c>
      <c r="D35">
        <v>24.9</v>
      </c>
      <c r="E35">
        <v>26.7</v>
      </c>
      <c r="F35">
        <v>23.8</v>
      </c>
      <c r="G35">
        <v>25</v>
      </c>
      <c r="H35">
        <v>51.7</v>
      </c>
      <c r="I35">
        <v>24.6</v>
      </c>
      <c r="J35">
        <v>55.3</v>
      </c>
      <c r="K35">
        <v>24.5</v>
      </c>
    </row>
    <row r="36" spans="2:13" x14ac:dyDescent="0.3">
      <c r="B36" t="s">
        <v>484</v>
      </c>
      <c r="C36" t="s">
        <v>302</v>
      </c>
      <c r="D36">
        <v>0</v>
      </c>
      <c r="F36">
        <v>34.200000000000003</v>
      </c>
      <c r="H36">
        <v>2.8</v>
      </c>
      <c r="J36">
        <v>5.0999999999999996</v>
      </c>
    </row>
    <row r="37" spans="2:13" x14ac:dyDescent="0.3">
      <c r="B37" t="s">
        <v>293</v>
      </c>
      <c r="C37" t="s">
        <v>290</v>
      </c>
      <c r="D37">
        <v>1520</v>
      </c>
      <c r="E37">
        <v>1497</v>
      </c>
      <c r="F37">
        <v>1709</v>
      </c>
      <c r="G37">
        <v>1532</v>
      </c>
      <c r="H37">
        <v>2121</v>
      </c>
      <c r="I37">
        <v>1579</v>
      </c>
      <c r="J37">
        <v>2682</v>
      </c>
      <c r="K37">
        <v>1558</v>
      </c>
    </row>
    <row r="38" spans="2:13" x14ac:dyDescent="0.3">
      <c r="B38" t="s">
        <v>1020</v>
      </c>
      <c r="C38" t="s">
        <v>31</v>
      </c>
      <c r="F38">
        <v>915.7</v>
      </c>
      <c r="H38">
        <v>2362.1999999999998</v>
      </c>
      <c r="J38">
        <v>4627.3</v>
      </c>
    </row>
    <row r="39" spans="2:13" x14ac:dyDescent="0.3">
      <c r="B39" t="s">
        <v>1021</v>
      </c>
      <c r="C39" t="s">
        <v>302</v>
      </c>
      <c r="F39">
        <v>76.400000000000006</v>
      </c>
      <c r="H39">
        <v>91.4</v>
      </c>
      <c r="J39">
        <v>97</v>
      </c>
    </row>
    <row r="40" spans="2:13" x14ac:dyDescent="0.3">
      <c r="B40" t="s">
        <v>35</v>
      </c>
      <c r="D40">
        <v>7.51</v>
      </c>
      <c r="E40">
        <v>7.56</v>
      </c>
      <c r="F40">
        <v>7.41</v>
      </c>
      <c r="G40">
        <v>7.54</v>
      </c>
      <c r="H40">
        <v>7.32</v>
      </c>
      <c r="I40">
        <v>7.65</v>
      </c>
      <c r="J40">
        <v>7.28</v>
      </c>
      <c r="K40">
        <v>7.67</v>
      </c>
    </row>
    <row r="41" spans="2:13" x14ac:dyDescent="0.3">
      <c r="B41" t="s">
        <v>309</v>
      </c>
      <c r="C41" t="s">
        <v>655</v>
      </c>
      <c r="D41">
        <v>0.52</v>
      </c>
      <c r="E41">
        <v>0.56999999999999995</v>
      </c>
      <c r="F41">
        <v>1.85</v>
      </c>
      <c r="G41">
        <v>0.55000000000000004</v>
      </c>
      <c r="H41">
        <v>0.11</v>
      </c>
      <c r="I41">
        <v>0.08</v>
      </c>
      <c r="J41">
        <v>0.14000000000000001</v>
      </c>
      <c r="K41">
        <v>0.06</v>
      </c>
    </row>
    <row r="42" spans="2:13" x14ac:dyDescent="0.3">
      <c r="B42" t="s">
        <v>1022</v>
      </c>
      <c r="C42" t="s">
        <v>302</v>
      </c>
      <c r="D42">
        <v>88.9</v>
      </c>
      <c r="E42">
        <v>88.3</v>
      </c>
      <c r="F42">
        <v>84.9</v>
      </c>
      <c r="G42">
        <v>88.2</v>
      </c>
      <c r="H42">
        <v>88.1</v>
      </c>
      <c r="I42">
        <v>91.1</v>
      </c>
      <c r="J42">
        <v>87.8</v>
      </c>
      <c r="K42">
        <v>90.2</v>
      </c>
    </row>
    <row r="45" spans="2:13" x14ac:dyDescent="0.3">
      <c r="D45" t="s">
        <v>1014</v>
      </c>
      <c r="E45" t="s">
        <v>1015</v>
      </c>
      <c r="G45" t="s">
        <v>1016</v>
      </c>
      <c r="I45" t="s">
        <v>1017</v>
      </c>
      <c r="K45" t="s">
        <v>1018</v>
      </c>
    </row>
    <row r="46" spans="2:13" x14ac:dyDescent="0.3">
      <c r="B46" s="6" t="s">
        <v>877</v>
      </c>
      <c r="D46" t="s">
        <v>65</v>
      </c>
      <c r="E46" t="s">
        <v>70</v>
      </c>
      <c r="F46" t="s">
        <v>65</v>
      </c>
      <c r="G46" t="s">
        <v>70</v>
      </c>
      <c r="H46" t="s">
        <v>65</v>
      </c>
      <c r="I46" t="s">
        <v>70</v>
      </c>
      <c r="J46" t="s">
        <v>65</v>
      </c>
      <c r="K46" t="s">
        <v>70</v>
      </c>
    </row>
    <row r="47" spans="2:13" s="133" customFormat="1" x14ac:dyDescent="0.3">
      <c r="B47" s="133" t="s">
        <v>33</v>
      </c>
      <c r="C47" s="133" t="s">
        <v>361</v>
      </c>
      <c r="D47" s="133">
        <f t="shared" ref="D47:K47" si="0">$D$22</f>
        <v>5</v>
      </c>
      <c r="E47" s="133">
        <f t="shared" si="0"/>
        <v>5</v>
      </c>
      <c r="F47" s="133">
        <f t="shared" si="0"/>
        <v>5</v>
      </c>
      <c r="G47" s="133">
        <f t="shared" si="0"/>
        <v>5</v>
      </c>
      <c r="H47" s="133">
        <f t="shared" si="0"/>
        <v>5</v>
      </c>
      <c r="I47" s="133">
        <f t="shared" si="0"/>
        <v>5</v>
      </c>
      <c r="J47" s="133">
        <f t="shared" si="0"/>
        <v>5</v>
      </c>
      <c r="K47" s="133">
        <f t="shared" si="0"/>
        <v>5</v>
      </c>
      <c r="M47" t="s">
        <v>2177</v>
      </c>
    </row>
    <row r="48" spans="2:13" x14ac:dyDescent="0.3">
      <c r="B48" s="27" t="s">
        <v>747</v>
      </c>
      <c r="C48" t="s">
        <v>302</v>
      </c>
      <c r="D48" s="8">
        <f t="shared" ref="D48:K48" si="1">SUM(D34:D36)</f>
        <v>98.4</v>
      </c>
      <c r="E48" s="8">
        <f t="shared" si="1"/>
        <v>98.600000000000009</v>
      </c>
      <c r="F48" s="8">
        <f t="shared" si="1"/>
        <v>94.9</v>
      </c>
      <c r="G48" s="8">
        <f t="shared" si="1"/>
        <v>98.9</v>
      </c>
      <c r="H48" s="8">
        <f t="shared" si="1"/>
        <v>97.600000000000009</v>
      </c>
      <c r="I48" s="8">
        <f t="shared" si="1"/>
        <v>99.1</v>
      </c>
      <c r="J48" s="8">
        <f t="shared" si="1"/>
        <v>97.1</v>
      </c>
      <c r="K48" s="8">
        <f t="shared" si="1"/>
        <v>98.7</v>
      </c>
    </row>
    <row r="49" spans="1:13" x14ac:dyDescent="0.3">
      <c r="B49" s="27" t="s">
        <v>332</v>
      </c>
      <c r="C49" t="s">
        <v>302</v>
      </c>
      <c r="D49" s="8">
        <f t="shared" ref="D49:K50" si="2">D85*100/D$48</f>
        <v>74.695121951219505</v>
      </c>
      <c r="E49" s="8">
        <f t="shared" si="2"/>
        <v>72.920892494929006</v>
      </c>
      <c r="F49" s="8">
        <f t="shared" si="2"/>
        <v>38.883034773445729</v>
      </c>
      <c r="G49" s="8">
        <f t="shared" si="2"/>
        <v>74.721941354903947</v>
      </c>
      <c r="H49" s="8">
        <f t="shared" si="2"/>
        <v>44.159836065573764</v>
      </c>
      <c r="I49" s="8">
        <f t="shared" si="2"/>
        <v>75.176589303733607</v>
      </c>
      <c r="J49" s="8">
        <f t="shared" si="2"/>
        <v>37.796086508753866</v>
      </c>
      <c r="K49" s="8">
        <f t="shared" si="2"/>
        <v>75.177304964539005</v>
      </c>
    </row>
    <row r="50" spans="1:13" x14ac:dyDescent="0.3">
      <c r="B50" s="27" t="s">
        <v>333</v>
      </c>
      <c r="C50" t="s">
        <v>302</v>
      </c>
      <c r="D50" s="8">
        <f t="shared" si="2"/>
        <v>25.304878048780488</v>
      </c>
      <c r="E50" s="8">
        <f t="shared" si="2"/>
        <v>27.07910750507099</v>
      </c>
      <c r="F50" s="8">
        <f t="shared" si="2"/>
        <v>25.079030558482611</v>
      </c>
      <c r="G50" s="8">
        <f t="shared" si="2"/>
        <v>25.278058645096056</v>
      </c>
      <c r="H50" s="8">
        <f t="shared" si="2"/>
        <v>52.971311475409834</v>
      </c>
      <c r="I50" s="8">
        <f t="shared" si="2"/>
        <v>24.8234106962664</v>
      </c>
      <c r="J50" s="8">
        <f t="shared" si="2"/>
        <v>56.95159629248198</v>
      </c>
      <c r="K50" s="8">
        <f t="shared" si="2"/>
        <v>24.822695035460992</v>
      </c>
    </row>
    <row r="51" spans="1:13" s="133" customFormat="1" x14ac:dyDescent="0.3">
      <c r="B51" s="133" t="s">
        <v>351</v>
      </c>
      <c r="C51" s="133" t="s">
        <v>377</v>
      </c>
      <c r="D51" s="10">
        <f>D37/(D47*1000)</f>
        <v>0.30399999999999999</v>
      </c>
      <c r="E51" s="10">
        <f t="shared" ref="E51:K51" si="3">E37/(E47*1000)</f>
        <v>0.2994</v>
      </c>
      <c r="F51" s="10">
        <f t="shared" si="3"/>
        <v>0.34179999999999999</v>
      </c>
      <c r="G51" s="10">
        <f t="shared" si="3"/>
        <v>0.30640000000000001</v>
      </c>
      <c r="H51" s="10">
        <f t="shared" si="3"/>
        <v>0.42420000000000002</v>
      </c>
      <c r="I51" s="10">
        <f t="shared" si="3"/>
        <v>0.31580000000000003</v>
      </c>
      <c r="J51" s="10">
        <f t="shared" si="3"/>
        <v>0.53639999999999999</v>
      </c>
      <c r="K51" s="10">
        <f t="shared" si="3"/>
        <v>0.31159999999999999</v>
      </c>
    </row>
    <row r="52" spans="1:13" x14ac:dyDescent="0.3">
      <c r="B52" s="27" t="s">
        <v>293</v>
      </c>
      <c r="C52" t="s">
        <v>908</v>
      </c>
      <c r="D52" s="10">
        <f t="shared" ref="D52:K52" si="4">(D33*D34)/100000</f>
        <v>1.5196125</v>
      </c>
      <c r="E52" s="10">
        <f t="shared" si="4"/>
        <v>1.4992588</v>
      </c>
      <c r="F52" s="10">
        <f t="shared" si="4"/>
        <v>1.7093925000000001</v>
      </c>
      <c r="G52" s="10">
        <f t="shared" si="4"/>
        <v>1.5315775</v>
      </c>
      <c r="H52" s="10">
        <f t="shared" si="4"/>
        <v>2.12052</v>
      </c>
      <c r="I52" s="10">
        <f t="shared" si="4"/>
        <v>1.5793999999999999</v>
      </c>
      <c r="J52" s="10">
        <f t="shared" si="4"/>
        <v>2.6818525000000002</v>
      </c>
      <c r="K52" s="10">
        <f t="shared" si="4"/>
        <v>1.5582</v>
      </c>
    </row>
    <row r="53" spans="1:13" x14ac:dyDescent="0.3">
      <c r="B53" s="27" t="s">
        <v>277</v>
      </c>
      <c r="C53" t="s">
        <v>908</v>
      </c>
      <c r="D53" s="10">
        <f t="shared" ref="D53:K53" si="5">D33*D35/100000</f>
        <v>0.51480749999999997</v>
      </c>
      <c r="E53" s="10">
        <f t="shared" si="5"/>
        <v>0.55674839999999992</v>
      </c>
      <c r="F53" s="10">
        <f t="shared" si="5"/>
        <v>1.102535</v>
      </c>
      <c r="G53" s="10">
        <f t="shared" si="5"/>
        <v>0.51812499999999995</v>
      </c>
      <c r="H53" s="10">
        <f t="shared" si="5"/>
        <v>2.5436399999999999</v>
      </c>
      <c r="I53" s="10">
        <f t="shared" si="5"/>
        <v>0.52151999999999998</v>
      </c>
      <c r="J53" s="10">
        <f t="shared" si="5"/>
        <v>4.0410475000000003</v>
      </c>
      <c r="K53" s="10">
        <f t="shared" si="5"/>
        <v>0.51449999999999996</v>
      </c>
      <c r="M53" t="s">
        <v>1032</v>
      </c>
    </row>
    <row r="54" spans="1:13" x14ac:dyDescent="0.3">
      <c r="B54" s="27" t="s">
        <v>1034</v>
      </c>
      <c r="C54" t="s">
        <v>908</v>
      </c>
      <c r="D54" s="10">
        <f>D52+D53</f>
        <v>2.0344199999999999</v>
      </c>
      <c r="E54" s="10">
        <f t="shared" ref="E54:K54" si="6">E52+E53</f>
        <v>2.0560071999999998</v>
      </c>
      <c r="F54" s="10">
        <f t="shared" si="6"/>
        <v>2.8119275000000004</v>
      </c>
      <c r="G54" s="10">
        <f t="shared" si="6"/>
        <v>2.0497025</v>
      </c>
      <c r="H54" s="10">
        <f t="shared" si="6"/>
        <v>4.6641599999999999</v>
      </c>
      <c r="I54" s="10">
        <f t="shared" si="6"/>
        <v>2.1009199999999999</v>
      </c>
      <c r="J54" s="10">
        <f t="shared" si="6"/>
        <v>6.722900000000001</v>
      </c>
      <c r="K54" s="10">
        <f t="shared" si="6"/>
        <v>2.0727000000000002</v>
      </c>
      <c r="M54" t="s">
        <v>1035</v>
      </c>
    </row>
    <row r="55" spans="1:13" x14ac:dyDescent="0.3">
      <c r="B55" s="27" t="s">
        <v>617</v>
      </c>
      <c r="C55" t="s">
        <v>338</v>
      </c>
      <c r="D55">
        <f t="shared" ref="D55:K55" si="7">D31/(1000*$D$24)</f>
        <v>0</v>
      </c>
      <c r="E55">
        <f t="shared" si="7"/>
        <v>0</v>
      </c>
      <c r="F55" s="10">
        <f t="shared" si="7"/>
        <v>2.5</v>
      </c>
      <c r="G55">
        <f t="shared" si="7"/>
        <v>0</v>
      </c>
      <c r="H55" s="10">
        <f t="shared" si="7"/>
        <v>2.5</v>
      </c>
      <c r="I55">
        <f t="shared" si="7"/>
        <v>0</v>
      </c>
      <c r="J55" s="10">
        <f t="shared" si="7"/>
        <v>5</v>
      </c>
      <c r="K55">
        <f t="shared" si="7"/>
        <v>0</v>
      </c>
    </row>
    <row r="56" spans="1:13" x14ac:dyDescent="0.3">
      <c r="B56" s="27" t="s">
        <v>1030</v>
      </c>
      <c r="C56" t="s">
        <v>338</v>
      </c>
      <c r="D56" s="10"/>
      <c r="E56" s="10"/>
      <c r="F56" s="10">
        <f>F33*F36/100000</f>
        <v>1.5843149999999999</v>
      </c>
      <c r="G56" s="10"/>
      <c r="H56" s="10">
        <f>H33*H36/100000</f>
        <v>0.13775999999999999</v>
      </c>
      <c r="I56" s="10"/>
      <c r="J56" s="10">
        <f>J33*J36/100000</f>
        <v>0.37268250000000003</v>
      </c>
      <c r="K56" s="10"/>
    </row>
    <row r="57" spans="1:13" x14ac:dyDescent="0.3">
      <c r="B57" s="27" t="s">
        <v>1031</v>
      </c>
      <c r="C57" t="s">
        <v>338</v>
      </c>
      <c r="F57" s="10">
        <f>F55-F56</f>
        <v>0.91568500000000008</v>
      </c>
      <c r="H57" s="10">
        <f>H55-H56</f>
        <v>2.3622399999999999</v>
      </c>
      <c r="J57" s="10">
        <f>J55-J56</f>
        <v>4.6273175000000002</v>
      </c>
    </row>
    <row r="58" spans="1:13" x14ac:dyDescent="0.3">
      <c r="B58" s="27" t="s">
        <v>1039</v>
      </c>
      <c r="C58" t="s">
        <v>338</v>
      </c>
      <c r="F58" s="10">
        <f>F57*$D$26</f>
        <v>2.7470550000000005</v>
      </c>
      <c r="H58" s="10">
        <f>H57*$D$26</f>
        <v>7.0867199999999997</v>
      </c>
      <c r="J58" s="10">
        <f>J57*$D$26</f>
        <v>13.881952500000001</v>
      </c>
    </row>
    <row r="59" spans="1:13" x14ac:dyDescent="0.3">
      <c r="B59" s="27" t="s">
        <v>1040</v>
      </c>
      <c r="C59" t="s">
        <v>338</v>
      </c>
      <c r="F59" s="10">
        <f>F53-G53</f>
        <v>0.5844100000000001</v>
      </c>
      <c r="H59" s="10">
        <f>H53-I53</f>
        <v>2.0221200000000001</v>
      </c>
      <c r="J59" s="10">
        <f>J53-K53</f>
        <v>3.5265475000000004</v>
      </c>
    </row>
    <row r="60" spans="1:13" x14ac:dyDescent="0.3">
      <c r="A60" s="148"/>
      <c r="B60" s="148" t="s">
        <v>460</v>
      </c>
      <c r="C60" t="s">
        <v>338</v>
      </c>
      <c r="F60" s="10">
        <f>F57*$D$25</f>
        <v>0.22892125000000002</v>
      </c>
      <c r="H60" s="10">
        <f>H57*$D$25</f>
        <v>0.59055999999999997</v>
      </c>
      <c r="J60" s="10">
        <f>J57*$D$25</f>
        <v>1.156829375</v>
      </c>
    </row>
    <row r="61" spans="1:13" x14ac:dyDescent="0.3">
      <c r="A61" s="148"/>
      <c r="B61" s="148" t="s">
        <v>402</v>
      </c>
      <c r="C61" t="s">
        <v>338</v>
      </c>
      <c r="F61" s="10">
        <f>F52-G52</f>
        <v>0.17781500000000006</v>
      </c>
      <c r="H61" s="10">
        <f>H52-I52</f>
        <v>0.54112000000000005</v>
      </c>
      <c r="J61" s="10">
        <f>J52-K52</f>
        <v>1.1236525000000002</v>
      </c>
    </row>
    <row r="62" spans="1:13" s="133" customFormat="1" x14ac:dyDescent="0.3">
      <c r="A62" s="148"/>
      <c r="B62" s="148" t="s">
        <v>2086</v>
      </c>
      <c r="C62" s="133" t="s">
        <v>338</v>
      </c>
      <c r="F62" s="10" t="s">
        <v>301</v>
      </c>
      <c r="H62" s="10" t="s">
        <v>301</v>
      </c>
      <c r="J62" s="10" t="s">
        <v>301</v>
      </c>
    </row>
    <row r="63" spans="1:13" x14ac:dyDescent="0.3">
      <c r="A63" s="148"/>
      <c r="B63" s="148" t="s">
        <v>93</v>
      </c>
      <c r="C63" s="133"/>
      <c r="F63" s="10" t="s">
        <v>301</v>
      </c>
      <c r="H63" s="10" t="s">
        <v>301</v>
      </c>
      <c r="J63" s="10" t="s">
        <v>301</v>
      </c>
    </row>
    <row r="64" spans="1:13" x14ac:dyDescent="0.3">
      <c r="A64" s="148"/>
      <c r="B64" s="148" t="s">
        <v>2142</v>
      </c>
      <c r="C64" t="s">
        <v>92</v>
      </c>
      <c r="F64" s="10">
        <f>F57/F55</f>
        <v>0.36627400000000004</v>
      </c>
      <c r="H64" s="10">
        <f>H57/H55</f>
        <v>0.94489599999999996</v>
      </c>
      <c r="J64" s="10">
        <f>J57/J55</f>
        <v>0.92546349999999999</v>
      </c>
    </row>
    <row r="65" spans="1:15" x14ac:dyDescent="0.3">
      <c r="A65" s="148"/>
      <c r="B65" s="148" t="s">
        <v>2085</v>
      </c>
      <c r="C65" t="s">
        <v>92</v>
      </c>
      <c r="F65" s="10">
        <f>F61/F60</f>
        <v>0.77675183059676656</v>
      </c>
      <c r="H65" s="10">
        <f>H61/H60</f>
        <v>0.91628285017610411</v>
      </c>
      <c r="J65" s="10">
        <f>J61/J60</f>
        <v>0.97132085706243421</v>
      </c>
    </row>
    <row r="66" spans="1:15" x14ac:dyDescent="0.3">
      <c r="A66" s="148"/>
      <c r="B66" s="148" t="s">
        <v>2087</v>
      </c>
      <c r="C66" t="s">
        <v>92</v>
      </c>
      <c r="F66" s="10" t="s">
        <v>301</v>
      </c>
      <c r="H66" s="10" t="s">
        <v>301</v>
      </c>
      <c r="J66" s="10" t="s">
        <v>301</v>
      </c>
    </row>
    <row r="67" spans="1:15" s="133" customFormat="1" x14ac:dyDescent="0.3">
      <c r="A67" s="148"/>
      <c r="B67" s="148" t="s">
        <v>2088</v>
      </c>
      <c r="C67" s="133" t="s">
        <v>92</v>
      </c>
      <c r="D67" s="37"/>
      <c r="E67" s="37"/>
      <c r="F67" s="37" t="s">
        <v>301</v>
      </c>
      <c r="G67" s="37"/>
      <c r="H67" s="37" t="s">
        <v>301</v>
      </c>
      <c r="I67" s="37"/>
      <c r="J67" s="37" t="s">
        <v>301</v>
      </c>
      <c r="K67" s="37"/>
      <c r="L67" s="37"/>
      <c r="M67" s="37"/>
      <c r="N67" s="37"/>
      <c r="O67" s="37"/>
    </row>
    <row r="68" spans="1:15" s="133" customFormat="1" x14ac:dyDescent="0.3">
      <c r="A68" s="148"/>
      <c r="B68" s="148" t="s">
        <v>2096</v>
      </c>
      <c r="C68" s="133" t="s">
        <v>92</v>
      </c>
      <c r="D68" s="37"/>
      <c r="E68" s="37"/>
      <c r="F68" s="37">
        <f>F61/G53</f>
        <v>0.34318938480096517</v>
      </c>
      <c r="G68" s="37"/>
      <c r="H68" s="37">
        <f>H61/I53</f>
        <v>1.0375824512962113</v>
      </c>
      <c r="I68" s="37"/>
      <c r="J68" s="37">
        <f>J61/K53</f>
        <v>2.1839698736637518</v>
      </c>
      <c r="K68" s="37"/>
      <c r="L68" s="37"/>
      <c r="M68" s="37"/>
      <c r="N68" s="37"/>
      <c r="O68" s="37"/>
    </row>
    <row r="69" spans="1:15" s="133" customFormat="1" x14ac:dyDescent="0.3">
      <c r="A69" s="148"/>
      <c r="B69" s="148" t="s">
        <v>2097</v>
      </c>
      <c r="D69" s="37"/>
      <c r="E69" s="37"/>
      <c r="F69" s="37">
        <f>F54/G54</f>
        <v>1.3718710398216329</v>
      </c>
      <c r="G69" s="37" t="s">
        <v>301</v>
      </c>
      <c r="H69" s="37">
        <f>H54/I54</f>
        <v>2.2200559754774098</v>
      </c>
      <c r="I69" s="37" t="s">
        <v>301</v>
      </c>
      <c r="J69" s="37">
        <f>J54/K54</f>
        <v>3.2435470642157576</v>
      </c>
      <c r="K69" s="37"/>
      <c r="L69" s="37"/>
      <c r="M69" s="37"/>
      <c r="N69" s="37"/>
      <c r="O69" s="37"/>
    </row>
    <row r="70" spans="1:15" s="133" customFormat="1" x14ac:dyDescent="0.3">
      <c r="A70" s="148"/>
      <c r="B70" s="148" t="s">
        <v>2081</v>
      </c>
      <c r="F70" s="10" t="s">
        <v>301</v>
      </c>
      <c r="H70" s="10" t="s">
        <v>301</v>
      </c>
      <c r="J70" s="10" t="s">
        <v>301</v>
      </c>
    </row>
    <row r="71" spans="1:15" s="133" customFormat="1" x14ac:dyDescent="0.3">
      <c r="A71" s="148"/>
      <c r="B71" s="148" t="s">
        <v>2137</v>
      </c>
      <c r="F71" s="10" t="s">
        <v>301</v>
      </c>
      <c r="H71" s="10" t="s">
        <v>301</v>
      </c>
      <c r="J71" s="10" t="s">
        <v>301</v>
      </c>
    </row>
    <row r="72" spans="1:15" s="133" customFormat="1" x14ac:dyDescent="0.3">
      <c r="B72" s="148"/>
      <c r="F72" s="10"/>
      <c r="H72" s="10"/>
      <c r="J72" s="10"/>
    </row>
    <row r="73" spans="1:15" x14ac:dyDescent="0.3">
      <c r="D73" t="s">
        <v>1014</v>
      </c>
      <c r="E73" t="s">
        <v>1015</v>
      </c>
      <c r="G73" t="s">
        <v>1016</v>
      </c>
      <c r="I73" t="s">
        <v>1017</v>
      </c>
      <c r="K73" t="s">
        <v>1018</v>
      </c>
    </row>
    <row r="74" spans="1:15" x14ac:dyDescent="0.3">
      <c r="B74" s="6" t="s">
        <v>359</v>
      </c>
      <c r="D74" t="s">
        <v>65</v>
      </c>
      <c r="E74" t="s">
        <v>70</v>
      </c>
      <c r="F74" t="s">
        <v>65</v>
      </c>
      <c r="G74" t="s">
        <v>70</v>
      </c>
      <c r="H74" t="s">
        <v>65</v>
      </c>
      <c r="I74" t="s">
        <v>70</v>
      </c>
      <c r="J74" t="s">
        <v>65</v>
      </c>
      <c r="K74" t="s">
        <v>70</v>
      </c>
    </row>
    <row r="75" spans="1:15" s="133" customFormat="1" x14ac:dyDescent="0.3">
      <c r="B75" s="148" t="s">
        <v>1795</v>
      </c>
      <c r="D75" s="133" t="s">
        <v>1670</v>
      </c>
      <c r="E75" s="133" t="s">
        <v>1670</v>
      </c>
      <c r="F75" s="133" t="s">
        <v>1670</v>
      </c>
      <c r="G75" s="133" t="s">
        <v>1670</v>
      </c>
      <c r="H75" s="133" t="s">
        <v>1670</v>
      </c>
      <c r="I75" s="133" t="s">
        <v>1670</v>
      </c>
      <c r="J75" s="133" t="s">
        <v>1670</v>
      </c>
      <c r="K75" s="133" t="s">
        <v>1670</v>
      </c>
    </row>
    <row r="76" spans="1:15" s="133" customFormat="1" x14ac:dyDescent="0.3">
      <c r="B76" s="148" t="s">
        <v>1791</v>
      </c>
      <c r="D76" s="133" t="s">
        <v>1816</v>
      </c>
      <c r="E76" s="133" t="s">
        <v>1816</v>
      </c>
      <c r="F76" s="133" t="s">
        <v>1815</v>
      </c>
      <c r="G76" s="133" t="s">
        <v>1816</v>
      </c>
      <c r="H76" s="133" t="s">
        <v>1815</v>
      </c>
      <c r="I76" s="133" t="s">
        <v>1816</v>
      </c>
      <c r="J76" s="133" t="s">
        <v>1815</v>
      </c>
      <c r="K76" s="133" t="s">
        <v>1816</v>
      </c>
    </row>
    <row r="77" spans="1:15" x14ac:dyDescent="0.3">
      <c r="B77" t="s">
        <v>33</v>
      </c>
      <c r="C77" t="s">
        <v>361</v>
      </c>
      <c r="D77">
        <f>D47</f>
        <v>5</v>
      </c>
      <c r="E77" s="133">
        <f t="shared" ref="E77:K77" si="8">E47</f>
        <v>5</v>
      </c>
      <c r="F77" s="133">
        <f t="shared" si="8"/>
        <v>5</v>
      </c>
      <c r="G77" s="133">
        <f t="shared" si="8"/>
        <v>5</v>
      </c>
      <c r="H77" s="133">
        <f t="shared" si="8"/>
        <v>5</v>
      </c>
      <c r="I77" s="133">
        <f t="shared" si="8"/>
        <v>5</v>
      </c>
      <c r="J77" s="133">
        <f t="shared" si="8"/>
        <v>5</v>
      </c>
      <c r="K77" s="133">
        <f t="shared" si="8"/>
        <v>5</v>
      </c>
    </row>
    <row r="78" spans="1:15" x14ac:dyDescent="0.3">
      <c r="B78" t="s">
        <v>26</v>
      </c>
      <c r="C78" t="s">
        <v>25</v>
      </c>
      <c r="D78">
        <f t="shared" ref="D78:K78" si="9">$D$21</f>
        <v>3</v>
      </c>
      <c r="E78">
        <f t="shared" si="9"/>
        <v>3</v>
      </c>
      <c r="F78">
        <f t="shared" si="9"/>
        <v>3</v>
      </c>
      <c r="G78">
        <f t="shared" si="9"/>
        <v>3</v>
      </c>
      <c r="H78">
        <f t="shared" si="9"/>
        <v>3</v>
      </c>
      <c r="I78">
        <f t="shared" si="9"/>
        <v>3</v>
      </c>
      <c r="J78">
        <f t="shared" si="9"/>
        <v>3</v>
      </c>
      <c r="K78">
        <f t="shared" si="9"/>
        <v>3</v>
      </c>
    </row>
    <row r="79" spans="1:15" x14ac:dyDescent="0.3">
      <c r="B79" s="148" t="s">
        <v>1544</v>
      </c>
      <c r="C79" s="133" t="s">
        <v>338</v>
      </c>
      <c r="F79" t="s">
        <v>301</v>
      </c>
      <c r="H79" t="s">
        <v>301</v>
      </c>
      <c r="J79" t="s">
        <v>301</v>
      </c>
    </row>
    <row r="80" spans="1:15" x14ac:dyDescent="0.3">
      <c r="B80" t="s">
        <v>351</v>
      </c>
      <c r="C80" t="s">
        <v>377</v>
      </c>
      <c r="D80" s="10">
        <f>D51</f>
        <v>0.30399999999999999</v>
      </c>
      <c r="E80" s="10">
        <f t="shared" ref="E80:K80" si="10">E51</f>
        <v>0.2994</v>
      </c>
      <c r="F80" s="10">
        <f t="shared" si="10"/>
        <v>0.34179999999999999</v>
      </c>
      <c r="G80" s="10">
        <f t="shared" si="10"/>
        <v>0.30640000000000001</v>
      </c>
      <c r="H80" s="10">
        <f t="shared" si="10"/>
        <v>0.42420000000000002</v>
      </c>
      <c r="I80" s="10">
        <f t="shared" si="10"/>
        <v>0.31580000000000003</v>
      </c>
      <c r="J80" s="10">
        <f t="shared" si="10"/>
        <v>0.53639999999999999</v>
      </c>
      <c r="K80" s="10">
        <f t="shared" si="10"/>
        <v>0.31159999999999999</v>
      </c>
    </row>
    <row r="81" spans="2:13" x14ac:dyDescent="0.3">
      <c r="B81" t="s">
        <v>1027</v>
      </c>
      <c r="C81" t="s">
        <v>377</v>
      </c>
      <c r="F81" s="10">
        <f>F80-G80</f>
        <v>3.5399999999999987E-2</v>
      </c>
      <c r="H81" s="10">
        <f>H80-I80</f>
        <v>0.1084</v>
      </c>
      <c r="J81" s="10">
        <f>J80-K80</f>
        <v>0.2248</v>
      </c>
    </row>
    <row r="82" spans="2:13" x14ac:dyDescent="0.3">
      <c r="B82" t="s">
        <v>353</v>
      </c>
      <c r="C82" t="s">
        <v>92</v>
      </c>
      <c r="F82" s="10">
        <f>F81/G80</f>
        <v>0.11553524804177541</v>
      </c>
      <c r="H82" s="10">
        <f>H81/I80</f>
        <v>0.34325522482583909</v>
      </c>
      <c r="J82" s="10">
        <f>J81/K80</f>
        <v>0.72143774069319644</v>
      </c>
    </row>
    <row r="83" spans="2:13" x14ac:dyDescent="0.3">
      <c r="B83" t="s">
        <v>293</v>
      </c>
      <c r="C83" t="s">
        <v>338</v>
      </c>
      <c r="D83" s="10">
        <f t="shared" ref="D83:K83" si="11">D37/1000</f>
        <v>1.52</v>
      </c>
      <c r="E83" s="10">
        <f t="shared" si="11"/>
        <v>1.4970000000000001</v>
      </c>
      <c r="F83" s="10">
        <f t="shared" si="11"/>
        <v>1.7090000000000001</v>
      </c>
      <c r="G83" s="10">
        <f t="shared" si="11"/>
        <v>1.532</v>
      </c>
      <c r="H83" s="10">
        <f t="shared" si="11"/>
        <v>2.121</v>
      </c>
      <c r="I83" s="10">
        <f t="shared" si="11"/>
        <v>1.579</v>
      </c>
      <c r="J83" s="10">
        <f t="shared" si="11"/>
        <v>2.6819999999999999</v>
      </c>
      <c r="K83" s="10">
        <f t="shared" si="11"/>
        <v>1.5580000000000001</v>
      </c>
    </row>
    <row r="84" spans="2:13" x14ac:dyDescent="0.3">
      <c r="B84" t="s">
        <v>402</v>
      </c>
      <c r="C84" t="s">
        <v>338</v>
      </c>
      <c r="F84" s="10">
        <f>F83-G83</f>
        <v>0.17700000000000005</v>
      </c>
      <c r="H84" s="10">
        <f>H83-I83</f>
        <v>0.54200000000000004</v>
      </c>
      <c r="J84" s="10">
        <f>J83-K83</f>
        <v>1.1239999999999999</v>
      </c>
    </row>
    <row r="85" spans="2:13" x14ac:dyDescent="0.3">
      <c r="B85" t="s">
        <v>3</v>
      </c>
      <c r="C85" t="s">
        <v>302</v>
      </c>
      <c r="D85">
        <f t="shared" ref="D85:K87" si="12">D34</f>
        <v>73.5</v>
      </c>
      <c r="E85">
        <f t="shared" si="12"/>
        <v>71.900000000000006</v>
      </c>
      <c r="F85">
        <f t="shared" si="12"/>
        <v>36.9</v>
      </c>
      <c r="G85">
        <f t="shared" si="12"/>
        <v>73.900000000000006</v>
      </c>
      <c r="H85">
        <f t="shared" si="12"/>
        <v>43.1</v>
      </c>
      <c r="I85">
        <f t="shared" si="12"/>
        <v>74.5</v>
      </c>
      <c r="J85">
        <f t="shared" si="12"/>
        <v>36.700000000000003</v>
      </c>
      <c r="K85">
        <f t="shared" si="12"/>
        <v>74.2</v>
      </c>
    </row>
    <row r="86" spans="2:13" x14ac:dyDescent="0.3">
      <c r="B86" t="s">
        <v>277</v>
      </c>
      <c r="C86" t="s">
        <v>302</v>
      </c>
      <c r="D86">
        <f t="shared" si="12"/>
        <v>24.9</v>
      </c>
      <c r="E86">
        <f t="shared" si="12"/>
        <v>26.7</v>
      </c>
      <c r="F86">
        <f t="shared" si="12"/>
        <v>23.8</v>
      </c>
      <c r="G86">
        <f t="shared" si="12"/>
        <v>25</v>
      </c>
      <c r="H86">
        <f t="shared" si="12"/>
        <v>51.7</v>
      </c>
      <c r="I86">
        <f t="shared" si="12"/>
        <v>24.6</v>
      </c>
      <c r="J86">
        <f t="shared" si="12"/>
        <v>55.3</v>
      </c>
      <c r="K86">
        <f t="shared" si="12"/>
        <v>24.5</v>
      </c>
    </row>
    <row r="87" spans="2:13" x14ac:dyDescent="0.3">
      <c r="B87" s="82" t="s">
        <v>1669</v>
      </c>
      <c r="C87" t="s">
        <v>302</v>
      </c>
      <c r="D87">
        <f t="shared" si="12"/>
        <v>0</v>
      </c>
      <c r="E87">
        <f t="shared" si="12"/>
        <v>0</v>
      </c>
      <c r="F87">
        <f t="shared" si="12"/>
        <v>34.200000000000003</v>
      </c>
      <c r="G87">
        <f t="shared" si="12"/>
        <v>0</v>
      </c>
      <c r="H87">
        <f t="shared" si="12"/>
        <v>2.8</v>
      </c>
      <c r="I87">
        <f t="shared" si="12"/>
        <v>0</v>
      </c>
      <c r="J87">
        <f t="shared" si="12"/>
        <v>5.0999999999999996</v>
      </c>
      <c r="K87">
        <f t="shared" si="12"/>
        <v>0</v>
      </c>
    </row>
    <row r="88" spans="2:13" x14ac:dyDescent="0.3">
      <c r="B88" t="s">
        <v>35</v>
      </c>
      <c r="D88">
        <f t="shared" ref="D88:K88" si="13">D40</f>
        <v>7.51</v>
      </c>
      <c r="E88">
        <f t="shared" si="13"/>
        <v>7.56</v>
      </c>
      <c r="F88">
        <f t="shared" si="13"/>
        <v>7.41</v>
      </c>
      <c r="G88">
        <f t="shared" si="13"/>
        <v>7.54</v>
      </c>
      <c r="H88">
        <f t="shared" si="13"/>
        <v>7.32</v>
      </c>
      <c r="I88">
        <f t="shared" si="13"/>
        <v>7.65</v>
      </c>
      <c r="J88">
        <f t="shared" si="13"/>
        <v>7.28</v>
      </c>
      <c r="K88">
        <f t="shared" si="13"/>
        <v>7.67</v>
      </c>
      <c r="M88" t="s">
        <v>1029</v>
      </c>
    </row>
    <row r="89" spans="2:13" x14ac:dyDescent="0.3">
      <c r="B89" t="s">
        <v>52</v>
      </c>
      <c r="C89" t="s">
        <v>621</v>
      </c>
      <c r="D89" t="s">
        <v>1671</v>
      </c>
      <c r="E89" s="133" t="s">
        <v>1671</v>
      </c>
      <c r="F89" s="133" t="s">
        <v>1671</v>
      </c>
      <c r="G89" s="133" t="s">
        <v>1671</v>
      </c>
      <c r="H89" s="133" t="s">
        <v>1671</v>
      </c>
      <c r="I89" s="133" t="s">
        <v>1671</v>
      </c>
      <c r="J89" s="133" t="s">
        <v>1671</v>
      </c>
      <c r="K89" s="133" t="s">
        <v>1671</v>
      </c>
    </row>
    <row r="90" spans="2:13" x14ac:dyDescent="0.3">
      <c r="B90" t="s">
        <v>558</v>
      </c>
      <c r="C90" t="s">
        <v>621</v>
      </c>
      <c r="D90" s="61">
        <f t="shared" ref="D90:K90" si="14">D41/1000</f>
        <v>5.2000000000000006E-4</v>
      </c>
      <c r="E90" s="61">
        <f t="shared" si="14"/>
        <v>5.6999999999999998E-4</v>
      </c>
      <c r="F90" s="61">
        <f t="shared" si="14"/>
        <v>1.8500000000000001E-3</v>
      </c>
      <c r="G90" s="61">
        <f t="shared" si="14"/>
        <v>5.5000000000000003E-4</v>
      </c>
      <c r="H90" s="61">
        <f t="shared" si="14"/>
        <v>1.1E-4</v>
      </c>
      <c r="I90" s="61">
        <f t="shared" si="14"/>
        <v>8.0000000000000007E-5</v>
      </c>
      <c r="J90" s="61">
        <f t="shared" si="14"/>
        <v>1.4000000000000001E-4</v>
      </c>
      <c r="K90" s="61">
        <f t="shared" si="14"/>
        <v>5.9999999999999995E-5</v>
      </c>
      <c r="M90" t="s">
        <v>1028</v>
      </c>
    </row>
    <row r="91" spans="2:13" x14ac:dyDescent="0.3">
      <c r="B91" s="12"/>
      <c r="C91"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A7CE-14B6-49F8-95C1-0C9F7F79D6B7}">
  <dimension ref="A1:AR44"/>
  <sheetViews>
    <sheetView workbookViewId="0">
      <selection activeCell="A2" sqref="A2"/>
    </sheetView>
  </sheetViews>
  <sheetFormatPr defaultColWidth="12.109375" defaultRowHeight="15" x14ac:dyDescent="0.3"/>
  <cols>
    <col min="1" max="1" width="12.109375" style="245"/>
    <col min="2" max="2" width="23.88671875" style="245" bestFit="1" customWidth="1"/>
    <col min="3" max="3" width="3.88671875" style="245" bestFit="1" customWidth="1"/>
    <col min="4" max="4" width="14.21875" style="245" bestFit="1" customWidth="1"/>
    <col min="5" max="5" width="5.88671875" style="258" bestFit="1" customWidth="1"/>
    <col min="6" max="6" width="12.33203125" style="245" bestFit="1" customWidth="1"/>
    <col min="7" max="7" width="9.109375" style="259" bestFit="1" customWidth="1"/>
    <col min="8" max="8" width="11.44140625" style="258" bestFit="1" customWidth="1"/>
    <col min="9" max="9" width="14.33203125" style="247" bestFit="1" customWidth="1"/>
    <col min="10" max="10" width="9.6640625" style="259" bestFit="1" customWidth="1"/>
    <col min="11" max="11" width="15.109375" style="245" bestFit="1" customWidth="1"/>
    <col min="12" max="12" width="14.77734375" style="245" hidden="1" customWidth="1"/>
    <col min="13" max="13" width="12.88671875" style="245" bestFit="1" customWidth="1"/>
    <col min="14" max="14" width="27.44140625" style="245" bestFit="1" customWidth="1"/>
    <col min="15" max="15" width="26" style="245" hidden="1" customWidth="1"/>
    <col min="16" max="16" width="26.77734375" style="253" bestFit="1" customWidth="1"/>
    <col min="17" max="17" width="3.88671875" style="245" bestFit="1" customWidth="1"/>
    <col min="18" max="18" width="13.109375" style="245" bestFit="1" customWidth="1"/>
    <col min="19" max="19" width="10.33203125" style="258" bestFit="1" customWidth="1"/>
    <col min="20" max="20" width="9.109375" style="258" bestFit="1" customWidth="1"/>
    <col min="21" max="21" width="8.21875" style="258" bestFit="1" customWidth="1"/>
    <col min="22" max="22" width="8.88671875" style="258" bestFit="1" customWidth="1"/>
    <col min="23" max="23" width="6.77734375" style="262" bestFit="1" customWidth="1"/>
    <col min="24" max="24" width="7.6640625" style="263" bestFit="1" customWidth="1"/>
    <col min="25" max="26" width="7.44140625" style="264" bestFit="1" customWidth="1"/>
    <col min="27" max="28" width="4.88671875" style="265" bestFit="1" customWidth="1"/>
    <col min="29" max="29" width="4.44140625" style="265" bestFit="1" customWidth="1"/>
    <col min="30" max="30" width="4.44140625" style="263" bestFit="1" customWidth="1"/>
    <col min="31" max="31" width="5.44140625" style="247" hidden="1" customWidth="1"/>
    <col min="32" max="32" width="13.77734375" style="249" hidden="1" customWidth="1"/>
    <col min="33" max="33" width="9.33203125" style="258" hidden="1" customWidth="1"/>
    <col min="34" max="34" width="5.77734375" style="267" hidden="1" customWidth="1"/>
    <col min="35" max="35" width="5.33203125" style="258" bestFit="1" customWidth="1"/>
    <col min="36" max="36" width="8.33203125" style="258" bestFit="1" customWidth="1"/>
    <col min="37" max="37" width="9.109375" style="258" bestFit="1" customWidth="1"/>
    <col min="38" max="38" width="9.33203125" style="258" bestFit="1" customWidth="1"/>
    <col min="39" max="39" width="8.88671875" style="258" bestFit="1" customWidth="1"/>
    <col min="40" max="40" width="6.33203125" style="258" bestFit="1" customWidth="1"/>
    <col min="41" max="41" width="9.109375" style="258" bestFit="1" customWidth="1"/>
    <col min="42" max="42" width="7.6640625" style="258" bestFit="1" customWidth="1"/>
    <col min="43" max="44" width="9.109375" style="258" bestFit="1" customWidth="1"/>
    <col min="45" max="16384" width="12.109375" style="245"/>
  </cols>
  <sheetData>
    <row r="1" spans="1:44" ht="18.600000000000001" x14ac:dyDescent="0.45">
      <c r="A1" s="494" t="s">
        <v>2325</v>
      </c>
      <c r="L1" s="245" t="s">
        <v>2080</v>
      </c>
      <c r="O1" s="245" t="s">
        <v>2080</v>
      </c>
      <c r="P1" s="248"/>
      <c r="AE1" s="247" t="s">
        <v>2080</v>
      </c>
      <c r="AF1" s="249" t="s">
        <v>2080</v>
      </c>
      <c r="AG1" s="258" t="s">
        <v>2080</v>
      </c>
      <c r="AH1" s="267" t="s">
        <v>2080</v>
      </c>
    </row>
    <row r="2" spans="1:44" x14ac:dyDescent="0.3">
      <c r="B2" s="252"/>
      <c r="C2" s="252"/>
      <c r="L2" s="246" t="s">
        <v>2095</v>
      </c>
      <c r="Q2" s="252"/>
      <c r="S2" s="273" t="s">
        <v>2123</v>
      </c>
      <c r="V2" s="273" t="s">
        <v>2123</v>
      </c>
    </row>
    <row r="3" spans="1:44" ht="16.8" x14ac:dyDescent="0.3">
      <c r="B3" s="304"/>
      <c r="C3" s="360" t="s">
        <v>2092</v>
      </c>
      <c r="D3" s="360" t="s">
        <v>1311</v>
      </c>
      <c r="E3" s="460" t="s">
        <v>667</v>
      </c>
      <c r="F3" s="360" t="s">
        <v>1184</v>
      </c>
      <c r="G3" s="460" t="s">
        <v>956</v>
      </c>
      <c r="H3" s="460" t="s">
        <v>32</v>
      </c>
      <c r="I3" s="360" t="s">
        <v>326</v>
      </c>
      <c r="J3" s="460" t="s">
        <v>344</v>
      </c>
      <c r="K3" s="467" t="s">
        <v>1332</v>
      </c>
      <c r="L3" s="360" t="s">
        <v>1330</v>
      </c>
      <c r="M3" s="360" t="s">
        <v>2109</v>
      </c>
      <c r="N3" s="360" t="s">
        <v>1541</v>
      </c>
      <c r="O3" s="360" t="s">
        <v>1599</v>
      </c>
      <c r="P3" s="461" t="s">
        <v>1795</v>
      </c>
      <c r="Q3" s="360" t="s">
        <v>2092</v>
      </c>
      <c r="R3" s="360" t="s">
        <v>2101</v>
      </c>
      <c r="S3" s="460" t="s">
        <v>33</v>
      </c>
      <c r="T3" s="460" t="s">
        <v>26</v>
      </c>
      <c r="U3" s="460" t="s">
        <v>2099</v>
      </c>
      <c r="V3" s="460" t="s">
        <v>351</v>
      </c>
      <c r="W3" s="462" t="s">
        <v>2100</v>
      </c>
      <c r="X3" s="463" t="s">
        <v>2084</v>
      </c>
      <c r="Y3" s="463" t="s">
        <v>293</v>
      </c>
      <c r="Z3" s="463" t="s">
        <v>402</v>
      </c>
      <c r="AA3" s="464" t="s">
        <v>3</v>
      </c>
      <c r="AB3" s="464" t="s">
        <v>277</v>
      </c>
      <c r="AC3" s="464" t="s">
        <v>13</v>
      </c>
      <c r="AD3" s="463" t="s">
        <v>35</v>
      </c>
      <c r="AE3" s="360" t="s">
        <v>52</v>
      </c>
      <c r="AF3" s="468" t="s">
        <v>558</v>
      </c>
      <c r="AG3" s="465" t="s">
        <v>1328</v>
      </c>
      <c r="AH3" s="466" t="s">
        <v>402</v>
      </c>
      <c r="AI3" s="465" t="s">
        <v>2086</v>
      </c>
      <c r="AJ3" s="465" t="s">
        <v>2237</v>
      </c>
      <c r="AK3" s="465" t="s">
        <v>2230</v>
      </c>
      <c r="AL3" s="465" t="s">
        <v>2231</v>
      </c>
      <c r="AM3" s="465" t="s">
        <v>2232</v>
      </c>
      <c r="AN3" s="465" t="s">
        <v>2231</v>
      </c>
      <c r="AO3" s="465" t="s">
        <v>2231</v>
      </c>
      <c r="AP3" s="465" t="s">
        <v>2235</v>
      </c>
      <c r="AQ3" s="465" t="s">
        <v>2230</v>
      </c>
      <c r="AR3" s="465" t="s">
        <v>2230</v>
      </c>
    </row>
    <row r="4" spans="1:44" s="258" customFormat="1" ht="16.8" x14ac:dyDescent="0.3">
      <c r="B4" s="314"/>
      <c r="C4" s="314"/>
      <c r="D4" s="314"/>
      <c r="E4" s="314" t="s">
        <v>503</v>
      </c>
      <c r="F4" s="314"/>
      <c r="G4" s="314" t="s">
        <v>22</v>
      </c>
      <c r="H4" s="314" t="s">
        <v>22</v>
      </c>
      <c r="I4" s="314"/>
      <c r="J4" s="314"/>
      <c r="K4" s="314"/>
      <c r="L4" s="314"/>
      <c r="M4" s="314"/>
      <c r="N4" s="314"/>
      <c r="O4" s="314"/>
      <c r="P4" s="335"/>
      <c r="Q4" s="314"/>
      <c r="R4" s="314"/>
      <c r="S4" s="314" t="s">
        <v>270</v>
      </c>
      <c r="T4" s="314" t="s">
        <v>25</v>
      </c>
      <c r="U4" s="314" t="s">
        <v>338</v>
      </c>
      <c r="V4" s="314" t="s">
        <v>377</v>
      </c>
      <c r="W4" s="317" t="s">
        <v>377</v>
      </c>
      <c r="X4" s="316" t="s">
        <v>302</v>
      </c>
      <c r="Y4" s="316" t="s">
        <v>338</v>
      </c>
      <c r="Z4" s="316" t="s">
        <v>338</v>
      </c>
      <c r="AA4" s="319" t="s">
        <v>302</v>
      </c>
      <c r="AB4" s="319" t="s">
        <v>302</v>
      </c>
      <c r="AC4" s="319" t="s">
        <v>302</v>
      </c>
      <c r="AD4" s="316"/>
      <c r="AE4" s="314" t="s">
        <v>621</v>
      </c>
      <c r="AF4" s="317" t="s">
        <v>621</v>
      </c>
      <c r="AG4" s="314"/>
      <c r="AH4" s="321"/>
      <c r="AI4" s="314"/>
      <c r="AJ4" s="476" t="s">
        <v>277</v>
      </c>
      <c r="AK4" s="476" t="s">
        <v>2229</v>
      </c>
      <c r="AL4" s="476" t="s">
        <v>1328</v>
      </c>
      <c r="AM4" s="476" t="s">
        <v>2233</v>
      </c>
      <c r="AN4" s="476" t="s">
        <v>2086</v>
      </c>
      <c r="AO4" s="476" t="s">
        <v>2234</v>
      </c>
      <c r="AP4" s="476" t="s">
        <v>2236</v>
      </c>
      <c r="AQ4" s="476" t="s">
        <v>402</v>
      </c>
      <c r="AR4" s="476" t="s">
        <v>2086</v>
      </c>
    </row>
    <row r="5" spans="1:44" x14ac:dyDescent="0.3">
      <c r="B5" s="283" t="s">
        <v>2018</v>
      </c>
      <c r="C5" s="283"/>
      <c r="D5" s="283"/>
      <c r="E5" s="285"/>
      <c r="F5" s="284"/>
      <c r="G5" s="285"/>
      <c r="H5" s="285"/>
      <c r="I5" s="284"/>
      <c r="J5" s="285"/>
      <c r="K5" s="284"/>
      <c r="L5" s="284"/>
      <c r="M5" s="284"/>
      <c r="N5" s="284"/>
      <c r="O5" s="284"/>
      <c r="P5" s="286"/>
      <c r="Q5" s="283"/>
      <c r="R5" s="284"/>
      <c r="S5" s="285"/>
      <c r="T5" s="285"/>
      <c r="U5" s="287"/>
      <c r="V5" s="287"/>
      <c r="W5" s="287"/>
      <c r="X5" s="288"/>
      <c r="Y5" s="289"/>
      <c r="Z5" s="289"/>
      <c r="AA5" s="290"/>
      <c r="AB5" s="290"/>
      <c r="AC5" s="290"/>
      <c r="AD5" s="289"/>
      <c r="AE5" s="284"/>
      <c r="AF5" s="469"/>
      <c r="AG5" s="285"/>
      <c r="AH5" s="291"/>
      <c r="AI5" s="285"/>
      <c r="AJ5" s="285"/>
      <c r="AK5" s="285"/>
      <c r="AL5" s="285"/>
      <c r="AM5" s="285"/>
      <c r="AN5" s="285"/>
      <c r="AO5" s="285"/>
      <c r="AP5" s="285"/>
      <c r="AQ5" s="285"/>
      <c r="AR5" s="285"/>
    </row>
    <row r="6" spans="1:44" x14ac:dyDescent="0.3">
      <c r="B6" s="304" t="str">
        <f>Luo!B2</f>
        <v>Luo et al., 2012a</v>
      </c>
      <c r="C6" s="304">
        <f>All!C6</f>
        <v>1</v>
      </c>
      <c r="D6" s="304" t="str">
        <f>Luo!$D6</f>
        <v>CM</v>
      </c>
      <c r="E6" s="305">
        <f>Luo!$D7</f>
        <v>55</v>
      </c>
      <c r="F6" s="304" t="str">
        <f>Luo!$D8</f>
        <v>CSTR</v>
      </c>
      <c r="G6" s="305">
        <f>Luo!$D9</f>
        <v>4.5</v>
      </c>
      <c r="H6" s="305">
        <f>Luo!$D10</f>
        <v>3.5</v>
      </c>
      <c r="I6" s="304" t="str">
        <f>Luo!$D11</f>
        <v>Mechanical</v>
      </c>
      <c r="J6" s="305" t="str">
        <f>Luo!$D12</f>
        <v>No</v>
      </c>
      <c r="K6" s="304" t="str">
        <f>Luo!$D13</f>
        <v>Ceramic</v>
      </c>
      <c r="L6" s="304" t="str">
        <f>Luo!$D14</f>
        <v>Continuous</v>
      </c>
      <c r="M6" s="304" t="str">
        <f>Luo!$D15</f>
        <v>Parallel</v>
      </c>
      <c r="N6" s="304" t="str">
        <f>Luo!$D16</f>
        <v>With/without H2</v>
      </c>
      <c r="O6" s="304" t="str">
        <f>Luo!$D17</f>
        <v>Diluted feed</v>
      </c>
      <c r="P6" s="304" t="str">
        <f>Luo!$E83</f>
        <v>-</v>
      </c>
      <c r="Q6" s="304">
        <f>C6</f>
        <v>1</v>
      </c>
      <c r="R6" s="322" t="str">
        <f>Luo!$E84</f>
        <v>No H2</v>
      </c>
      <c r="S6" s="309">
        <f>Luo!$E85</f>
        <v>6.24</v>
      </c>
      <c r="T6" s="309">
        <f>Luo!$E86</f>
        <v>14.583333333333334</v>
      </c>
      <c r="U6" s="308"/>
      <c r="V6" s="308">
        <f>Luo!$E88</f>
        <v>5.9615384615384619E-2</v>
      </c>
      <c r="W6" s="308"/>
      <c r="X6" s="338"/>
      <c r="Y6" s="307">
        <f>Luo!$E91</f>
        <v>0.372</v>
      </c>
      <c r="Z6" s="307"/>
      <c r="AA6" s="309">
        <f>Luo!$E93</f>
        <v>62</v>
      </c>
      <c r="AB6" s="309">
        <f>Luo!$E94</f>
        <v>38</v>
      </c>
      <c r="AC6" s="309"/>
      <c r="AD6" s="307">
        <f>Luo!$E96</f>
        <v>8</v>
      </c>
      <c r="AE6" s="323">
        <f>Luo!$E97</f>
        <v>8.638722896899341E-2</v>
      </c>
      <c r="AF6" s="323">
        <f>Luo!$E98</f>
        <v>8.7100000000000007E-3</v>
      </c>
      <c r="AG6" s="305"/>
      <c r="AH6" s="311"/>
      <c r="AI6" s="305"/>
      <c r="AJ6" s="305"/>
      <c r="AK6" s="305"/>
      <c r="AL6" s="305"/>
      <c r="AM6" s="305"/>
      <c r="AN6" s="305"/>
      <c r="AO6" s="305"/>
      <c r="AP6" s="305"/>
      <c r="AQ6" s="305"/>
      <c r="AR6" s="305"/>
    </row>
    <row r="7" spans="1:44" x14ac:dyDescent="0.3">
      <c r="B7" s="313"/>
      <c r="C7" s="313"/>
      <c r="D7" s="313"/>
      <c r="E7" s="314"/>
      <c r="F7" s="313"/>
      <c r="G7" s="314"/>
      <c r="H7" s="314"/>
      <c r="I7" s="313"/>
      <c r="J7" s="314"/>
      <c r="K7" s="313"/>
      <c r="L7" s="313"/>
      <c r="M7" s="313"/>
      <c r="N7" s="313"/>
      <c r="O7" s="313"/>
      <c r="P7" s="315" t="str">
        <f>Luo!$D83</f>
        <v>-</v>
      </c>
      <c r="Q7" s="313"/>
      <c r="R7" s="320" t="str">
        <f>Luo!$D84</f>
        <v>With H2</v>
      </c>
      <c r="S7" s="319"/>
      <c r="T7" s="314"/>
      <c r="U7" s="316">
        <f>Luo!$D87</f>
        <v>0.68640000000000012</v>
      </c>
      <c r="V7" s="317">
        <f>Luo!$D88</f>
        <v>7.2692307692307681E-2</v>
      </c>
      <c r="W7" s="317">
        <f>Luo!$D89</f>
        <v>1.3076923076923062E-2</v>
      </c>
      <c r="X7" s="339">
        <f>Luo!$D90</f>
        <v>0.21935483870967717</v>
      </c>
      <c r="Y7" s="316">
        <f>Luo!$D91</f>
        <v>0.45359999999999995</v>
      </c>
      <c r="Z7" s="316">
        <f>Luo!$D92</f>
        <v>8.159999999999995E-2</v>
      </c>
      <c r="AA7" s="319">
        <f>Luo!$D93</f>
        <v>65</v>
      </c>
      <c r="AB7" s="319">
        <f>Luo!$D94</f>
        <v>15</v>
      </c>
      <c r="AC7" s="319">
        <f>Luo!$D95</f>
        <v>20</v>
      </c>
      <c r="AD7" s="316">
        <f>Luo!$D96</f>
        <v>8.3000000000000007</v>
      </c>
      <c r="AE7" s="324">
        <f>Luo!$D97</f>
        <v>9.1384837256455839E-2</v>
      </c>
      <c r="AF7" s="324">
        <f>Luo!$D98</f>
        <v>2.8799999999999999E-2</v>
      </c>
      <c r="AG7" s="316">
        <f>Luo!$D69</f>
        <v>0.13668</v>
      </c>
      <c r="AH7" s="321">
        <f>Luo!$D70</f>
        <v>8.1599999999999964E-2</v>
      </c>
      <c r="AI7" s="316">
        <f>Luo!$D71</f>
        <v>0.12480000000000001</v>
      </c>
      <c r="AJ7" s="316">
        <f>Luo!$D72</f>
        <v>2.9985321870413091</v>
      </c>
      <c r="AK7" s="316">
        <f>Luo!$D73</f>
        <v>0.79650349650349639</v>
      </c>
      <c r="AL7" s="316">
        <f>Luo!$D74</f>
        <v>0.59701492537313405</v>
      </c>
      <c r="AM7" s="316">
        <f>Luo!$D75</f>
        <v>0.91308165057067614</v>
      </c>
      <c r="AN7" s="316">
        <f>Luo!$D76</f>
        <v>0.65384615384615352</v>
      </c>
      <c r="AO7" s="316">
        <f>Luo!$D77</f>
        <v>0.35646886139651901</v>
      </c>
      <c r="AP7" s="316">
        <f>Luo!$D78</f>
        <v>0.92749003984063738</v>
      </c>
      <c r="AQ7" s="319">
        <f>Luo!$D79</f>
        <v>6.7000000000000028</v>
      </c>
      <c r="AR7" s="319">
        <f>Luo!$D80</f>
        <v>4.3807692307692303</v>
      </c>
    </row>
    <row r="8" spans="1:44" x14ac:dyDescent="0.3">
      <c r="B8" s="294" t="str">
        <f>Bass!B2</f>
        <v>Bassani et al., 2015</v>
      </c>
      <c r="C8" s="294">
        <f>All!C8</f>
        <v>21</v>
      </c>
      <c r="D8" s="294" t="str">
        <f>Bass!$D6</f>
        <v>CM</v>
      </c>
      <c r="E8" s="293">
        <f>Bass!$D7</f>
        <v>35</v>
      </c>
      <c r="F8" s="294" t="str">
        <f>Bass!$D8</f>
        <v>2-stage CSTR</v>
      </c>
      <c r="G8" s="293" t="str">
        <f>Bass!$D9</f>
        <v>n/r</v>
      </c>
      <c r="H8" s="293" t="str">
        <f>Bass!$D10</f>
        <v>1.5 and 2</v>
      </c>
      <c r="I8" s="294" t="str">
        <f>Bass!$D11</f>
        <v>Magnetic</v>
      </c>
      <c r="J8" s="293" t="str">
        <f>Bass!$D12</f>
        <v>No</v>
      </c>
      <c r="K8" s="294" t="str">
        <f>Bass!$D13</f>
        <v>Diffuser</v>
      </c>
      <c r="L8" s="294" t="str">
        <f>Bass!$D14</f>
        <v>Continuous</v>
      </c>
      <c r="M8" s="294" t="str">
        <f>Bass!$D15</f>
        <v>Sequential</v>
      </c>
      <c r="N8" s="294" t="str">
        <f>Bass!$D16</f>
        <v>Temp - meso and thermo</v>
      </c>
      <c r="O8" s="294" t="str">
        <f>Bass!$D17</f>
        <v>1 set of reactors at each temp</v>
      </c>
      <c r="P8" s="296" t="str">
        <f>Bass!$D81</f>
        <v>Control period</v>
      </c>
      <c r="Q8" s="294">
        <f>C8</f>
        <v>21</v>
      </c>
      <c r="R8" s="294" t="str">
        <f>Bass!$D82</f>
        <v>No H2</v>
      </c>
      <c r="S8" s="293">
        <f>Bass!$D83</f>
        <v>0.6</v>
      </c>
      <c r="T8" s="293" t="str">
        <f>Bass!$D84</f>
        <v>25 and 33</v>
      </c>
      <c r="U8" s="297"/>
      <c r="V8" s="299">
        <f>Bass!$D86</f>
        <v>0.111</v>
      </c>
      <c r="W8" s="299"/>
      <c r="X8" s="336"/>
      <c r="Y8" s="297">
        <f>Bass!$D89</f>
        <v>6.6000000000000003E-2</v>
      </c>
      <c r="Z8" s="297"/>
      <c r="AA8" s="300">
        <f>Bass!$D91</f>
        <v>69.7</v>
      </c>
      <c r="AB8" s="300">
        <f>Bass!$D92</f>
        <v>30.3</v>
      </c>
      <c r="AC8" s="300"/>
      <c r="AD8" s="297">
        <f>Bass!$D94</f>
        <v>7.73</v>
      </c>
      <c r="AE8" s="302" t="str">
        <f>Bass!$D95</f>
        <v>n/r</v>
      </c>
      <c r="AF8" s="295" t="str">
        <f>Bass!$D96</f>
        <v>TVFA</v>
      </c>
      <c r="AG8" s="297"/>
      <c r="AH8" s="301"/>
      <c r="AI8" s="297"/>
      <c r="AJ8" s="297"/>
      <c r="AK8" s="297"/>
      <c r="AL8" s="297"/>
      <c r="AM8" s="297"/>
      <c r="AN8" s="297"/>
      <c r="AO8" s="297"/>
      <c r="AP8" s="297"/>
      <c r="AQ8" s="300"/>
      <c r="AR8" s="300"/>
    </row>
    <row r="9" spans="1:44" ht="16.8" x14ac:dyDescent="0.3">
      <c r="B9" s="282"/>
      <c r="C9" s="282"/>
      <c r="D9" s="247"/>
      <c r="E9" s="259"/>
      <c r="F9" s="247"/>
      <c r="H9" s="259"/>
      <c r="K9" s="247"/>
      <c r="L9" s="247"/>
      <c r="M9" s="247"/>
      <c r="N9" s="247"/>
      <c r="O9" s="247"/>
      <c r="P9" s="280" t="str">
        <f>Bass!$E81</f>
        <v>-</v>
      </c>
      <c r="Q9" s="282"/>
      <c r="R9" s="247" t="str">
        <f>Bass!$E82</f>
        <v>With H2</v>
      </c>
      <c r="S9" s="259"/>
      <c r="T9" s="259"/>
      <c r="U9" s="263">
        <f>Bass!$E85</f>
        <v>0.192</v>
      </c>
      <c r="V9" s="262">
        <f>Bass!$E86</f>
        <v>0.16800000000000001</v>
      </c>
      <c r="W9" s="262">
        <f>Bass!$E87</f>
        <v>5.7000000000000009E-2</v>
      </c>
      <c r="X9" s="337">
        <f>Bass!$E88</f>
        <v>0.5135135135135136</v>
      </c>
      <c r="Y9" s="263">
        <f>Bass!$E89</f>
        <v>0.1</v>
      </c>
      <c r="Z9" s="263">
        <f>Bass!$E90</f>
        <v>3.4000000000000002E-2</v>
      </c>
      <c r="AA9" s="276">
        <f>Bass!$E91</f>
        <v>88.9</v>
      </c>
      <c r="AB9" s="276">
        <f>Bass!$E92</f>
        <v>8.8000000000000007</v>
      </c>
      <c r="AC9" s="276">
        <f>Bass!$E93</f>
        <v>2.2999999999999998</v>
      </c>
      <c r="AD9" s="263">
        <f>Bass!$E94</f>
        <v>8.17</v>
      </c>
      <c r="AE9" s="250" t="str">
        <f>Bass!$E95</f>
        <v>n/r</v>
      </c>
      <c r="AF9" s="249" t="str">
        <f>Bass!$E96</f>
        <v>TVFA</v>
      </c>
      <c r="AG9" s="263">
        <f>Bass!$E67</f>
        <v>4.73675E-2</v>
      </c>
      <c r="AH9" s="281">
        <f>Bass!$E68</f>
        <v>3.4000000000000002E-2</v>
      </c>
      <c r="AI9" s="263">
        <f>Bass!$E69</f>
        <v>1.8574118730808602E-2</v>
      </c>
      <c r="AJ9" s="263">
        <f>Bass!$E70</f>
        <v>6.7410996418790807</v>
      </c>
      <c r="AK9" s="263">
        <f>Bass!$E71</f>
        <v>0.98682291666666666</v>
      </c>
      <c r="AL9" s="263">
        <f>Bass!$E72</f>
        <v>0.7177917348392886</v>
      </c>
      <c r="AM9" s="263">
        <f>Bass!$E73</f>
        <v>0.39212790902641265</v>
      </c>
      <c r="AN9" s="263">
        <f>Bass!$E74</f>
        <v>1.8305040735851834</v>
      </c>
      <c r="AO9" s="263">
        <f>Bass!$E75</f>
        <v>1.1937363949160873</v>
      </c>
      <c r="AP9" s="263">
        <f>Bass!$E76</f>
        <v>1.1578947368421053</v>
      </c>
      <c r="AQ9" s="276">
        <f>Bass!$E77</f>
        <v>5.5726470588235291</v>
      </c>
      <c r="AR9" s="276">
        <f>Bass!$E78</f>
        <v>10.200753141828962</v>
      </c>
    </row>
    <row r="10" spans="1:44" x14ac:dyDescent="0.3">
      <c r="B10" s="247"/>
      <c r="C10" s="247"/>
      <c r="D10" s="247"/>
      <c r="E10" s="259">
        <f>Bass!F7</f>
        <v>55</v>
      </c>
      <c r="F10" s="247"/>
      <c r="H10" s="259"/>
      <c r="K10" s="247"/>
      <c r="L10" s="247"/>
      <c r="M10" s="247"/>
      <c r="N10" s="247"/>
      <c r="O10" s="247"/>
      <c r="P10" s="280" t="str">
        <f>Bass!$F81</f>
        <v>Control period</v>
      </c>
      <c r="Q10" s="247"/>
      <c r="R10" s="247" t="str">
        <f>Bass!$F82</f>
        <v>No H2</v>
      </c>
      <c r="S10" s="259">
        <f>Bass!$F83</f>
        <v>1</v>
      </c>
      <c r="T10" s="259" t="str">
        <f>Bass!$F84</f>
        <v>15 and 20</v>
      </c>
      <c r="U10" s="263"/>
      <c r="V10" s="262">
        <f>Bass!$F86</f>
        <v>0.249</v>
      </c>
      <c r="X10" s="337"/>
      <c r="Y10" s="263">
        <f>Bass!$F89</f>
        <v>0.247</v>
      </c>
      <c r="Z10" s="263"/>
      <c r="AA10" s="276">
        <f>Bass!$F91</f>
        <v>67.099999999999994</v>
      </c>
      <c r="AB10" s="276">
        <f>Bass!$F92</f>
        <v>32.9</v>
      </c>
      <c r="AC10" s="276"/>
      <c r="AD10" s="263">
        <f>Bass!$F94</f>
        <v>7.89</v>
      </c>
      <c r="AE10" s="250" t="str">
        <f>Bass!$F95</f>
        <v>n/r</v>
      </c>
      <c r="AF10" s="249" t="str">
        <f>Bass!$F96</f>
        <v>TVFA</v>
      </c>
      <c r="AG10" s="263"/>
      <c r="AH10" s="281"/>
      <c r="AI10" s="263"/>
      <c r="AJ10" s="263"/>
      <c r="AK10" s="263"/>
      <c r="AL10" s="263"/>
      <c r="AM10" s="263"/>
      <c r="AN10" s="263"/>
      <c r="AO10" s="263"/>
      <c r="AP10" s="263"/>
      <c r="AQ10" s="276"/>
      <c r="AR10" s="276"/>
    </row>
    <row r="11" spans="1:44" x14ac:dyDescent="0.3">
      <c r="B11" s="247"/>
      <c r="C11" s="247"/>
      <c r="D11" s="247"/>
      <c r="E11" s="259"/>
      <c r="F11" s="247"/>
      <c r="H11" s="259"/>
      <c r="K11" s="247"/>
      <c r="L11" s="247"/>
      <c r="M11" s="247"/>
      <c r="N11" s="247"/>
      <c r="O11" s="247"/>
      <c r="P11" s="280" t="str">
        <f>Bass!$G$81</f>
        <v>-</v>
      </c>
      <c r="Q11" s="247"/>
      <c r="R11" s="247" t="str">
        <f>Bass!$G$82</f>
        <v>With H2</v>
      </c>
      <c r="S11" s="259"/>
      <c r="T11" s="259"/>
      <c r="U11" s="263">
        <f>Bass!$G$85</f>
        <v>0.51</v>
      </c>
      <c r="V11" s="262">
        <f>Bass!$G$86</f>
        <v>0.35899999999999999</v>
      </c>
      <c r="W11" s="262">
        <f>Bass!$G$87</f>
        <v>0.10999999999999999</v>
      </c>
      <c r="X11" s="337">
        <f>Bass!$G$88</f>
        <v>0.44176706827309231</v>
      </c>
      <c r="Y11" s="263">
        <f>Bass!$G$89</f>
        <v>0.35899999999999999</v>
      </c>
      <c r="Z11" s="263">
        <f>Bass!$G$90</f>
        <v>0.11199999999999999</v>
      </c>
      <c r="AA11" s="276">
        <f>Bass!$G$91</f>
        <v>85.1</v>
      </c>
      <c r="AB11" s="276">
        <f>Bass!$G$92</f>
        <v>6.6</v>
      </c>
      <c r="AC11" s="276">
        <f>Bass!$G$93</f>
        <v>8.3000000000000007</v>
      </c>
      <c r="AD11" s="263">
        <f>Bass!$G$94</f>
        <v>8.49</v>
      </c>
      <c r="AE11" s="250" t="str">
        <f>Bass!$G$95</f>
        <v>n/r</v>
      </c>
      <c r="AF11" s="249" t="str">
        <f>Bass!$G$96</f>
        <v>TVFA</v>
      </c>
      <c r="AG11" s="263">
        <f>Bass!$G$67</f>
        <v>0.11951125</v>
      </c>
      <c r="AH11" s="281">
        <f>Bass!$G$68</f>
        <v>0.11199999999999999</v>
      </c>
      <c r="AI11" s="263">
        <f>Bass!$G$69</f>
        <v>9.3362076335877842E-2</v>
      </c>
      <c r="AJ11" s="263">
        <f>Bass!$G$70</f>
        <v>4.2123694991410074</v>
      </c>
      <c r="AK11" s="263">
        <f>Bass!$G$71</f>
        <v>0.93734313725490193</v>
      </c>
      <c r="AL11" s="263">
        <f>Bass!$G$72</f>
        <v>0.93715026828018277</v>
      </c>
      <c r="AM11" s="263">
        <f>Bass!$G$73</f>
        <v>0.78119906147645379</v>
      </c>
      <c r="AN11" s="263">
        <f>Bass!$G$74</f>
        <v>1.1996305608828863</v>
      </c>
      <c r="AO11" s="263">
        <f>Bass!$G$75</f>
        <v>0.92506938020351526</v>
      </c>
      <c r="AP11" s="263">
        <f>Bass!$G$76</f>
        <v>1.0516304347826086</v>
      </c>
      <c r="AQ11" s="276">
        <f>Bass!$G$77</f>
        <v>4.268258928571429</v>
      </c>
      <c r="AR11" s="276">
        <f>Bass!$G$78</f>
        <v>5.1203338524755306</v>
      </c>
    </row>
    <row r="12" spans="1:44" x14ac:dyDescent="0.3">
      <c r="B12" s="304" t="str">
        <f>Treu!B2</f>
        <v>Treu et al., 2018</v>
      </c>
      <c r="C12" s="304">
        <f>All!C12</f>
        <v>22</v>
      </c>
      <c r="D12" s="304" t="str">
        <f>Treu!$D6</f>
        <v>CM</v>
      </c>
      <c r="E12" s="305">
        <f>Treu!$D7</f>
        <v>55</v>
      </c>
      <c r="F12" s="304" t="str">
        <f>Treu!$D8</f>
        <v>2-stage CSTR</v>
      </c>
      <c r="G12" s="305" t="str">
        <f>Treu!$D9</f>
        <v>n/r</v>
      </c>
      <c r="H12" s="305" t="str">
        <f>Treu!$D10</f>
        <v>1.5 and 2</v>
      </c>
      <c r="I12" s="304" t="str">
        <f>Treu!$D11</f>
        <v>Stirred</v>
      </c>
      <c r="J12" s="305" t="str">
        <f>Treu!$D12</f>
        <v>No</v>
      </c>
      <c r="K12" s="304" t="str">
        <f>Treu!$D13</f>
        <v>Diffuser</v>
      </c>
      <c r="L12" s="304" t="str">
        <f>Treu!$D14</f>
        <v>Continuous</v>
      </c>
      <c r="M12" s="304" t="str">
        <f>Treu!$D15</f>
        <v>Sequential</v>
      </c>
      <c r="N12" s="304" t="str">
        <f>Treu!$D16</f>
        <v>H2 addition</v>
      </c>
      <c r="O12" s="304" t="str">
        <f>Treu!$D17</f>
        <v>1 reactor</v>
      </c>
      <c r="P12" s="306" t="str">
        <f>Treu!$D64</f>
        <v>Control period</v>
      </c>
      <c r="Q12" s="304">
        <f>C12</f>
        <v>22</v>
      </c>
      <c r="R12" s="322" t="str">
        <f>Treu!$D65</f>
        <v>No H2</v>
      </c>
      <c r="S12" s="309">
        <f>Treu!$D66</f>
        <v>0.98854961832061072</v>
      </c>
      <c r="T12" s="305" t="str">
        <f>Treu!$D67</f>
        <v>15 and 20</v>
      </c>
      <c r="U12" s="307"/>
      <c r="V12" s="308">
        <f>Treu!$D69</f>
        <v>0.26200000000000001</v>
      </c>
      <c r="W12" s="308"/>
      <c r="X12" s="338"/>
      <c r="Y12" s="307">
        <f>Treu!$D72</f>
        <v>0.25900000000000001</v>
      </c>
      <c r="Z12" s="307"/>
      <c r="AA12" s="309">
        <f>Treu!$D74</f>
        <v>66.900000000000006</v>
      </c>
      <c r="AB12" s="309">
        <f>Treu!$D75</f>
        <v>33.1</v>
      </c>
      <c r="AC12" s="309"/>
      <c r="AD12" s="307">
        <f>Treu!$D77</f>
        <v>7.9</v>
      </c>
      <c r="AE12" s="310" t="str">
        <f>Treu!$D78</f>
        <v>n/r</v>
      </c>
      <c r="AF12" s="323" t="str">
        <f>Treu!$D79</f>
        <v>TVFA and Hac</v>
      </c>
      <c r="AG12" s="307"/>
      <c r="AH12" s="311"/>
      <c r="AI12" s="307"/>
      <c r="AJ12" s="307"/>
      <c r="AK12" s="307"/>
      <c r="AL12" s="307"/>
      <c r="AM12" s="307"/>
      <c r="AN12" s="307"/>
      <c r="AO12" s="307"/>
      <c r="AP12" s="307"/>
      <c r="AQ12" s="309"/>
      <c r="AR12" s="309"/>
    </row>
    <row r="13" spans="1:44" x14ac:dyDescent="0.3">
      <c r="B13" s="313"/>
      <c r="C13" s="313"/>
      <c r="D13" s="313"/>
      <c r="E13" s="314"/>
      <c r="F13" s="313"/>
      <c r="G13" s="314"/>
      <c r="H13" s="314"/>
      <c r="I13" s="313"/>
      <c r="J13" s="314"/>
      <c r="K13" s="313"/>
      <c r="L13" s="313"/>
      <c r="M13" s="313"/>
      <c r="N13" s="313"/>
      <c r="O13" s="313"/>
      <c r="P13" s="315" t="str">
        <f>Treu!$E64</f>
        <v>Initial value</v>
      </c>
      <c r="Q13" s="313"/>
      <c r="R13" s="313" t="str">
        <f>Treu!$E65</f>
        <v>With H2</v>
      </c>
      <c r="S13" s="319"/>
      <c r="T13" s="314"/>
      <c r="U13" s="316">
        <f>Treu!$E68</f>
        <v>0.51238800000000007</v>
      </c>
      <c r="V13" s="317">
        <f>Treu!$E69</f>
        <v>0.37630888030888032</v>
      </c>
      <c r="W13" s="317">
        <f>Treu!$E70</f>
        <v>0.11430888030888031</v>
      </c>
      <c r="X13" s="339">
        <f>Treu!$E71</f>
        <v>0.43629343629343631</v>
      </c>
      <c r="Y13" s="316">
        <f>Treu!$E72</f>
        <v>0.372</v>
      </c>
      <c r="Z13" s="316">
        <f>Treu!$E73</f>
        <v>0.11299999999999999</v>
      </c>
      <c r="AA13" s="319">
        <f>Treu!$E74</f>
        <v>86.5</v>
      </c>
      <c r="AB13" s="319">
        <f>Treu!$E75</f>
        <v>6.6</v>
      </c>
      <c r="AC13" s="319">
        <f>Treu!$E76</f>
        <v>6.9</v>
      </c>
      <c r="AD13" s="316">
        <f>Treu!$E77</f>
        <v>8.49</v>
      </c>
      <c r="AE13" s="320" t="str">
        <f>Treu!$E78</f>
        <v>n/r</v>
      </c>
      <c r="AF13" s="324" t="str">
        <f>Treu!$E79</f>
        <v>TVFA and Hac</v>
      </c>
      <c r="AG13" s="316">
        <f>Treu!$E50</f>
        <v>0.23621747581910585</v>
      </c>
      <c r="AH13" s="321">
        <f>Treu!$E51</f>
        <v>0.11299999999999999</v>
      </c>
      <c r="AI13" s="316">
        <f>Treu!$E52</f>
        <v>9.9849000000000021E-2</v>
      </c>
      <c r="AJ13" s="316">
        <f>Treu!$E53</f>
        <v>4</v>
      </c>
      <c r="AK13" s="316">
        <f>Treu!$E54</f>
        <v>0.9448699032764234</v>
      </c>
      <c r="AL13" s="316">
        <f>Treu!$E55</f>
        <v>0.47837273515925138</v>
      </c>
      <c r="AM13" s="316">
        <f>Treu!$E56</f>
        <v>0.4226994622381956</v>
      </c>
      <c r="AN13" s="316">
        <f>Treu!$E57</f>
        <v>1.131708880409418</v>
      </c>
      <c r="AO13" s="316">
        <f>Treu!$E58</f>
        <v>0.88214400024981054</v>
      </c>
      <c r="AP13" s="316">
        <f>Treu!$E59</f>
        <v>1.10694735428071</v>
      </c>
      <c r="AQ13" s="319">
        <f>Treu!$E60</f>
        <v>4.2844247787610632</v>
      </c>
      <c r="AR13" s="319">
        <f>Treu!$E61</f>
        <v>4.8487215695700501</v>
      </c>
    </row>
    <row r="14" spans="1:44" x14ac:dyDescent="0.3">
      <c r="B14" s="313"/>
      <c r="C14" s="313"/>
      <c r="D14" s="313"/>
      <c r="E14" s="314"/>
      <c r="F14" s="313"/>
      <c r="G14" s="314"/>
      <c r="H14" s="314"/>
      <c r="I14" s="313"/>
      <c r="J14" s="314"/>
      <c r="K14" s="313"/>
      <c r="L14" s="313"/>
      <c r="M14" s="313"/>
      <c r="N14" s="313"/>
      <c r="O14" s="313"/>
      <c r="P14" s="315" t="str">
        <f>Treu!$F64</f>
        <v>After 2 years</v>
      </c>
      <c r="Q14" s="313"/>
      <c r="R14" s="313" t="str">
        <f>Treu!$F65</f>
        <v>With H2</v>
      </c>
      <c r="S14" s="319"/>
      <c r="T14" s="314"/>
      <c r="U14" s="316">
        <f>Treu!$F68</f>
        <v>0.51238800000000007</v>
      </c>
      <c r="V14" s="317">
        <f>Treu!$F69</f>
        <v>0.49980793369210358</v>
      </c>
      <c r="W14" s="317">
        <f>Treu!$F70</f>
        <v>0.23780793369210357</v>
      </c>
      <c r="X14" s="339">
        <f>Treu!$F71</f>
        <v>0.90766386905383034</v>
      </c>
      <c r="Y14" s="316">
        <f>Treu!$F72</f>
        <v>0.34399999999999997</v>
      </c>
      <c r="Z14" s="316">
        <f>Treu!$F73</f>
        <v>8.4999999999999964E-2</v>
      </c>
      <c r="AA14" s="319">
        <f>Treu!$F74</f>
        <v>98.7</v>
      </c>
      <c r="AB14" s="319">
        <f>Treu!$F75</f>
        <v>0.9</v>
      </c>
      <c r="AC14" s="319">
        <f>Treu!$F76</f>
        <v>0.4</v>
      </c>
      <c r="AD14" s="316">
        <f>Treu!$F77</f>
        <v>8.7100000000000009</v>
      </c>
      <c r="AE14" s="320" t="str">
        <f>Treu!$F78</f>
        <v>n/r</v>
      </c>
      <c r="AF14" s="324" t="str">
        <f>Treu!$F79</f>
        <v>TVFA and Hac</v>
      </c>
      <c r="AG14" s="316">
        <f>Treu!$F50</f>
        <v>0.24844112274292141</v>
      </c>
      <c r="AH14" s="321">
        <f>Treu!$F51</f>
        <v>8.4999999999999964E-2</v>
      </c>
      <c r="AI14" s="316">
        <f>Treu!$F52</f>
        <v>0.12490200000000001</v>
      </c>
      <c r="AJ14" s="316">
        <f>Treu!$F53</f>
        <v>4</v>
      </c>
      <c r="AK14" s="316">
        <f>Treu!$F54</f>
        <v>0.99376449097168562</v>
      </c>
      <c r="AL14" s="316">
        <f>Treu!$F55</f>
        <v>0.34213337575339786</v>
      </c>
      <c r="AM14" s="316">
        <f>Treu!$F56</f>
        <v>0.50274285762765791</v>
      </c>
      <c r="AN14" s="316">
        <f>Treu!$F57</f>
        <v>0.68053353829402219</v>
      </c>
      <c r="AO14" s="316">
        <f>Treu!$F58</f>
        <v>0.66355964620560948</v>
      </c>
      <c r="AP14" s="316">
        <f>Treu!$F59</f>
        <v>0.81772058548971283</v>
      </c>
      <c r="AQ14" s="319">
        <f>Treu!$F60</f>
        <v>5.9905058823529451</v>
      </c>
      <c r="AR14" s="319">
        <f>Treu!$F61</f>
        <v>4.076740164288803</v>
      </c>
    </row>
    <row r="15" spans="1:44" x14ac:dyDescent="0.3">
      <c r="B15" s="294" t="str">
        <f>Wahid!B97</f>
        <v>Wahid and Horn, 2021a</v>
      </c>
      <c r="C15" s="294">
        <f>All!C15</f>
        <v>23</v>
      </c>
      <c r="D15" s="294" t="str">
        <f>Wahid!$D101</f>
        <v>CM</v>
      </c>
      <c r="E15" s="293">
        <f>Wahid!$D102</f>
        <v>55</v>
      </c>
      <c r="F15" s="294" t="str">
        <f>Wahid!$D103</f>
        <v>2-stage CSTR</v>
      </c>
      <c r="G15" s="293" t="str">
        <f>Wahid!$D104</f>
        <v>10 and 10</v>
      </c>
      <c r="H15" s="293" t="str">
        <f>Wahid!$D105</f>
        <v>6 and 6</v>
      </c>
      <c r="I15" s="294" t="str">
        <f>Wahid!$D106</f>
        <v>Impeller</v>
      </c>
      <c r="J15" s="293" t="str">
        <f>Wahid!$D107</f>
        <v>Yes</v>
      </c>
      <c r="K15" s="294" t="str">
        <f>Wahid!$D108</f>
        <v>Diffuser</v>
      </c>
      <c r="L15" s="294" t="str">
        <f>Wahid!$D109</f>
        <v>Continuous</v>
      </c>
      <c r="M15" s="294" t="str">
        <f>Wahid!$D110</f>
        <v>Sequential</v>
      </c>
      <c r="N15" s="294" t="str">
        <f>Wahid!$D111</f>
        <v>Mixing and gas recirc</v>
      </c>
      <c r="O15" s="294" t="str">
        <f>Wahid!$D112</f>
        <v>1 set of reactors</v>
      </c>
      <c r="P15" s="296" t="str">
        <f>Wahid!$D200</f>
        <v>-</v>
      </c>
      <c r="Q15" s="294">
        <f>C15</f>
        <v>23</v>
      </c>
      <c r="R15" s="302" t="str">
        <f>Wahid!$D201</f>
        <v>No  H2</v>
      </c>
      <c r="S15" s="300">
        <f>Wahid!$D202</f>
        <v>3.0898358236487731</v>
      </c>
      <c r="T15" s="298" t="str">
        <f>Wahid!$D203</f>
        <v>15 and 20</v>
      </c>
      <c r="U15" s="297"/>
      <c r="V15" s="299">
        <f>Wahid!$D205</f>
        <v>0.21684</v>
      </c>
      <c r="W15" s="299"/>
      <c r="X15" s="336"/>
      <c r="Y15" s="297">
        <f>Wahid!$D208</f>
        <v>0.67</v>
      </c>
      <c r="Z15" s="297"/>
      <c r="AA15" s="300">
        <f>Wahid!$D210</f>
        <v>62.22</v>
      </c>
      <c r="AB15" s="300">
        <f>Wahid!$D211</f>
        <v>37.78</v>
      </c>
      <c r="AC15" s="300"/>
      <c r="AD15" s="297">
        <f>Wahid!$D213</f>
        <v>7.86</v>
      </c>
      <c r="AE15" s="295">
        <f>Wahid!$D214</f>
        <v>9.6382445543918269E-2</v>
      </c>
      <c r="AF15" s="295">
        <f>Wahid!$D215</f>
        <v>5.4024330952323965E-3</v>
      </c>
      <c r="AG15" s="297"/>
      <c r="AH15" s="301"/>
      <c r="AI15" s="297"/>
      <c r="AJ15" s="297"/>
      <c r="AK15" s="297"/>
      <c r="AL15" s="297"/>
      <c r="AM15" s="297"/>
      <c r="AN15" s="297"/>
      <c r="AO15" s="297"/>
      <c r="AP15" s="297"/>
      <c r="AQ15" s="300"/>
      <c r="AR15" s="300"/>
    </row>
    <row r="16" spans="1:44" ht="16.8" x14ac:dyDescent="0.3">
      <c r="B16" s="282"/>
      <c r="C16" s="282"/>
      <c r="D16" s="247"/>
      <c r="E16" s="259"/>
      <c r="F16" s="247"/>
      <c r="H16" s="259"/>
      <c r="K16" s="247"/>
      <c r="L16" s="247"/>
      <c r="M16" s="247"/>
      <c r="N16" s="247"/>
      <c r="O16" s="247"/>
      <c r="P16" s="280" t="str">
        <f>Wahid!$H200</f>
        <v>Highest SMP etc</v>
      </c>
      <c r="Q16" s="282"/>
      <c r="R16" s="250" t="str">
        <f>Wahid!$H201</f>
        <v>With H2</v>
      </c>
      <c r="S16" s="259"/>
      <c r="T16" s="259"/>
      <c r="U16" s="263">
        <f>Wahid!$H204</f>
        <v>1.66</v>
      </c>
      <c r="V16" s="262">
        <f>Wahid!$H205</f>
        <v>0.41108999999999996</v>
      </c>
      <c r="W16" s="262">
        <f>Wahid!$H206</f>
        <v>0.19424999999999995</v>
      </c>
      <c r="X16" s="337">
        <f>Wahid!$H207</f>
        <v>0.89582180409518519</v>
      </c>
      <c r="Y16" s="263">
        <f>Wahid!$H208</f>
        <v>0.9</v>
      </c>
      <c r="Z16" s="263">
        <f>Wahid!$H209</f>
        <v>0.22999999999999998</v>
      </c>
      <c r="AA16" s="276">
        <f>Wahid!$H210</f>
        <v>40.26</v>
      </c>
      <c r="AB16" s="276">
        <f>Wahid!$H211</f>
        <v>11.92</v>
      </c>
      <c r="AC16" s="276">
        <f>Wahid!$H212</f>
        <v>47.69</v>
      </c>
      <c r="AD16" s="263">
        <f>Wahid!$H213</f>
        <v>8.41</v>
      </c>
      <c r="AE16" s="249">
        <f>Wahid!$H214</f>
        <v>0.14278880821321224</v>
      </c>
      <c r="AF16" s="249">
        <f>Wahid!$H215</f>
        <v>1.2156445829919689E-2</v>
      </c>
      <c r="AG16" s="263">
        <f>Wahid!$H185</f>
        <v>8.9842479466838973E-2</v>
      </c>
      <c r="AH16" s="281">
        <f>Wahid!$H186</f>
        <v>0.22999999999999998</v>
      </c>
      <c r="AI16" s="263">
        <f>Wahid!$H187</f>
        <v>-3.3475499399055142E-2</v>
      </c>
      <c r="AJ16" s="263">
        <f>Wahid!$H188</f>
        <v>4</v>
      </c>
      <c r="AK16" s="263">
        <f>Wahid!$H189</f>
        <v>0.35936991786735589</v>
      </c>
      <c r="AL16" s="263">
        <f>Wahid!$H190</f>
        <v>2.5600362029733765</v>
      </c>
      <c r="AM16" s="263">
        <f>Wahid!$H191</f>
        <v>-0.372602132061716</v>
      </c>
      <c r="AN16" s="263">
        <f>Wahid!$H192</f>
        <v>-6.8706966028561123</v>
      </c>
      <c r="AO16" s="263">
        <f>Wahid!$H193</f>
        <v>0.57386094781332453</v>
      </c>
      <c r="AP16" s="263">
        <f>Wahid!$H194</f>
        <v>1.083248303934871</v>
      </c>
      <c r="AQ16" s="276">
        <f>Wahid!$H195</f>
        <v>6.64</v>
      </c>
      <c r="AR16" s="276">
        <f>Wahid!$H196</f>
        <v>-17.820617298293353</v>
      </c>
    </row>
    <row r="17" spans="2:44" x14ac:dyDescent="0.3">
      <c r="B17" s="304" t="str">
        <f>Lebranch!B2</f>
        <v>Lebranchu et al., 2020</v>
      </c>
      <c r="C17" s="304">
        <f>All!C17</f>
        <v>24</v>
      </c>
      <c r="D17" s="304" t="str">
        <f>Lebranch!$D6</f>
        <v>CM</v>
      </c>
      <c r="E17" s="305">
        <f>Lebranch!$D7</f>
        <v>40</v>
      </c>
      <c r="F17" s="304" t="str">
        <f>Lebranch!$D8</f>
        <v>CSTR</v>
      </c>
      <c r="G17" s="305">
        <f>Lebranch!$D9</f>
        <v>142</v>
      </c>
      <c r="H17" s="305">
        <f>Lebranch!$D10</f>
        <v>100</v>
      </c>
      <c r="I17" s="304" t="str">
        <f>Lebranch!$D11</f>
        <v>Helical</v>
      </c>
      <c r="J17" s="305" t="str">
        <f>Lebranch!$D12</f>
        <v>No</v>
      </c>
      <c r="K17" s="304" t="str">
        <f>Lebranch!$D13</f>
        <v>Silicone tube</v>
      </c>
      <c r="L17" s="304" t="str">
        <f>Lebranch!$D14</f>
        <v>Continuous</v>
      </c>
      <c r="M17" s="304" t="str">
        <f>Lebranch!$D15</f>
        <v>Sequential</v>
      </c>
      <c r="N17" s="304" t="str">
        <f>Lebranch!$D16</f>
        <v>H2 addition</v>
      </c>
      <c r="O17" s="304" t="str">
        <f>Lebranch!$D17</f>
        <v>1 reactor</v>
      </c>
      <c r="P17" s="306" t="str">
        <f>Lebranch!$D82</f>
        <v>Control period</v>
      </c>
      <c r="Q17" s="304">
        <f>C17</f>
        <v>24</v>
      </c>
      <c r="R17" s="304" t="str">
        <f>Lebranch!$D83</f>
        <v>No H2</v>
      </c>
      <c r="S17" s="305">
        <f>Lebranch!$D84</f>
        <v>3.85</v>
      </c>
      <c r="T17" s="305">
        <f>Lebranch!$D85</f>
        <v>28</v>
      </c>
      <c r="U17" s="307"/>
      <c r="V17" s="308">
        <f>Lebranch!$D87</f>
        <v>0.18606545454545456</v>
      </c>
      <c r="W17" s="308"/>
      <c r="X17" s="338"/>
      <c r="Y17" s="307">
        <f>Lebranch!$D90</f>
        <v>0.7163520000000001</v>
      </c>
      <c r="Z17" s="307"/>
      <c r="AA17" s="309">
        <f>Lebranch!$D92</f>
        <v>57.4</v>
      </c>
      <c r="AB17" s="309">
        <f>Lebranch!$D93</f>
        <v>42.4</v>
      </c>
      <c r="AC17" s="309"/>
      <c r="AD17" s="307">
        <f>Lebranch!$D95</f>
        <v>7.45</v>
      </c>
      <c r="AE17" s="310" t="str">
        <f>Lebranch!$D96</f>
        <v>n/r</v>
      </c>
      <c r="AF17" s="323" t="str">
        <f>Lebranch!$D97</f>
        <v>n/r</v>
      </c>
      <c r="AG17" s="307"/>
      <c r="AH17" s="311"/>
      <c r="AI17" s="307"/>
      <c r="AJ17" s="307"/>
      <c r="AK17" s="307"/>
      <c r="AL17" s="307"/>
      <c r="AM17" s="307"/>
      <c r="AN17" s="307"/>
      <c r="AO17" s="307"/>
      <c r="AP17" s="307"/>
      <c r="AQ17" s="309"/>
      <c r="AR17" s="309"/>
    </row>
    <row r="18" spans="2:44" ht="16.8" x14ac:dyDescent="0.3">
      <c r="B18" s="312"/>
      <c r="C18" s="312"/>
      <c r="D18" s="313"/>
      <c r="E18" s="314"/>
      <c r="F18" s="313"/>
      <c r="G18" s="314"/>
      <c r="H18" s="314"/>
      <c r="I18" s="313"/>
      <c r="J18" s="314"/>
      <c r="K18" s="313"/>
      <c r="L18" s="313"/>
      <c r="M18" s="313"/>
      <c r="N18" s="313"/>
      <c r="O18" s="313"/>
      <c r="P18" s="315" t="str">
        <f>Lebranch!$G$82</f>
        <v>Best performance</v>
      </c>
      <c r="Q18" s="312"/>
      <c r="R18" s="313" t="str">
        <f>Lebranch!$G$83</f>
        <v>With H2</v>
      </c>
      <c r="S18" s="314"/>
      <c r="T18" s="314"/>
      <c r="U18" s="316">
        <f>Lebranch!$G$86</f>
        <v>0.44640000000000002</v>
      </c>
      <c r="V18" s="317">
        <f>Lebranch!$G$87</f>
        <v>0.22123636363636368</v>
      </c>
      <c r="W18" s="317">
        <f>Lebranch!$G$88</f>
        <v>3.5170909090909114E-2</v>
      </c>
      <c r="X18" s="339">
        <f>Lebranch!$G$89</f>
        <v>0.18902439024390255</v>
      </c>
      <c r="Y18" s="316">
        <f>Lebranch!$G$90</f>
        <v>0.85176000000000018</v>
      </c>
      <c r="Z18" s="316">
        <f>Lebranch!$G$91</f>
        <v>0.13540800000000008</v>
      </c>
      <c r="AA18" s="319">
        <f>Lebranch!$G$92</f>
        <v>68.25</v>
      </c>
      <c r="AB18" s="319">
        <f>Lebranch!$G$93</f>
        <v>31.549999999999997</v>
      </c>
      <c r="AC18" s="319">
        <f>Lebranch!$G$94</f>
        <v>0.04</v>
      </c>
      <c r="AD18" s="316">
        <f>Lebranch!$G$95</f>
        <v>7.7</v>
      </c>
      <c r="AE18" s="320" t="str">
        <f>Lebranch!$G$96</f>
        <v>n/r</v>
      </c>
      <c r="AF18" s="324" t="str">
        <f>Lebranch!$G$97</f>
        <v>n/r</v>
      </c>
      <c r="AG18" s="316">
        <f>Lebranch!$G$68</f>
        <v>0.108445</v>
      </c>
      <c r="AH18" s="321">
        <f>Lebranch!$G$69</f>
        <v>0.13540800000000008</v>
      </c>
      <c r="AI18" s="316">
        <f>Lebranch!$G$70</f>
        <v>0.13540800000000003</v>
      </c>
      <c r="AJ18" s="316">
        <f>Lebranch!$G$71</f>
        <v>0.84361393323657463</v>
      </c>
      <c r="AK18" s="316">
        <f>Lebranch!$G$72</f>
        <v>0.9717293906810035</v>
      </c>
      <c r="AL18" s="316">
        <f>Lebranch!$G$73</f>
        <v>1.2486329475771136</v>
      </c>
      <c r="AM18" s="316">
        <f>Lebranch!$G$74</f>
        <v>1.2486329475771132</v>
      </c>
      <c r="AN18" s="316">
        <f>Lebranch!$G$75</f>
        <v>1.0000000000000004</v>
      </c>
      <c r="AO18" s="316">
        <f>Lebranch!$G$76</f>
        <v>0.25589622641509446</v>
      </c>
      <c r="AP18" s="316">
        <f>Lebranch!$G$77</f>
        <v>1</v>
      </c>
      <c r="AQ18" s="319">
        <f>Lebranch!$G$78</f>
        <v>3.2035034857615483</v>
      </c>
      <c r="AR18" s="319">
        <f>Lebranch!$G$79</f>
        <v>3.2035034857615496</v>
      </c>
    </row>
    <row r="19" spans="2:44" ht="16.8" x14ac:dyDescent="0.3">
      <c r="B19" s="312"/>
      <c r="C19" s="312"/>
      <c r="D19" s="313"/>
      <c r="E19" s="314"/>
      <c r="F19" s="313"/>
      <c r="G19" s="314"/>
      <c r="H19" s="314"/>
      <c r="I19" s="313"/>
      <c r="J19" s="314"/>
      <c r="K19" s="313"/>
      <c r="L19" s="313"/>
      <c r="M19" s="313"/>
      <c r="N19" s="313"/>
      <c r="O19" s="313"/>
      <c r="P19" s="315" t="str">
        <f>Lebranch!$M82</f>
        <v>-</v>
      </c>
      <c r="Q19" s="312"/>
      <c r="R19" s="313" t="str">
        <f>Lebranch!$M83</f>
        <v>With H2+CO2</v>
      </c>
      <c r="S19" s="314"/>
      <c r="T19" s="314"/>
      <c r="U19" s="316">
        <f>Lebranch!$M86</f>
        <v>0.6048</v>
      </c>
      <c r="V19" s="317">
        <f>Lebranch!$M87</f>
        <v>0.23563636363636362</v>
      </c>
      <c r="W19" s="317">
        <f>Lebranch!$M88</f>
        <v>4.9570909090909054E-2</v>
      </c>
      <c r="X19" s="339">
        <f>Lebranch!$M89</f>
        <v>0.26641651031894914</v>
      </c>
      <c r="Y19" s="316">
        <f>Lebranch!$M90</f>
        <v>0.9071999999999999</v>
      </c>
      <c r="Z19" s="316">
        <f>Lebranch!$M91</f>
        <v>0.1908479999999998</v>
      </c>
      <c r="AA19" s="319">
        <f>Lebranch!$M92</f>
        <v>67.5</v>
      </c>
      <c r="AB19" s="319">
        <f>Lebranch!$M93</f>
        <v>32.5</v>
      </c>
      <c r="AC19" s="319">
        <f>Lebranch!$M94</f>
        <v>0</v>
      </c>
      <c r="AD19" s="316">
        <f>Lebranch!$M95</f>
        <v>7.8</v>
      </c>
      <c r="AE19" s="320" t="str">
        <f>Lebranch!$M96</f>
        <v>n/r</v>
      </c>
      <c r="AF19" s="324" t="str">
        <f>Lebranch!$M97</f>
        <v>n/r</v>
      </c>
      <c r="AG19" s="316">
        <f>Lebranch!$M68</f>
        <v>0.1512</v>
      </c>
      <c r="AH19" s="321">
        <f>Lebranch!$M69</f>
        <v>0.1908479999999998</v>
      </c>
      <c r="AI19" s="316">
        <f>Lebranch!$M70</f>
        <v>9.2352000000000156E-2</v>
      </c>
      <c r="AJ19" s="316">
        <f>Lebranch!$M71</f>
        <v>1.0435646844459168</v>
      </c>
      <c r="AK19" s="316">
        <f>Lebranch!$M72</f>
        <v>1</v>
      </c>
      <c r="AL19" s="316">
        <f>Lebranch!$M73</f>
        <v>1.2622222222222208</v>
      </c>
      <c r="AM19" s="316">
        <f>Lebranch!$M74</f>
        <v>0.61079365079365178</v>
      </c>
      <c r="AN19" s="316">
        <f>Lebranch!$M75</f>
        <v>2.0665280665280608</v>
      </c>
      <c r="AO19" s="316">
        <f>Lebranch!$M76</f>
        <v>0.3606676342525395</v>
      </c>
      <c r="AP19" s="316">
        <f>Lebranch!$M77</f>
        <v>1.0769230769230766</v>
      </c>
      <c r="AQ19" s="319">
        <f>Lebranch!$M78</f>
        <v>3.1690140845070456</v>
      </c>
      <c r="AR19" s="319">
        <f>Lebranch!$M79</f>
        <v>6.5488565488565378</v>
      </c>
    </row>
    <row r="20" spans="2:44" x14ac:dyDescent="0.3">
      <c r="B20" s="294" t="str">
        <f>Zhu!B2</f>
        <v>Zhu et al., 2019a</v>
      </c>
      <c r="C20" s="294">
        <f>All!C20</f>
        <v>25</v>
      </c>
      <c r="D20" s="294" t="str">
        <f>Zhu!$D6</f>
        <v>PM</v>
      </c>
      <c r="E20" s="293">
        <f>Zhu!$D7</f>
        <v>55</v>
      </c>
      <c r="F20" s="294" t="str">
        <f>Zhu!$D8</f>
        <v>CSTR</v>
      </c>
      <c r="G20" s="293" t="str">
        <f>Zhu!$D9</f>
        <v>n/r</v>
      </c>
      <c r="H20" s="293">
        <f>Zhu!$D10</f>
        <v>11.2</v>
      </c>
      <c r="I20" s="294" t="str">
        <f>Zhu!$D11</f>
        <v>Mechanical</v>
      </c>
      <c r="J20" s="293" t="str">
        <f>Zhu!$D12</f>
        <v>No</v>
      </c>
      <c r="K20" s="294" t="str">
        <f>Zhu!$D13</f>
        <v>Distributor</v>
      </c>
      <c r="L20" s="294" t="str">
        <f>Zhu!$D14</f>
        <v>Continuous</v>
      </c>
      <c r="M20" s="294" t="str">
        <f>Zhu!$D15</f>
        <v>Sequential</v>
      </c>
      <c r="N20" s="294" t="str">
        <f>Zhu!$D16</f>
        <v>Mixing, sodium formate</v>
      </c>
      <c r="O20" s="294" t="str">
        <f>Zhu!$D17</f>
        <v>1 reactor</v>
      </c>
      <c r="P20" s="296" t="str">
        <f>Zhu!$D81</f>
        <v>Control period</v>
      </c>
      <c r="Q20" s="294">
        <f>C20</f>
        <v>25</v>
      </c>
      <c r="R20" s="295" t="str">
        <f>Zhu!$D82</f>
        <v>No H2</v>
      </c>
      <c r="S20" s="293">
        <f>Zhu!$D83</f>
        <v>2</v>
      </c>
      <c r="T20" s="293">
        <f>Zhu!$D84</f>
        <v>25</v>
      </c>
      <c r="U20" s="297"/>
      <c r="V20" s="299">
        <f>Zhu!$D86</f>
        <v>0.2223</v>
      </c>
      <c r="W20" s="299"/>
      <c r="X20" s="336"/>
      <c r="Y20" s="297">
        <f>Zhu!$D89</f>
        <v>0.4446</v>
      </c>
      <c r="Z20" s="297"/>
      <c r="AA20" s="300">
        <f>Zhu!$D91</f>
        <v>66</v>
      </c>
      <c r="AB20" s="300">
        <f>Zhu!$D92</f>
        <v>34</v>
      </c>
      <c r="AC20" s="300"/>
      <c r="AD20" s="297">
        <f>Zhu!$D94</f>
        <v>7.63</v>
      </c>
      <c r="AE20" s="295">
        <f>Zhu!$D95</f>
        <v>0.1119464256391584</v>
      </c>
      <c r="AF20" s="295">
        <f>Zhu!$D96</f>
        <v>4.1867190167464478E-2</v>
      </c>
      <c r="AG20" s="297"/>
      <c r="AH20" s="301"/>
      <c r="AI20" s="297"/>
      <c r="AJ20" s="297"/>
      <c r="AK20" s="297"/>
      <c r="AL20" s="297"/>
      <c r="AM20" s="297"/>
      <c r="AN20" s="297"/>
      <c r="AO20" s="297"/>
      <c r="AP20" s="297"/>
      <c r="AQ20" s="300"/>
      <c r="AR20" s="300"/>
    </row>
    <row r="21" spans="2:44" x14ac:dyDescent="0.3">
      <c r="B21" s="247"/>
      <c r="C21" s="247"/>
      <c r="D21" s="247"/>
      <c r="E21" s="259"/>
      <c r="F21" s="247"/>
      <c r="H21" s="259"/>
      <c r="K21" s="247"/>
      <c r="L21" s="247"/>
      <c r="M21" s="247"/>
      <c r="N21" s="247"/>
      <c r="O21" s="247"/>
      <c r="P21" s="280" t="str">
        <f>Zhu!$G$81</f>
        <v>Continuous mixing</v>
      </c>
      <c r="Q21" s="247"/>
      <c r="R21" s="249" t="str">
        <f>Zhu!$G$82</f>
        <v>With H2</v>
      </c>
      <c r="S21" s="259"/>
      <c r="T21" s="259"/>
      <c r="U21" s="263">
        <f>Zhu!$G$85</f>
        <v>0.95040000000000013</v>
      </c>
      <c r="V21" s="262">
        <f>Zhu!$G$86</f>
        <v>0.253</v>
      </c>
      <c r="W21" s="262">
        <f>Zhu!$G$87</f>
        <v>3.0700000000000005E-2</v>
      </c>
      <c r="X21" s="337">
        <f>Zhu!$G$88</f>
        <v>0.12540849673202614</v>
      </c>
      <c r="Y21" s="263">
        <f>Zhu!$G$89</f>
        <v>0.50600000000000001</v>
      </c>
      <c r="Z21" s="263">
        <f>Zhu!$G$90</f>
        <v>1.5350000000000003E-2</v>
      </c>
      <c r="AA21" s="276">
        <f>Zhu!$G$91</f>
        <v>46.945967567394185</v>
      </c>
      <c r="AB21" s="276">
        <f>Zhu!$G$92</f>
        <v>14.662913754645427</v>
      </c>
      <c r="AC21" s="276">
        <f>Zhu!$G$93</f>
        <v>38.391118677960385</v>
      </c>
      <c r="AD21" s="263">
        <f>Zhu!$G$94</f>
        <v>7.73</v>
      </c>
      <c r="AE21" s="249">
        <f>Zhu!$G$95</f>
        <v>9.6311051139811657E-2</v>
      </c>
      <c r="AF21" s="249">
        <f>Zhu!$G$96</f>
        <v>2.6123739046378026E-2</v>
      </c>
      <c r="AG21" s="275">
        <f>Zhu!$G$67</f>
        <v>0.13415178571428571</v>
      </c>
      <c r="AH21" s="281">
        <f>Zhu!$G$68</f>
        <v>6.140000000000001E-2</v>
      </c>
      <c r="AI21" s="275">
        <f>Zhu!$G$69</f>
        <v>7.0994368885707509E-2</v>
      </c>
      <c r="AJ21" s="275">
        <f>Zhu!$G$70</f>
        <v>4.1495594189092646</v>
      </c>
      <c r="AK21" s="275">
        <f>Zhu!$G$71</f>
        <v>0.56461189273689261</v>
      </c>
      <c r="AL21" s="275">
        <f>Zhu!$G$72</f>
        <v>2.184882503489995</v>
      </c>
      <c r="AM21" s="275">
        <f>Zhu!$G$73</f>
        <v>0.52920927222623904</v>
      </c>
      <c r="AN21" s="275">
        <f>Zhu!$G$74</f>
        <v>0.86485732549924776</v>
      </c>
      <c r="AO21" s="275">
        <f>Zhu!$G$75</f>
        <v>0.26807970151623406</v>
      </c>
      <c r="AP21" s="275">
        <f>Zhu!$G$76</f>
        <v>0.98575734713322782</v>
      </c>
      <c r="AQ21" s="361">
        <f>Zhu!$G$77</f>
        <v>8.7395300139599801</v>
      </c>
      <c r="AR21" s="361">
        <f>Zhu!$G$78</f>
        <v>7.5584465539938321</v>
      </c>
    </row>
    <row r="22" spans="2:44" x14ac:dyDescent="0.3">
      <c r="B22" s="247"/>
      <c r="C22" s="247"/>
      <c r="D22" s="247"/>
      <c r="E22" s="259"/>
      <c r="F22" s="247"/>
      <c r="H22" s="259"/>
      <c r="K22" s="247"/>
      <c r="L22" s="247"/>
      <c r="M22" s="247"/>
      <c r="N22" s="247"/>
      <c r="O22" s="247"/>
      <c r="P22" s="280" t="str">
        <f>Zhu!$H81</f>
        <v>Continuous mixing, HCOONa</v>
      </c>
      <c r="Q22" s="247"/>
      <c r="R22" s="249" t="str">
        <f>Zhu!$H82</f>
        <v>With H2</v>
      </c>
      <c r="S22" s="259"/>
      <c r="T22" s="259"/>
      <c r="U22" s="263">
        <f>Zhu!$H85</f>
        <v>0.95040000000000013</v>
      </c>
      <c r="V22" s="262">
        <f>Zhu!$H86</f>
        <v>0.29160000000000003</v>
      </c>
      <c r="W22" s="262">
        <f>Zhu!$H87</f>
        <v>6.9300000000000028E-2</v>
      </c>
      <c r="X22" s="337">
        <f>Zhu!$H88</f>
        <v>0.27391304347826095</v>
      </c>
      <c r="Y22" s="263">
        <f>Zhu!$H89</f>
        <v>0.58320000000000005</v>
      </c>
      <c r="Z22" s="263">
        <f>Zhu!$H90</f>
        <v>3.4650000000000014E-2</v>
      </c>
      <c r="AA22" s="276">
        <f>Zhu!$H91</f>
        <v>54.786851652380342</v>
      </c>
      <c r="AB22" s="276">
        <f>Zhu!$H92</f>
        <v>11.541055917087389</v>
      </c>
      <c r="AC22" s="276">
        <f>Zhu!$H93</f>
        <v>33.672092430532267</v>
      </c>
      <c r="AD22" s="263">
        <f>Zhu!$H94</f>
        <v>7.85</v>
      </c>
      <c r="AE22" s="249">
        <f>Zhu!$H95</f>
        <v>6.3683808463092656E-2</v>
      </c>
      <c r="AF22" s="249">
        <f>Zhu!$H96</f>
        <v>1.7610756380785707E-2</v>
      </c>
      <c r="AG22" s="275">
        <f>Zhu!$H67</f>
        <v>0.14799107142857143</v>
      </c>
      <c r="AH22" s="281">
        <f>Zhu!$H68</f>
        <v>0.13860000000000006</v>
      </c>
      <c r="AI22" s="275">
        <f>Zhu!$H69</f>
        <v>0.10618309487123041</v>
      </c>
      <c r="AJ22" s="275">
        <f>Zhu!$H70</f>
        <v>4.1495594189092646</v>
      </c>
      <c r="AK22" s="275">
        <f>Zhu!$H71</f>
        <v>0.62285804473304462</v>
      </c>
      <c r="AL22" s="275">
        <f>Zhu!$H72</f>
        <v>1.0677566481137906</v>
      </c>
      <c r="AM22" s="275">
        <f>Zhu!$H73</f>
        <v>0.71749662899413613</v>
      </c>
      <c r="AN22" s="275">
        <f>Zhu!$H74</f>
        <v>1.3052925248419442</v>
      </c>
      <c r="AO22" s="275">
        <f>Zhu!$H75</f>
        <v>0.60514408192426794</v>
      </c>
      <c r="AP22" s="275">
        <f>Zhu!$H76</f>
        <v>1.0481222613247594</v>
      </c>
      <c r="AQ22" s="361">
        <f>Zhu!$H77</f>
        <v>4.2710265924551623</v>
      </c>
      <c r="AR22" s="361">
        <f>Zhu!$H78</f>
        <v>5.5749390845328843</v>
      </c>
    </row>
    <row r="23" spans="2:44" x14ac:dyDescent="0.3">
      <c r="B23" s="304" t="str">
        <f>Zhu!B100</f>
        <v>Zhu et al., 2019b</v>
      </c>
      <c r="C23" s="304">
        <f>All!C23</f>
        <v>26</v>
      </c>
      <c r="D23" s="304" t="str">
        <f>Zhu!$D104</f>
        <v>PM</v>
      </c>
      <c r="E23" s="305">
        <f>Zhu!$D105</f>
        <v>35</v>
      </c>
      <c r="F23" s="304" t="str">
        <f>Zhu!$D106</f>
        <v>CSTR</v>
      </c>
      <c r="G23" s="305" t="str">
        <f>Zhu!$D107</f>
        <v>n/r</v>
      </c>
      <c r="H23" s="305">
        <f>Zhu!$D108</f>
        <v>11.2</v>
      </c>
      <c r="I23" s="304" t="str">
        <f>Zhu!$D109</f>
        <v>Mechanical</v>
      </c>
      <c r="J23" s="305" t="str">
        <f>Zhu!$D110</f>
        <v>No</v>
      </c>
      <c r="K23" s="304" t="str">
        <f>Zhu!$D111</f>
        <v>Distributor</v>
      </c>
      <c r="L23" s="304" t="str">
        <f>Zhu!$D112</f>
        <v>Continuous</v>
      </c>
      <c r="M23" s="304" t="str">
        <f>Zhu!$D113</f>
        <v>Sequential</v>
      </c>
      <c r="N23" s="304" t="str">
        <f>Zhu!$D114</f>
        <v>Temperature and mixing</v>
      </c>
      <c r="O23" s="304" t="str">
        <f>Zhu!$D115</f>
        <v>1 reactor at each temp</v>
      </c>
      <c r="P23" s="306" t="str">
        <f>Zhu!$D$183</f>
        <v>Meso - intermittent mixing</v>
      </c>
      <c r="Q23" s="304">
        <f>C23</f>
        <v>26</v>
      </c>
      <c r="R23" s="323" t="str">
        <f>Zhu!$D$184</f>
        <v>No H2</v>
      </c>
      <c r="S23" s="305">
        <f>Zhu!$D$185</f>
        <v>2</v>
      </c>
      <c r="T23" s="305">
        <f>Zhu!$D$186</f>
        <v>25</v>
      </c>
      <c r="U23" s="307"/>
      <c r="V23" s="308">
        <f>Zhu!$D$188</f>
        <v>0.19700000000000001</v>
      </c>
      <c r="W23" s="308"/>
      <c r="X23" s="338"/>
      <c r="Y23" s="307">
        <f>Zhu!$D$191</f>
        <v>9.8500000000000004E-2</v>
      </c>
      <c r="Z23" s="307"/>
      <c r="AA23" s="309">
        <f>Zhu!$D$193</f>
        <v>62</v>
      </c>
      <c r="AB23" s="309">
        <f>Zhu!$D$194</f>
        <v>38</v>
      </c>
      <c r="AC23" s="309"/>
      <c r="AD23" s="307">
        <f>Zhu!$D$196</f>
        <v>7.36</v>
      </c>
      <c r="AE23" s="323">
        <f>Zhu!$D$197</f>
        <v>8.3817030421155583E-2</v>
      </c>
      <c r="AF23" s="323">
        <f>Zhu!$D$198</f>
        <v>2.221009333443626E-2</v>
      </c>
      <c r="AG23" s="307"/>
      <c r="AH23" s="311"/>
      <c r="AI23" s="307"/>
      <c r="AJ23" s="307"/>
      <c r="AK23" s="307"/>
      <c r="AL23" s="307"/>
      <c r="AM23" s="307"/>
      <c r="AN23" s="307"/>
      <c r="AO23" s="307"/>
      <c r="AP23" s="307"/>
      <c r="AQ23" s="309"/>
      <c r="AR23" s="309"/>
    </row>
    <row r="24" spans="2:44" x14ac:dyDescent="0.3">
      <c r="B24" s="313"/>
      <c r="C24" s="313"/>
      <c r="D24" s="313"/>
      <c r="E24" s="314"/>
      <c r="F24" s="313"/>
      <c r="G24" s="314"/>
      <c r="H24" s="314"/>
      <c r="I24" s="313"/>
      <c r="J24" s="314"/>
      <c r="K24" s="313"/>
      <c r="L24" s="313"/>
      <c r="M24" s="313"/>
      <c r="N24" s="313"/>
      <c r="O24" s="313"/>
      <c r="P24" s="315" t="str">
        <f>Zhu!$E$183</f>
        <v>Meso - intermittent mixing</v>
      </c>
      <c r="Q24" s="313"/>
      <c r="R24" s="324" t="str">
        <f>Zhu!$E$184</f>
        <v>With H2</v>
      </c>
      <c r="S24" s="314">
        <f>Zhu!$E$185</f>
        <v>2</v>
      </c>
      <c r="T24" s="314"/>
      <c r="U24" s="316">
        <f>Zhu!$E$187</f>
        <v>0.13392857142857142</v>
      </c>
      <c r="V24" s="317">
        <f>Zhu!$E$188</f>
        <v>0.2</v>
      </c>
      <c r="W24" s="317">
        <f>Zhu!$E$189</f>
        <v>3.0000000000000027E-3</v>
      </c>
      <c r="X24" s="339">
        <f>Zhu!$E$190</f>
        <v>1.5228426395939099E-2</v>
      </c>
      <c r="Y24" s="316">
        <f>Zhu!$E$191</f>
        <v>0.1</v>
      </c>
      <c r="Z24" s="316">
        <f>Zhu!$E$192</f>
        <v>1.5000000000000013E-3</v>
      </c>
      <c r="AA24" s="319">
        <f>Zhu!$E$193</f>
        <v>59.794661190965094</v>
      </c>
      <c r="AB24" s="319">
        <f>Zhu!$E$194</f>
        <v>32.197125256673509</v>
      </c>
      <c r="AC24" s="319">
        <f>Zhu!$E$195</f>
        <v>8.0082135523613935</v>
      </c>
      <c r="AD24" s="316">
        <f>Zhu!$E$196</f>
        <v>7.4</v>
      </c>
      <c r="AE24" s="324">
        <f>Zhu!$E$197</f>
        <v>8.7172567414166069E-2</v>
      </c>
      <c r="AF24" s="324">
        <f>Zhu!$E$198</f>
        <v>2.2193933766344438E-2</v>
      </c>
      <c r="AG24" s="316">
        <f>Zhu!$E$169</f>
        <v>2.0089285714285716E-2</v>
      </c>
      <c r="AH24" s="321">
        <f>Zhu!$E$170</f>
        <v>6.0000000000000053E-3</v>
      </c>
      <c r="AI24" s="316">
        <f>Zhu!$E$171</f>
        <v>2.6099255583126563E-2</v>
      </c>
      <c r="AJ24" s="316">
        <f>Zhu!$E$172</f>
        <v>0.55460669440097699</v>
      </c>
      <c r="AK24" s="316">
        <f>Zhu!$E$173</f>
        <v>0.60000000000000009</v>
      </c>
      <c r="AL24" s="316">
        <f>Zhu!$E$174</f>
        <v>3.3482142857142829</v>
      </c>
      <c r="AM24" s="316">
        <f>Zhu!$E$175</f>
        <v>1.2991629445822999</v>
      </c>
      <c r="AN24" s="316">
        <f>Zhu!$E$176</f>
        <v>0.22989161437535663</v>
      </c>
      <c r="AO24" s="316">
        <f>Zhu!$E$177</f>
        <v>2.4846379909163791E-2</v>
      </c>
      <c r="AP24" s="316">
        <f>Zhu!$E$178</f>
        <v>0.96837172979304964</v>
      </c>
      <c r="AQ24" s="319">
        <f>Zhu!$E$179</f>
        <v>13.392857142857132</v>
      </c>
      <c r="AR24" s="319">
        <f>Zhu!$E$180</f>
        <v>3.0789055496699524</v>
      </c>
    </row>
    <row r="25" spans="2:44" x14ac:dyDescent="0.3">
      <c r="B25" s="313"/>
      <c r="C25" s="313"/>
      <c r="D25" s="313"/>
      <c r="E25" s="314"/>
      <c r="F25" s="313"/>
      <c r="G25" s="314"/>
      <c r="H25" s="314"/>
      <c r="I25" s="313"/>
      <c r="J25" s="314"/>
      <c r="K25" s="313"/>
      <c r="L25" s="313"/>
      <c r="M25" s="313"/>
      <c r="N25" s="313"/>
      <c r="O25" s="313"/>
      <c r="P25" s="315" t="str">
        <f>Zhu!$G$183</f>
        <v>Meso - continuous mixing</v>
      </c>
      <c r="Q25" s="313"/>
      <c r="R25" s="324" t="str">
        <f>Zhu!$G$184</f>
        <v>With H2</v>
      </c>
      <c r="S25" s="314">
        <f>Zhu!$F185</f>
        <v>2</v>
      </c>
      <c r="T25" s="314"/>
      <c r="U25" s="316">
        <f>Zhu!$G$187</f>
        <v>0.6428571428571429</v>
      </c>
      <c r="V25" s="317">
        <f>Zhu!$G$188</f>
        <v>0.21</v>
      </c>
      <c r="W25" s="317">
        <f>Zhu!$G$189</f>
        <v>1.2999999999999984E-2</v>
      </c>
      <c r="X25" s="339">
        <f>Zhu!$G$190</f>
        <v>5.3061224489795854E-2</v>
      </c>
      <c r="Y25" s="316">
        <f>Zhu!$G$191</f>
        <v>0.105</v>
      </c>
      <c r="Z25" s="316">
        <f>Zhu!$G$192</f>
        <v>6.4999999999999919E-3</v>
      </c>
      <c r="AA25" s="319">
        <f>Zhu!$G$193</f>
        <v>39.134775374376041</v>
      </c>
      <c r="AB25" s="319">
        <f>Zhu!$G$194</f>
        <v>16.772046589018302</v>
      </c>
      <c r="AC25" s="319">
        <f>Zhu!$G$195</f>
        <v>44.093178036605664</v>
      </c>
      <c r="AD25" s="316">
        <f>Zhu!$G$196</f>
        <v>7.59</v>
      </c>
      <c r="AE25" s="324">
        <f>Zhu!$G$197</f>
        <v>9.4597585441253115E-2</v>
      </c>
      <c r="AF25" s="324">
        <f>Zhu!$G$198</f>
        <v>2.5900755259505897E-2</v>
      </c>
      <c r="AG25" s="316">
        <f>Zhu!$G$169</f>
        <v>4.2410714285714288E-2</v>
      </c>
      <c r="AH25" s="321">
        <f>Zhu!$G$170</f>
        <v>2.5999999999999968E-2</v>
      </c>
      <c r="AI25" s="316">
        <f>Zhu!$G$171</f>
        <v>6.1483870967741966E-2</v>
      </c>
      <c r="AJ25" s="316">
        <f>Zhu!$G$172</f>
        <v>2.66211213312469</v>
      </c>
      <c r="AK25" s="316">
        <f>Zhu!$G$173</f>
        <v>0.2638888888888889</v>
      </c>
      <c r="AL25" s="316">
        <f>Zhu!$G$174</f>
        <v>1.6311813186813209</v>
      </c>
      <c r="AM25" s="316">
        <f>Zhu!$G$175</f>
        <v>1.4497249575551789</v>
      </c>
      <c r="AN25" s="316">
        <f>Zhu!$G$176</f>
        <v>0.42287513116474218</v>
      </c>
      <c r="AO25" s="316">
        <f>Zhu!$G$177</f>
        <v>0.10766764627304287</v>
      </c>
      <c r="AP25" s="316">
        <f>Zhu!$G$178</f>
        <v>0.94416243654822329</v>
      </c>
      <c r="AQ25" s="319">
        <f>Zhu!$G$179</f>
        <v>6.5247252747252835</v>
      </c>
      <c r="AR25" s="319">
        <f>Zhu!$G$180</f>
        <v>2.7591440563633625</v>
      </c>
    </row>
    <row r="26" spans="2:44" x14ac:dyDescent="0.3">
      <c r="B26" s="313"/>
      <c r="C26" s="313"/>
      <c r="D26" s="313"/>
      <c r="E26" s="314">
        <f>Zhu!E105</f>
        <v>55</v>
      </c>
      <c r="F26" s="313"/>
      <c r="G26" s="314"/>
      <c r="H26" s="314"/>
      <c r="I26" s="313"/>
      <c r="J26" s="314"/>
      <c r="K26" s="313"/>
      <c r="L26" s="313"/>
      <c r="M26" s="313"/>
      <c r="N26" s="313"/>
      <c r="O26" s="313"/>
      <c r="P26" s="315" t="str">
        <f>Zhu!$H183</f>
        <v>Thermo - intermittent mixing</v>
      </c>
      <c r="Q26" s="313"/>
      <c r="R26" s="324" t="str">
        <f>Zhu!$H184</f>
        <v>No H2</v>
      </c>
      <c r="S26" s="314">
        <f>Zhu!$H185</f>
        <v>2</v>
      </c>
      <c r="T26" s="314"/>
      <c r="U26" s="316"/>
      <c r="V26" s="317">
        <f>Zhu!$H188</f>
        <v>0.222</v>
      </c>
      <c r="W26" s="317">
        <f>Zhu!$H189</f>
        <v>2.4999999999999994E-2</v>
      </c>
      <c r="X26" s="339">
        <f>Zhu!$H190</f>
        <v>0.11904761904761903</v>
      </c>
      <c r="Y26" s="316">
        <f>Zhu!$H191</f>
        <v>0.111</v>
      </c>
      <c r="Z26" s="316">
        <f>Zhu!$H192</f>
        <v>1.2499999999999997E-2</v>
      </c>
      <c r="AA26" s="319">
        <f>Zhu!$H193</f>
        <v>66</v>
      </c>
      <c r="AB26" s="319">
        <f>Zhu!$H194</f>
        <v>34</v>
      </c>
      <c r="AC26" s="319"/>
      <c r="AD26" s="316">
        <f>Zhu!$H196</f>
        <v>7.63</v>
      </c>
      <c r="AE26" s="324">
        <f>Zhu!$H197</f>
        <v>0.1119464256391584</v>
      </c>
      <c r="AF26" s="324">
        <f>Zhu!$H198</f>
        <v>4.2272162143403742E-2</v>
      </c>
      <c r="AG26" s="316"/>
      <c r="AH26" s="321"/>
      <c r="AI26" s="316"/>
      <c r="AJ26" s="316"/>
      <c r="AK26" s="316"/>
      <c r="AL26" s="316"/>
      <c r="AM26" s="316"/>
      <c r="AN26" s="316"/>
      <c r="AO26" s="316"/>
      <c r="AP26" s="316"/>
      <c r="AQ26" s="319"/>
      <c r="AR26" s="319"/>
    </row>
    <row r="27" spans="2:44" x14ac:dyDescent="0.3">
      <c r="B27" s="313"/>
      <c r="C27" s="313"/>
      <c r="D27" s="313"/>
      <c r="E27" s="314"/>
      <c r="F27" s="313"/>
      <c r="G27" s="314"/>
      <c r="H27" s="314"/>
      <c r="I27" s="313"/>
      <c r="J27" s="314"/>
      <c r="K27" s="313"/>
      <c r="L27" s="313"/>
      <c r="M27" s="313"/>
      <c r="N27" s="313"/>
      <c r="O27" s="313"/>
      <c r="P27" s="315" t="str">
        <f>Zhu!$K183</f>
        <v>Thermo - continuous mixing</v>
      </c>
      <c r="Q27" s="313"/>
      <c r="R27" s="324" t="str">
        <f>Zhu!$K184</f>
        <v>With H2</v>
      </c>
      <c r="S27" s="314">
        <f>Zhu!$K185</f>
        <v>2</v>
      </c>
      <c r="T27" s="314"/>
      <c r="U27" s="316">
        <f>Zhu!$K187</f>
        <v>0.66071428571428581</v>
      </c>
      <c r="V27" s="317">
        <f>Zhu!$K188</f>
        <v>0.245</v>
      </c>
      <c r="W27" s="317">
        <f>Zhu!$K189</f>
        <v>4.7999999999999987E-2</v>
      </c>
      <c r="X27" s="339">
        <f>Zhu!$K190</f>
        <v>0.19591836734693874</v>
      </c>
      <c r="Y27" s="316">
        <f>Zhu!$K191</f>
        <v>0.1225</v>
      </c>
      <c r="Z27" s="316">
        <f>Zhu!$K192</f>
        <v>2.3999999999999994E-2</v>
      </c>
      <c r="AA27" s="319">
        <f>Zhu!$K193</f>
        <v>68.293554562858958</v>
      </c>
      <c r="AB27" s="319">
        <f>Zhu!$K194</f>
        <v>19.262284620293553</v>
      </c>
      <c r="AC27" s="319">
        <f>Zhu!$K195</f>
        <v>12.44416081684748</v>
      </c>
      <c r="AD27" s="316">
        <f>Zhu!$K196</f>
        <v>7.77</v>
      </c>
      <c r="AE27" s="324">
        <f>Zhu!$K197</f>
        <v>0.10987598792006682</v>
      </c>
      <c r="AF27" s="324">
        <f>Zhu!$K198</f>
        <v>2.8057455077697822E-2</v>
      </c>
      <c r="AG27" s="316">
        <f>Zhu!$K169</f>
        <v>0.14285714285714288</v>
      </c>
      <c r="AH27" s="321">
        <f>Zhu!$K170</f>
        <v>4.5999999999999985E-2</v>
      </c>
      <c r="AI27" s="316">
        <f>Zhu!$K171</f>
        <v>9.0522144522144521E-2</v>
      </c>
      <c r="AJ27" s="316">
        <f>Zhu!$K172</f>
        <v>2.8886554621848743</v>
      </c>
      <c r="AK27" s="316">
        <f>Zhu!$K173</f>
        <v>0.86486486486486491</v>
      </c>
      <c r="AL27" s="316">
        <f>Zhu!$K174</f>
        <v>3.1055900621118027</v>
      </c>
      <c r="AM27" s="316">
        <f>Zhu!$K175</f>
        <v>0.63365501165501159</v>
      </c>
      <c r="AN27" s="316">
        <f>Zhu!$K176</f>
        <v>0.50816294999227463</v>
      </c>
      <c r="AO27" s="316">
        <f>Zhu!$K177</f>
        <v>0.20111287758346577</v>
      </c>
      <c r="AP27" s="316">
        <f>Zhu!$K178</f>
        <v>0.93381843381843377</v>
      </c>
      <c r="AQ27" s="319">
        <f>Zhu!$K179</f>
        <v>12.422360248447211</v>
      </c>
      <c r="AR27" s="319">
        <f>Zhu!$K180</f>
        <v>6.3125832297177009</v>
      </c>
    </row>
    <row r="28" spans="2:44" x14ac:dyDescent="0.3">
      <c r="B28" s="294" t="str">
        <f>Zhu!B202</f>
        <v>Zhu et al., 2020</v>
      </c>
      <c r="C28" s="294">
        <f>All!C28</f>
        <v>27</v>
      </c>
      <c r="D28" s="294" t="str">
        <f>Zhu!$D207</f>
        <v>PM</v>
      </c>
      <c r="E28" s="293">
        <f>Zhu!$D208</f>
        <v>35</v>
      </c>
      <c r="F28" s="294" t="str">
        <f>Zhu!$D209</f>
        <v>CSTR</v>
      </c>
      <c r="G28" s="293" t="str">
        <f>Zhu!$D210</f>
        <v>n/r</v>
      </c>
      <c r="H28" s="293">
        <f>Zhu!$D211</f>
        <v>11.6</v>
      </c>
      <c r="I28" s="294" t="str">
        <f>Zhu!$D212</f>
        <v>Mechanical</v>
      </c>
      <c r="J28" s="293" t="str">
        <f>Zhu!$D213</f>
        <v>No</v>
      </c>
      <c r="K28" s="294" t="str">
        <f>Zhu!$D214</f>
        <v>Distributor</v>
      </c>
      <c r="L28" s="294" t="str">
        <f>Zhu!$D215</f>
        <v>Continuous</v>
      </c>
      <c r="M28" s="294" t="str">
        <f>Zhu!$D216</f>
        <v>Sequential</v>
      </c>
      <c r="N28" s="294" t="str">
        <f>Zhu!$D217</f>
        <v>H2 addition and mixing</v>
      </c>
      <c r="O28" s="294" t="str">
        <f>Zhu!$D218</f>
        <v>1 reactor</v>
      </c>
      <c r="P28" s="296" t="str">
        <f>Zhu!$D285</f>
        <v>Control period</v>
      </c>
      <c r="Q28" s="294">
        <f>C28</f>
        <v>27</v>
      </c>
      <c r="R28" s="295" t="str">
        <f>Zhu!$D286</f>
        <v>No H2</v>
      </c>
      <c r="S28" s="298">
        <f>Zhu!$D287</f>
        <v>2</v>
      </c>
      <c r="T28" s="293">
        <f>Zhu!$D288</f>
        <v>25</v>
      </c>
      <c r="U28" s="297"/>
      <c r="V28" s="299">
        <f>Zhu!$D290</f>
        <v>0.18934000000000001</v>
      </c>
      <c r="W28" s="299"/>
      <c r="X28" s="336"/>
      <c r="Y28" s="297">
        <f>Zhu!$D293</f>
        <v>0.39</v>
      </c>
      <c r="Z28" s="297"/>
      <c r="AA28" s="300">
        <f>Zhu!$D295</f>
        <v>62</v>
      </c>
      <c r="AB28" s="300">
        <f>Zhu!$D296</f>
        <v>38</v>
      </c>
      <c r="AC28" s="300"/>
      <c r="AD28" s="297">
        <f>Zhu!$D298</f>
        <v>7.36</v>
      </c>
      <c r="AE28" s="295">
        <f>Zhu!$D299</f>
        <v>8.3817030421155583E-2</v>
      </c>
      <c r="AF28" s="295">
        <f>Zhu!$D300</f>
        <v>2.2799999999999997E-2</v>
      </c>
      <c r="AG28" s="297"/>
      <c r="AH28" s="301"/>
      <c r="AI28" s="297"/>
      <c r="AJ28" s="297"/>
      <c r="AK28" s="297"/>
      <c r="AL28" s="297"/>
      <c r="AM28" s="297"/>
      <c r="AN28" s="297"/>
      <c r="AO28" s="297"/>
      <c r="AP28" s="297"/>
      <c r="AQ28" s="300"/>
      <c r="AR28" s="300"/>
    </row>
    <row r="29" spans="2:44" x14ac:dyDescent="0.3">
      <c r="B29" s="247"/>
      <c r="C29" s="247"/>
      <c r="D29" s="247"/>
      <c r="E29" s="259"/>
      <c r="F29" s="247"/>
      <c r="H29" s="259"/>
      <c r="K29" s="247"/>
      <c r="L29" s="247"/>
      <c r="M29" s="247"/>
      <c r="N29" s="247"/>
      <c r="O29" s="247"/>
      <c r="P29" s="280" t="str">
        <f>Zhu!$E285</f>
        <v>Low H2/CO2</v>
      </c>
      <c r="Q29" s="247"/>
      <c r="R29" s="249" t="str">
        <f>Zhu!$E286</f>
        <v>With H2</v>
      </c>
      <c r="S29" s="259"/>
      <c r="T29" s="259"/>
      <c r="U29" s="263">
        <f>Zhu!$E289</f>
        <v>0.18620689655172415</v>
      </c>
      <c r="V29" s="262">
        <f>Zhu!$E290</f>
        <v>0.20041999999999999</v>
      </c>
      <c r="W29" s="262">
        <f>Zhu!$E291</f>
        <v>1.1079999999999979E-2</v>
      </c>
      <c r="X29" s="337">
        <f>Zhu!$E292</f>
        <v>5.8519066230062207E-2</v>
      </c>
      <c r="Y29" s="263">
        <f>Zhu!$E293</f>
        <v>0.42</v>
      </c>
      <c r="Z29" s="263">
        <f>Zhu!$E294</f>
        <v>2.9999999999999971E-2</v>
      </c>
      <c r="AA29" s="276">
        <f>Zhu!$E295</f>
        <v>55.773159563226493</v>
      </c>
      <c r="AB29" s="276">
        <f>Zhu!$E296</f>
        <v>30.031701303275803</v>
      </c>
      <c r="AC29" s="276">
        <f>Zhu!$E297</f>
        <v>14.195139133497714</v>
      </c>
      <c r="AD29" s="263">
        <f>Zhu!$E298</f>
        <v>7.42</v>
      </c>
      <c r="AE29" s="249">
        <f>Zhu!$E299</f>
        <v>8.7172567414166069E-2</v>
      </c>
      <c r="AF29" s="249">
        <f>Zhu!$E300</f>
        <v>2.2200000000000004E-2</v>
      </c>
      <c r="AG29" s="275">
        <f>Zhu!$E271</f>
        <v>1.9827586206896553E-2</v>
      </c>
      <c r="AH29" s="281">
        <f>Zhu!$E272</f>
        <v>2.9999999999999971E-2</v>
      </c>
      <c r="AI29" s="275">
        <f>Zhu!$E273</f>
        <v>1.287841191066999E-2</v>
      </c>
      <c r="AJ29" s="275">
        <f>Zhu!$E274</f>
        <v>0.77900321094513469</v>
      </c>
      <c r="AK29" s="275">
        <f>Zhu!$E275</f>
        <v>0.42592592592592593</v>
      </c>
      <c r="AL29" s="275">
        <f>Zhu!$E276</f>
        <v>0.66091954022988575</v>
      </c>
      <c r="AM29" s="275">
        <f>Zhu!$E277</f>
        <v>0.64951990505987767</v>
      </c>
      <c r="AN29" s="275">
        <f>Zhu!$E278</f>
        <v>2.3294797687861224</v>
      </c>
      <c r="AO29" s="275">
        <f>Zhu!$E279</f>
        <v>0.12550607287449381</v>
      </c>
      <c r="AP29" s="275">
        <f>Zhu!$E280</f>
        <v>1.0389809568901911</v>
      </c>
      <c r="AQ29" s="361">
        <f>Zhu!$E281</f>
        <v>2.643678160919543</v>
      </c>
      <c r="AR29" s="361">
        <f>Zhu!$E282</f>
        <v>6.1583947910437775</v>
      </c>
    </row>
    <row r="30" spans="2:44" x14ac:dyDescent="0.3">
      <c r="B30" s="247"/>
      <c r="C30" s="247"/>
      <c r="D30" s="247"/>
      <c r="E30" s="259"/>
      <c r="F30" s="247"/>
      <c r="H30" s="259"/>
      <c r="K30" s="247"/>
      <c r="L30" s="247"/>
      <c r="M30" s="247"/>
      <c r="N30" s="247"/>
      <c r="O30" s="247"/>
      <c r="P30" s="280" t="str">
        <f>Zhu!$F285</f>
        <v>Intermittent mix</v>
      </c>
      <c r="Q30" s="247"/>
      <c r="R30" s="249" t="str">
        <f>Zhu!$F286</f>
        <v>With H2</v>
      </c>
      <c r="S30" s="259"/>
      <c r="T30" s="259"/>
      <c r="U30" s="263">
        <f>Zhu!$F289</f>
        <v>0.89379310344827589</v>
      </c>
      <c r="V30" s="262">
        <f>Zhu!$F290</f>
        <v>0.24465999999999999</v>
      </c>
      <c r="W30" s="262">
        <f>Zhu!$F291</f>
        <v>5.531999999999998E-2</v>
      </c>
      <c r="X30" s="337">
        <f>Zhu!$F292</f>
        <v>0.29217281081652041</v>
      </c>
      <c r="Y30" s="263">
        <f>Zhu!$F293</f>
        <v>0.51</v>
      </c>
      <c r="Z30" s="263">
        <f>Zhu!$F294</f>
        <v>0.12</v>
      </c>
      <c r="AA30" s="276">
        <f>Zhu!$F295</f>
        <v>32.502572196306026</v>
      </c>
      <c r="AB30" s="276">
        <f>Zhu!$F296</f>
        <v>16.743749313248557</v>
      </c>
      <c r="AC30" s="276">
        <f>Zhu!$F297</f>
        <v>50.753678490445417</v>
      </c>
      <c r="AD30" s="263">
        <f>Zhu!$F298</f>
        <v>7.63</v>
      </c>
      <c r="AE30" s="249">
        <f>Zhu!$F299</f>
        <v>9.6311051139811657E-2</v>
      </c>
      <c r="AF30" s="249">
        <f>Zhu!$F300</f>
        <v>2.3100000000000002E-2</v>
      </c>
      <c r="AG30" s="275">
        <f>Zhu!$F271</f>
        <v>2.4353448275862069E-2</v>
      </c>
      <c r="AH30" s="281">
        <f>Zhu!$F272</f>
        <v>0.12</v>
      </c>
      <c r="AI30" s="275">
        <f>Zhu!$F273</f>
        <v>-2.3695014662756558E-2</v>
      </c>
      <c r="AJ30" s="275">
        <f>Zhu!$F274</f>
        <v>3.7392154125366468</v>
      </c>
      <c r="AK30" s="275">
        <f>Zhu!$F275</f>
        <v>0.1089891975308642</v>
      </c>
      <c r="AL30" s="275">
        <f>Zhu!$F276</f>
        <v>0.20294540229885058</v>
      </c>
      <c r="AM30" s="275">
        <f>Zhu!$F277</f>
        <v>-0.97296343393973828</v>
      </c>
      <c r="AN30" s="275">
        <f>Zhu!$F278</f>
        <v>-5.0643564356435729</v>
      </c>
      <c r="AO30" s="275">
        <f>Zhu!$F279</f>
        <v>0.50202429149797567</v>
      </c>
      <c r="AP30" s="275">
        <f>Zhu!$F280</f>
        <v>1.2523885291930956</v>
      </c>
      <c r="AQ30" s="361">
        <f>Zhu!$F281</f>
        <v>0.81178160919540232</v>
      </c>
      <c r="AR30" s="361">
        <f>Zhu!$F282</f>
        <v>-4.1111514168658312</v>
      </c>
    </row>
    <row r="31" spans="2:44" x14ac:dyDescent="0.3">
      <c r="B31" s="304" t="str">
        <f>Luo!B107</f>
        <v>Luo et al., 2013a</v>
      </c>
      <c r="C31" s="304">
        <f>All!C31</f>
        <v>29</v>
      </c>
      <c r="D31" s="304" t="str">
        <f>Luo!$D111</f>
        <v>CM + whey</v>
      </c>
      <c r="E31" s="305">
        <f>Luo!$D112</f>
        <v>55</v>
      </c>
      <c r="F31" s="304" t="str">
        <f>Luo!$D113</f>
        <v>CSTR</v>
      </c>
      <c r="G31" s="305">
        <f>Luo!$D114</f>
        <v>1</v>
      </c>
      <c r="H31" s="305">
        <f>Luo!$D115</f>
        <v>0.6</v>
      </c>
      <c r="I31" s="304" t="str">
        <f>Luo!$D116</f>
        <v xml:space="preserve">Magnetic </v>
      </c>
      <c r="J31" s="305" t="str">
        <f>Luo!$D117</f>
        <v>No</v>
      </c>
      <c r="K31" s="304" t="str">
        <f>Luo!$D118</f>
        <v>Column/ceramic</v>
      </c>
      <c r="L31" s="304" t="str">
        <f>Luo!$D119</f>
        <v>Continuous</v>
      </c>
      <c r="M31" s="304" t="str">
        <f>Luo!$D120</f>
        <v>Parallel</v>
      </c>
      <c r="N31" s="304" t="str">
        <f>Luo!$D121</f>
        <v>Diffuser and mixing speed</v>
      </c>
      <c r="O31" s="304" t="str">
        <f>Luo!$D122</f>
        <v>2 reactors</v>
      </c>
      <c r="P31" s="306" t="str">
        <f>Luo!$E$180</f>
        <v>150 rpm, column</v>
      </c>
      <c r="Q31" s="304">
        <f>C31</f>
        <v>29</v>
      </c>
      <c r="R31" s="323" t="str">
        <f>Luo!$E$181</f>
        <v>No H2</v>
      </c>
      <c r="S31" s="307">
        <f>Luo!$E$182</f>
        <v>1.6733333333333333</v>
      </c>
      <c r="T31" s="305">
        <f>Luo!$E$183</f>
        <v>15</v>
      </c>
      <c r="U31" s="307"/>
      <c r="V31" s="308">
        <f>Luo!$E$185</f>
        <v>0.28685258964143429</v>
      </c>
      <c r="W31" s="308"/>
      <c r="X31" s="338"/>
      <c r="Y31" s="307">
        <f>Luo!$E$188</f>
        <v>0.48</v>
      </c>
      <c r="Z31" s="307"/>
      <c r="AA31" s="309">
        <f>Luo!$E$190</f>
        <v>55</v>
      </c>
      <c r="AB31" s="309">
        <f>Luo!$E$191</f>
        <v>45</v>
      </c>
      <c r="AC31" s="309">
        <f>Luo!$E$192</f>
        <v>0</v>
      </c>
      <c r="AD31" s="307">
        <f>Luo!$E$193</f>
        <v>7.28</v>
      </c>
      <c r="AE31" s="323">
        <f>Luo!$E$194</f>
        <v>0</v>
      </c>
      <c r="AF31" s="323">
        <f>Luo!$E$195</f>
        <v>8.9999999999999987E-4</v>
      </c>
      <c r="AG31" s="307"/>
      <c r="AH31" s="311"/>
      <c r="AI31" s="307"/>
      <c r="AJ31" s="307"/>
      <c r="AK31" s="307"/>
      <c r="AL31" s="307"/>
      <c r="AM31" s="307"/>
      <c r="AN31" s="307"/>
      <c r="AO31" s="307"/>
      <c r="AP31" s="307"/>
      <c r="AQ31" s="309"/>
      <c r="AR31" s="309"/>
    </row>
    <row r="32" spans="2:44" x14ac:dyDescent="0.3">
      <c r="B32" s="313"/>
      <c r="C32" s="313"/>
      <c r="D32" s="313"/>
      <c r="E32" s="314"/>
      <c r="F32" s="313"/>
      <c r="G32" s="314"/>
      <c r="H32" s="314"/>
      <c r="I32" s="313"/>
      <c r="J32" s="314"/>
      <c r="K32" s="313"/>
      <c r="L32" s="313"/>
      <c r="M32" s="313"/>
      <c r="N32" s="313"/>
      <c r="O32" s="313"/>
      <c r="P32" s="315" t="str">
        <f>Luo!$D$180</f>
        <v>150 rpm, column</v>
      </c>
      <c r="Q32" s="313"/>
      <c r="R32" s="324" t="str">
        <f>Luo!$D$181</f>
        <v>With H2</v>
      </c>
      <c r="S32" s="314"/>
      <c r="T32" s="314"/>
      <c r="U32" s="316">
        <f>Luo!$D$184</f>
        <v>1.7</v>
      </c>
      <c r="V32" s="317">
        <f>Luo!$D$185</f>
        <v>0.45239043824701197</v>
      </c>
      <c r="W32" s="317">
        <f>Luo!$D$186</f>
        <v>0.16553784860557769</v>
      </c>
      <c r="X32" s="339">
        <f>Luo!$D$187</f>
        <v>0.57708333333333328</v>
      </c>
      <c r="Y32" s="316">
        <f>Luo!$D$188</f>
        <v>0.75700000000000001</v>
      </c>
      <c r="Z32" s="316">
        <f>Luo!$D$189</f>
        <v>0.27700000000000002</v>
      </c>
      <c r="AA32" s="319">
        <f>Luo!$D$190</f>
        <v>53</v>
      </c>
      <c r="AB32" s="319">
        <f>Luo!$D$191</f>
        <v>13</v>
      </c>
      <c r="AC32" s="319">
        <f>Luo!$D$192</f>
        <v>34</v>
      </c>
      <c r="AD32" s="316">
        <f>Luo!$D$193</f>
        <v>7.74</v>
      </c>
      <c r="AE32" s="324">
        <f>Luo!$D$194</f>
        <v>0</v>
      </c>
      <c r="AF32" s="324">
        <f>Luo!$D$195</f>
        <v>2.9000000000000002E-3</v>
      </c>
      <c r="AG32" s="316">
        <f>Luo!$D$165</f>
        <v>0.303535</v>
      </c>
      <c r="AH32" s="321">
        <f>Luo!$D$166</f>
        <v>0.27700000000000002</v>
      </c>
      <c r="AI32" s="316">
        <f>Luo!$D$167</f>
        <v>0.20799999999999999</v>
      </c>
      <c r="AJ32" s="316">
        <f>Luo!$D$168</f>
        <v>4.3224002034070681</v>
      </c>
      <c r="AK32" s="316">
        <f>Luo!$D$169</f>
        <v>0.71420000000000006</v>
      </c>
      <c r="AL32" s="316">
        <f>Luo!$D$170</f>
        <v>0.91258009784703586</v>
      </c>
      <c r="AM32" s="316">
        <f>Luo!$D$171</f>
        <v>0.68525870163243119</v>
      </c>
      <c r="AN32" s="316">
        <f>Luo!$D$172</f>
        <v>1.3317307692307694</v>
      </c>
      <c r="AO32" s="316">
        <f>Luo!$D$173</f>
        <v>0.70429697431985772</v>
      </c>
      <c r="AP32" s="316">
        <f>Luo!$D$174</f>
        <v>1.0791075514874142</v>
      </c>
      <c r="AQ32" s="319">
        <f>Luo!$D$175</f>
        <v>4.3831768953068586</v>
      </c>
      <c r="AR32" s="319">
        <f>Luo!$D$176</f>
        <v>5.8372115384615384</v>
      </c>
    </row>
    <row r="33" spans="2:44" x14ac:dyDescent="0.3">
      <c r="B33" s="313"/>
      <c r="C33" s="313"/>
      <c r="D33" s="313"/>
      <c r="E33" s="314"/>
      <c r="F33" s="313"/>
      <c r="G33" s="314"/>
      <c r="H33" s="314"/>
      <c r="I33" s="313"/>
      <c r="J33" s="314"/>
      <c r="K33" s="313"/>
      <c r="L33" s="313"/>
      <c r="M33" s="313"/>
      <c r="N33" s="313"/>
      <c r="O33" s="313"/>
      <c r="P33" s="315" t="str">
        <f>Luo!$G$180</f>
        <v>300 rpm, ceramic</v>
      </c>
      <c r="Q33" s="313"/>
      <c r="R33" s="324" t="str">
        <f>Luo!$G$181</f>
        <v>No H2</v>
      </c>
      <c r="S33" s="316">
        <f>Luo!$G$182</f>
        <v>1.6733333333333333</v>
      </c>
      <c r="T33" s="314">
        <f>Luo!$G$183</f>
        <v>15</v>
      </c>
      <c r="U33" s="316"/>
      <c r="V33" s="317">
        <f>Luo!$G$185</f>
        <v>0.29940239043824701</v>
      </c>
      <c r="W33" s="317"/>
      <c r="X33" s="339"/>
      <c r="Y33" s="316">
        <f>Luo!$G$188</f>
        <v>0.501</v>
      </c>
      <c r="Z33" s="316"/>
      <c r="AA33" s="319">
        <f>Luo!$G$190</f>
        <v>56</v>
      </c>
      <c r="AB33" s="319">
        <f>Luo!$G$191</f>
        <v>44</v>
      </c>
      <c r="AC33" s="319">
        <f>Luo!$G$192</f>
        <v>0</v>
      </c>
      <c r="AD33" s="316">
        <f>Luo!$G$193</f>
        <v>7.33</v>
      </c>
      <c r="AE33" s="324">
        <f>Luo!$G$194</f>
        <v>0</v>
      </c>
      <c r="AF33" s="324">
        <f>Luo!$G$195</f>
        <v>6.9999999999999999E-4</v>
      </c>
      <c r="AG33" s="316"/>
      <c r="AH33" s="321"/>
      <c r="AI33" s="316"/>
      <c r="AJ33" s="316"/>
      <c r="AK33" s="316"/>
      <c r="AL33" s="316"/>
      <c r="AM33" s="316"/>
      <c r="AN33" s="316"/>
      <c r="AO33" s="316"/>
      <c r="AP33" s="316"/>
      <c r="AQ33" s="319"/>
      <c r="AR33" s="319"/>
    </row>
    <row r="34" spans="2:44" x14ac:dyDescent="0.3">
      <c r="B34" s="313"/>
      <c r="C34" s="313"/>
      <c r="D34" s="313"/>
      <c r="E34" s="314"/>
      <c r="F34" s="313"/>
      <c r="G34" s="314"/>
      <c r="H34" s="314"/>
      <c r="I34" s="313"/>
      <c r="J34" s="314"/>
      <c r="K34" s="313"/>
      <c r="L34" s="313"/>
      <c r="M34" s="313"/>
      <c r="N34" s="313"/>
      <c r="O34" s="313"/>
      <c r="P34" s="315" t="str">
        <f>Luo!$F$180</f>
        <v>300 rpm, ceramic</v>
      </c>
      <c r="Q34" s="313"/>
      <c r="R34" s="324" t="str">
        <f>Luo!$F$181</f>
        <v>With H2</v>
      </c>
      <c r="S34" s="314"/>
      <c r="T34" s="314"/>
      <c r="U34" s="316">
        <f>Luo!$F$184</f>
        <v>1.7</v>
      </c>
      <c r="V34" s="317">
        <f>Luo!$F$185</f>
        <v>0.50139442231075704</v>
      </c>
      <c r="W34" s="317">
        <f>Luo!$F$186</f>
        <v>0.20199203187251003</v>
      </c>
      <c r="X34" s="339">
        <f>Luo!$F$187</f>
        <v>0.67465069860279459</v>
      </c>
      <c r="Y34" s="316">
        <f>Luo!$F$188</f>
        <v>0.83899999999999997</v>
      </c>
      <c r="Z34" s="316">
        <f>Luo!$F$189</f>
        <v>0.33799999999999997</v>
      </c>
      <c r="AA34" s="319">
        <f>Luo!$F$190</f>
        <v>68</v>
      </c>
      <c r="AB34" s="319">
        <f>Luo!$F$191</f>
        <v>8.8000000000000007</v>
      </c>
      <c r="AC34" s="319">
        <f>Luo!$F$192</f>
        <v>23.2</v>
      </c>
      <c r="AD34" s="316">
        <f>Luo!$F$193</f>
        <v>7.84</v>
      </c>
      <c r="AE34" s="324">
        <f>Luo!$F$194</f>
        <v>0</v>
      </c>
      <c r="AF34" s="324">
        <f>Luo!$F$195</f>
        <v>3.0000000000000001E-3</v>
      </c>
      <c r="AG34" s="316">
        <f>Luo!$F$165</f>
        <v>0.35336999999999996</v>
      </c>
      <c r="AH34" s="321">
        <f>Luo!$F$166</f>
        <v>0.33800000000000002</v>
      </c>
      <c r="AI34" s="316">
        <f>Luo!$F$167</f>
        <v>0.28499999999999998</v>
      </c>
      <c r="AJ34" s="316">
        <f>Luo!$F$168</f>
        <v>4.3169121381411886</v>
      </c>
      <c r="AK34" s="316">
        <f>Luo!$F$169</f>
        <v>0.83145882352941169</v>
      </c>
      <c r="AL34" s="316">
        <f>Luo!$F$170</f>
        <v>0.95650451368254252</v>
      </c>
      <c r="AM34" s="316">
        <f>Luo!$F$171</f>
        <v>0.80652007810510229</v>
      </c>
      <c r="AN34" s="316">
        <f>Luo!$F$172</f>
        <v>1.1859649122807019</v>
      </c>
      <c r="AO34" s="316">
        <f>Luo!$F$173</f>
        <v>0.85830370746571871</v>
      </c>
      <c r="AP34" s="316">
        <f>Luo!$F$174</f>
        <v>1.0597541899441341</v>
      </c>
      <c r="AQ34" s="319">
        <f>Luo!$F$175</f>
        <v>4.18189349112426</v>
      </c>
      <c r="AR34" s="319">
        <f>Luo!$F$176</f>
        <v>4.9595789473684206</v>
      </c>
    </row>
    <row r="35" spans="2:44" x14ac:dyDescent="0.3">
      <c r="B35" s="313"/>
      <c r="C35" s="313"/>
      <c r="D35" s="313"/>
      <c r="E35" s="314"/>
      <c r="F35" s="313"/>
      <c r="G35" s="314"/>
      <c r="H35" s="314"/>
      <c r="I35" s="313"/>
      <c r="J35" s="314"/>
      <c r="K35" s="313"/>
      <c r="L35" s="313"/>
      <c r="M35" s="313"/>
      <c r="N35" s="313"/>
      <c r="O35" s="313"/>
      <c r="P35" s="315" t="str">
        <f>Luo!$I$180</f>
        <v>150 rpm, ceramic</v>
      </c>
      <c r="Q35" s="313"/>
      <c r="R35" s="324" t="str">
        <f>Luo!$I$181</f>
        <v>No H2</v>
      </c>
      <c r="S35" s="316">
        <f>Luo!$I$182</f>
        <v>1.6733333333333333</v>
      </c>
      <c r="T35" s="314">
        <f>Luo!$I$183</f>
        <v>15</v>
      </c>
      <c r="U35" s="316"/>
      <c r="V35" s="317">
        <f>Luo!$I$185</f>
        <v>0.29521912350597612</v>
      </c>
      <c r="W35" s="317"/>
      <c r="X35" s="339"/>
      <c r="Y35" s="316">
        <f>Luo!$I$188</f>
        <v>0.49399999999999999</v>
      </c>
      <c r="Z35" s="316"/>
      <c r="AA35" s="319">
        <f>Luo!$I$190</f>
        <v>56.7</v>
      </c>
      <c r="AB35" s="319">
        <f>Luo!$I$191</f>
        <v>43.3</v>
      </c>
      <c r="AC35" s="319">
        <f>Luo!$I$192</f>
        <v>0</v>
      </c>
      <c r="AD35" s="316">
        <f>Luo!$I$193</f>
        <v>7.31</v>
      </c>
      <c r="AE35" s="324">
        <f>Luo!$I$194</f>
        <v>3.6768118114902153E-2</v>
      </c>
      <c r="AF35" s="324">
        <f>Luo!$I$195</f>
        <v>1E-3</v>
      </c>
      <c r="AG35" s="316"/>
      <c r="AH35" s="321"/>
      <c r="AI35" s="316"/>
      <c r="AJ35" s="316"/>
      <c r="AK35" s="316"/>
      <c r="AL35" s="316"/>
      <c r="AM35" s="316"/>
      <c r="AN35" s="316"/>
      <c r="AO35" s="316"/>
      <c r="AP35" s="316"/>
      <c r="AQ35" s="319"/>
      <c r="AR35" s="319"/>
    </row>
    <row r="36" spans="2:44" x14ac:dyDescent="0.3">
      <c r="B36" s="313"/>
      <c r="C36" s="313"/>
      <c r="D36" s="313"/>
      <c r="E36" s="314"/>
      <c r="F36" s="313"/>
      <c r="G36" s="314"/>
      <c r="H36" s="314"/>
      <c r="I36" s="313"/>
      <c r="J36" s="314"/>
      <c r="K36" s="313"/>
      <c r="L36" s="313"/>
      <c r="M36" s="313"/>
      <c r="N36" s="313"/>
      <c r="O36" s="313"/>
      <c r="P36" s="315" t="str">
        <f>Luo!$H$180</f>
        <v>150 rpm, ceramic</v>
      </c>
      <c r="Q36" s="313"/>
      <c r="R36" s="324" t="str">
        <f>Luo!$H$181</f>
        <v>With H2</v>
      </c>
      <c r="S36" s="314"/>
      <c r="T36" s="314"/>
      <c r="U36" s="316">
        <f>Luo!$H$184</f>
        <v>1.7</v>
      </c>
      <c r="V36" s="317">
        <f>Luo!$H$185</f>
        <v>0.5288844621513944</v>
      </c>
      <c r="W36" s="317">
        <f>Luo!$H$186</f>
        <v>0.23366533864541827</v>
      </c>
      <c r="X36" s="339">
        <f>Luo!$H$187</f>
        <v>0.79149797570850178</v>
      </c>
      <c r="Y36" s="316">
        <f>Luo!$H$188</f>
        <v>0.88500000000000001</v>
      </c>
      <c r="Z36" s="316">
        <f>Luo!$H$189</f>
        <v>0.39100000000000001</v>
      </c>
      <c r="AA36" s="319">
        <f>Luo!$H$190</f>
        <v>75</v>
      </c>
      <c r="AB36" s="319">
        <f>Luo!$H$191</f>
        <v>6.6</v>
      </c>
      <c r="AC36" s="319">
        <f>Luo!$H$192</f>
        <v>18.399999999999999</v>
      </c>
      <c r="AD36" s="316">
        <f>Luo!$H$193</f>
        <v>7.89</v>
      </c>
      <c r="AE36" s="324">
        <f>Luo!$H$194</f>
        <v>3.7482062155968214E-2</v>
      </c>
      <c r="AF36" s="324">
        <f>Luo!$H$195</f>
        <v>3.0000000000000001E-3</v>
      </c>
      <c r="AG36" s="316">
        <f>Luo!$H$165</f>
        <v>0.37071999999999999</v>
      </c>
      <c r="AH36" s="321">
        <f>Luo!$H$166</f>
        <v>0.39100000000000001</v>
      </c>
      <c r="AI36" s="316">
        <f>Luo!$H$167</f>
        <v>0.3</v>
      </c>
      <c r="AJ36" s="316">
        <f>Luo!$H$168</f>
        <v>4.4972474200349737</v>
      </c>
      <c r="AK36" s="316">
        <f>Luo!$H$169</f>
        <v>0.87228235294117651</v>
      </c>
      <c r="AL36" s="316">
        <f>Luo!$H$170</f>
        <v>1.0547043590850238</v>
      </c>
      <c r="AM36" s="316">
        <f>Luo!$H$171</f>
        <v>0.80923608113940437</v>
      </c>
      <c r="AN36" s="316">
        <f>Luo!$H$172</f>
        <v>1.3033333333333335</v>
      </c>
      <c r="AO36" s="316">
        <f>Luo!$H$173</f>
        <v>1.0343669066080439</v>
      </c>
      <c r="AP36" s="316">
        <f>Luo!$H$174</f>
        <v>1.102955326460481</v>
      </c>
      <c r="AQ36" s="319">
        <f>Luo!$H$175</f>
        <v>3.7925319693094628</v>
      </c>
      <c r="AR36" s="319">
        <f>Luo!$H$176</f>
        <v>4.9429333333333334</v>
      </c>
    </row>
    <row r="37" spans="2:44" x14ac:dyDescent="0.3">
      <c r="B37" s="294" t="str">
        <f>Luo!B199</f>
        <v>Luo and Angelidaki, 2013b</v>
      </c>
      <c r="C37" s="294">
        <f>All!C37</f>
        <v>30</v>
      </c>
      <c r="D37" s="294" t="str">
        <f>Luo!$D203</f>
        <v>CM + whey</v>
      </c>
      <c r="E37" s="293">
        <f>Luo!$D204</f>
        <v>55</v>
      </c>
      <c r="F37" s="294" t="str">
        <f>Luo!$D205</f>
        <v>CSTR</v>
      </c>
      <c r="G37" s="293">
        <f>Luo!$D206</f>
        <v>1</v>
      </c>
      <c r="H37" s="293">
        <f>Luo!$D207</f>
        <v>0.6</v>
      </c>
      <c r="I37" s="294" t="str">
        <f>Luo!$D208</f>
        <v xml:space="preserve">Magnetic </v>
      </c>
      <c r="J37" s="293" t="str">
        <f>Luo!$D209</f>
        <v>No</v>
      </c>
      <c r="K37" s="294" t="str">
        <f>Luo!$D210</f>
        <v>HFM</v>
      </c>
      <c r="L37" s="294" t="str">
        <f>Luo!$D211</f>
        <v>Continuous</v>
      </c>
      <c r="M37" s="294" t="str">
        <f>Luo!$D212</f>
        <v>Parallel</v>
      </c>
      <c r="N37" s="294" t="str">
        <f>Luo!$D213</f>
        <v>H2 addition</v>
      </c>
      <c r="O37" s="294" t="str">
        <f>Luo!$D214</f>
        <v>2 reactors</v>
      </c>
      <c r="P37" s="296" t="str">
        <f>Luo!$I279</f>
        <v>Control reactor</v>
      </c>
      <c r="Q37" s="294">
        <f>C37</f>
        <v>30</v>
      </c>
      <c r="R37" s="295" t="str">
        <f>Luo!$I280</f>
        <v>No H2</v>
      </c>
      <c r="S37" s="297">
        <f>Luo!$I281</f>
        <v>1.67</v>
      </c>
      <c r="T37" s="298">
        <f>Luo!$I282</f>
        <v>15</v>
      </c>
      <c r="U37" s="297"/>
      <c r="V37" s="299">
        <f>Luo!$I284</f>
        <v>0.28695209580838327</v>
      </c>
      <c r="W37" s="299"/>
      <c r="X37" s="336"/>
      <c r="Y37" s="297">
        <f>Luo!$I287</f>
        <v>0.47921000000000002</v>
      </c>
      <c r="Z37" s="297"/>
      <c r="AA37" s="300">
        <f>Luo!$I289</f>
        <v>55.4</v>
      </c>
      <c r="AB37" s="300">
        <f>Luo!$I290</f>
        <v>44.6</v>
      </c>
      <c r="AC37" s="300"/>
      <c r="AD37" s="297">
        <f>Luo!$I292</f>
        <v>7.3</v>
      </c>
      <c r="AE37" s="295">
        <f>Luo!$I293</f>
        <v>0</v>
      </c>
      <c r="AF37" s="295">
        <f>Luo!$I294</f>
        <v>1.9E-3</v>
      </c>
      <c r="AG37" s="297"/>
      <c r="AH37" s="301"/>
      <c r="AI37" s="297"/>
      <c r="AJ37" s="297"/>
      <c r="AK37" s="297"/>
      <c r="AL37" s="297"/>
      <c r="AM37" s="297"/>
      <c r="AN37" s="297"/>
      <c r="AO37" s="297"/>
      <c r="AP37" s="297"/>
      <c r="AQ37" s="300"/>
      <c r="AR37" s="300"/>
    </row>
    <row r="38" spans="2:44" x14ac:dyDescent="0.3">
      <c r="B38" s="362"/>
      <c r="C38" s="362"/>
      <c r="D38" s="362"/>
      <c r="E38" s="363"/>
      <c r="F38" s="362"/>
      <c r="G38" s="363"/>
      <c r="H38" s="363"/>
      <c r="I38" s="362"/>
      <c r="J38" s="363"/>
      <c r="K38" s="362"/>
      <c r="L38" s="362"/>
      <c r="M38" s="362"/>
      <c r="N38" s="362"/>
      <c r="O38" s="362"/>
      <c r="P38" s="365" t="str">
        <f>Luo!$H279</f>
        <v>Best performance</v>
      </c>
      <c r="Q38" s="362"/>
      <c r="R38" s="364" t="str">
        <f>Luo!$H280</f>
        <v>With H2</v>
      </c>
      <c r="S38" s="363"/>
      <c r="T38" s="363"/>
      <c r="U38" s="366">
        <f>Luo!$H283</f>
        <v>1.76</v>
      </c>
      <c r="V38" s="367">
        <f>Luo!$H284</f>
        <v>0.51502694610778443</v>
      </c>
      <c r="W38" s="367">
        <f>Luo!$H285</f>
        <v>0.26402694610778443</v>
      </c>
      <c r="X38" s="368">
        <f>Luo!$H286</f>
        <v>0.92010809457231679</v>
      </c>
      <c r="Y38" s="366">
        <f>Luo!$H287</f>
        <v>0.86009500000000005</v>
      </c>
      <c r="Z38" s="366">
        <f>Luo!$H288</f>
        <v>0.38088500000000003</v>
      </c>
      <c r="AA38" s="369">
        <f>Luo!$H289</f>
        <v>96.1</v>
      </c>
      <c r="AB38" s="369">
        <f>Luo!$H290</f>
        <v>3.9</v>
      </c>
      <c r="AC38" s="369">
        <f>Luo!$H291</f>
        <v>0</v>
      </c>
      <c r="AD38" s="366">
        <f>Luo!$H292</f>
        <v>8.31</v>
      </c>
      <c r="AE38" s="364">
        <f>Luo!$H293</f>
        <v>0</v>
      </c>
      <c r="AF38" s="364">
        <f>Luo!$H294</f>
        <v>3.78E-2</v>
      </c>
      <c r="AG38" s="366">
        <f>Luo!$H264</f>
        <v>0.44</v>
      </c>
      <c r="AH38" s="370">
        <f>Luo!$H265</f>
        <v>0.44176166666666672</v>
      </c>
      <c r="AI38" s="366">
        <f>Luo!$H266</f>
        <v>0.350885</v>
      </c>
      <c r="AJ38" s="366">
        <f>Luo!$H267</f>
        <v>4.5620674460198547</v>
      </c>
      <c r="AK38" s="366">
        <f>Luo!$H268</f>
        <v>1</v>
      </c>
      <c r="AL38" s="366">
        <f>Luo!$H269</f>
        <v>1.004003787878788</v>
      </c>
      <c r="AM38" s="366">
        <f>Luo!$H270</f>
        <v>0.79746590909090909</v>
      </c>
      <c r="AN38" s="366">
        <f>Luo!$H271</f>
        <v>1.2589927374115928</v>
      </c>
      <c r="AO38" s="366">
        <f>Luo!$H272</f>
        <v>1.1450832490906107</v>
      </c>
      <c r="AP38" s="366">
        <f>Luo!$H273</f>
        <v>1.0346820809248556</v>
      </c>
      <c r="AQ38" s="369">
        <f>Luo!$H274</f>
        <v>3.9840487140501848</v>
      </c>
      <c r="AR38" s="369">
        <f>Luo!$H275</f>
        <v>5.0158883964831782</v>
      </c>
    </row>
    <row r="39" spans="2:44" x14ac:dyDescent="0.3">
      <c r="B39" s="304" t="str">
        <f>Wahid!B220</f>
        <v>Wahid and Horn, 2021b</v>
      </c>
      <c r="C39" s="304">
        <f>All!C39</f>
        <v>31</v>
      </c>
      <c r="D39" s="304" t="str">
        <f>Wahid!$D224</f>
        <v>CM + whey</v>
      </c>
      <c r="E39" s="305">
        <f>Wahid!$D225</f>
        <v>55</v>
      </c>
      <c r="F39" s="304" t="str">
        <f>Wahid!$D226</f>
        <v>2-stage CSTR</v>
      </c>
      <c r="G39" s="305" t="str">
        <f>Wahid!$D227</f>
        <v>10 and 10</v>
      </c>
      <c r="H39" s="305" t="str">
        <f>Wahid!$D228</f>
        <v>6 and 6</v>
      </c>
      <c r="I39" s="304" t="str">
        <f>Wahid!$D229</f>
        <v>Impeller</v>
      </c>
      <c r="J39" s="305" t="str">
        <f>Wahid!$D230</f>
        <v>Yes</v>
      </c>
      <c r="K39" s="304" t="str">
        <f>Wahid!$D231</f>
        <v>Diffuser</v>
      </c>
      <c r="L39" s="304" t="str">
        <f>Wahid!$D232</f>
        <v>Continuous</v>
      </c>
      <c r="M39" s="304" t="str">
        <f>Wahid!$D233</f>
        <v>Sequential</v>
      </c>
      <c r="N39" s="304" t="str">
        <f>Wahid!$D234</f>
        <v>Stirring, CM/W ratio, Feed freq</v>
      </c>
      <c r="O39" s="304" t="str">
        <f>Wahid!$D235</f>
        <v>1 set of reactors</v>
      </c>
      <c r="P39" s="306" t="str">
        <f>Wahid!$E$342</f>
        <v>CM/W 9, 80 rpm, daily feed</v>
      </c>
      <c r="Q39" s="304">
        <f>C39</f>
        <v>31</v>
      </c>
      <c r="R39" s="323" t="str">
        <f>Wahid!$E$343</f>
        <v>No H2</v>
      </c>
      <c r="S39" s="307">
        <f>Wahid!$E$344</f>
        <v>4.13</v>
      </c>
      <c r="T39" s="326">
        <f>Wahid!$E$345</f>
        <v>20</v>
      </c>
      <c r="U39" s="307"/>
      <c r="V39" s="308">
        <f>Wahid!$E$347</f>
        <v>0.14349999999999999</v>
      </c>
      <c r="W39" s="308"/>
      <c r="X39" s="338"/>
      <c r="Y39" s="307">
        <f>Wahid!$E$350</f>
        <v>0.59265499999999993</v>
      </c>
      <c r="Z39" s="307"/>
      <c r="AA39" s="309">
        <f>Wahid!$E$352</f>
        <v>59.14</v>
      </c>
      <c r="AB39" s="309">
        <f>Wahid!$E$353</f>
        <v>40.86</v>
      </c>
      <c r="AC39" s="309"/>
      <c r="AD39" s="307">
        <f>Wahid!$E$355</f>
        <v>7.94</v>
      </c>
      <c r="AE39" s="323">
        <f>Wahid!$E$356</f>
        <v>0.17991389834864743</v>
      </c>
      <c r="AF39" s="323">
        <f>Wahid!$E$357</f>
        <v>1.712E-2</v>
      </c>
      <c r="AG39" s="307"/>
      <c r="AH39" s="311"/>
      <c r="AI39" s="307"/>
      <c r="AJ39" s="307"/>
      <c r="AK39" s="307"/>
      <c r="AL39" s="307"/>
      <c r="AM39" s="307"/>
      <c r="AN39" s="307"/>
      <c r="AO39" s="307"/>
      <c r="AP39" s="307"/>
      <c r="AQ39" s="309"/>
      <c r="AR39" s="309"/>
    </row>
    <row r="40" spans="2:44" x14ac:dyDescent="0.3">
      <c r="B40" s="313"/>
      <c r="C40" s="313"/>
      <c r="D40" s="313"/>
      <c r="E40" s="314"/>
      <c r="F40" s="313"/>
      <c r="G40" s="314"/>
      <c r="H40" s="314"/>
      <c r="I40" s="313"/>
      <c r="J40" s="314"/>
      <c r="K40" s="313"/>
      <c r="L40" s="313"/>
      <c r="M40" s="313"/>
      <c r="N40" s="313"/>
      <c r="O40" s="313"/>
      <c r="P40" s="315" t="str">
        <f>Wahid!$O$342</f>
        <v>CM/W 9, 80 rpm, daily feed</v>
      </c>
      <c r="Q40" s="313"/>
      <c r="R40" s="324" t="str">
        <f>Wahid!$O$343</f>
        <v>With H2</v>
      </c>
      <c r="S40" s="314"/>
      <c r="T40" s="314"/>
      <c r="U40" s="316">
        <f>Wahid!$O346</f>
        <v>1.44</v>
      </c>
      <c r="V40" s="317">
        <f>Wahid!$O347</f>
        <v>0.1646</v>
      </c>
      <c r="W40" s="317">
        <f>Wahid!$O348</f>
        <v>3.0569999999999986E-2</v>
      </c>
      <c r="X40" s="339">
        <f>Wahid!$O349</f>
        <v>0.22808326494068479</v>
      </c>
      <c r="Y40" s="316">
        <f>Wahid!$O350</f>
        <v>0.67979800000000001</v>
      </c>
      <c r="Z40" s="316">
        <f>Wahid!$O351</f>
        <v>0.12625410000000004</v>
      </c>
      <c r="AA40" s="319">
        <f>Wahid!$O352</f>
        <v>38.65</v>
      </c>
      <c r="AB40" s="319">
        <f>Wahid!$O353</f>
        <v>19.11</v>
      </c>
      <c r="AC40" s="319">
        <f>Wahid!$O354</f>
        <v>42.24</v>
      </c>
      <c r="AD40" s="316">
        <f>Wahid!$O355</f>
        <v>7.95</v>
      </c>
      <c r="AE40" s="324">
        <f>Wahid!$O356</f>
        <v>0.19990433149849712</v>
      </c>
      <c r="AF40" s="324">
        <f>Wahid!$O357</f>
        <v>9.8140000000000005E-2</v>
      </c>
      <c r="AG40" s="316">
        <f>Wahid!$O326</f>
        <v>0.17425296398891965</v>
      </c>
      <c r="AH40" s="321">
        <f>Wahid!$O327</f>
        <v>9.0836653373129961E-2</v>
      </c>
      <c r="AI40" s="316">
        <f>Wahid!$O328</f>
        <v>7.0806153373130232E-2</v>
      </c>
      <c r="AJ40" s="316">
        <f>Wahid!$O329</f>
        <v>3.538562020353309</v>
      </c>
      <c r="AK40" s="316">
        <f>Wahid!$O330</f>
        <v>0.4840360110803324</v>
      </c>
      <c r="AL40" s="316">
        <f>Wahid!$O331</f>
        <v>0.52129186955411588</v>
      </c>
      <c r="AM40" s="316">
        <f>Wahid!$O332</f>
        <v>0.40634117063071956</v>
      </c>
      <c r="AN40" s="316">
        <f>Wahid!$O333</f>
        <v>1.2828920799361059</v>
      </c>
      <c r="AO40" s="316">
        <f>Wahid!$O334</f>
        <v>0.22321606366816388</v>
      </c>
      <c r="AP40" s="316">
        <f>Wahid!$O335</f>
        <v>1.0201119635081897</v>
      </c>
      <c r="AQ40" s="319">
        <f>Wahid!$O336</f>
        <v>7.6732445557253319</v>
      </c>
      <c r="AR40" s="319">
        <f>Wahid!$O337</f>
        <v>9.8439446679528722</v>
      </c>
    </row>
    <row r="41" spans="2:44" x14ac:dyDescent="0.3">
      <c r="B41" s="294" t="str">
        <f>Khan!B2</f>
        <v>Khan et al., 2022</v>
      </c>
      <c r="C41" s="294">
        <f>All!C41</f>
        <v>33</v>
      </c>
      <c r="D41" s="294" t="str">
        <f>Khan!$D6</f>
        <v>CM + veg waste</v>
      </c>
      <c r="E41" s="293">
        <f>Khan!$D7</f>
        <v>37</v>
      </c>
      <c r="F41" s="294" t="str">
        <f>Khan!$D8</f>
        <v>2-stage</v>
      </c>
      <c r="G41" s="293" t="str">
        <f>Khan!$D9</f>
        <v>2.5 (total)</v>
      </c>
      <c r="H41" s="293" t="str">
        <f>Khan!$D10</f>
        <v>2 (total)</v>
      </c>
      <c r="I41" s="294" t="str">
        <f>Khan!$D11</f>
        <v>None/gas recirc</v>
      </c>
      <c r="J41" s="293" t="str">
        <f>Khan!$D12</f>
        <v>Yes</v>
      </c>
      <c r="K41" s="294" t="str">
        <f>Khan!$D13</f>
        <v>Sparger</v>
      </c>
      <c r="L41" s="294" t="str">
        <f>Khan!$D14</f>
        <v>Varied intervals</v>
      </c>
      <c r="M41" s="294" t="str">
        <f>Khan!$D15</f>
        <v>Sequential</v>
      </c>
      <c r="N41" s="294" t="str">
        <f>Khan!$D16</f>
        <v>H2 and gas recirc rates</v>
      </c>
      <c r="O41" s="294" t="str">
        <f>Khan!$D17</f>
        <v>1 reactor per condition</v>
      </c>
      <c r="P41" s="296" t="str">
        <f>Khan!$D101</f>
        <v>No recirc</v>
      </c>
      <c r="Q41" s="294">
        <f>C41</f>
        <v>33</v>
      </c>
      <c r="R41" s="294" t="str">
        <f>Khan!$D102</f>
        <v>No H2</v>
      </c>
      <c r="S41" s="293">
        <f>Khan!$D103</f>
        <v>3.5</v>
      </c>
      <c r="T41" s="293">
        <f>Khan!$D104</f>
        <v>10</v>
      </c>
      <c r="U41" s="297"/>
      <c r="V41" s="299">
        <f>Khan!$D106</f>
        <v>0.3</v>
      </c>
      <c r="W41" s="293"/>
      <c r="X41" s="336"/>
      <c r="Y41" s="297">
        <f>Khan!$D109</f>
        <v>1.05</v>
      </c>
      <c r="Z41" s="293"/>
      <c r="AA41" s="298">
        <f>Khan!$D111</f>
        <v>73</v>
      </c>
      <c r="AB41" s="298">
        <f>Khan!$D112</f>
        <v>27.000000000000004</v>
      </c>
      <c r="AC41" s="300"/>
      <c r="AD41" s="297">
        <f>Khan!$D114</f>
        <v>7.2</v>
      </c>
      <c r="AE41" s="294" t="str">
        <f>Khan!$D115</f>
        <v>n/r</v>
      </c>
      <c r="AF41" s="295" t="str">
        <f>Khan!$D116</f>
        <v>TVFA</v>
      </c>
      <c r="AG41" s="297"/>
      <c r="AH41" s="301"/>
      <c r="AI41" s="297"/>
      <c r="AJ41" s="297"/>
      <c r="AK41" s="297"/>
      <c r="AL41" s="297"/>
      <c r="AM41" s="297"/>
      <c r="AN41" s="297"/>
      <c r="AO41" s="297"/>
      <c r="AP41" s="297"/>
      <c r="AQ41" s="300"/>
      <c r="AR41" s="300"/>
    </row>
    <row r="42" spans="2:44" x14ac:dyDescent="0.3">
      <c r="B42" s="247"/>
      <c r="C42" s="247"/>
      <c r="D42" s="247"/>
      <c r="E42" s="259"/>
      <c r="F42" s="247"/>
      <c r="H42" s="259"/>
      <c r="K42" s="247"/>
      <c r="L42" s="247"/>
      <c r="M42" s="247"/>
      <c r="N42" s="247"/>
      <c r="O42" s="247"/>
      <c r="P42" s="280" t="str">
        <f>Khan!$F101</f>
        <v>No recirc</v>
      </c>
      <c r="Q42" s="247"/>
      <c r="R42" s="247" t="str">
        <f>Khan!$F102</f>
        <v>With H2</v>
      </c>
      <c r="S42" s="259">
        <f>Khan!$F103</f>
        <v>3.5</v>
      </c>
      <c r="T42" s="259">
        <f>Khan!$F104</f>
        <v>10</v>
      </c>
      <c r="U42" s="263">
        <f>Khan!$F105</f>
        <v>1.6</v>
      </c>
      <c r="V42" s="262">
        <f>Khan!$F106</f>
        <v>0.5</v>
      </c>
      <c r="W42" s="262">
        <f>Khan!$F107</f>
        <v>0.2</v>
      </c>
      <c r="X42" s="337">
        <f>Khan!$F108</f>
        <v>0.66666666666666674</v>
      </c>
      <c r="Y42" s="263">
        <f>Khan!$F109</f>
        <v>1.75</v>
      </c>
      <c r="Z42" s="259">
        <f>Khan!$F110</f>
        <v>0.7</v>
      </c>
      <c r="AA42" s="279">
        <f>Khan!$F111</f>
        <v>62.900453195811842</v>
      </c>
      <c r="AB42" s="279">
        <f>Khan!$F112</f>
        <v>5.46960462572277</v>
      </c>
      <c r="AC42" s="276">
        <f>Khan!$F113</f>
        <v>31.629942178465384</v>
      </c>
      <c r="AD42" s="263">
        <f>Khan!$F114</f>
        <v>7</v>
      </c>
      <c r="AE42" s="247" t="str">
        <f>Khan!$F115</f>
        <v>n/r</v>
      </c>
      <c r="AF42" s="249" t="str">
        <f>Khan!$F116</f>
        <v>TVFA</v>
      </c>
      <c r="AG42" s="275">
        <f>Khan!$F87</f>
        <v>0.18000000000000002</v>
      </c>
      <c r="AH42" s="281">
        <f>Khan!$F88</f>
        <v>0.7</v>
      </c>
      <c r="AI42" s="275">
        <f>Khan!$F89</f>
        <v>0.23618225134008342</v>
      </c>
      <c r="AJ42" s="275">
        <f>Khan!$F90</f>
        <v>4.1199294532627864</v>
      </c>
      <c r="AK42" s="275">
        <f>Khan!$F91</f>
        <v>0.45</v>
      </c>
      <c r="AL42" s="275">
        <f>Khan!$F92</f>
        <v>3.8888888888888884</v>
      </c>
      <c r="AM42" s="275">
        <f>Khan!$F93</f>
        <v>1.3121236185560188</v>
      </c>
      <c r="AN42" s="275">
        <f>Khan!$F94</f>
        <v>2.9638128861429824</v>
      </c>
      <c r="AO42" s="275">
        <f>Khan!$F95</f>
        <v>1.8024691358024689</v>
      </c>
      <c r="AP42" s="275">
        <f>Khan!$F96</f>
        <v>1.3607456140350878</v>
      </c>
      <c r="AQ42" s="361">
        <f>Khan!$F97</f>
        <v>1.0285714285714287</v>
      </c>
      <c r="AR42" s="361">
        <f>Khan!$F98</f>
        <v>3.048493254318497</v>
      </c>
    </row>
    <row r="43" spans="2:44" x14ac:dyDescent="0.3">
      <c r="B43" s="247"/>
      <c r="C43" s="247"/>
      <c r="D43" s="247"/>
      <c r="E43" s="259"/>
      <c r="F43" s="247"/>
      <c r="H43" s="259"/>
      <c r="K43" s="247"/>
      <c r="L43" s="247"/>
      <c r="M43" s="247"/>
      <c r="N43" s="247"/>
      <c r="O43" s="247"/>
      <c r="P43" s="280" t="str">
        <f>Khan!$E101</f>
        <v>With recirc</v>
      </c>
      <c r="Q43" s="247"/>
      <c r="R43" s="247" t="str">
        <f>Khan!$E102</f>
        <v>No H2</v>
      </c>
      <c r="S43" s="259">
        <f>Khan!$E103</f>
        <v>3.5</v>
      </c>
      <c r="T43" s="259">
        <f>Khan!$E104</f>
        <v>10</v>
      </c>
      <c r="U43" s="263"/>
      <c r="V43" s="259">
        <f>Khan!$E106</f>
        <v>0.42499999999999999</v>
      </c>
      <c r="W43" s="259"/>
      <c r="X43" s="337"/>
      <c r="Y43" s="263">
        <f>Khan!$E109</f>
        <v>1.4875</v>
      </c>
      <c r="Z43" s="259"/>
      <c r="AA43" s="279">
        <f>Khan!$E111</f>
        <v>76</v>
      </c>
      <c r="AB43" s="279">
        <f>Khan!$E112</f>
        <v>23.999999999999996</v>
      </c>
      <c r="AC43" s="276"/>
      <c r="AD43" s="263">
        <f>Khan!$E114</f>
        <v>7.3</v>
      </c>
      <c r="AE43" s="247" t="str">
        <f>Khan!$E115</f>
        <v>n/r</v>
      </c>
      <c r="AF43" s="249" t="str">
        <f>Khan!$E116</f>
        <v>TVFA</v>
      </c>
      <c r="AG43" s="275"/>
      <c r="AH43" s="281"/>
      <c r="AI43" s="275"/>
      <c r="AJ43" s="275"/>
      <c r="AK43" s="275"/>
      <c r="AL43" s="275"/>
      <c r="AM43" s="275"/>
      <c r="AN43" s="275"/>
      <c r="AO43" s="275"/>
      <c r="AP43" s="275"/>
      <c r="AQ43" s="361"/>
      <c r="AR43" s="361"/>
    </row>
    <row r="44" spans="2:44" x14ac:dyDescent="0.3">
      <c r="B44" s="362"/>
      <c r="C44" s="362"/>
      <c r="D44" s="362"/>
      <c r="E44" s="363"/>
      <c r="F44" s="362"/>
      <c r="G44" s="363"/>
      <c r="H44" s="363"/>
      <c r="I44" s="362"/>
      <c r="J44" s="363"/>
      <c r="K44" s="362"/>
      <c r="L44" s="362"/>
      <c r="M44" s="362"/>
      <c r="N44" s="362"/>
      <c r="O44" s="362"/>
      <c r="P44" s="365" t="str">
        <f>Khan!$G101</f>
        <v>With recirc</v>
      </c>
      <c r="Q44" s="362"/>
      <c r="R44" s="362" t="str">
        <f>Khan!$G102</f>
        <v>With H2</v>
      </c>
      <c r="S44" s="363">
        <f>Khan!$G103</f>
        <v>3.5</v>
      </c>
      <c r="T44" s="363">
        <f>Khan!$G104</f>
        <v>10</v>
      </c>
      <c r="U44" s="366">
        <f>Khan!$G105</f>
        <v>1.6</v>
      </c>
      <c r="V44" s="363">
        <f>Khan!$G106</f>
        <v>0.89700000000000002</v>
      </c>
      <c r="W44" s="363">
        <f>Khan!$G107</f>
        <v>0.47200000000000003</v>
      </c>
      <c r="X44" s="368">
        <f>Khan!$G108</f>
        <v>1.5733333333333335</v>
      </c>
      <c r="Y44" s="366">
        <f>Khan!$G109</f>
        <v>3.1395</v>
      </c>
      <c r="Z44" s="363">
        <f>Khan!$G110</f>
        <v>1.6519999999999999</v>
      </c>
      <c r="AA44" s="371">
        <f>Khan!$G111</f>
        <v>95.973598888374241</v>
      </c>
      <c r="AB44" s="371">
        <f>Khan!$G112</f>
        <v>0.9694302918017601</v>
      </c>
      <c r="AC44" s="369">
        <f>Khan!$G113</f>
        <v>3.0569708198239924</v>
      </c>
      <c r="AD44" s="366">
        <f>Khan!$G114</f>
        <v>7.2</v>
      </c>
      <c r="AE44" s="362" t="str">
        <f>Khan!$G115</f>
        <v>n/r</v>
      </c>
      <c r="AF44" s="364" t="str">
        <f>Khan!$G116</f>
        <v>TVFA</v>
      </c>
      <c r="AG44" s="372">
        <f>Khan!$G87</f>
        <v>0.375</v>
      </c>
      <c r="AH44" s="370">
        <f>Khan!$G88</f>
        <v>1.6519999999999999</v>
      </c>
      <c r="AI44" s="372">
        <f>Khan!$G89</f>
        <v>0.43802472089314198</v>
      </c>
      <c r="AJ44" s="372">
        <f>Khan!$G90</f>
        <v>3.4061624649859943</v>
      </c>
      <c r="AK44" s="372">
        <f>Khan!$G91</f>
        <v>0.9375</v>
      </c>
      <c r="AL44" s="372">
        <f>Khan!$G92</f>
        <v>4.4053333333333331</v>
      </c>
      <c r="AM44" s="372">
        <f>Khan!$G93</f>
        <v>1.168065922381712</v>
      </c>
      <c r="AN44" s="372">
        <f>Khan!$G94</f>
        <v>3.7714766340847974</v>
      </c>
      <c r="AO44" s="372">
        <f>Khan!$G95</f>
        <v>3.516862745098039</v>
      </c>
      <c r="AP44" s="372">
        <f>Khan!$G95</f>
        <v>3.516862745098039</v>
      </c>
      <c r="AQ44" s="373">
        <f>Khan!$G97</f>
        <v>0.90799031476997583</v>
      </c>
      <c r="AR44" s="373">
        <f>Khan!$G98</f>
        <v>3.4244642561302641</v>
      </c>
    </row>
  </sheetData>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27CD0-F28A-44E1-B6D2-1961D9D53CCB}">
  <dimension ref="A2:R109"/>
  <sheetViews>
    <sheetView zoomScaleNormal="100" workbookViewId="0"/>
  </sheetViews>
  <sheetFormatPr defaultColWidth="8.88671875" defaultRowHeight="14.4" x14ac:dyDescent="0.3"/>
  <cols>
    <col min="1" max="1" width="8.88671875" style="133"/>
    <col min="2" max="2" width="19.5546875" style="133" customWidth="1"/>
    <col min="3" max="3" width="8.88671875" style="133"/>
    <col min="4" max="4" width="15.21875" style="133" customWidth="1"/>
    <col min="5" max="16384" width="8.88671875" style="133"/>
  </cols>
  <sheetData>
    <row r="2" spans="1:5" x14ac:dyDescent="0.3">
      <c r="B2" s="102" t="s">
        <v>1749</v>
      </c>
    </row>
    <row r="3" spans="1:5" x14ac:dyDescent="0.3">
      <c r="B3" s="133" t="s">
        <v>1586</v>
      </c>
    </row>
    <row r="4" spans="1:5" x14ac:dyDescent="0.3">
      <c r="B4" s="133" t="s">
        <v>1587</v>
      </c>
    </row>
    <row r="5" spans="1:5" x14ac:dyDescent="0.3">
      <c r="B5" s="102"/>
    </row>
    <row r="6" spans="1:5" x14ac:dyDescent="0.3">
      <c r="A6" s="148"/>
      <c r="B6" s="148" t="s">
        <v>114</v>
      </c>
      <c r="D6" s="133" t="s">
        <v>1537</v>
      </c>
    </row>
    <row r="7" spans="1:5" x14ac:dyDescent="0.3">
      <c r="B7" s="133" t="s">
        <v>667</v>
      </c>
      <c r="C7" s="133" t="s">
        <v>503</v>
      </c>
      <c r="D7" s="133">
        <v>55</v>
      </c>
    </row>
    <row r="8" spans="1:5" x14ac:dyDescent="0.3">
      <c r="B8" s="133" t="s">
        <v>1324</v>
      </c>
      <c r="D8" s="133" t="s">
        <v>1633</v>
      </c>
      <c r="E8" s="133" t="s">
        <v>2105</v>
      </c>
    </row>
    <row r="9" spans="1:5" x14ac:dyDescent="0.3">
      <c r="B9" s="133" t="s">
        <v>956</v>
      </c>
      <c r="C9" s="133" t="s">
        <v>22</v>
      </c>
      <c r="D9" s="133" t="s">
        <v>1671</v>
      </c>
    </row>
    <row r="10" spans="1:5" x14ac:dyDescent="0.3">
      <c r="B10" s="133" t="s">
        <v>32</v>
      </c>
      <c r="C10" s="133" t="s">
        <v>22</v>
      </c>
      <c r="D10" s="133" t="s">
        <v>2106</v>
      </c>
      <c r="E10" s="133" t="s">
        <v>2107</v>
      </c>
    </row>
    <row r="11" spans="1:5" x14ac:dyDescent="0.3">
      <c r="B11" s="133" t="s">
        <v>326</v>
      </c>
      <c r="D11" s="133" t="s">
        <v>1588</v>
      </c>
    </row>
    <row r="12" spans="1:5" x14ac:dyDescent="0.3">
      <c r="B12" s="133" t="s">
        <v>344</v>
      </c>
      <c r="D12" s="133" t="s">
        <v>1589</v>
      </c>
    </row>
    <row r="13" spans="1:5" x14ac:dyDescent="0.3">
      <c r="B13" s="133" t="s">
        <v>1332</v>
      </c>
      <c r="D13" s="133" t="s">
        <v>1332</v>
      </c>
    </row>
    <row r="14" spans="1:5" x14ac:dyDescent="0.3">
      <c r="B14" s="133" t="s">
        <v>1330</v>
      </c>
      <c r="D14" s="133" t="s">
        <v>1590</v>
      </c>
    </row>
    <row r="15" spans="1:5" x14ac:dyDescent="0.3">
      <c r="B15" s="133" t="s">
        <v>1968</v>
      </c>
      <c r="D15" s="133" t="s">
        <v>2090</v>
      </c>
      <c r="E15" s="133" t="s">
        <v>1979</v>
      </c>
    </row>
    <row r="16" spans="1:5" x14ac:dyDescent="0.3">
      <c r="B16" s="133" t="s">
        <v>1541</v>
      </c>
      <c r="D16" s="133" t="s">
        <v>2108</v>
      </c>
      <c r="E16" s="133" t="s">
        <v>533</v>
      </c>
    </row>
    <row r="17" spans="2:6" x14ac:dyDescent="0.3">
      <c r="B17" s="133" t="s">
        <v>1599</v>
      </c>
      <c r="D17" s="133" t="s">
        <v>2154</v>
      </c>
      <c r="E17" s="133" t="s">
        <v>2155</v>
      </c>
    </row>
    <row r="19" spans="2:6" x14ac:dyDescent="0.3">
      <c r="B19" s="133" t="s">
        <v>32</v>
      </c>
      <c r="C19" s="133" t="s">
        <v>22</v>
      </c>
      <c r="D19" s="133">
        <v>345</v>
      </c>
      <c r="F19" s="133" t="s">
        <v>2174</v>
      </c>
    </row>
    <row r="21" spans="2:6" x14ac:dyDescent="0.3">
      <c r="B21" s="133" t="s">
        <v>1311</v>
      </c>
    </row>
    <row r="22" spans="2:6" x14ac:dyDescent="0.3">
      <c r="B22" s="133" t="s">
        <v>27</v>
      </c>
      <c r="C22" s="133" t="s">
        <v>370</v>
      </c>
      <c r="D22" s="133">
        <v>34.200000000000003</v>
      </c>
    </row>
    <row r="23" spans="2:6" x14ac:dyDescent="0.3">
      <c r="B23" s="133" t="s">
        <v>14</v>
      </c>
      <c r="C23" s="133" t="s">
        <v>370</v>
      </c>
      <c r="D23" s="133">
        <v>32.799999999999997</v>
      </c>
    </row>
    <row r="24" spans="2:6" x14ac:dyDescent="0.3">
      <c r="B24" s="133" t="s">
        <v>1578</v>
      </c>
      <c r="C24" s="133" t="s">
        <v>1584</v>
      </c>
      <c r="D24" s="133">
        <v>43.7</v>
      </c>
    </row>
    <row r="25" spans="2:6" x14ac:dyDescent="0.3">
      <c r="B25" s="133" t="s">
        <v>1579</v>
      </c>
      <c r="C25" s="133" t="s">
        <v>1584</v>
      </c>
      <c r="D25" s="133">
        <v>43.5</v>
      </c>
    </row>
    <row r="26" spans="2:6" x14ac:dyDescent="0.3">
      <c r="B26" s="133" t="s">
        <v>51</v>
      </c>
      <c r="C26" s="133" t="s">
        <v>1584</v>
      </c>
      <c r="D26" s="133">
        <v>1.2</v>
      </c>
    </row>
    <row r="27" spans="2:6" x14ac:dyDescent="0.3">
      <c r="B27" s="133" t="s">
        <v>1580</v>
      </c>
      <c r="D27" s="133">
        <v>38</v>
      </c>
    </row>
    <row r="28" spans="2:6" x14ac:dyDescent="0.3">
      <c r="B28" s="133" t="s">
        <v>1581</v>
      </c>
      <c r="C28" s="133" t="s">
        <v>1584</v>
      </c>
      <c r="D28" s="133">
        <v>51.9</v>
      </c>
    </row>
    <row r="29" spans="2:6" x14ac:dyDescent="0.3">
      <c r="B29" s="133" t="s">
        <v>1582</v>
      </c>
      <c r="C29" s="133" t="s">
        <v>1584</v>
      </c>
      <c r="D29" s="133">
        <v>22.9</v>
      </c>
    </row>
    <row r="30" spans="2:6" x14ac:dyDescent="0.3">
      <c r="B30" s="133" t="s">
        <v>1583</v>
      </c>
      <c r="C30" s="133" t="s">
        <v>1584</v>
      </c>
      <c r="D30" s="133">
        <v>4.0999999999999996</v>
      </c>
    </row>
    <row r="33" spans="2:18" x14ac:dyDescent="0.3">
      <c r="B33" s="133" t="s">
        <v>1593</v>
      </c>
      <c r="H33" s="24" t="s">
        <v>1512</v>
      </c>
      <c r="I33" s="24" t="s">
        <v>1714</v>
      </c>
      <c r="J33" s="24" t="s">
        <v>1714</v>
      </c>
      <c r="O33" s="24" t="s">
        <v>1512</v>
      </c>
      <c r="P33" s="24" t="s">
        <v>1512</v>
      </c>
    </row>
    <row r="34" spans="2:18" x14ac:dyDescent="0.3">
      <c r="B34" s="133" t="s">
        <v>1575</v>
      </c>
      <c r="D34" s="175" t="s">
        <v>1563</v>
      </c>
      <c r="E34" s="66" t="s">
        <v>1564</v>
      </c>
      <c r="F34" s="66" t="s">
        <v>1565</v>
      </c>
      <c r="G34" s="66" t="s">
        <v>1566</v>
      </c>
      <c r="H34" s="183" t="s">
        <v>1567</v>
      </c>
      <c r="I34" s="183" t="s">
        <v>1568</v>
      </c>
      <c r="J34" s="183" t="s">
        <v>1569</v>
      </c>
      <c r="K34" s="66" t="s">
        <v>1591</v>
      </c>
      <c r="L34" s="66" t="s">
        <v>1570</v>
      </c>
      <c r="M34" s="66" t="s">
        <v>1571</v>
      </c>
      <c r="N34" s="66" t="s">
        <v>1572</v>
      </c>
      <c r="O34" s="183" t="s">
        <v>1573</v>
      </c>
      <c r="P34" s="183" t="s">
        <v>1574</v>
      </c>
    </row>
    <row r="35" spans="2:18" x14ac:dyDescent="0.3">
      <c r="B35" s="133" t="s">
        <v>1576</v>
      </c>
      <c r="C35" s="133" t="s">
        <v>566</v>
      </c>
      <c r="D35" s="133">
        <v>35</v>
      </c>
      <c r="E35" s="133">
        <v>35</v>
      </c>
      <c r="F35" s="133">
        <v>22</v>
      </c>
      <c r="G35" s="133">
        <v>22</v>
      </c>
      <c r="H35" s="133">
        <v>81</v>
      </c>
      <c r="I35" s="133">
        <v>28</v>
      </c>
      <c r="J35" s="133">
        <v>28</v>
      </c>
      <c r="K35" s="133">
        <v>24</v>
      </c>
      <c r="L35" s="133">
        <v>24</v>
      </c>
      <c r="M35" s="133">
        <v>46</v>
      </c>
      <c r="N35" s="133">
        <v>46</v>
      </c>
      <c r="O35" s="133">
        <v>116</v>
      </c>
      <c r="P35" s="133">
        <v>84</v>
      </c>
    </row>
    <row r="36" spans="2:18" x14ac:dyDescent="0.3">
      <c r="B36" s="133" t="s">
        <v>1577</v>
      </c>
      <c r="C36" s="133" t="s">
        <v>503</v>
      </c>
      <c r="D36" s="133">
        <v>55</v>
      </c>
      <c r="E36" s="133">
        <v>55</v>
      </c>
      <c r="F36" s="133">
        <v>55</v>
      </c>
      <c r="G36" s="133">
        <v>55</v>
      </c>
      <c r="H36" s="133">
        <v>55</v>
      </c>
      <c r="I36" s="133">
        <v>55</v>
      </c>
      <c r="J36" s="133">
        <v>55</v>
      </c>
      <c r="K36" s="133">
        <v>60</v>
      </c>
      <c r="L36" s="133">
        <v>60</v>
      </c>
      <c r="M36" s="133">
        <v>60</v>
      </c>
      <c r="N36" s="133">
        <v>60</v>
      </c>
      <c r="O36" s="133">
        <v>60</v>
      </c>
      <c r="P36" s="133">
        <v>55</v>
      </c>
    </row>
    <row r="37" spans="2:18" x14ac:dyDescent="0.3">
      <c r="B37" s="133" t="s">
        <v>1699</v>
      </c>
      <c r="C37" s="133" t="s">
        <v>775</v>
      </c>
      <c r="D37" s="133">
        <v>693</v>
      </c>
      <c r="E37" s="133">
        <v>595</v>
      </c>
      <c r="F37" s="133">
        <v>620</v>
      </c>
      <c r="G37" s="133">
        <v>601</v>
      </c>
      <c r="H37" s="133">
        <v>707</v>
      </c>
      <c r="I37" s="133">
        <v>672</v>
      </c>
      <c r="J37" s="133">
        <v>694</v>
      </c>
      <c r="K37" s="133">
        <v>681</v>
      </c>
      <c r="L37" s="133">
        <v>767</v>
      </c>
      <c r="M37" s="133">
        <v>788</v>
      </c>
      <c r="N37" s="133">
        <v>774</v>
      </c>
      <c r="O37" s="133">
        <v>648</v>
      </c>
      <c r="P37" s="133">
        <v>712</v>
      </c>
    </row>
    <row r="38" spans="2:18" x14ac:dyDescent="0.3">
      <c r="B38" s="133" t="s">
        <v>1700</v>
      </c>
      <c r="C38" s="133" t="s">
        <v>775</v>
      </c>
      <c r="D38" s="133">
        <v>342</v>
      </c>
      <c r="E38" s="133">
        <v>282</v>
      </c>
      <c r="F38" s="133">
        <v>305</v>
      </c>
      <c r="G38" s="133">
        <v>280</v>
      </c>
      <c r="H38" s="133">
        <v>371</v>
      </c>
      <c r="I38" s="133">
        <v>294</v>
      </c>
      <c r="J38" s="133">
        <v>299</v>
      </c>
      <c r="K38" s="133">
        <v>313</v>
      </c>
      <c r="L38" s="133">
        <v>306</v>
      </c>
      <c r="M38" s="133">
        <v>406</v>
      </c>
      <c r="N38" s="133">
        <v>384</v>
      </c>
      <c r="O38" s="133">
        <v>377</v>
      </c>
      <c r="P38" s="133">
        <v>347</v>
      </c>
    </row>
    <row r="39" spans="2:18" x14ac:dyDescent="0.3">
      <c r="B39" s="133" t="s">
        <v>114</v>
      </c>
      <c r="C39" s="133" t="s">
        <v>1585</v>
      </c>
      <c r="D39" s="133">
        <v>8.42</v>
      </c>
      <c r="E39" s="133">
        <v>10.14</v>
      </c>
      <c r="F39" s="133">
        <v>8.48</v>
      </c>
      <c r="G39" s="133">
        <v>8.52</v>
      </c>
      <c r="H39" s="133">
        <v>21.1</v>
      </c>
      <c r="I39" s="133">
        <v>8.39</v>
      </c>
      <c r="J39" s="133">
        <v>8.39</v>
      </c>
      <c r="K39" s="133">
        <v>8.4</v>
      </c>
      <c r="L39" s="133">
        <v>8.16</v>
      </c>
      <c r="M39" s="133">
        <v>22.02</v>
      </c>
      <c r="N39" s="133">
        <v>22.21</v>
      </c>
      <c r="O39" s="133">
        <v>21.39</v>
      </c>
      <c r="P39" s="133">
        <v>20.079999999999998</v>
      </c>
    </row>
    <row r="40" spans="2:18" x14ac:dyDescent="0.3">
      <c r="B40" s="133" t="s">
        <v>1701</v>
      </c>
      <c r="C40" s="133" t="s">
        <v>775</v>
      </c>
      <c r="D40" s="133">
        <v>232.9</v>
      </c>
      <c r="E40" s="133">
        <v>0</v>
      </c>
      <c r="F40" s="133">
        <v>108.5</v>
      </c>
      <c r="G40" s="133">
        <v>0</v>
      </c>
      <c r="H40" s="133">
        <v>191.8</v>
      </c>
      <c r="I40" s="133">
        <v>0</v>
      </c>
      <c r="J40" s="133">
        <v>0</v>
      </c>
      <c r="K40" s="133">
        <v>187.7</v>
      </c>
      <c r="L40" s="133">
        <v>0</v>
      </c>
      <c r="M40" s="133">
        <v>171.5</v>
      </c>
      <c r="N40" s="133">
        <v>0</v>
      </c>
      <c r="O40" s="133">
        <v>385.1</v>
      </c>
      <c r="P40" s="133">
        <v>164.9</v>
      </c>
    </row>
    <row r="41" spans="2:18" x14ac:dyDescent="0.3">
      <c r="B41" s="133" t="s">
        <v>1702</v>
      </c>
      <c r="C41" s="133" t="s">
        <v>302</v>
      </c>
      <c r="D41" s="133">
        <v>81.2</v>
      </c>
      <c r="E41" s="133">
        <v>70.44</v>
      </c>
      <c r="F41" s="133">
        <v>79.92</v>
      </c>
      <c r="G41" s="133">
        <v>73.17</v>
      </c>
      <c r="H41" s="133">
        <v>81.069999999999993</v>
      </c>
      <c r="I41" s="133">
        <v>74.11</v>
      </c>
      <c r="J41" s="133">
        <v>69.209999999999994</v>
      </c>
      <c r="K41" s="133">
        <v>86.76</v>
      </c>
      <c r="L41" s="133">
        <v>74.349999999999994</v>
      </c>
      <c r="M41" s="133">
        <v>78.45</v>
      </c>
      <c r="N41" s="133">
        <v>69.19</v>
      </c>
      <c r="O41" s="133">
        <v>92.07</v>
      </c>
      <c r="P41" s="133">
        <v>80.14</v>
      </c>
    </row>
    <row r="42" spans="2:18" x14ac:dyDescent="0.3">
      <c r="B42" s="133" t="s">
        <v>1703</v>
      </c>
      <c r="C42" s="133" t="s">
        <v>302</v>
      </c>
      <c r="D42" s="133">
        <v>10.9</v>
      </c>
      <c r="F42" s="133">
        <v>6.7</v>
      </c>
      <c r="H42" s="44">
        <v>10</v>
      </c>
      <c r="K42" s="133">
        <v>12.8</v>
      </c>
      <c r="M42" s="133">
        <v>9.3000000000000007</v>
      </c>
      <c r="O42" s="44">
        <v>19</v>
      </c>
      <c r="P42" s="44">
        <v>19</v>
      </c>
      <c r="R42" s="44" t="s">
        <v>1704</v>
      </c>
    </row>
    <row r="44" spans="2:18" x14ac:dyDescent="0.3">
      <c r="B44" s="133" t="s">
        <v>1711</v>
      </c>
    </row>
    <row r="45" spans="2:18" x14ac:dyDescent="0.3">
      <c r="B45" s="133" t="s">
        <v>1709</v>
      </c>
      <c r="C45" s="133" t="s">
        <v>22</v>
      </c>
      <c r="D45" s="133">
        <v>200</v>
      </c>
      <c r="E45" s="133">
        <v>200</v>
      </c>
      <c r="F45" s="133">
        <v>200</v>
      </c>
      <c r="G45" s="133">
        <v>200</v>
      </c>
      <c r="H45" s="133">
        <v>200</v>
      </c>
      <c r="I45" s="133">
        <v>200</v>
      </c>
      <c r="J45" s="133">
        <v>200</v>
      </c>
      <c r="K45" s="133">
        <v>200</v>
      </c>
      <c r="L45" s="133">
        <v>200</v>
      </c>
      <c r="M45" s="133">
        <v>200</v>
      </c>
      <c r="N45" s="133">
        <v>200</v>
      </c>
      <c r="O45" s="133">
        <v>200</v>
      </c>
      <c r="P45" s="133">
        <v>200</v>
      </c>
    </row>
    <row r="46" spans="2:18" x14ac:dyDescent="0.3">
      <c r="B46" s="133" t="s">
        <v>1710</v>
      </c>
      <c r="C46" s="133" t="s">
        <v>22</v>
      </c>
      <c r="D46" s="133">
        <v>145</v>
      </c>
      <c r="E46" s="133">
        <v>180</v>
      </c>
      <c r="F46" s="133">
        <v>145</v>
      </c>
      <c r="G46" s="133">
        <v>180</v>
      </c>
      <c r="H46" s="133">
        <v>145</v>
      </c>
      <c r="I46" s="133">
        <v>145</v>
      </c>
      <c r="J46" s="133">
        <v>180</v>
      </c>
      <c r="K46" s="133">
        <v>145</v>
      </c>
      <c r="L46" s="133">
        <v>180</v>
      </c>
      <c r="M46" s="133">
        <v>145</v>
      </c>
      <c r="N46" s="133">
        <v>180</v>
      </c>
      <c r="O46" s="133">
        <v>145</v>
      </c>
      <c r="P46" s="133">
        <v>145</v>
      </c>
    </row>
    <row r="47" spans="2:18" x14ac:dyDescent="0.3">
      <c r="B47" s="133" t="s">
        <v>1715</v>
      </c>
      <c r="C47" s="133" t="s">
        <v>22</v>
      </c>
      <c r="D47" s="133">
        <f>SUM(D45:D46)</f>
        <v>345</v>
      </c>
      <c r="E47" s="133">
        <f t="shared" ref="E47:P47" si="0">SUM(E45:E46)</f>
        <v>380</v>
      </c>
      <c r="F47" s="133">
        <f t="shared" si="0"/>
        <v>345</v>
      </c>
      <c r="G47" s="133">
        <f t="shared" si="0"/>
        <v>380</v>
      </c>
      <c r="H47" s="133">
        <f t="shared" si="0"/>
        <v>345</v>
      </c>
      <c r="I47" s="133">
        <f t="shared" si="0"/>
        <v>345</v>
      </c>
      <c r="J47" s="133">
        <f t="shared" si="0"/>
        <v>380</v>
      </c>
      <c r="K47" s="133">
        <f t="shared" si="0"/>
        <v>345</v>
      </c>
      <c r="L47" s="133">
        <f t="shared" si="0"/>
        <v>380</v>
      </c>
      <c r="M47" s="133">
        <f t="shared" si="0"/>
        <v>345</v>
      </c>
      <c r="N47" s="133">
        <f t="shared" si="0"/>
        <v>380</v>
      </c>
      <c r="O47" s="133">
        <f t="shared" si="0"/>
        <v>345</v>
      </c>
      <c r="P47" s="133">
        <f t="shared" si="0"/>
        <v>345</v>
      </c>
    </row>
    <row r="48" spans="2:18" x14ac:dyDescent="0.3">
      <c r="B48" s="133" t="s">
        <v>1712</v>
      </c>
    </row>
    <row r="49" spans="2:18" x14ac:dyDescent="0.3">
      <c r="B49" s="133" t="s">
        <v>1713</v>
      </c>
      <c r="C49" s="133" t="s">
        <v>22</v>
      </c>
      <c r="D49" s="133">
        <v>200</v>
      </c>
      <c r="E49" s="133">
        <v>200</v>
      </c>
      <c r="F49" s="133">
        <v>200</v>
      </c>
      <c r="G49" s="133">
        <v>200</v>
      </c>
      <c r="H49" s="133">
        <v>200</v>
      </c>
      <c r="I49" s="133">
        <v>200</v>
      </c>
      <c r="J49" s="133">
        <v>200</v>
      </c>
      <c r="K49" s="133">
        <v>200</v>
      </c>
      <c r="L49" s="133">
        <v>200</v>
      </c>
      <c r="M49" s="133">
        <v>200</v>
      </c>
      <c r="N49" s="133">
        <v>200</v>
      </c>
      <c r="O49" s="133">
        <v>200</v>
      </c>
      <c r="P49" s="133">
        <v>200</v>
      </c>
    </row>
    <row r="51" spans="2:18" x14ac:dyDescent="0.3">
      <c r="B51" s="6" t="s">
        <v>877</v>
      </c>
    </row>
    <row r="52" spans="2:18" x14ac:dyDescent="0.3">
      <c r="B52" s="148" t="s">
        <v>33</v>
      </c>
      <c r="C52" s="133" t="s">
        <v>270</v>
      </c>
      <c r="D52" s="134">
        <f>D39*1000/(D35*D47)</f>
        <v>0.69730848861283645</v>
      </c>
      <c r="E52" s="134">
        <f t="shared" ref="E52:P52" si="1">E39*1000/(E35*E47)</f>
        <v>0.76240601503759398</v>
      </c>
      <c r="F52" s="134">
        <f t="shared" si="1"/>
        <v>1.1172595520421607</v>
      </c>
      <c r="G52" s="134">
        <f t="shared" si="1"/>
        <v>1.0191387559808613</v>
      </c>
      <c r="H52" s="134">
        <f t="shared" si="1"/>
        <v>0.75505457147969224</v>
      </c>
      <c r="I52" s="134">
        <f t="shared" si="1"/>
        <v>0.8685300207039337</v>
      </c>
      <c r="J52" s="134">
        <f t="shared" si="1"/>
        <v>0.7885338345864662</v>
      </c>
      <c r="K52" s="134">
        <f t="shared" si="1"/>
        <v>1.0144927536231885</v>
      </c>
      <c r="L52" s="134">
        <f t="shared" si="1"/>
        <v>0.89473684210526316</v>
      </c>
      <c r="M52" s="134">
        <f t="shared" si="1"/>
        <v>1.3875236294896029</v>
      </c>
      <c r="N52" s="134">
        <f t="shared" si="1"/>
        <v>1.2705949656750573</v>
      </c>
      <c r="O52" s="134">
        <f t="shared" si="1"/>
        <v>0.53448275862068961</v>
      </c>
      <c r="P52" s="134">
        <f t="shared" si="1"/>
        <v>0.69289164941338854</v>
      </c>
      <c r="R52" s="133" t="s">
        <v>1716</v>
      </c>
    </row>
    <row r="53" spans="2:18" x14ac:dyDescent="0.3">
      <c r="B53" s="148" t="s">
        <v>33</v>
      </c>
      <c r="C53" s="133" t="s">
        <v>270</v>
      </c>
      <c r="D53" s="134">
        <f>D39*1000/(D35*D46)</f>
        <v>1.6591133004926109</v>
      </c>
      <c r="E53" s="134">
        <f t="shared" ref="E53:P53" si="2">E39*1000/(E35*E46)</f>
        <v>1.6095238095238096</v>
      </c>
      <c r="F53" s="134">
        <f t="shared" si="2"/>
        <v>2.6583072100313481</v>
      </c>
      <c r="G53" s="134">
        <f t="shared" si="2"/>
        <v>2.1515151515151514</v>
      </c>
      <c r="H53" s="134">
        <f t="shared" si="2"/>
        <v>1.796509152830992</v>
      </c>
      <c r="I53" s="134">
        <f t="shared" si="2"/>
        <v>2.0665024630541873</v>
      </c>
      <c r="J53" s="134">
        <f t="shared" si="2"/>
        <v>1.6646825396825398</v>
      </c>
      <c r="K53" s="134">
        <f t="shared" si="2"/>
        <v>2.4137931034482758</v>
      </c>
      <c r="L53" s="134">
        <f t="shared" si="2"/>
        <v>1.8888888888888888</v>
      </c>
      <c r="M53" s="134">
        <f t="shared" si="2"/>
        <v>3.3013493253373314</v>
      </c>
      <c r="N53" s="134">
        <f t="shared" si="2"/>
        <v>2.6823671497584543</v>
      </c>
      <c r="O53" s="134">
        <f t="shared" si="2"/>
        <v>1.2717003567181926</v>
      </c>
      <c r="P53" s="134">
        <f t="shared" si="2"/>
        <v>1.6486042692939245</v>
      </c>
      <c r="R53" s="133" t="s">
        <v>1717</v>
      </c>
    </row>
    <row r="54" spans="2:18" x14ac:dyDescent="0.3">
      <c r="B54" s="148" t="s">
        <v>33</v>
      </c>
      <c r="C54" s="133" t="s">
        <v>270</v>
      </c>
      <c r="D54" s="134">
        <f>D39*1000/(D35*$D$46)</f>
        <v>1.6591133004926109</v>
      </c>
      <c r="E54" s="134">
        <f t="shared" ref="E54:P54" si="3">E39*1000/(E35*$D$46)</f>
        <v>1.9980295566502464</v>
      </c>
      <c r="F54" s="134">
        <f t="shared" si="3"/>
        <v>2.6583072100313481</v>
      </c>
      <c r="G54" s="134">
        <f t="shared" si="3"/>
        <v>2.6708463949843262</v>
      </c>
      <c r="H54" s="134">
        <f t="shared" si="3"/>
        <v>1.796509152830992</v>
      </c>
      <c r="I54" s="134">
        <f t="shared" si="3"/>
        <v>2.0665024630541873</v>
      </c>
      <c r="J54" s="134">
        <f t="shared" si="3"/>
        <v>2.0665024630541873</v>
      </c>
      <c r="K54" s="134">
        <f t="shared" si="3"/>
        <v>2.4137931034482758</v>
      </c>
      <c r="L54" s="134">
        <f t="shared" si="3"/>
        <v>2.3448275862068964</v>
      </c>
      <c r="M54" s="134">
        <f t="shared" si="3"/>
        <v>3.3013493253373314</v>
      </c>
      <c r="N54" s="134">
        <f t="shared" si="3"/>
        <v>3.3298350824587706</v>
      </c>
      <c r="O54" s="134">
        <f t="shared" si="3"/>
        <v>1.2717003567181926</v>
      </c>
      <c r="P54" s="134">
        <f t="shared" si="3"/>
        <v>1.6486042692939245</v>
      </c>
      <c r="R54" s="133" t="s">
        <v>1718</v>
      </c>
    </row>
    <row r="55" spans="2:18" x14ac:dyDescent="0.3">
      <c r="B55" s="133" t="s">
        <v>3</v>
      </c>
      <c r="C55" s="133" t="s">
        <v>92</v>
      </c>
      <c r="D55" s="134">
        <f t="shared" ref="D55:P55" si="4">D38/D37</f>
        <v>0.4935064935064935</v>
      </c>
      <c r="E55" s="134">
        <f t="shared" si="4"/>
        <v>0.47394957983193275</v>
      </c>
      <c r="F55" s="134">
        <f t="shared" si="4"/>
        <v>0.49193548387096775</v>
      </c>
      <c r="G55" s="134">
        <f t="shared" si="4"/>
        <v>0.46589018302828616</v>
      </c>
      <c r="H55" s="134">
        <f t="shared" si="4"/>
        <v>0.52475247524752477</v>
      </c>
      <c r="I55" s="134">
        <f t="shared" si="4"/>
        <v>0.4375</v>
      </c>
      <c r="J55" s="134">
        <f t="shared" si="4"/>
        <v>0.43083573487031701</v>
      </c>
      <c r="K55" s="134">
        <f t="shared" si="4"/>
        <v>0.45961820851688695</v>
      </c>
      <c r="L55" s="134">
        <f t="shared" si="4"/>
        <v>0.39895697522816165</v>
      </c>
      <c r="M55" s="134">
        <f t="shared" si="4"/>
        <v>0.51522842639593913</v>
      </c>
      <c r="N55" s="134">
        <f t="shared" si="4"/>
        <v>0.49612403100775193</v>
      </c>
      <c r="O55" s="134">
        <f t="shared" si="4"/>
        <v>0.58179012345679015</v>
      </c>
      <c r="P55" s="134">
        <f t="shared" si="4"/>
        <v>0.48735955056179775</v>
      </c>
      <c r="R55" s="133" t="s">
        <v>1723</v>
      </c>
    </row>
    <row r="56" spans="2:18" x14ac:dyDescent="0.3">
      <c r="B56" s="103" t="s">
        <v>277</v>
      </c>
      <c r="C56" s="133" t="s">
        <v>92</v>
      </c>
      <c r="D56" s="134">
        <f>1-D55</f>
        <v>0.50649350649350655</v>
      </c>
      <c r="E56" s="134">
        <f t="shared" ref="E56:P56" si="5">1-E55</f>
        <v>0.52605042016806725</v>
      </c>
      <c r="F56" s="134">
        <f t="shared" si="5"/>
        <v>0.50806451612903225</v>
      </c>
      <c r="G56" s="134">
        <f t="shared" si="5"/>
        <v>0.53410981697171378</v>
      </c>
      <c r="H56" s="134">
        <f t="shared" si="5"/>
        <v>0.47524752475247523</v>
      </c>
      <c r="I56" s="134">
        <f t="shared" si="5"/>
        <v>0.5625</v>
      </c>
      <c r="J56" s="134">
        <f t="shared" si="5"/>
        <v>0.56916426512968299</v>
      </c>
      <c r="K56" s="134">
        <f t="shared" si="5"/>
        <v>0.54038179148311305</v>
      </c>
      <c r="L56" s="134">
        <f t="shared" si="5"/>
        <v>0.60104302477183835</v>
      </c>
      <c r="M56" s="134">
        <f t="shared" si="5"/>
        <v>0.48477157360406087</v>
      </c>
      <c r="N56" s="134">
        <f t="shared" si="5"/>
        <v>0.50387596899224807</v>
      </c>
      <c r="O56" s="134">
        <f t="shared" si="5"/>
        <v>0.41820987654320985</v>
      </c>
      <c r="P56" s="134">
        <f t="shared" si="5"/>
        <v>0.51264044943820219</v>
      </c>
      <c r="R56" s="103" t="s">
        <v>1720</v>
      </c>
    </row>
    <row r="57" spans="2:18" x14ac:dyDescent="0.3">
      <c r="B57" s="103" t="s">
        <v>351</v>
      </c>
      <c r="C57" s="133" t="s">
        <v>377</v>
      </c>
      <c r="D57" s="10">
        <f t="shared" ref="D57:P57" si="6">D38/1000</f>
        <v>0.34200000000000003</v>
      </c>
      <c r="E57" s="10">
        <f t="shared" si="6"/>
        <v>0.28199999999999997</v>
      </c>
      <c r="F57" s="10">
        <f t="shared" si="6"/>
        <v>0.30499999999999999</v>
      </c>
      <c r="G57" s="10">
        <f t="shared" si="6"/>
        <v>0.28000000000000003</v>
      </c>
      <c r="H57" s="10">
        <f t="shared" si="6"/>
        <v>0.371</v>
      </c>
      <c r="I57" s="10">
        <f t="shared" si="6"/>
        <v>0.29399999999999998</v>
      </c>
      <c r="J57" s="10">
        <f t="shared" si="6"/>
        <v>0.29899999999999999</v>
      </c>
      <c r="K57" s="10">
        <f t="shared" si="6"/>
        <v>0.313</v>
      </c>
      <c r="L57" s="10">
        <f t="shared" si="6"/>
        <v>0.30599999999999999</v>
      </c>
      <c r="M57" s="10">
        <f t="shared" si="6"/>
        <v>0.40600000000000003</v>
      </c>
      <c r="N57" s="10">
        <f t="shared" si="6"/>
        <v>0.38400000000000001</v>
      </c>
      <c r="O57" s="10">
        <f t="shared" si="6"/>
        <v>0.377</v>
      </c>
      <c r="P57" s="10">
        <f t="shared" si="6"/>
        <v>0.34699999999999998</v>
      </c>
    </row>
    <row r="58" spans="2:18" x14ac:dyDescent="0.3">
      <c r="B58" s="133" t="s">
        <v>1705</v>
      </c>
      <c r="C58" s="133" t="s">
        <v>775</v>
      </c>
      <c r="D58" s="10">
        <f>D57-E57</f>
        <v>6.0000000000000053E-2</v>
      </c>
      <c r="E58" s="16"/>
      <c r="F58" s="10">
        <f>F57-G57</f>
        <v>2.4999999999999967E-2</v>
      </c>
      <c r="G58" s="16"/>
      <c r="H58" s="16"/>
      <c r="I58" s="16"/>
      <c r="J58" s="16"/>
      <c r="K58" s="10">
        <f>K57-L57</f>
        <v>7.0000000000000062E-3</v>
      </c>
      <c r="L58" s="16"/>
      <c r="M58" s="10">
        <f>M57-N57</f>
        <v>2.200000000000002E-2</v>
      </c>
      <c r="N58" s="16"/>
      <c r="O58" s="16"/>
      <c r="P58" s="16"/>
    </row>
    <row r="59" spans="2:18" x14ac:dyDescent="0.3">
      <c r="B59" s="103" t="s">
        <v>353</v>
      </c>
      <c r="C59" s="103" t="s">
        <v>92</v>
      </c>
      <c r="D59" s="10">
        <f>D58/E57</f>
        <v>0.21276595744680871</v>
      </c>
      <c r="E59" s="16"/>
      <c r="F59" s="10">
        <f>F58/G57</f>
        <v>8.9285714285714163E-2</v>
      </c>
      <c r="G59" s="16"/>
      <c r="H59" s="16"/>
      <c r="I59" s="16"/>
      <c r="J59" s="16"/>
      <c r="K59" s="10">
        <f>K58/L57</f>
        <v>2.2875816993464072E-2</v>
      </c>
      <c r="L59" s="16"/>
      <c r="M59" s="10">
        <f>M58/N57</f>
        <v>5.7291666666666713E-2</v>
      </c>
      <c r="N59" s="16"/>
      <c r="O59" s="16"/>
      <c r="P59" s="16"/>
    </row>
    <row r="60" spans="2:18" x14ac:dyDescent="0.3">
      <c r="B60" s="133" t="s">
        <v>321</v>
      </c>
      <c r="C60" s="133" t="s">
        <v>377</v>
      </c>
      <c r="D60" s="10">
        <f>D40/1000</f>
        <v>0.2329</v>
      </c>
      <c r="E60" s="16"/>
      <c r="F60" s="10">
        <f>F40/1000</f>
        <v>0.1085</v>
      </c>
      <c r="G60" s="16"/>
      <c r="H60" s="10">
        <f>H40/1000</f>
        <v>0.1918</v>
      </c>
      <c r="I60" s="16"/>
      <c r="J60" s="16"/>
      <c r="K60" s="10">
        <f>K40/1000</f>
        <v>0.18769999999999998</v>
      </c>
      <c r="L60" s="16"/>
      <c r="M60" s="10">
        <f>M40/1000</f>
        <v>0.17150000000000001</v>
      </c>
      <c r="N60" s="16"/>
      <c r="O60" s="10">
        <f>O40/1000</f>
        <v>0.3851</v>
      </c>
      <c r="P60" s="10">
        <f>P40/1000</f>
        <v>0.16490000000000002</v>
      </c>
    </row>
    <row r="61" spans="2:18" x14ac:dyDescent="0.3">
      <c r="B61" s="133" t="s">
        <v>1706</v>
      </c>
      <c r="C61" s="133" t="s">
        <v>377</v>
      </c>
      <c r="D61" s="10">
        <f>D58*4</f>
        <v>0.24000000000000021</v>
      </c>
      <c r="E61" s="16"/>
      <c r="F61" s="10">
        <f>F58*4</f>
        <v>9.9999999999999867E-2</v>
      </c>
      <c r="G61" s="16"/>
      <c r="H61" s="16"/>
      <c r="I61" s="16"/>
      <c r="J61" s="16"/>
      <c r="K61" s="10">
        <f>K58*4</f>
        <v>2.8000000000000025E-2</v>
      </c>
      <c r="L61" s="16"/>
      <c r="M61" s="10">
        <f>M58*4</f>
        <v>8.8000000000000078E-2</v>
      </c>
      <c r="N61" s="16"/>
      <c r="O61" s="16"/>
      <c r="P61" s="16"/>
      <c r="R61" s="133" t="s">
        <v>1726</v>
      </c>
    </row>
    <row r="62" spans="2:18" x14ac:dyDescent="0.3">
      <c r="B62" s="133" t="s">
        <v>1707</v>
      </c>
      <c r="C62" s="133" t="s">
        <v>775</v>
      </c>
      <c r="D62" s="31">
        <f>D60-D61</f>
        <v>-7.1000000000002172E-3</v>
      </c>
      <c r="E62" s="16"/>
      <c r="F62" s="10">
        <f>F60-F61</f>
        <v>8.5000000000001324E-3</v>
      </c>
      <c r="G62" s="16"/>
      <c r="H62" s="16"/>
      <c r="I62" s="16"/>
      <c r="J62" s="16"/>
      <c r="K62" s="10">
        <f>K60-K61</f>
        <v>0.15969999999999995</v>
      </c>
      <c r="L62" s="16"/>
      <c r="M62" s="10">
        <f>M60-M61</f>
        <v>8.3499999999999935E-2</v>
      </c>
      <c r="N62" s="16"/>
      <c r="O62" s="16"/>
      <c r="P62" s="16"/>
      <c r="R62" s="133" t="s">
        <v>1719</v>
      </c>
    </row>
    <row r="63" spans="2:18" x14ac:dyDescent="0.3">
      <c r="B63" s="133" t="s">
        <v>1728</v>
      </c>
      <c r="D63" s="31">
        <f>D61/D60</f>
        <v>1.030485186775441</v>
      </c>
      <c r="E63" s="16"/>
      <c r="F63" s="31">
        <f>F61/F60</f>
        <v>0.92165898617511399</v>
      </c>
      <c r="G63" s="16"/>
      <c r="H63" s="16"/>
      <c r="I63" s="16"/>
      <c r="J63" s="16"/>
      <c r="K63" s="31">
        <f>K61/K60</f>
        <v>0.1491742141715505</v>
      </c>
      <c r="L63" s="16"/>
      <c r="M63" s="31">
        <f>M61/M60</f>
        <v>0.51311953352769724</v>
      </c>
      <c r="N63" s="16"/>
      <c r="O63" s="16"/>
      <c r="P63" s="16"/>
    </row>
    <row r="64" spans="2:18" x14ac:dyDescent="0.3">
      <c r="B64" s="103" t="s">
        <v>1592</v>
      </c>
      <c r="C64" s="133" t="s">
        <v>377</v>
      </c>
      <c r="D64" s="31">
        <f t="shared" ref="D64:P64" si="7">D57*D56/D55</f>
        <v>0.35100000000000003</v>
      </c>
      <c r="E64" s="10">
        <f t="shared" si="7"/>
        <v>0.313</v>
      </c>
      <c r="F64" s="10">
        <f t="shared" si="7"/>
        <v>0.315</v>
      </c>
      <c r="G64" s="10">
        <f t="shared" si="7"/>
        <v>0.32100000000000006</v>
      </c>
      <c r="H64" s="10">
        <f t="shared" si="7"/>
        <v>0.33599999999999997</v>
      </c>
      <c r="I64" s="10">
        <f t="shared" si="7"/>
        <v>0.378</v>
      </c>
      <c r="J64" s="10">
        <f t="shared" si="7"/>
        <v>0.39500000000000002</v>
      </c>
      <c r="K64" s="10">
        <f t="shared" si="7"/>
        <v>0.36799999999999994</v>
      </c>
      <c r="L64" s="10">
        <f t="shared" si="7"/>
        <v>0.46100000000000002</v>
      </c>
      <c r="M64" s="10">
        <f t="shared" si="7"/>
        <v>0.38199999999999995</v>
      </c>
      <c r="N64" s="10">
        <f t="shared" si="7"/>
        <v>0.39000000000000007</v>
      </c>
      <c r="O64" s="10">
        <f t="shared" si="7"/>
        <v>0.27099999999999996</v>
      </c>
      <c r="P64" s="10">
        <f t="shared" si="7"/>
        <v>0.36499999999999994</v>
      </c>
    </row>
    <row r="65" spans="2:18" x14ac:dyDescent="0.3">
      <c r="B65" s="103" t="s">
        <v>1724</v>
      </c>
      <c r="C65" s="133" t="s">
        <v>377</v>
      </c>
      <c r="D65" s="31">
        <f>E64-D64</f>
        <v>-3.8000000000000034E-2</v>
      </c>
      <c r="E65" s="10"/>
      <c r="F65" s="10">
        <f>G64-F64</f>
        <v>6.0000000000000608E-3</v>
      </c>
      <c r="G65" s="10"/>
      <c r="H65" s="10"/>
      <c r="I65" s="10"/>
      <c r="J65" s="10"/>
      <c r="K65" s="10">
        <f t="shared" ref="K65" si="8">L64-K64</f>
        <v>9.3000000000000083E-2</v>
      </c>
      <c r="L65" s="10"/>
      <c r="M65" s="10">
        <f t="shared" ref="M65" si="9">N64-M64</f>
        <v>8.0000000000001181E-3</v>
      </c>
      <c r="N65" s="10"/>
      <c r="O65" s="10"/>
      <c r="P65" s="10"/>
    </row>
    <row r="66" spans="2:18" x14ac:dyDescent="0.3">
      <c r="B66" s="103" t="s">
        <v>1725</v>
      </c>
      <c r="C66" s="133" t="s">
        <v>92</v>
      </c>
      <c r="D66" s="31">
        <f>D65/E64</f>
        <v>-0.12140575079872215</v>
      </c>
      <c r="E66" s="10"/>
      <c r="F66" s="10">
        <f>F65/G64</f>
        <v>1.8691588785046915E-2</v>
      </c>
      <c r="G66" s="10"/>
      <c r="H66" s="10"/>
      <c r="I66" s="10"/>
      <c r="J66" s="10"/>
      <c r="K66" s="10">
        <f>K65/L64</f>
        <v>0.20173535791757066</v>
      </c>
      <c r="L66" s="10"/>
      <c r="M66" s="10">
        <f>M65/N64</f>
        <v>2.0512820512820811E-2</v>
      </c>
      <c r="N66" s="10"/>
      <c r="O66" s="10"/>
      <c r="P66" s="10"/>
    </row>
    <row r="67" spans="2:18" x14ac:dyDescent="0.3">
      <c r="B67" s="103" t="s">
        <v>1706</v>
      </c>
      <c r="C67" s="133" t="s">
        <v>377</v>
      </c>
      <c r="D67" s="31">
        <f>D65*4</f>
        <v>-0.15200000000000014</v>
      </c>
      <c r="E67" s="10"/>
      <c r="F67" s="31">
        <f>F65*4</f>
        <v>2.4000000000000243E-2</v>
      </c>
      <c r="G67" s="10"/>
      <c r="H67" s="10"/>
      <c r="I67" s="10"/>
      <c r="J67" s="10"/>
      <c r="K67" s="31">
        <f>K65*4</f>
        <v>0.37200000000000033</v>
      </c>
      <c r="L67" s="10"/>
      <c r="M67" s="31">
        <f>M65*4</f>
        <v>3.2000000000000473E-2</v>
      </c>
      <c r="N67" s="10"/>
      <c r="O67" s="10"/>
      <c r="P67" s="10"/>
      <c r="R67" s="133" t="s">
        <v>1727</v>
      </c>
    </row>
    <row r="68" spans="2:18" x14ac:dyDescent="0.3">
      <c r="B68" s="133" t="s">
        <v>1707</v>
      </c>
      <c r="C68" s="133" t="s">
        <v>775</v>
      </c>
      <c r="D68" s="31">
        <f>D60-D66</f>
        <v>0.35430575079872217</v>
      </c>
      <c r="E68" s="10"/>
      <c r="F68" s="31">
        <f>F60-F66</f>
        <v>8.9808411214953088E-2</v>
      </c>
      <c r="G68" s="10"/>
      <c r="H68" s="10"/>
      <c r="I68" s="10"/>
      <c r="J68" s="10"/>
      <c r="K68" s="31">
        <f>K60-K66</f>
        <v>-1.4035357917570684E-2</v>
      </c>
      <c r="L68" s="10"/>
      <c r="M68" s="31">
        <f>M60-M66</f>
        <v>0.15098717948717921</v>
      </c>
      <c r="N68" s="10"/>
      <c r="O68" s="10"/>
      <c r="P68" s="10"/>
    </row>
    <row r="69" spans="2:18" x14ac:dyDescent="0.3">
      <c r="B69" s="133" t="s">
        <v>1728</v>
      </c>
      <c r="D69" s="31">
        <f>D67/D60</f>
        <v>-0.65264061829111264</v>
      </c>
      <c r="E69" s="16"/>
      <c r="F69" s="31">
        <f>F67/F60</f>
        <v>0.22119815668202988</v>
      </c>
      <c r="G69" s="16"/>
      <c r="H69" s="16"/>
      <c r="I69" s="16"/>
      <c r="J69" s="16"/>
      <c r="K69" s="31">
        <f>K67/K60</f>
        <v>1.9818859882791708</v>
      </c>
      <c r="L69" s="16"/>
      <c r="M69" s="31">
        <f>M67/M60</f>
        <v>0.18658892128280158</v>
      </c>
      <c r="N69" s="16"/>
      <c r="O69" s="16"/>
      <c r="P69" s="16"/>
    </row>
    <row r="70" spans="2:18" x14ac:dyDescent="0.3">
      <c r="B70" s="133" t="s">
        <v>293</v>
      </c>
      <c r="C70" s="133" t="s">
        <v>338</v>
      </c>
      <c r="D70" s="10">
        <f t="shared" ref="D70:P70" si="10">D38*D39/(D35*D47)</f>
        <v>0.23847950310559005</v>
      </c>
      <c r="E70" s="10">
        <f t="shared" si="10"/>
        <v>0.21499849624060149</v>
      </c>
      <c r="F70" s="10">
        <f t="shared" si="10"/>
        <v>0.34076416337285903</v>
      </c>
      <c r="G70" s="10">
        <f t="shared" si="10"/>
        <v>0.28535885167464115</v>
      </c>
      <c r="H70" s="10">
        <f t="shared" si="10"/>
        <v>0.28012524601896582</v>
      </c>
      <c r="I70" s="10">
        <f t="shared" si="10"/>
        <v>0.25534782608695655</v>
      </c>
      <c r="J70" s="10">
        <f t="shared" si="10"/>
        <v>0.2357716165413534</v>
      </c>
      <c r="K70" s="10">
        <f t="shared" si="10"/>
        <v>0.317536231884058</v>
      </c>
      <c r="L70" s="10">
        <f t="shared" si="10"/>
        <v>0.27378947368421053</v>
      </c>
      <c r="M70" s="10">
        <f t="shared" si="10"/>
        <v>0.56333459357277882</v>
      </c>
      <c r="N70" s="10">
        <f t="shared" si="10"/>
        <v>0.48790846681922195</v>
      </c>
      <c r="O70" s="10">
        <f t="shared" si="10"/>
        <v>0.20150000000000001</v>
      </c>
      <c r="P70" s="10">
        <f t="shared" si="10"/>
        <v>0.24043340234644581</v>
      </c>
      <c r="R70" s="133" t="s">
        <v>1721</v>
      </c>
    </row>
    <row r="71" spans="2:18" x14ac:dyDescent="0.3">
      <c r="B71" s="133" t="s">
        <v>293</v>
      </c>
      <c r="C71" s="133" t="s">
        <v>338</v>
      </c>
      <c r="D71" s="10">
        <f t="shared" ref="D71:P71" si="11">D38*D39/(D35*$D$47)</f>
        <v>0.23847950310559005</v>
      </c>
      <c r="E71" s="10">
        <f t="shared" si="11"/>
        <v>0.23680993788819876</v>
      </c>
      <c r="F71" s="10">
        <f t="shared" si="11"/>
        <v>0.34076416337285903</v>
      </c>
      <c r="G71" s="10">
        <f t="shared" si="11"/>
        <v>0.31430830039525692</v>
      </c>
      <c r="H71" s="10">
        <f t="shared" si="11"/>
        <v>0.28012524601896582</v>
      </c>
      <c r="I71" s="10">
        <f t="shared" si="11"/>
        <v>0.25534782608695655</v>
      </c>
      <c r="J71" s="10">
        <f t="shared" si="11"/>
        <v>0.25969047619047619</v>
      </c>
      <c r="K71" s="10">
        <f t="shared" si="11"/>
        <v>0.317536231884058</v>
      </c>
      <c r="L71" s="10">
        <f t="shared" si="11"/>
        <v>0.30156521739130437</v>
      </c>
      <c r="M71" s="10">
        <f t="shared" si="11"/>
        <v>0.56333459357277882</v>
      </c>
      <c r="N71" s="10">
        <f t="shared" si="11"/>
        <v>0.53740642722117193</v>
      </c>
      <c r="O71" s="10">
        <f t="shared" si="11"/>
        <v>0.20150000000000001</v>
      </c>
      <c r="P71" s="10">
        <f t="shared" si="11"/>
        <v>0.24043340234644581</v>
      </c>
      <c r="R71" s="133" t="s">
        <v>1722</v>
      </c>
    </row>
    <row r="72" spans="2:18" x14ac:dyDescent="0.3">
      <c r="B72" s="133" t="s">
        <v>350</v>
      </c>
      <c r="C72" s="133" t="s">
        <v>338</v>
      </c>
      <c r="D72" s="10">
        <f t="shared" ref="D72:P72" si="12">D70*D56/D55</f>
        <v>0.2447552795031056</v>
      </c>
      <c r="E72" s="10">
        <f t="shared" si="12"/>
        <v>0.23863308270676692</v>
      </c>
      <c r="F72" s="10">
        <f t="shared" si="12"/>
        <v>0.35193675889328063</v>
      </c>
      <c r="G72" s="10">
        <f t="shared" si="12"/>
        <v>0.32714354066985646</v>
      </c>
      <c r="H72" s="10">
        <f t="shared" si="12"/>
        <v>0.25369833601717656</v>
      </c>
      <c r="I72" s="10">
        <f t="shared" si="12"/>
        <v>0.32830434782608703</v>
      </c>
      <c r="J72" s="10">
        <f t="shared" si="12"/>
        <v>0.31147086466165419</v>
      </c>
      <c r="K72" s="10">
        <f t="shared" si="12"/>
        <v>0.37333333333333335</v>
      </c>
      <c r="L72" s="10">
        <f t="shared" si="12"/>
        <v>0.41247368421052633</v>
      </c>
      <c r="M72" s="10">
        <f t="shared" si="12"/>
        <v>0.53003402646502829</v>
      </c>
      <c r="N72" s="10">
        <f t="shared" si="12"/>
        <v>0.49553203661327233</v>
      </c>
      <c r="O72" s="10">
        <f t="shared" si="12"/>
        <v>0.14484482758620687</v>
      </c>
      <c r="P72" s="10">
        <f t="shared" si="12"/>
        <v>0.25290545203588677</v>
      </c>
      <c r="R72" s="133" t="s">
        <v>1721</v>
      </c>
    </row>
    <row r="73" spans="2:18" x14ac:dyDescent="0.3">
      <c r="D73" s="10"/>
      <c r="E73" s="10"/>
      <c r="F73" s="10"/>
      <c r="G73" s="10"/>
      <c r="H73" s="10"/>
      <c r="I73" s="10"/>
      <c r="J73" s="10"/>
      <c r="K73" s="10"/>
      <c r="L73" s="10"/>
      <c r="M73" s="10"/>
      <c r="N73" s="10"/>
      <c r="O73" s="10"/>
      <c r="P73" s="10"/>
    </row>
    <row r="74" spans="2:18" x14ac:dyDescent="0.3">
      <c r="D74" s="16"/>
      <c r="E74" s="16"/>
      <c r="F74" s="16"/>
      <c r="G74" s="16"/>
      <c r="H74" s="16"/>
      <c r="I74" s="16"/>
      <c r="J74" s="16"/>
      <c r="K74" s="16"/>
      <c r="L74" s="16"/>
      <c r="M74" s="16"/>
      <c r="N74" s="16"/>
      <c r="O74" s="16"/>
      <c r="P74" s="16"/>
    </row>
    <row r="75" spans="2:18" x14ac:dyDescent="0.3">
      <c r="B75" s="133" t="s">
        <v>1708</v>
      </c>
      <c r="C75" s="133" t="s">
        <v>302</v>
      </c>
      <c r="D75" s="8">
        <f t="shared" ref="D75:P75" si="13">100-D41</f>
        <v>18.799999999999997</v>
      </c>
      <c r="E75" s="8">
        <f t="shared" si="13"/>
        <v>29.560000000000002</v>
      </c>
      <c r="F75" s="8">
        <f t="shared" si="13"/>
        <v>20.079999999999998</v>
      </c>
      <c r="G75" s="8">
        <f t="shared" si="13"/>
        <v>26.83</v>
      </c>
      <c r="H75" s="8">
        <f t="shared" si="13"/>
        <v>18.930000000000007</v>
      </c>
      <c r="I75" s="8">
        <f t="shared" si="13"/>
        <v>25.89</v>
      </c>
      <c r="J75" s="8">
        <f t="shared" si="13"/>
        <v>30.790000000000006</v>
      </c>
      <c r="K75" s="8">
        <f t="shared" si="13"/>
        <v>13.239999999999995</v>
      </c>
      <c r="L75" s="8">
        <f t="shared" si="13"/>
        <v>25.650000000000006</v>
      </c>
      <c r="M75" s="8">
        <f t="shared" si="13"/>
        <v>21.549999999999997</v>
      </c>
      <c r="N75" s="8">
        <f t="shared" si="13"/>
        <v>30.810000000000002</v>
      </c>
      <c r="O75" s="8">
        <f t="shared" si="13"/>
        <v>7.9300000000000068</v>
      </c>
      <c r="P75" s="8">
        <f t="shared" si="13"/>
        <v>19.86</v>
      </c>
    </row>
    <row r="76" spans="2:18" x14ac:dyDescent="0.3">
      <c r="D76" s="16">
        <f>E75-D75</f>
        <v>10.760000000000005</v>
      </c>
      <c r="E76" s="16"/>
      <c r="F76" s="16">
        <f>G75-F75</f>
        <v>6.75</v>
      </c>
      <c r="G76" s="16"/>
      <c r="H76" s="16"/>
      <c r="I76" s="16"/>
      <c r="J76" s="16"/>
      <c r="K76" s="16">
        <f>L75-K75</f>
        <v>12.410000000000011</v>
      </c>
      <c r="L76" s="16"/>
      <c r="M76" s="16">
        <f>N75-M75</f>
        <v>9.2600000000000051</v>
      </c>
      <c r="N76" s="16"/>
      <c r="O76" s="16"/>
      <c r="P76" s="16"/>
    </row>
    <row r="77" spans="2:18" x14ac:dyDescent="0.3">
      <c r="B77" s="133" t="s">
        <v>2143</v>
      </c>
      <c r="C77" s="133" t="s">
        <v>338</v>
      </c>
      <c r="D77" s="16">
        <f>D39*D40/D47</f>
        <v>5.6841101449275362</v>
      </c>
      <c r="E77" s="16"/>
      <c r="F77" s="16">
        <f>F39*F40/F47</f>
        <v>2.6668985507246377</v>
      </c>
      <c r="G77" s="16"/>
      <c r="H77" s="16"/>
      <c r="I77" s="16"/>
      <c r="J77" s="16"/>
      <c r="K77" s="16">
        <f>K39*K40/K47</f>
        <v>4.570086956521739</v>
      </c>
      <c r="L77" s="16"/>
      <c r="M77" s="16">
        <f>M39*M40/M47</f>
        <v>10.946173913043477</v>
      </c>
      <c r="N77" s="16"/>
      <c r="O77" s="16"/>
      <c r="P77" s="16"/>
    </row>
    <row r="78" spans="2:18" x14ac:dyDescent="0.3">
      <c r="D78" s="16"/>
      <c r="E78" s="16"/>
      <c r="F78" s="16"/>
      <c r="G78" s="16"/>
      <c r="H78" s="16"/>
      <c r="I78" s="16"/>
      <c r="J78" s="16"/>
      <c r="K78" s="16"/>
      <c r="L78" s="16"/>
      <c r="M78" s="16"/>
      <c r="N78" s="16"/>
      <c r="O78" s="16"/>
      <c r="P78" s="16"/>
    </row>
    <row r="79" spans="2:18" x14ac:dyDescent="0.3">
      <c r="B79" s="148" t="s">
        <v>460</v>
      </c>
      <c r="D79" s="134">
        <f>D77/4</f>
        <v>1.421027536231884</v>
      </c>
      <c r="F79" s="134">
        <f>F77/4</f>
        <v>0.66672463768115942</v>
      </c>
      <c r="K79" s="134">
        <f>K77/4</f>
        <v>1.1425217391304348</v>
      </c>
      <c r="M79" s="134">
        <f>M77/4</f>
        <v>2.7365434782608693</v>
      </c>
    </row>
    <row r="80" spans="2:18" x14ac:dyDescent="0.3">
      <c r="B80" s="148" t="s">
        <v>402</v>
      </c>
      <c r="D80" s="10">
        <f>D70-E70</f>
        <v>2.3481006864988552E-2</v>
      </c>
      <c r="F80" s="10">
        <f>F70-G70</f>
        <v>5.5405311698217885E-2</v>
      </c>
      <c r="K80" s="10">
        <f>K70-L70</f>
        <v>4.3746758199847469E-2</v>
      </c>
      <c r="M80" s="10">
        <f>M70-N70</f>
        <v>7.5426126753556866E-2</v>
      </c>
    </row>
    <row r="81" spans="2:16" x14ac:dyDescent="0.3">
      <c r="B81" s="148" t="s">
        <v>2086</v>
      </c>
      <c r="D81" s="10">
        <f>E72-D72</f>
        <v>-6.1221967963386859E-3</v>
      </c>
      <c r="F81" s="10">
        <f>G72-F72</f>
        <v>-2.4793218223424174E-2</v>
      </c>
      <c r="K81" s="10">
        <f>L72-K72</f>
        <v>3.9140350877192975E-2</v>
      </c>
      <c r="M81" s="10">
        <f>N72-M72</f>
        <v>-3.4501989851755954E-2</v>
      </c>
    </row>
    <row r="82" spans="2:16" x14ac:dyDescent="0.3">
      <c r="B82" s="148" t="s">
        <v>93</v>
      </c>
      <c r="D82" s="133" t="s">
        <v>1671</v>
      </c>
      <c r="F82" s="133" t="s">
        <v>1671</v>
      </c>
      <c r="K82" s="133" t="s">
        <v>1671</v>
      </c>
      <c r="M82" s="133" t="s">
        <v>1671</v>
      </c>
    </row>
    <row r="83" spans="2:16" x14ac:dyDescent="0.3">
      <c r="B83" s="148" t="s">
        <v>462</v>
      </c>
      <c r="D83" s="133" t="s">
        <v>1671</v>
      </c>
      <c r="F83" s="133" t="s">
        <v>1671</v>
      </c>
      <c r="K83" s="133" t="s">
        <v>1671</v>
      </c>
      <c r="M83" s="133" t="s">
        <v>1671</v>
      </c>
    </row>
    <row r="84" spans="2:16" x14ac:dyDescent="0.3">
      <c r="B84" s="148" t="s">
        <v>2085</v>
      </c>
      <c r="D84" s="134">
        <f>D80/D79</f>
        <v>1.6523963305632178E-2</v>
      </c>
      <c r="F84" s="134">
        <f>F80/F79</f>
        <v>8.3100741395901095E-2</v>
      </c>
      <c r="K84" s="134">
        <f>K80/K79</f>
        <v>3.8289650604935374E-2</v>
      </c>
      <c r="M84" s="134">
        <f>M80/M79</f>
        <v>2.7562553766363598E-2</v>
      </c>
    </row>
    <row r="85" spans="2:16" x14ac:dyDescent="0.3">
      <c r="B85" s="148" t="s">
        <v>2087</v>
      </c>
      <c r="D85" s="133" t="s">
        <v>1671</v>
      </c>
      <c r="F85" s="133" t="s">
        <v>1671</v>
      </c>
      <c r="K85" s="133" t="s">
        <v>1671</v>
      </c>
      <c r="M85" s="133" t="s">
        <v>1671</v>
      </c>
    </row>
    <row r="86" spans="2:16" x14ac:dyDescent="0.3">
      <c r="B86" s="148" t="s">
        <v>2088</v>
      </c>
      <c r="D86" s="133" t="s">
        <v>1671</v>
      </c>
      <c r="F86" s="133" t="s">
        <v>1671</v>
      </c>
      <c r="K86" s="133" t="s">
        <v>1671</v>
      </c>
      <c r="M86" s="133" t="s">
        <v>1671</v>
      </c>
    </row>
    <row r="87" spans="2:16" x14ac:dyDescent="0.3">
      <c r="B87" s="148" t="s">
        <v>2096</v>
      </c>
      <c r="D87" s="134">
        <f>D80/E72</f>
        <v>9.8397953035883487E-2</v>
      </c>
      <c r="F87" s="134">
        <f>F80/G72</f>
        <v>0.16936086093819985</v>
      </c>
      <c r="K87" s="134">
        <f>K80/L72</f>
        <v>0.10605951330829423</v>
      </c>
      <c r="M87" s="134">
        <f>M80/N72</f>
        <v>0.15221241247903738</v>
      </c>
    </row>
    <row r="88" spans="2:16" x14ac:dyDescent="0.3">
      <c r="B88" s="148" t="s">
        <v>2097</v>
      </c>
      <c r="D88" s="133" t="s">
        <v>1671</v>
      </c>
      <c r="F88" s="133" t="s">
        <v>1671</v>
      </c>
      <c r="K88" s="133" t="s">
        <v>1671</v>
      </c>
      <c r="M88" s="133" t="s">
        <v>1671</v>
      </c>
    </row>
    <row r="89" spans="2:16" x14ac:dyDescent="0.3">
      <c r="B89" s="148" t="s">
        <v>2081</v>
      </c>
      <c r="D89" s="133" t="s">
        <v>1671</v>
      </c>
      <c r="F89" s="133" t="s">
        <v>1671</v>
      </c>
      <c r="K89" s="133" t="s">
        <v>1671</v>
      </c>
      <c r="M89" s="133" t="s">
        <v>1671</v>
      </c>
    </row>
    <row r="90" spans="2:16" x14ac:dyDescent="0.3">
      <c r="B90" s="148" t="s">
        <v>2137</v>
      </c>
      <c r="D90" s="133" t="s">
        <v>1671</v>
      </c>
      <c r="F90" s="133" t="s">
        <v>1671</v>
      </c>
      <c r="K90" s="133" t="s">
        <v>1671</v>
      </c>
      <c r="M90" s="133" t="s">
        <v>1671</v>
      </c>
    </row>
    <row r="91" spans="2:16" x14ac:dyDescent="0.3">
      <c r="B91" s="148"/>
    </row>
    <row r="92" spans="2:16" x14ac:dyDescent="0.3">
      <c r="D92" s="16"/>
      <c r="E92" s="16"/>
      <c r="F92" s="16"/>
      <c r="G92" s="16"/>
      <c r="H92" s="24" t="s">
        <v>1512</v>
      </c>
      <c r="I92" s="24" t="s">
        <v>1714</v>
      </c>
      <c r="J92" s="24" t="s">
        <v>1714</v>
      </c>
      <c r="K92" s="16"/>
      <c r="L92" s="16"/>
      <c r="M92" s="16"/>
      <c r="N92" s="16"/>
      <c r="O92" s="24" t="s">
        <v>1512</v>
      </c>
      <c r="P92" s="24" t="s">
        <v>1512</v>
      </c>
    </row>
    <row r="93" spans="2:16" x14ac:dyDescent="0.3">
      <c r="B93" s="6" t="s">
        <v>359</v>
      </c>
      <c r="D93" s="175" t="s">
        <v>1563</v>
      </c>
      <c r="E93" s="66" t="s">
        <v>1564</v>
      </c>
      <c r="F93" s="66" t="s">
        <v>1565</v>
      </c>
      <c r="G93" s="66" t="s">
        <v>1566</v>
      </c>
      <c r="H93" s="183" t="s">
        <v>1567</v>
      </c>
      <c r="I93" s="183" t="s">
        <v>1568</v>
      </c>
      <c r="J93" s="183" t="s">
        <v>1569</v>
      </c>
      <c r="K93" s="66" t="s">
        <v>1591</v>
      </c>
      <c r="L93" s="66" t="s">
        <v>1570</v>
      </c>
      <c r="M93" s="66" t="s">
        <v>1571</v>
      </c>
      <c r="N93" s="66" t="s">
        <v>1572</v>
      </c>
      <c r="O93" s="183" t="s">
        <v>1573</v>
      </c>
      <c r="P93" s="183" t="s">
        <v>1574</v>
      </c>
    </row>
    <row r="94" spans="2:16" x14ac:dyDescent="0.3">
      <c r="B94" s="148" t="s">
        <v>1795</v>
      </c>
      <c r="D94" s="175"/>
      <c r="E94" s="175" t="s">
        <v>1954</v>
      </c>
      <c r="F94" s="175" t="s">
        <v>1686</v>
      </c>
      <c r="G94" s="175" t="s">
        <v>1954</v>
      </c>
      <c r="H94" s="197" t="s">
        <v>1954</v>
      </c>
      <c r="I94" s="197" t="s">
        <v>1954</v>
      </c>
      <c r="J94" s="197" t="s">
        <v>1954</v>
      </c>
      <c r="K94" s="175" t="s">
        <v>1686</v>
      </c>
      <c r="L94" s="175" t="s">
        <v>1955</v>
      </c>
      <c r="M94" s="175" t="s">
        <v>1686</v>
      </c>
      <c r="N94" s="175" t="s">
        <v>1955</v>
      </c>
      <c r="O94" s="197" t="s">
        <v>1955</v>
      </c>
      <c r="P94" s="197" t="s">
        <v>1954</v>
      </c>
    </row>
    <row r="95" spans="2:16" x14ac:dyDescent="0.3">
      <c r="B95" s="148" t="s">
        <v>1791</v>
      </c>
      <c r="D95" s="175" t="s">
        <v>1105</v>
      </c>
      <c r="E95" s="66" t="s">
        <v>1104</v>
      </c>
      <c r="F95" s="175" t="s">
        <v>1105</v>
      </c>
      <c r="G95" s="66" t="s">
        <v>1104</v>
      </c>
      <c r="H95" s="24" t="s">
        <v>1512</v>
      </c>
      <c r="I95" s="24" t="s">
        <v>1714</v>
      </c>
      <c r="J95" s="24" t="s">
        <v>1714</v>
      </c>
      <c r="K95" s="175" t="s">
        <v>1105</v>
      </c>
      <c r="L95" s="66" t="s">
        <v>1104</v>
      </c>
      <c r="M95" s="175" t="s">
        <v>1105</v>
      </c>
      <c r="N95" s="66" t="s">
        <v>1104</v>
      </c>
      <c r="O95" s="24" t="s">
        <v>1512</v>
      </c>
      <c r="P95" s="24" t="s">
        <v>1512</v>
      </c>
    </row>
    <row r="96" spans="2:16" x14ac:dyDescent="0.3">
      <c r="B96" s="133" t="s">
        <v>33</v>
      </c>
      <c r="C96" s="133" t="s">
        <v>270</v>
      </c>
      <c r="D96" s="134">
        <f>D52</f>
        <v>0.69730848861283645</v>
      </c>
      <c r="E96" s="134">
        <f>E52</f>
        <v>0.76240601503759398</v>
      </c>
      <c r="F96" s="134">
        <f>F52</f>
        <v>1.1172595520421607</v>
      </c>
      <c r="G96" s="134">
        <f>G52</f>
        <v>1.0191387559808613</v>
      </c>
      <c r="H96" s="24"/>
      <c r="I96" s="182"/>
      <c r="J96" s="182"/>
      <c r="K96" s="134">
        <f>K52</f>
        <v>1.0144927536231885</v>
      </c>
      <c r="L96" s="134">
        <f>L52</f>
        <v>0.89473684210526316</v>
      </c>
      <c r="M96" s="134">
        <f>M52</f>
        <v>1.3875236294896029</v>
      </c>
      <c r="N96" s="134">
        <f>N52</f>
        <v>1.2705949656750573</v>
      </c>
      <c r="O96" s="182"/>
      <c r="P96" s="182"/>
    </row>
    <row r="97" spans="2:18" x14ac:dyDescent="0.3">
      <c r="B97" s="133" t="s">
        <v>26</v>
      </c>
      <c r="C97" s="133" t="s">
        <v>25</v>
      </c>
      <c r="D97" s="133">
        <f t="shared" ref="D97:P97" si="14">D35</f>
        <v>35</v>
      </c>
      <c r="E97" s="133">
        <f t="shared" si="14"/>
        <v>35</v>
      </c>
      <c r="F97" s="133">
        <f t="shared" si="14"/>
        <v>22</v>
      </c>
      <c r="G97" s="133">
        <f t="shared" si="14"/>
        <v>22</v>
      </c>
      <c r="H97" s="24">
        <f t="shared" si="14"/>
        <v>81</v>
      </c>
      <c r="I97" s="24">
        <f t="shared" si="14"/>
        <v>28</v>
      </c>
      <c r="J97" s="24">
        <f t="shared" si="14"/>
        <v>28</v>
      </c>
      <c r="K97" s="133">
        <f t="shared" si="14"/>
        <v>24</v>
      </c>
      <c r="L97" s="133">
        <f t="shared" si="14"/>
        <v>24</v>
      </c>
      <c r="M97" s="133">
        <f t="shared" si="14"/>
        <v>46</v>
      </c>
      <c r="N97" s="133">
        <f t="shared" si="14"/>
        <v>46</v>
      </c>
      <c r="O97" s="24">
        <f t="shared" si="14"/>
        <v>116</v>
      </c>
      <c r="P97" s="24">
        <f t="shared" si="14"/>
        <v>84</v>
      </c>
    </row>
    <row r="98" spans="2:18" x14ac:dyDescent="0.3">
      <c r="B98" s="133" t="s">
        <v>1544</v>
      </c>
      <c r="C98" s="133" t="s">
        <v>338</v>
      </c>
      <c r="D98" s="16">
        <f>D77</f>
        <v>5.6841101449275362</v>
      </c>
      <c r="E98" s="16"/>
      <c r="F98" s="16">
        <f>F77</f>
        <v>2.6668985507246377</v>
      </c>
      <c r="G98" s="16"/>
      <c r="H98" s="24"/>
      <c r="I98" s="24"/>
      <c r="J98" s="24"/>
      <c r="K98" s="16">
        <f>K77</f>
        <v>4.570086956521739</v>
      </c>
      <c r="L98" s="16"/>
      <c r="M98" s="16">
        <f>M77</f>
        <v>10.946173913043477</v>
      </c>
      <c r="N98" s="16"/>
      <c r="O98" s="24"/>
      <c r="P98" s="24"/>
      <c r="Q98" s="16"/>
      <c r="R98" s="133" t="s">
        <v>2144</v>
      </c>
    </row>
    <row r="99" spans="2:18" x14ac:dyDescent="0.3">
      <c r="B99" s="133" t="s">
        <v>351</v>
      </c>
      <c r="C99" s="133" t="s">
        <v>377</v>
      </c>
      <c r="D99" s="10">
        <f t="shared" ref="D99:P99" si="15">D38/1000</f>
        <v>0.34200000000000003</v>
      </c>
      <c r="E99" s="10">
        <f t="shared" si="15"/>
        <v>0.28199999999999997</v>
      </c>
      <c r="F99" s="10">
        <f t="shared" si="15"/>
        <v>0.30499999999999999</v>
      </c>
      <c r="G99" s="10">
        <f t="shared" si="15"/>
        <v>0.28000000000000003</v>
      </c>
      <c r="H99" s="79">
        <f t="shared" si="15"/>
        <v>0.371</v>
      </c>
      <c r="I99" s="79">
        <f t="shared" si="15"/>
        <v>0.29399999999999998</v>
      </c>
      <c r="J99" s="79">
        <f t="shared" si="15"/>
        <v>0.29899999999999999</v>
      </c>
      <c r="K99" s="10">
        <f t="shared" si="15"/>
        <v>0.313</v>
      </c>
      <c r="L99" s="10">
        <f t="shared" si="15"/>
        <v>0.30599999999999999</v>
      </c>
      <c r="M99" s="10">
        <f t="shared" si="15"/>
        <v>0.40600000000000003</v>
      </c>
      <c r="N99" s="10">
        <f t="shared" si="15"/>
        <v>0.38400000000000001</v>
      </c>
      <c r="O99" s="79">
        <f t="shared" si="15"/>
        <v>0.377</v>
      </c>
      <c r="P99" s="79">
        <f t="shared" si="15"/>
        <v>0.34699999999999998</v>
      </c>
    </row>
    <row r="100" spans="2:18" x14ac:dyDescent="0.3">
      <c r="B100" s="133" t="s">
        <v>352</v>
      </c>
      <c r="C100" s="133" t="s">
        <v>377</v>
      </c>
      <c r="D100" s="10">
        <f>D99-E99</f>
        <v>6.0000000000000053E-2</v>
      </c>
      <c r="F100" s="10">
        <f>F99-G99</f>
        <v>2.4999999999999967E-2</v>
      </c>
      <c r="H100" s="24"/>
      <c r="I100" s="24"/>
      <c r="J100" s="24"/>
      <c r="K100" s="10">
        <f>K99-L99</f>
        <v>7.0000000000000062E-3</v>
      </c>
      <c r="M100" s="10">
        <f>M99-N99</f>
        <v>2.200000000000002E-2</v>
      </c>
      <c r="O100" s="24"/>
      <c r="P100" s="24"/>
    </row>
    <row r="101" spans="2:18" x14ac:dyDescent="0.3">
      <c r="B101" s="133" t="s">
        <v>353</v>
      </c>
      <c r="C101" s="133" t="s">
        <v>92</v>
      </c>
      <c r="D101" s="10">
        <f>D100/$E99</f>
        <v>0.21276595744680871</v>
      </c>
      <c r="F101" s="10">
        <f>F100/$E99</f>
        <v>8.8652482269503438E-2</v>
      </c>
      <c r="H101" s="24"/>
      <c r="I101" s="24"/>
      <c r="J101" s="24"/>
      <c r="K101" s="10">
        <f>K100/$E99</f>
        <v>2.4822695035461018E-2</v>
      </c>
      <c r="M101" s="10">
        <f>M100/$E99</f>
        <v>7.8014184397163192E-2</v>
      </c>
      <c r="O101" s="24"/>
      <c r="P101" s="24"/>
    </row>
    <row r="102" spans="2:18" x14ac:dyDescent="0.3">
      <c r="B102" s="133" t="s">
        <v>293</v>
      </c>
      <c r="C102" s="133" t="s">
        <v>338</v>
      </c>
      <c r="D102" s="10">
        <f>D70</f>
        <v>0.23847950310559005</v>
      </c>
      <c r="E102" s="10">
        <f t="shared" ref="E102:P102" si="16">E70</f>
        <v>0.21499849624060149</v>
      </c>
      <c r="F102" s="10">
        <f t="shared" si="16"/>
        <v>0.34076416337285903</v>
      </c>
      <c r="G102" s="10">
        <f t="shared" si="16"/>
        <v>0.28535885167464115</v>
      </c>
      <c r="H102" s="79">
        <f t="shared" si="16"/>
        <v>0.28012524601896582</v>
      </c>
      <c r="I102" s="79">
        <f t="shared" si="16"/>
        <v>0.25534782608695655</v>
      </c>
      <c r="J102" s="79">
        <f t="shared" si="16"/>
        <v>0.2357716165413534</v>
      </c>
      <c r="K102" s="10">
        <f t="shared" si="16"/>
        <v>0.317536231884058</v>
      </c>
      <c r="L102" s="10">
        <f t="shared" si="16"/>
        <v>0.27378947368421053</v>
      </c>
      <c r="M102" s="10">
        <f t="shared" si="16"/>
        <v>0.56333459357277882</v>
      </c>
      <c r="N102" s="10">
        <f t="shared" si="16"/>
        <v>0.48790846681922195</v>
      </c>
      <c r="O102" s="79">
        <f t="shared" si="16"/>
        <v>0.20150000000000001</v>
      </c>
      <c r="P102" s="79">
        <f t="shared" si="16"/>
        <v>0.24043340234644581</v>
      </c>
    </row>
    <row r="103" spans="2:18" x14ac:dyDescent="0.3">
      <c r="B103" s="133" t="s">
        <v>402</v>
      </c>
      <c r="C103" s="133" t="s">
        <v>338</v>
      </c>
      <c r="D103" s="133" t="s">
        <v>301</v>
      </c>
      <c r="E103" s="133" t="s">
        <v>301</v>
      </c>
      <c r="F103" s="133" t="s">
        <v>301</v>
      </c>
      <c r="G103" s="133" t="s">
        <v>301</v>
      </c>
      <c r="H103" s="24" t="s">
        <v>301</v>
      </c>
      <c r="I103" s="24" t="s">
        <v>301</v>
      </c>
      <c r="J103" s="24" t="s">
        <v>301</v>
      </c>
      <c r="K103" s="133" t="s">
        <v>301</v>
      </c>
      <c r="L103" s="133" t="s">
        <v>301</v>
      </c>
      <c r="M103" s="133" t="s">
        <v>301</v>
      </c>
      <c r="N103" s="133" t="s">
        <v>301</v>
      </c>
      <c r="O103" s="24" t="s">
        <v>301</v>
      </c>
      <c r="P103" s="24" t="s">
        <v>301</v>
      </c>
      <c r="R103" s="133" t="s">
        <v>2052</v>
      </c>
    </row>
    <row r="104" spans="2:18" x14ac:dyDescent="0.3">
      <c r="B104" s="133" t="s">
        <v>3</v>
      </c>
      <c r="C104" s="133" t="s">
        <v>302</v>
      </c>
      <c r="D104" s="134" t="s">
        <v>2110</v>
      </c>
      <c r="E104" s="134" t="s">
        <v>2110</v>
      </c>
      <c r="F104" s="134" t="s">
        <v>2110</v>
      </c>
      <c r="G104" s="134" t="s">
        <v>2110</v>
      </c>
      <c r="H104" s="46" t="s">
        <v>2110</v>
      </c>
      <c r="I104" s="46" t="s">
        <v>2110</v>
      </c>
      <c r="J104" s="46" t="s">
        <v>2110</v>
      </c>
      <c r="K104" s="134" t="s">
        <v>2110</v>
      </c>
      <c r="L104" s="134" t="s">
        <v>2110</v>
      </c>
      <c r="M104" s="134" t="s">
        <v>2110</v>
      </c>
      <c r="N104" s="134" t="s">
        <v>2110</v>
      </c>
      <c r="O104" s="46" t="s">
        <v>2110</v>
      </c>
      <c r="P104" s="46" t="s">
        <v>2110</v>
      </c>
    </row>
    <row r="105" spans="2:18" x14ac:dyDescent="0.3">
      <c r="B105" s="133" t="s">
        <v>277</v>
      </c>
      <c r="C105" s="133" t="s">
        <v>302</v>
      </c>
      <c r="D105" s="134" t="s">
        <v>2110</v>
      </c>
      <c r="E105" s="134" t="s">
        <v>2110</v>
      </c>
      <c r="F105" s="134" t="s">
        <v>2110</v>
      </c>
      <c r="G105" s="134" t="s">
        <v>2110</v>
      </c>
      <c r="H105" s="46" t="s">
        <v>2110</v>
      </c>
      <c r="I105" s="46" t="s">
        <v>2110</v>
      </c>
      <c r="J105" s="46" t="s">
        <v>2110</v>
      </c>
      <c r="K105" s="134" t="s">
        <v>2110</v>
      </c>
      <c r="L105" s="134" t="s">
        <v>2110</v>
      </c>
      <c r="M105" s="134" t="s">
        <v>2110</v>
      </c>
      <c r="N105" s="134" t="s">
        <v>2110</v>
      </c>
      <c r="O105" s="46" t="s">
        <v>2110</v>
      </c>
      <c r="P105" s="46" t="s">
        <v>2110</v>
      </c>
    </row>
    <row r="106" spans="2:18" x14ac:dyDescent="0.3">
      <c r="B106" s="133" t="s">
        <v>13</v>
      </c>
      <c r="C106" s="133" t="s">
        <v>302</v>
      </c>
      <c r="D106" s="134" t="s">
        <v>1671</v>
      </c>
      <c r="E106" s="134" t="s">
        <v>1671</v>
      </c>
      <c r="F106" s="134" t="s">
        <v>1671</v>
      </c>
      <c r="G106" s="134" t="s">
        <v>1671</v>
      </c>
      <c r="H106" s="46" t="s">
        <v>1671</v>
      </c>
      <c r="I106" s="46" t="s">
        <v>1671</v>
      </c>
      <c r="J106" s="46" t="s">
        <v>1671</v>
      </c>
      <c r="K106" s="134" t="s">
        <v>1671</v>
      </c>
      <c r="L106" s="134" t="s">
        <v>1671</v>
      </c>
      <c r="M106" s="134" t="s">
        <v>1671</v>
      </c>
      <c r="N106" s="134" t="s">
        <v>1671</v>
      </c>
      <c r="O106" s="46" t="s">
        <v>1671</v>
      </c>
      <c r="P106" s="46" t="s">
        <v>1671</v>
      </c>
    </row>
    <row r="107" spans="2:18" x14ac:dyDescent="0.3">
      <c r="B107" s="133" t="s">
        <v>35</v>
      </c>
      <c r="D107" s="134" t="s">
        <v>1671</v>
      </c>
      <c r="E107" s="134" t="s">
        <v>1671</v>
      </c>
      <c r="F107" s="134" t="s">
        <v>1671</v>
      </c>
      <c r="G107" s="134" t="s">
        <v>1671</v>
      </c>
      <c r="H107" s="46" t="s">
        <v>1671</v>
      </c>
      <c r="I107" s="46" t="s">
        <v>1671</v>
      </c>
      <c r="J107" s="46" t="s">
        <v>1671</v>
      </c>
      <c r="K107" s="134" t="s">
        <v>1671</v>
      </c>
      <c r="L107" s="134" t="s">
        <v>1671</v>
      </c>
      <c r="M107" s="134" t="s">
        <v>1671</v>
      </c>
      <c r="N107" s="134" t="s">
        <v>1671</v>
      </c>
      <c r="O107" s="46" t="s">
        <v>1671</v>
      </c>
      <c r="P107" s="46" t="s">
        <v>1671</v>
      </c>
    </row>
    <row r="108" spans="2:18" x14ac:dyDescent="0.3">
      <c r="B108" s="133" t="s">
        <v>52</v>
      </c>
      <c r="C108" s="133" t="s">
        <v>621</v>
      </c>
      <c r="D108" s="134" t="s">
        <v>1671</v>
      </c>
      <c r="E108" s="134" t="s">
        <v>1671</v>
      </c>
      <c r="F108" s="134" t="s">
        <v>1671</v>
      </c>
      <c r="G108" s="134" t="s">
        <v>1671</v>
      </c>
      <c r="H108" s="46" t="s">
        <v>1671</v>
      </c>
      <c r="I108" s="46" t="s">
        <v>1671</v>
      </c>
      <c r="J108" s="46" t="s">
        <v>1671</v>
      </c>
      <c r="K108" s="134" t="s">
        <v>1671</v>
      </c>
      <c r="L108" s="134" t="s">
        <v>1671</v>
      </c>
      <c r="M108" s="134" t="s">
        <v>1671</v>
      </c>
      <c r="N108" s="134" t="s">
        <v>1671</v>
      </c>
      <c r="O108" s="46" t="s">
        <v>1671</v>
      </c>
      <c r="P108" s="46" t="s">
        <v>1671</v>
      </c>
    </row>
    <row r="109" spans="2:18" x14ac:dyDescent="0.3">
      <c r="B109" s="133" t="s">
        <v>558</v>
      </c>
      <c r="C109" s="133" t="s">
        <v>621</v>
      </c>
      <c r="D109" s="134" t="s">
        <v>1671</v>
      </c>
      <c r="E109" s="134" t="s">
        <v>1671</v>
      </c>
      <c r="F109" s="134" t="s">
        <v>1671</v>
      </c>
      <c r="G109" s="134" t="s">
        <v>1671</v>
      </c>
      <c r="H109" s="46" t="s">
        <v>1671</v>
      </c>
      <c r="I109" s="46" t="s">
        <v>1671</v>
      </c>
      <c r="J109" s="46" t="s">
        <v>1671</v>
      </c>
      <c r="K109" s="134" t="s">
        <v>1671</v>
      </c>
      <c r="L109" s="134" t="s">
        <v>1671</v>
      </c>
      <c r="M109" s="134" t="s">
        <v>1671</v>
      </c>
      <c r="N109" s="134" t="s">
        <v>1671</v>
      </c>
      <c r="O109" s="46" t="s">
        <v>1671</v>
      </c>
      <c r="P109" s="46" t="s">
        <v>1671</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7325-8D86-430A-9F74-21BF512DF021}">
  <dimension ref="A2:AG443"/>
  <sheetViews>
    <sheetView zoomScaleNormal="100" workbookViewId="0"/>
  </sheetViews>
  <sheetFormatPr defaultRowHeight="14.4" x14ac:dyDescent="0.3"/>
  <cols>
    <col min="2" max="2" width="21.5546875" customWidth="1"/>
    <col min="3" max="3" width="10.88671875" customWidth="1"/>
    <col min="4" max="4" width="10.5546875" bestFit="1" customWidth="1"/>
    <col min="5" max="5" width="12.109375" bestFit="1" customWidth="1"/>
    <col min="6" max="6" width="10.6640625" bestFit="1" customWidth="1"/>
    <col min="12" max="12" width="14.21875" customWidth="1"/>
    <col min="13" max="13" width="10.77734375" bestFit="1" customWidth="1"/>
    <col min="14" max="14" width="12" bestFit="1" customWidth="1"/>
    <col min="15" max="19" width="10.77734375" bestFit="1" customWidth="1"/>
    <col min="20" max="20" width="12" bestFit="1" customWidth="1"/>
    <col min="21" max="23" width="10.77734375" bestFit="1" customWidth="1"/>
  </cols>
  <sheetData>
    <row r="2" spans="2:5" x14ac:dyDescent="0.3">
      <c r="B2" s="14" t="s">
        <v>1785</v>
      </c>
    </row>
    <row r="3" spans="2:5" x14ac:dyDescent="0.3">
      <c r="B3" t="s">
        <v>1117</v>
      </c>
    </row>
    <row r="4" spans="2:5" x14ac:dyDescent="0.3">
      <c r="B4" t="s">
        <v>1123</v>
      </c>
    </row>
    <row r="6" spans="2:5" s="133" customFormat="1" x14ac:dyDescent="0.3">
      <c r="B6" s="148" t="s">
        <v>114</v>
      </c>
      <c r="D6" s="133" t="s">
        <v>1841</v>
      </c>
    </row>
    <row r="7" spans="2:5" s="133" customFormat="1" x14ac:dyDescent="0.3">
      <c r="B7" s="133" t="s">
        <v>667</v>
      </c>
      <c r="C7" s="133" t="s">
        <v>503</v>
      </c>
      <c r="D7" s="133">
        <v>37</v>
      </c>
    </row>
    <row r="8" spans="2:5" s="133" customFormat="1" x14ac:dyDescent="0.3">
      <c r="B8" s="133" t="s">
        <v>1324</v>
      </c>
      <c r="D8" s="133" t="s">
        <v>1091</v>
      </c>
    </row>
    <row r="9" spans="2:5" s="133" customFormat="1" x14ac:dyDescent="0.3">
      <c r="B9" s="133" t="s">
        <v>956</v>
      </c>
      <c r="C9" s="133" t="s">
        <v>22</v>
      </c>
      <c r="D9" s="133">
        <v>1</v>
      </c>
    </row>
    <row r="10" spans="2:5" s="133" customFormat="1" x14ac:dyDescent="0.3">
      <c r="B10" s="133" t="s">
        <v>32</v>
      </c>
      <c r="C10" s="133" t="s">
        <v>22</v>
      </c>
      <c r="D10">
        <v>0.5</v>
      </c>
    </row>
    <row r="11" spans="2:5" s="133" customFormat="1" x14ac:dyDescent="0.3">
      <c r="B11" s="133" t="s">
        <v>326</v>
      </c>
      <c r="D11" s="133" t="s">
        <v>1341</v>
      </c>
    </row>
    <row r="12" spans="2:5" s="133" customFormat="1" x14ac:dyDescent="0.3">
      <c r="B12" s="133" t="s">
        <v>344</v>
      </c>
      <c r="D12" s="133" t="s">
        <v>665</v>
      </c>
    </row>
    <row r="13" spans="2:5" s="133" customFormat="1" x14ac:dyDescent="0.3">
      <c r="B13" s="133" t="s">
        <v>1332</v>
      </c>
      <c r="D13" s="133" t="s">
        <v>1809</v>
      </c>
    </row>
    <row r="14" spans="2:5" s="133" customFormat="1" x14ac:dyDescent="0.3">
      <c r="B14" s="133" t="s">
        <v>1330</v>
      </c>
      <c r="D14" s="133" t="s">
        <v>1333</v>
      </c>
    </row>
    <row r="15" spans="2:5" s="133" customFormat="1" x14ac:dyDescent="0.3">
      <c r="B15" s="133" t="s">
        <v>1968</v>
      </c>
      <c r="D15" s="133" t="s">
        <v>2090</v>
      </c>
      <c r="E15" s="133" t="s">
        <v>1978</v>
      </c>
    </row>
    <row r="16" spans="2:5" s="133" customFormat="1" x14ac:dyDescent="0.3">
      <c r="B16" s="133" t="s">
        <v>1541</v>
      </c>
      <c r="D16" s="133" t="s">
        <v>1882</v>
      </c>
    </row>
    <row r="17" spans="2:23" s="133" customFormat="1" x14ac:dyDescent="0.3">
      <c r="B17" s="133" t="s">
        <v>1599</v>
      </c>
      <c r="D17" s="133" t="s">
        <v>1818</v>
      </c>
    </row>
    <row r="18" spans="2:23" s="133" customFormat="1" x14ac:dyDescent="0.3"/>
    <row r="19" spans="2:23" x14ac:dyDescent="0.3">
      <c r="B19" s="133" t="s">
        <v>1822</v>
      </c>
      <c r="C19" s="133"/>
      <c r="D19" s="133"/>
      <c r="E19" s="133" t="s">
        <v>1118</v>
      </c>
      <c r="F19" s="133" t="s">
        <v>1119</v>
      </c>
      <c r="G19" s="133" t="s">
        <v>1120</v>
      </c>
      <c r="H19" s="133" t="s">
        <v>1121</v>
      </c>
      <c r="Q19" s="133" t="s">
        <v>287</v>
      </c>
      <c r="R19" s="133"/>
      <c r="S19" s="133"/>
      <c r="T19" s="133" t="s">
        <v>1118</v>
      </c>
      <c r="U19" s="133" t="s">
        <v>1119</v>
      </c>
      <c r="V19" s="133" t="s">
        <v>1120</v>
      </c>
      <c r="W19" s="133" t="s">
        <v>1121</v>
      </c>
    </row>
    <row r="20" spans="2:23" x14ac:dyDescent="0.3">
      <c r="B20" s="133" t="s">
        <v>1124</v>
      </c>
      <c r="C20" s="133" t="s">
        <v>33</v>
      </c>
      <c r="D20" s="133" t="s">
        <v>361</v>
      </c>
      <c r="E20" s="133">
        <v>2</v>
      </c>
      <c r="F20" s="133">
        <v>3</v>
      </c>
      <c r="G20" s="133">
        <v>4</v>
      </c>
      <c r="H20" s="133">
        <v>5</v>
      </c>
      <c r="Q20" s="133" t="s">
        <v>1124</v>
      </c>
      <c r="R20" s="133" t="s">
        <v>33</v>
      </c>
      <c r="S20" s="133" t="s">
        <v>361</v>
      </c>
      <c r="T20" s="133">
        <v>2</v>
      </c>
      <c r="U20" s="133">
        <v>3</v>
      </c>
      <c r="V20" s="133">
        <v>4</v>
      </c>
      <c r="W20" s="133">
        <v>5</v>
      </c>
    </row>
    <row r="21" spans="2:23" x14ac:dyDescent="0.3">
      <c r="B21" s="133"/>
      <c r="C21" s="133" t="s">
        <v>35</v>
      </c>
      <c r="D21" s="133"/>
      <c r="E21" s="133">
        <v>7.12</v>
      </c>
      <c r="F21" s="133">
        <v>7.32</v>
      </c>
      <c r="G21" s="133">
        <v>7.38</v>
      </c>
      <c r="H21" s="133">
        <v>7.38</v>
      </c>
      <c r="Q21" s="133"/>
      <c r="R21" s="133" t="s">
        <v>35</v>
      </c>
      <c r="S21" s="133"/>
      <c r="T21" s="133">
        <v>7.12</v>
      </c>
      <c r="U21" s="133">
        <v>7.32</v>
      </c>
      <c r="V21" s="133">
        <v>7.38</v>
      </c>
      <c r="W21" s="133">
        <v>7.38</v>
      </c>
    </row>
    <row r="22" spans="2:23" x14ac:dyDescent="0.3">
      <c r="B22" s="133"/>
      <c r="C22" s="133" t="s">
        <v>375</v>
      </c>
      <c r="D22" s="133" t="s">
        <v>31</v>
      </c>
      <c r="E22" s="133">
        <v>589</v>
      </c>
      <c r="F22" s="133">
        <v>867</v>
      </c>
      <c r="G22" s="133">
        <v>1159</v>
      </c>
      <c r="H22" s="133">
        <v>1434</v>
      </c>
      <c r="Q22" s="133"/>
      <c r="R22" s="133" t="s">
        <v>375</v>
      </c>
      <c r="S22" s="133" t="s">
        <v>31</v>
      </c>
      <c r="T22" s="133">
        <v>589</v>
      </c>
      <c r="U22" s="133">
        <v>867</v>
      </c>
      <c r="V22" s="133">
        <v>1159</v>
      </c>
      <c r="W22" s="133">
        <v>1434</v>
      </c>
    </row>
    <row r="23" spans="2:23" x14ac:dyDescent="0.3">
      <c r="B23" s="133"/>
      <c r="C23" s="133" t="s">
        <v>3</v>
      </c>
      <c r="D23" s="133" t="s">
        <v>302</v>
      </c>
      <c r="E23" s="8">
        <v>50</v>
      </c>
      <c r="F23" s="8">
        <v>50</v>
      </c>
      <c r="G23" s="8">
        <v>49.7</v>
      </c>
      <c r="H23" s="8">
        <v>48.5</v>
      </c>
      <c r="Q23" s="133"/>
      <c r="R23" s="133" t="s">
        <v>3</v>
      </c>
      <c r="S23" s="133" t="s">
        <v>302</v>
      </c>
      <c r="T23" s="8">
        <v>50</v>
      </c>
      <c r="U23" s="8">
        <v>50</v>
      </c>
      <c r="V23" s="8">
        <v>49.7</v>
      </c>
      <c r="W23" s="8">
        <v>48.5</v>
      </c>
    </row>
    <row r="24" spans="2:23" x14ac:dyDescent="0.3">
      <c r="B24" s="133"/>
      <c r="C24" s="133" t="s">
        <v>277</v>
      </c>
      <c r="D24" s="133" t="s">
        <v>302</v>
      </c>
      <c r="E24" s="133">
        <v>47.2</v>
      </c>
      <c r="F24" s="133">
        <v>47.3</v>
      </c>
      <c r="G24" s="133">
        <v>47.9</v>
      </c>
      <c r="H24" s="133">
        <v>49.1</v>
      </c>
      <c r="Q24" s="133"/>
      <c r="R24" s="133" t="s">
        <v>277</v>
      </c>
      <c r="S24" s="133" t="s">
        <v>302</v>
      </c>
      <c r="T24" s="133">
        <v>47.2</v>
      </c>
      <c r="U24" s="133">
        <v>47.3</v>
      </c>
      <c r="V24" s="133">
        <v>47.9</v>
      </c>
      <c r="W24" s="133">
        <v>49.1</v>
      </c>
    </row>
    <row r="25" spans="2:23" x14ac:dyDescent="0.3">
      <c r="B25" s="133"/>
      <c r="C25" s="133" t="s">
        <v>351</v>
      </c>
      <c r="D25" s="133" t="s">
        <v>701</v>
      </c>
      <c r="E25" s="133">
        <v>0.29399999999999998</v>
      </c>
      <c r="F25" s="133">
        <v>0.28899999999999998</v>
      </c>
      <c r="G25" s="133">
        <v>0.28799999999999998</v>
      </c>
      <c r="H25" s="133">
        <v>0.27800000000000002</v>
      </c>
      <c r="Q25" s="133"/>
      <c r="R25" s="133" t="s">
        <v>351</v>
      </c>
      <c r="S25" s="133" t="s">
        <v>701</v>
      </c>
      <c r="T25" s="133">
        <v>0.29399999999999998</v>
      </c>
      <c r="U25" s="133">
        <v>0.28899999999999998</v>
      </c>
      <c r="V25" s="133">
        <v>0.28799999999999998</v>
      </c>
      <c r="W25" s="133">
        <v>0.27800000000000002</v>
      </c>
    </row>
    <row r="26" spans="2:23" x14ac:dyDescent="0.3">
      <c r="B26" s="133"/>
      <c r="C26" s="133" t="s">
        <v>277</v>
      </c>
      <c r="D26" s="133" t="s">
        <v>31</v>
      </c>
      <c r="E26" s="133">
        <v>278</v>
      </c>
      <c r="F26" s="133">
        <v>410</v>
      </c>
      <c r="G26" s="133">
        <v>555</v>
      </c>
      <c r="H26" s="133">
        <v>704</v>
      </c>
      <c r="Q26" s="133"/>
      <c r="R26" s="133" t="s">
        <v>277</v>
      </c>
      <c r="S26" s="133" t="s">
        <v>31</v>
      </c>
      <c r="T26" s="133">
        <v>278</v>
      </c>
      <c r="U26" s="133">
        <v>410</v>
      </c>
      <c r="V26" s="133">
        <v>555</v>
      </c>
      <c r="W26" s="133">
        <v>704</v>
      </c>
    </row>
    <row r="27" spans="2:23" x14ac:dyDescent="0.3">
      <c r="B27" s="133"/>
      <c r="C27" s="133" t="s">
        <v>1122</v>
      </c>
      <c r="D27" s="133" t="s">
        <v>31</v>
      </c>
      <c r="E27" s="133">
        <v>1112</v>
      </c>
      <c r="F27" s="133">
        <v>1639</v>
      </c>
      <c r="G27" s="133">
        <v>2220</v>
      </c>
      <c r="H27" s="133">
        <v>2816</v>
      </c>
      <c r="Q27" s="133"/>
      <c r="R27" s="133" t="s">
        <v>1122</v>
      </c>
      <c r="S27" s="133" t="s">
        <v>31</v>
      </c>
      <c r="T27" s="133">
        <v>1112</v>
      </c>
      <c r="U27" s="133">
        <v>1639</v>
      </c>
      <c r="V27" s="133">
        <v>2220</v>
      </c>
      <c r="W27" s="133">
        <v>2816</v>
      </c>
    </row>
    <row r="28" spans="2:23" s="133" customFormat="1" x14ac:dyDescent="0.3"/>
    <row r="29" spans="2:23" s="133" customFormat="1" x14ac:dyDescent="0.3">
      <c r="B29" s="6" t="s">
        <v>877</v>
      </c>
    </row>
    <row r="30" spans="2:23" s="133" customFormat="1" ht="15" thickBot="1" x14ac:dyDescent="0.35">
      <c r="B30" s="95" t="s">
        <v>1847</v>
      </c>
      <c r="D30" s="133" t="s">
        <v>273</v>
      </c>
      <c r="L30" s="133" t="s">
        <v>274</v>
      </c>
      <c r="T30" s="133" t="s">
        <v>275</v>
      </c>
    </row>
    <row r="31" spans="2:23" s="133" customFormat="1" x14ac:dyDescent="0.3">
      <c r="B31" s="213" t="s">
        <v>1883</v>
      </c>
      <c r="C31" s="203"/>
      <c r="D31" s="203" t="s">
        <v>1104</v>
      </c>
      <c r="E31" s="203" t="s">
        <v>1104</v>
      </c>
      <c r="F31" s="203" t="s">
        <v>1104</v>
      </c>
      <c r="G31" s="203" t="s">
        <v>1104</v>
      </c>
      <c r="H31" s="203" t="s">
        <v>1104</v>
      </c>
      <c r="I31" s="203" t="s">
        <v>1104</v>
      </c>
      <c r="J31" s="203" t="s">
        <v>1104</v>
      </c>
      <c r="K31" s="203" t="s">
        <v>1104</v>
      </c>
      <c r="L31" s="203" t="s">
        <v>1105</v>
      </c>
      <c r="M31" s="203" t="s">
        <v>1105</v>
      </c>
      <c r="N31" s="203" t="s">
        <v>1105</v>
      </c>
      <c r="O31" s="203" t="s">
        <v>1105</v>
      </c>
      <c r="P31" s="203" t="s">
        <v>1105</v>
      </c>
      <c r="Q31" s="203" t="s">
        <v>1105</v>
      </c>
      <c r="R31" s="203" t="s">
        <v>1105</v>
      </c>
      <c r="S31" s="203" t="s">
        <v>1105</v>
      </c>
      <c r="T31" s="203" t="s">
        <v>1862</v>
      </c>
      <c r="U31" s="203" t="s">
        <v>1862</v>
      </c>
      <c r="V31" s="203"/>
      <c r="W31" s="204"/>
    </row>
    <row r="32" spans="2:23" s="133" customFormat="1" x14ac:dyDescent="0.3">
      <c r="B32" s="214"/>
      <c r="C32" s="80"/>
      <c r="D32" s="80" t="s">
        <v>1860</v>
      </c>
      <c r="E32" s="80"/>
      <c r="F32" s="80" t="s">
        <v>1863</v>
      </c>
      <c r="G32" s="80"/>
      <c r="H32" s="80" t="s">
        <v>1865</v>
      </c>
      <c r="I32" s="80"/>
      <c r="J32" s="80" t="s">
        <v>1866</v>
      </c>
      <c r="K32" s="80"/>
      <c r="L32" s="80" t="s">
        <v>1861</v>
      </c>
      <c r="M32" s="80"/>
      <c r="N32" s="80" t="s">
        <v>1864</v>
      </c>
      <c r="O32" s="80"/>
      <c r="P32" s="80" t="s">
        <v>1867</v>
      </c>
      <c r="Q32" s="80"/>
      <c r="R32" s="80" t="s">
        <v>1868</v>
      </c>
      <c r="S32" s="80"/>
      <c r="T32" s="80" t="s">
        <v>1869</v>
      </c>
      <c r="U32" s="80"/>
      <c r="V32" s="80" t="s">
        <v>1870</v>
      </c>
      <c r="W32" s="206"/>
    </row>
    <row r="33" spans="2:30" s="133" customFormat="1" x14ac:dyDescent="0.3">
      <c r="B33" s="205"/>
      <c r="C33" s="80"/>
      <c r="D33" s="80" t="s">
        <v>1852</v>
      </c>
      <c r="E33" s="80" t="s">
        <v>1853</v>
      </c>
      <c r="F33" s="80" t="s">
        <v>1858</v>
      </c>
      <c r="G33" s="80" t="s">
        <v>1859</v>
      </c>
      <c r="H33" s="76" t="s">
        <v>1856</v>
      </c>
      <c r="I33" s="76" t="s">
        <v>1857</v>
      </c>
      <c r="J33" s="76" t="s">
        <v>1854</v>
      </c>
      <c r="K33" s="76" t="s">
        <v>1855</v>
      </c>
      <c r="L33" s="80" t="s">
        <v>1852</v>
      </c>
      <c r="M33" s="80" t="s">
        <v>1853</v>
      </c>
      <c r="N33" s="80" t="s">
        <v>1858</v>
      </c>
      <c r="O33" s="80" t="s">
        <v>1859</v>
      </c>
      <c r="P33" s="76" t="s">
        <v>1856</v>
      </c>
      <c r="Q33" s="76" t="s">
        <v>1857</v>
      </c>
      <c r="R33" s="76" t="s">
        <v>1854</v>
      </c>
      <c r="S33" s="76" t="s">
        <v>1855</v>
      </c>
      <c r="T33" s="80" t="s">
        <v>1852</v>
      </c>
      <c r="U33" s="80" t="s">
        <v>1853</v>
      </c>
      <c r="V33" s="80" t="s">
        <v>1858</v>
      </c>
      <c r="W33" s="206" t="s">
        <v>1859</v>
      </c>
      <c r="X33" s="103"/>
      <c r="Y33" s="103"/>
      <c r="Z33" s="103"/>
      <c r="AA33" s="103"/>
    </row>
    <row r="34" spans="2:30" s="133" customFormat="1" x14ac:dyDescent="0.3">
      <c r="B34" s="205" t="s">
        <v>33</v>
      </c>
      <c r="C34" s="80" t="s">
        <v>361</v>
      </c>
      <c r="D34" s="80">
        <v>2</v>
      </c>
      <c r="E34" s="80">
        <v>2</v>
      </c>
      <c r="F34" s="80">
        <v>3</v>
      </c>
      <c r="G34" s="80">
        <v>3</v>
      </c>
      <c r="H34" s="80">
        <v>4</v>
      </c>
      <c r="I34" s="80">
        <v>4</v>
      </c>
      <c r="J34" s="80">
        <v>5</v>
      </c>
      <c r="K34" s="80">
        <v>5</v>
      </c>
      <c r="L34" s="80">
        <v>2</v>
      </c>
      <c r="M34" s="80">
        <v>2</v>
      </c>
      <c r="N34" s="80">
        <v>3</v>
      </c>
      <c r="O34" s="80">
        <v>3</v>
      </c>
      <c r="P34" s="80">
        <v>4</v>
      </c>
      <c r="Q34" s="80">
        <v>4</v>
      </c>
      <c r="R34" s="80">
        <v>5</v>
      </c>
      <c r="S34" s="80">
        <v>5</v>
      </c>
      <c r="T34" s="80">
        <v>2</v>
      </c>
      <c r="U34" s="80">
        <v>2</v>
      </c>
      <c r="V34" s="80">
        <v>3</v>
      </c>
      <c r="W34" s="206">
        <v>3</v>
      </c>
    </row>
    <row r="35" spans="2:30" s="133" customFormat="1" x14ac:dyDescent="0.3">
      <c r="B35" s="205" t="s">
        <v>26</v>
      </c>
      <c r="C35" s="80" t="s">
        <v>25</v>
      </c>
      <c r="D35" s="80">
        <v>15</v>
      </c>
      <c r="E35" s="80">
        <v>15</v>
      </c>
      <c r="F35" s="80">
        <v>15</v>
      </c>
      <c r="G35" s="80">
        <v>15</v>
      </c>
      <c r="H35" s="80">
        <v>15</v>
      </c>
      <c r="I35" s="80">
        <v>15</v>
      </c>
      <c r="J35" s="80">
        <v>15</v>
      </c>
      <c r="K35" s="80">
        <v>15</v>
      </c>
      <c r="L35" s="80">
        <v>15</v>
      </c>
      <c r="M35" s="80">
        <v>15</v>
      </c>
      <c r="N35" s="80">
        <v>15</v>
      </c>
      <c r="O35" s="80">
        <v>15</v>
      </c>
      <c r="P35" s="80">
        <v>15</v>
      </c>
      <c r="Q35" s="80">
        <v>15</v>
      </c>
      <c r="R35" s="80">
        <v>15</v>
      </c>
      <c r="S35" s="80">
        <v>15</v>
      </c>
      <c r="T35" s="80">
        <v>15</v>
      </c>
      <c r="U35" s="80">
        <v>15</v>
      </c>
      <c r="V35" s="80">
        <v>15</v>
      </c>
      <c r="W35" s="206">
        <v>15</v>
      </c>
    </row>
    <row r="36" spans="2:30" s="133" customFormat="1" x14ac:dyDescent="0.3">
      <c r="B36" s="205" t="s">
        <v>558</v>
      </c>
      <c r="C36" s="80" t="s">
        <v>47</v>
      </c>
      <c r="D36" s="215">
        <v>4.7812500000000001E-2</v>
      </c>
      <c r="E36" s="215">
        <v>1.4274999999999999E-2</v>
      </c>
      <c r="F36" s="215">
        <v>1.7862499999999996E-2</v>
      </c>
      <c r="G36" s="215">
        <v>1.7212499999999999E-2</v>
      </c>
      <c r="H36" s="215">
        <v>5.6097499999999995E-2</v>
      </c>
      <c r="I36" s="215">
        <v>5.5064999999999996E-2</v>
      </c>
      <c r="J36" s="215">
        <v>0.11286500000000001</v>
      </c>
      <c r="K36" s="215">
        <v>6.4102500000000007E-2</v>
      </c>
      <c r="L36" s="215">
        <v>5.4399999999999997E-2</v>
      </c>
      <c r="M36" s="215">
        <v>6.6449999999999995E-2</v>
      </c>
      <c r="N36" s="215">
        <v>9.1688888888888889E-2</v>
      </c>
      <c r="O36" s="215">
        <v>9.8366666666666672E-2</v>
      </c>
      <c r="P36" s="215">
        <v>0.49905000000000005</v>
      </c>
      <c r="Q36" s="215">
        <v>0.49905000000000005</v>
      </c>
      <c r="R36" s="215">
        <v>4.0366666666666669E-2</v>
      </c>
      <c r="S36" s="215">
        <v>6.1283333333333322E-2</v>
      </c>
      <c r="T36" s="215" t="s">
        <v>1671</v>
      </c>
      <c r="U36" s="215" t="s">
        <v>1671</v>
      </c>
      <c r="V36" s="215" t="s">
        <v>1671</v>
      </c>
      <c r="W36" s="216" t="s">
        <v>1671</v>
      </c>
    </row>
    <row r="37" spans="2:30" s="133" customFormat="1" x14ac:dyDescent="0.3">
      <c r="B37" s="205" t="s">
        <v>52</v>
      </c>
      <c r="C37" s="80" t="s">
        <v>693</v>
      </c>
      <c r="D37" s="215">
        <v>0.72797817304742152</v>
      </c>
      <c r="E37" s="215">
        <v>0.69198424721179896</v>
      </c>
      <c r="F37" s="215">
        <v>1.0505945720758958</v>
      </c>
      <c r="G37" s="215">
        <v>1.0330541277694638</v>
      </c>
      <c r="H37" s="215">
        <v>1.2062089141032504</v>
      </c>
      <c r="I37" s="215">
        <v>1.1834135415667335</v>
      </c>
      <c r="J37" s="215">
        <v>1.09982497148456</v>
      </c>
      <c r="K37" s="215">
        <v>1.0959844844492521</v>
      </c>
      <c r="L37" s="215">
        <v>0.49356929360268142</v>
      </c>
      <c r="M37" s="215">
        <v>0.48937303564762991</v>
      </c>
      <c r="N37" s="215">
        <v>0.63679077694497066</v>
      </c>
      <c r="O37" s="215">
        <v>0.63312800921234325</v>
      </c>
      <c r="P37" s="215">
        <v>0.93165551547388781</v>
      </c>
      <c r="Q37" s="215">
        <v>0.93165551547388781</v>
      </c>
      <c r="R37" s="215">
        <v>1.0904547861674196</v>
      </c>
      <c r="S37" s="215">
        <v>1.4097268314274722</v>
      </c>
      <c r="T37" s="215" t="s">
        <v>1671</v>
      </c>
      <c r="U37" s="215" t="s">
        <v>1671</v>
      </c>
      <c r="V37" s="215" t="s">
        <v>1671</v>
      </c>
      <c r="W37" s="216" t="s">
        <v>1671</v>
      </c>
    </row>
    <row r="38" spans="2:30" s="133" customFormat="1" x14ac:dyDescent="0.3">
      <c r="B38" s="205" t="s">
        <v>35</v>
      </c>
      <c r="C38" s="80"/>
      <c r="D38" s="215">
        <v>7.1373684210526305</v>
      </c>
      <c r="E38" s="215">
        <v>7.1368421052631579</v>
      </c>
      <c r="F38" s="215">
        <v>7.3440000000000012</v>
      </c>
      <c r="G38" s="215">
        <v>7.3480000000000008</v>
      </c>
      <c r="H38" s="215">
        <v>7.3910000000000027</v>
      </c>
      <c r="I38" s="215">
        <v>7.3910000000000009</v>
      </c>
      <c r="J38" s="215">
        <v>7.3745000000000021</v>
      </c>
      <c r="K38" s="215">
        <v>7.3775000000000004</v>
      </c>
      <c r="L38" s="215">
        <v>7.804000000000002</v>
      </c>
      <c r="M38" s="215">
        <v>7.9380000000000006</v>
      </c>
      <c r="N38" s="215">
        <v>8.0000000000000018</v>
      </c>
      <c r="O38" s="215">
        <v>7.9269999999999996</v>
      </c>
      <c r="P38" s="215">
        <v>8.1600000000000019</v>
      </c>
      <c r="Q38" s="215">
        <v>8.1600000000000019</v>
      </c>
      <c r="R38" s="215">
        <v>7.7095000000000002</v>
      </c>
      <c r="S38" s="215">
        <v>7.8345000000000002</v>
      </c>
      <c r="T38" s="215">
        <v>7.8083333333333336</v>
      </c>
      <c r="U38" s="215">
        <v>7.8766666666666678</v>
      </c>
      <c r="V38" s="215">
        <v>7.81</v>
      </c>
      <c r="W38" s="216">
        <v>7.6966666666666663</v>
      </c>
    </row>
    <row r="39" spans="2:30" s="133" customFormat="1" x14ac:dyDescent="0.3">
      <c r="B39" s="205" t="s">
        <v>351</v>
      </c>
      <c r="C39" s="80" t="s">
        <v>701</v>
      </c>
      <c r="D39" s="200">
        <v>0.28783589473684207</v>
      </c>
      <c r="E39" s="200">
        <v>0.28941052631578951</v>
      </c>
      <c r="F39" s="200">
        <v>0.28693649999999993</v>
      </c>
      <c r="G39" s="200">
        <v>0.28918546666666672</v>
      </c>
      <c r="H39" s="200">
        <v>0.2909103999999999</v>
      </c>
      <c r="I39" s="200">
        <v>0.29004914999999998</v>
      </c>
      <c r="J39" s="200">
        <v>0.27766395999999999</v>
      </c>
      <c r="K39" s="200">
        <v>0.27750317999999996</v>
      </c>
      <c r="L39" s="200">
        <v>0.53365474999999996</v>
      </c>
      <c r="M39" s="200">
        <v>0.53088284999999991</v>
      </c>
      <c r="N39" s="200">
        <v>0.49637830000000005</v>
      </c>
      <c r="O39" s="200">
        <v>0.49007899999999988</v>
      </c>
      <c r="P39" s="200">
        <v>0.56214045000000001</v>
      </c>
      <c r="Q39" s="200">
        <v>0.56214045000000001</v>
      </c>
      <c r="R39" s="200">
        <v>0.45164343999999995</v>
      </c>
      <c r="S39" s="200">
        <v>0.45100077999999993</v>
      </c>
      <c r="T39" s="200">
        <v>0.95425816666666663</v>
      </c>
      <c r="U39" s="200">
        <v>0.97148716666666679</v>
      </c>
      <c r="V39" s="200">
        <v>0.9282135555555554</v>
      </c>
      <c r="W39" s="208">
        <v>0.90836600000000001</v>
      </c>
    </row>
    <row r="40" spans="2:30" s="133" customFormat="1" x14ac:dyDescent="0.3">
      <c r="B40" s="205" t="s">
        <v>3</v>
      </c>
      <c r="C40" s="80" t="s">
        <v>302</v>
      </c>
      <c r="D40" s="217">
        <v>49.784210526315789</v>
      </c>
      <c r="E40" s="217">
        <v>49.952631578947368</v>
      </c>
      <c r="F40" s="217">
        <v>50.03</v>
      </c>
      <c r="G40" s="217">
        <v>50.084999999999994</v>
      </c>
      <c r="H40" s="217">
        <v>49.884999999999991</v>
      </c>
      <c r="I40" s="217">
        <v>49.839999999999989</v>
      </c>
      <c r="J40" s="217">
        <v>48.580000000000005</v>
      </c>
      <c r="K40" s="217">
        <v>48.67</v>
      </c>
      <c r="L40" s="217">
        <v>91.214999999999989</v>
      </c>
      <c r="M40" s="217">
        <v>93.715000000000003</v>
      </c>
      <c r="N40" s="217">
        <v>93.669999999999987</v>
      </c>
      <c r="O40" s="217">
        <v>90.894999999999982</v>
      </c>
      <c r="P40" s="217">
        <v>91.385000000000005</v>
      </c>
      <c r="Q40" s="217">
        <v>91.385000000000005</v>
      </c>
      <c r="R40" s="217">
        <v>71.864999999999981</v>
      </c>
      <c r="S40" s="217">
        <v>72.184999999999974</v>
      </c>
      <c r="T40" s="217">
        <v>83.583333333333329</v>
      </c>
      <c r="U40" s="217">
        <v>94.63333333333334</v>
      </c>
      <c r="V40" s="217">
        <v>96.133333333333326</v>
      </c>
      <c r="W40" s="218">
        <v>79.933333333333323</v>
      </c>
    </row>
    <row r="41" spans="2:30" s="133" customFormat="1" x14ac:dyDescent="0.3">
      <c r="B41" s="205" t="s">
        <v>277</v>
      </c>
      <c r="C41" s="80" t="s">
        <v>302</v>
      </c>
      <c r="D41" s="217">
        <v>47.163157894736841</v>
      </c>
      <c r="E41" s="217">
        <v>47.431578947368415</v>
      </c>
      <c r="F41" s="217">
        <v>47.414999999999999</v>
      </c>
      <c r="G41" s="217">
        <v>47.28</v>
      </c>
      <c r="H41" s="217">
        <v>47.57</v>
      </c>
      <c r="I41" s="217">
        <v>47.805</v>
      </c>
      <c r="J41" s="217">
        <v>48.935000000000002</v>
      </c>
      <c r="K41" s="217">
        <v>48.820000000000007</v>
      </c>
      <c r="L41" s="217">
        <v>4.6950000000000003</v>
      </c>
      <c r="M41" s="217">
        <v>3.665</v>
      </c>
      <c r="N41" s="217">
        <v>4.0149999999999988</v>
      </c>
      <c r="O41" s="217">
        <v>4.6350000000000007</v>
      </c>
      <c r="P41" s="217">
        <v>5.5424999999999995</v>
      </c>
      <c r="Q41" s="217">
        <v>5.5424999999999995</v>
      </c>
      <c r="R41" s="217">
        <v>15.354999999999999</v>
      </c>
      <c r="S41" s="217">
        <v>15.184999999999997</v>
      </c>
      <c r="T41" s="217">
        <v>5.1833333333333345</v>
      </c>
      <c r="U41" s="217">
        <v>3.5166666666666671</v>
      </c>
      <c r="V41" s="217">
        <v>3.4666666666666663</v>
      </c>
      <c r="W41" s="218">
        <v>6.3</v>
      </c>
    </row>
    <row r="42" spans="2:30" s="133" customFormat="1" x14ac:dyDescent="0.3">
      <c r="B42" s="205" t="s">
        <v>13</v>
      </c>
      <c r="C42" s="80" t="s">
        <v>302</v>
      </c>
      <c r="D42" s="215"/>
      <c r="E42" s="215"/>
      <c r="F42" s="215"/>
      <c r="G42" s="215"/>
      <c r="H42" s="80"/>
      <c r="I42" s="80"/>
      <c r="J42" s="80"/>
      <c r="K42" s="80"/>
      <c r="L42" s="217">
        <v>0.4</v>
      </c>
      <c r="M42" s="217">
        <v>0.2</v>
      </c>
      <c r="N42" s="217">
        <v>0.1</v>
      </c>
      <c r="O42" s="217">
        <v>1.8</v>
      </c>
      <c r="P42" s="217">
        <v>0</v>
      </c>
      <c r="Q42" s="217">
        <v>0</v>
      </c>
      <c r="R42" s="217">
        <v>12.4</v>
      </c>
      <c r="S42" s="217">
        <v>8.9</v>
      </c>
      <c r="T42" s="217">
        <v>0</v>
      </c>
      <c r="U42" s="217">
        <v>0</v>
      </c>
      <c r="V42" s="217">
        <v>0</v>
      </c>
      <c r="W42" s="218">
        <v>0</v>
      </c>
    </row>
    <row r="43" spans="2:30" s="133" customFormat="1" x14ac:dyDescent="0.3">
      <c r="B43" s="205" t="s">
        <v>321</v>
      </c>
      <c r="C43" s="80" t="s">
        <v>10</v>
      </c>
      <c r="D43" s="80"/>
      <c r="E43" s="80"/>
      <c r="F43" s="80"/>
      <c r="G43" s="80"/>
      <c r="H43" s="80"/>
      <c r="I43" s="80"/>
      <c r="J43" s="80"/>
      <c r="K43" s="80"/>
      <c r="L43" s="219">
        <v>1050</v>
      </c>
      <c r="M43" s="219">
        <v>1050</v>
      </c>
      <c r="N43" s="219">
        <v>1450</v>
      </c>
      <c r="O43" s="219">
        <v>1450</v>
      </c>
      <c r="P43" s="219">
        <v>2215</v>
      </c>
      <c r="Q43" s="219">
        <v>2215</v>
      </c>
      <c r="R43" s="219">
        <v>2100</v>
      </c>
      <c r="S43" s="219">
        <v>2100</v>
      </c>
      <c r="T43" s="219">
        <v>3100</v>
      </c>
      <c r="U43" s="219">
        <v>3100</v>
      </c>
      <c r="V43" s="219">
        <v>4560</v>
      </c>
      <c r="W43" s="220">
        <v>4560</v>
      </c>
    </row>
    <row r="44" spans="2:30" s="133" customFormat="1" ht="15" thickBot="1" x14ac:dyDescent="0.35">
      <c r="B44" s="209" t="s">
        <v>1820</v>
      </c>
      <c r="C44" s="210" t="s">
        <v>22</v>
      </c>
      <c r="D44" s="210"/>
      <c r="E44" s="210"/>
      <c r="F44" s="210"/>
      <c r="G44" s="210"/>
      <c r="H44" s="210"/>
      <c r="I44" s="210"/>
      <c r="J44" s="210"/>
      <c r="K44" s="210"/>
      <c r="L44" s="221"/>
      <c r="M44" s="221"/>
      <c r="N44" s="210"/>
      <c r="O44" s="210"/>
      <c r="P44" s="210"/>
      <c r="Q44" s="210"/>
      <c r="R44" s="210"/>
      <c r="S44" s="210"/>
      <c r="T44" s="210">
        <v>0.55000000000000004</v>
      </c>
      <c r="U44" s="210">
        <v>0.55000000000000004</v>
      </c>
      <c r="V44" s="210">
        <v>0.82</v>
      </c>
      <c r="W44" s="222">
        <v>0.82</v>
      </c>
    </row>
    <row r="45" spans="2:30" s="133" customFormat="1" x14ac:dyDescent="0.3">
      <c r="B45" s="133" t="s">
        <v>321</v>
      </c>
      <c r="C45" s="133" t="s">
        <v>338</v>
      </c>
      <c r="L45" s="134">
        <f t="shared" ref="L45:W45" si="0">L43/(1000*$D$10)</f>
        <v>2.1</v>
      </c>
      <c r="M45" s="134">
        <f t="shared" si="0"/>
        <v>2.1</v>
      </c>
      <c r="N45" s="134">
        <f t="shared" si="0"/>
        <v>2.9</v>
      </c>
      <c r="O45" s="134">
        <f t="shared" si="0"/>
        <v>2.9</v>
      </c>
      <c r="P45" s="134">
        <f t="shared" si="0"/>
        <v>4.43</v>
      </c>
      <c r="Q45" s="134">
        <f t="shared" si="0"/>
        <v>4.43</v>
      </c>
      <c r="R45" s="134">
        <f t="shared" si="0"/>
        <v>4.2</v>
      </c>
      <c r="S45" s="134">
        <f t="shared" si="0"/>
        <v>4.2</v>
      </c>
      <c r="T45" s="134">
        <f t="shared" si="0"/>
        <v>6.2</v>
      </c>
      <c r="U45" s="134">
        <f t="shared" si="0"/>
        <v>6.2</v>
      </c>
      <c r="V45" s="134">
        <f t="shared" si="0"/>
        <v>9.1199999999999992</v>
      </c>
      <c r="W45" s="134">
        <f t="shared" si="0"/>
        <v>9.1199999999999992</v>
      </c>
    </row>
    <row r="46" spans="2:30" s="133" customFormat="1" x14ac:dyDescent="0.3">
      <c r="B46" s="133" t="s">
        <v>1820</v>
      </c>
      <c r="C46" s="133" t="s">
        <v>338</v>
      </c>
      <c r="L46" s="134"/>
      <c r="M46" s="134"/>
      <c r="T46" s="133">
        <f>T44/$D$10</f>
        <v>1.1000000000000001</v>
      </c>
      <c r="U46" s="133">
        <f>U44/$D$10</f>
        <v>1.1000000000000001</v>
      </c>
      <c r="V46" s="133">
        <f>V44/$D$10</f>
        <v>1.64</v>
      </c>
      <c r="W46" s="133">
        <f>W44/$D$10</f>
        <v>1.64</v>
      </c>
    </row>
    <row r="47" spans="2:30" s="133" customFormat="1" x14ac:dyDescent="0.3">
      <c r="B47" s="133" t="s">
        <v>459</v>
      </c>
      <c r="C47" s="133" t="s">
        <v>302</v>
      </c>
      <c r="D47" s="8">
        <f t="shared" ref="D47:W47" si="1">SUM(D40:D42)</f>
        <v>96.94736842105263</v>
      </c>
      <c r="E47" s="8">
        <f t="shared" si="1"/>
        <v>97.384210526315783</v>
      </c>
      <c r="F47" s="8">
        <f t="shared" si="1"/>
        <v>97.444999999999993</v>
      </c>
      <c r="G47" s="8">
        <f t="shared" si="1"/>
        <v>97.364999999999995</v>
      </c>
      <c r="H47" s="8">
        <f t="shared" si="1"/>
        <v>97.454999999999984</v>
      </c>
      <c r="I47" s="8">
        <f t="shared" si="1"/>
        <v>97.644999999999982</v>
      </c>
      <c r="J47" s="8">
        <f t="shared" si="1"/>
        <v>97.515000000000015</v>
      </c>
      <c r="K47" s="8">
        <f t="shared" si="1"/>
        <v>97.490000000000009</v>
      </c>
      <c r="L47" s="8">
        <f t="shared" si="1"/>
        <v>96.31</v>
      </c>
      <c r="M47" s="8">
        <f t="shared" si="1"/>
        <v>97.580000000000013</v>
      </c>
      <c r="N47" s="8">
        <f t="shared" si="1"/>
        <v>97.784999999999982</v>
      </c>
      <c r="O47" s="8">
        <f t="shared" si="1"/>
        <v>97.329999999999984</v>
      </c>
      <c r="P47" s="8">
        <f t="shared" si="1"/>
        <v>96.927500000000009</v>
      </c>
      <c r="Q47" s="8">
        <f t="shared" si="1"/>
        <v>96.927500000000009</v>
      </c>
      <c r="R47" s="8">
        <f t="shared" si="1"/>
        <v>99.61999999999999</v>
      </c>
      <c r="S47" s="8">
        <f t="shared" si="1"/>
        <v>96.269999999999982</v>
      </c>
      <c r="T47" s="8">
        <f t="shared" si="1"/>
        <v>88.766666666666666</v>
      </c>
      <c r="U47" s="8">
        <f t="shared" si="1"/>
        <v>98.15</v>
      </c>
      <c r="V47" s="8">
        <f t="shared" si="1"/>
        <v>99.6</v>
      </c>
      <c r="W47" s="8">
        <f t="shared" si="1"/>
        <v>86.23333333333332</v>
      </c>
    </row>
    <row r="48" spans="2:30" s="133" customFormat="1" x14ac:dyDescent="0.3">
      <c r="B48" s="133" t="s">
        <v>293</v>
      </c>
      <c r="C48" s="133" t="s">
        <v>338</v>
      </c>
      <c r="D48" s="134">
        <f t="shared" ref="D48:W48" si="2">D34*D39</f>
        <v>0.57567178947368414</v>
      </c>
      <c r="E48" s="134">
        <f t="shared" si="2"/>
        <v>0.57882105263157901</v>
      </c>
      <c r="F48" s="134">
        <f t="shared" si="2"/>
        <v>0.86080949999999978</v>
      </c>
      <c r="G48" s="134">
        <f t="shared" si="2"/>
        <v>0.86755640000000023</v>
      </c>
      <c r="H48" s="134">
        <f t="shared" si="2"/>
        <v>1.1636415999999996</v>
      </c>
      <c r="I48" s="134">
        <f t="shared" si="2"/>
        <v>1.1601965999999999</v>
      </c>
      <c r="J48" s="134">
        <f t="shared" si="2"/>
        <v>1.3883197999999999</v>
      </c>
      <c r="K48" s="134">
        <f t="shared" si="2"/>
        <v>1.3875158999999999</v>
      </c>
      <c r="L48" s="134">
        <f t="shared" si="2"/>
        <v>1.0673094999999999</v>
      </c>
      <c r="M48" s="134">
        <f t="shared" si="2"/>
        <v>1.0617656999999998</v>
      </c>
      <c r="N48" s="134">
        <f t="shared" si="2"/>
        <v>1.4891349000000003</v>
      </c>
      <c r="O48" s="134">
        <f t="shared" si="2"/>
        <v>1.4702369999999996</v>
      </c>
      <c r="P48" s="134">
        <f t="shared" si="2"/>
        <v>2.2485618000000001</v>
      </c>
      <c r="Q48" s="134">
        <f t="shared" si="2"/>
        <v>2.2485618000000001</v>
      </c>
      <c r="R48" s="134">
        <f t="shared" si="2"/>
        <v>2.2582171999999998</v>
      </c>
      <c r="S48" s="134">
        <f t="shared" si="2"/>
        <v>2.2550038999999997</v>
      </c>
      <c r="T48" s="134">
        <f t="shared" si="2"/>
        <v>1.9085163333333333</v>
      </c>
      <c r="U48" s="134">
        <f t="shared" si="2"/>
        <v>1.9429743333333336</v>
      </c>
      <c r="V48" s="134">
        <f t="shared" si="2"/>
        <v>2.7846406666666663</v>
      </c>
      <c r="W48" s="134">
        <f t="shared" si="2"/>
        <v>2.725098</v>
      </c>
      <c r="X48" s="134"/>
      <c r="Y48" s="134"/>
      <c r="Z48" s="134"/>
      <c r="AA48" s="134"/>
      <c r="AB48" s="134"/>
      <c r="AC48" s="134"/>
      <c r="AD48" s="134"/>
    </row>
    <row r="49" spans="1:26" s="133" customFormat="1" x14ac:dyDescent="0.3">
      <c r="B49" s="133" t="s">
        <v>1082</v>
      </c>
      <c r="C49" s="133" t="s">
        <v>338</v>
      </c>
      <c r="D49" s="10">
        <f t="shared" ref="D49:W49" si="3">D48*D41/D40</f>
        <v>0.54536366481379461</v>
      </c>
      <c r="E49" s="10">
        <f t="shared" si="3"/>
        <v>0.54960861092780422</v>
      </c>
      <c r="F49" s="10">
        <f t="shared" si="3"/>
        <v>0.81581615915450711</v>
      </c>
      <c r="G49" s="10">
        <f t="shared" si="3"/>
        <v>0.81896908439652627</v>
      </c>
      <c r="H49" s="10">
        <f t="shared" si="3"/>
        <v>1.1096407920617419</v>
      </c>
      <c r="I49" s="10">
        <f t="shared" si="3"/>
        <v>1.1128250092897274</v>
      </c>
      <c r="J49" s="10">
        <f t="shared" si="3"/>
        <v>1.3984649940922189</v>
      </c>
      <c r="K49" s="10">
        <f t="shared" si="3"/>
        <v>1.3917921972056708</v>
      </c>
      <c r="L49" s="10">
        <f t="shared" si="3"/>
        <v>5.4936338348955768E-2</v>
      </c>
      <c r="M49" s="10">
        <f t="shared" si="3"/>
        <v>4.1523462524675869E-2</v>
      </c>
      <c r="N49" s="10">
        <f t="shared" si="3"/>
        <v>6.3829151526636055E-2</v>
      </c>
      <c r="O49" s="10">
        <f t="shared" si="3"/>
        <v>7.497165405137797E-2</v>
      </c>
      <c r="P49" s="10">
        <f t="shared" si="3"/>
        <v>0.13637526701865732</v>
      </c>
      <c r="Q49" s="10">
        <f t="shared" si="3"/>
        <v>0.13637526701865732</v>
      </c>
      <c r="R49" s="10">
        <f t="shared" si="3"/>
        <v>0.4825008711612051</v>
      </c>
      <c r="S49" s="10">
        <f t="shared" si="3"/>
        <v>0.47436772489436868</v>
      </c>
      <c r="T49" s="10">
        <f t="shared" si="3"/>
        <v>0.11835465197740117</v>
      </c>
      <c r="U49" s="10">
        <f t="shared" si="3"/>
        <v>7.2202815134437021E-2</v>
      </c>
      <c r="V49" s="10">
        <f t="shared" si="3"/>
        <v>0.10041700046232084</v>
      </c>
      <c r="W49" s="10">
        <f t="shared" si="3"/>
        <v>0.21478045120934114</v>
      </c>
    </row>
    <row r="50" spans="1:26" s="133" customFormat="1" x14ac:dyDescent="0.3">
      <c r="B50" s="133" t="s">
        <v>308</v>
      </c>
      <c r="C50" s="133" t="s">
        <v>338</v>
      </c>
      <c r="D50" s="10">
        <f>SUM(D48:D49)</f>
        <v>1.1210354542874787</v>
      </c>
      <c r="E50" s="10">
        <f t="shared" ref="E50:W50" si="4">SUM(E48:E49)</f>
        <v>1.1284296635593831</v>
      </c>
      <c r="F50" s="10">
        <f t="shared" si="4"/>
        <v>1.676625659154507</v>
      </c>
      <c r="G50" s="10">
        <f t="shared" si="4"/>
        <v>1.6865254843965265</v>
      </c>
      <c r="H50" s="10">
        <f t="shared" si="4"/>
        <v>2.2732823920617413</v>
      </c>
      <c r="I50" s="10">
        <f t="shared" si="4"/>
        <v>2.2730216092897271</v>
      </c>
      <c r="J50" s="10">
        <f t="shared" si="4"/>
        <v>2.7867847940922186</v>
      </c>
      <c r="K50" s="10">
        <f t="shared" si="4"/>
        <v>2.7793080972056705</v>
      </c>
      <c r="L50" s="10">
        <f t="shared" si="4"/>
        <v>1.1222458383489557</v>
      </c>
      <c r="M50" s="10">
        <f t="shared" si="4"/>
        <v>1.1032891625246757</v>
      </c>
      <c r="N50" s="10">
        <f t="shared" si="4"/>
        <v>1.5529640515266363</v>
      </c>
      <c r="O50" s="10">
        <f t="shared" si="4"/>
        <v>1.5452086540513776</v>
      </c>
      <c r="P50" s="10">
        <f t="shared" si="4"/>
        <v>2.3849370670186572</v>
      </c>
      <c r="Q50" s="10">
        <f t="shared" si="4"/>
        <v>2.3849370670186572</v>
      </c>
      <c r="R50" s="10">
        <f t="shared" si="4"/>
        <v>2.7407180711612051</v>
      </c>
      <c r="S50" s="10">
        <f t="shared" si="4"/>
        <v>2.7293716248943682</v>
      </c>
      <c r="T50" s="10">
        <f t="shared" si="4"/>
        <v>2.0268709853107345</v>
      </c>
      <c r="U50" s="10">
        <f t="shared" si="4"/>
        <v>2.0151771484677705</v>
      </c>
      <c r="V50" s="10">
        <f t="shared" si="4"/>
        <v>2.8850576671289874</v>
      </c>
      <c r="W50" s="10">
        <f t="shared" si="4"/>
        <v>2.9398784512093412</v>
      </c>
    </row>
    <row r="51" spans="1:26" s="133" customFormat="1" x14ac:dyDescent="0.3">
      <c r="B51" s="133" t="s">
        <v>323</v>
      </c>
      <c r="C51" s="133" t="s">
        <v>338</v>
      </c>
      <c r="L51" s="10">
        <f t="shared" ref="L51:W51" si="5">L48*L42/L40</f>
        <v>4.6804122129035794E-3</v>
      </c>
      <c r="M51" s="10">
        <f t="shared" si="5"/>
        <v>2.2659461132156001E-3</v>
      </c>
      <c r="N51" s="10">
        <f t="shared" si="5"/>
        <v>1.589767161310986E-3</v>
      </c>
      <c r="O51" s="10">
        <f t="shared" si="5"/>
        <v>2.9115205456845809E-2</v>
      </c>
      <c r="P51" s="10">
        <f t="shared" si="5"/>
        <v>0</v>
      </c>
      <c r="Q51" s="10">
        <f t="shared" si="5"/>
        <v>0</v>
      </c>
      <c r="R51" s="10">
        <f t="shared" si="5"/>
        <v>0.38964577026368891</v>
      </c>
      <c r="S51" s="10">
        <f t="shared" si="5"/>
        <v>0.27802915716561621</v>
      </c>
      <c r="T51" s="10">
        <f t="shared" si="5"/>
        <v>0</v>
      </c>
      <c r="U51" s="10">
        <f t="shared" si="5"/>
        <v>0</v>
      </c>
      <c r="V51" s="10">
        <f t="shared" si="5"/>
        <v>0</v>
      </c>
      <c r="W51" s="10">
        <f t="shared" si="5"/>
        <v>0</v>
      </c>
    </row>
    <row r="52" spans="1:26" s="133" customFormat="1" x14ac:dyDescent="0.3">
      <c r="B52" s="133" t="s">
        <v>433</v>
      </c>
      <c r="C52" s="133" t="s">
        <v>338</v>
      </c>
      <c r="L52" s="10">
        <f t="shared" ref="L52:W52" si="6">L45-L51</f>
        <v>2.0953195877870967</v>
      </c>
      <c r="M52" s="10">
        <f t="shared" si="6"/>
        <v>2.0977340538867844</v>
      </c>
      <c r="N52" s="10">
        <f t="shared" si="6"/>
        <v>2.8984102328386889</v>
      </c>
      <c r="O52" s="10">
        <f t="shared" si="6"/>
        <v>2.8708847945431542</v>
      </c>
      <c r="P52" s="10">
        <f t="shared" si="6"/>
        <v>4.43</v>
      </c>
      <c r="Q52" s="10">
        <f t="shared" si="6"/>
        <v>4.43</v>
      </c>
      <c r="R52" s="10">
        <f t="shared" si="6"/>
        <v>3.8103542297363111</v>
      </c>
      <c r="S52" s="10">
        <f t="shared" si="6"/>
        <v>3.921970842834384</v>
      </c>
      <c r="T52" s="10">
        <f t="shared" si="6"/>
        <v>6.2</v>
      </c>
      <c r="U52" s="10">
        <f t="shared" si="6"/>
        <v>6.2</v>
      </c>
      <c r="V52" s="10">
        <f t="shared" si="6"/>
        <v>9.1199999999999992</v>
      </c>
      <c r="W52" s="10">
        <f t="shared" si="6"/>
        <v>9.1199999999999992</v>
      </c>
    </row>
    <row r="53" spans="1:26" s="133" customFormat="1" x14ac:dyDescent="0.3">
      <c r="A53" s="148"/>
      <c r="B53" s="148" t="s">
        <v>460</v>
      </c>
      <c r="C53" s="133" t="s">
        <v>338</v>
      </c>
      <c r="L53" s="10">
        <f t="shared" ref="L53:W53" si="7">L52/4</f>
        <v>0.52382989694677418</v>
      </c>
      <c r="M53" s="10">
        <f t="shared" si="7"/>
        <v>0.52443351347169609</v>
      </c>
      <c r="N53" s="10">
        <f t="shared" si="7"/>
        <v>0.72460255820967223</v>
      </c>
      <c r="O53" s="10">
        <f t="shared" si="7"/>
        <v>0.71772119863578854</v>
      </c>
      <c r="P53" s="10">
        <f t="shared" si="7"/>
        <v>1.1074999999999999</v>
      </c>
      <c r="Q53" s="10">
        <f t="shared" si="7"/>
        <v>1.1074999999999999</v>
      </c>
      <c r="R53" s="10">
        <f t="shared" si="7"/>
        <v>0.95258855743407778</v>
      </c>
      <c r="S53" s="10">
        <f t="shared" si="7"/>
        <v>0.980492710708596</v>
      </c>
      <c r="T53" s="10">
        <f t="shared" si="7"/>
        <v>1.55</v>
      </c>
      <c r="U53" s="10">
        <f t="shared" si="7"/>
        <v>1.55</v>
      </c>
      <c r="V53" s="10">
        <f t="shared" si="7"/>
        <v>2.2799999999999998</v>
      </c>
      <c r="W53" s="10">
        <f t="shared" si="7"/>
        <v>2.2799999999999998</v>
      </c>
    </row>
    <row r="54" spans="1:26" s="133" customFormat="1" x14ac:dyDescent="0.3">
      <c r="A54" s="148"/>
      <c r="B54" s="148" t="s">
        <v>402</v>
      </c>
      <c r="C54" s="133" t="s">
        <v>338</v>
      </c>
      <c r="L54" s="10">
        <f t="shared" ref="L54:S54" si="8">L48-D48</f>
        <v>0.49163771052631577</v>
      </c>
      <c r="M54" s="10">
        <f t="shared" si="8"/>
        <v>0.4829446473684208</v>
      </c>
      <c r="N54" s="10">
        <f t="shared" si="8"/>
        <v>0.62832540000000048</v>
      </c>
      <c r="O54" s="10">
        <f t="shared" si="8"/>
        <v>0.60268059999999934</v>
      </c>
      <c r="P54" s="10">
        <f t="shared" si="8"/>
        <v>1.0849202000000004</v>
      </c>
      <c r="Q54" s="10">
        <f t="shared" si="8"/>
        <v>1.0883652000000001</v>
      </c>
      <c r="R54" s="10">
        <f t="shared" si="8"/>
        <v>0.86989739999999993</v>
      </c>
      <c r="S54" s="10">
        <f t="shared" si="8"/>
        <v>0.86748799999999981</v>
      </c>
      <c r="T54" s="48">
        <f>T48-D48</f>
        <v>1.332844543859649</v>
      </c>
      <c r="U54" s="48">
        <f>U48-E48</f>
        <v>1.3641532807017547</v>
      </c>
      <c r="V54" s="48">
        <f>V48-F48</f>
        <v>1.9238311666666665</v>
      </c>
      <c r="W54" s="48">
        <f>W48-G48</f>
        <v>1.8575415999999998</v>
      </c>
      <c r="X54" s="10"/>
      <c r="Y54" s="10"/>
    </row>
    <row r="55" spans="1:26" s="133" customFormat="1" x14ac:dyDescent="0.3">
      <c r="A55" s="148"/>
      <c r="B55" s="148" t="s">
        <v>2086</v>
      </c>
      <c r="C55" s="133" t="s">
        <v>338</v>
      </c>
      <c r="L55" s="10">
        <f t="shared" ref="L55:S55" si="9">D49-L49</f>
        <v>0.49042732646483883</v>
      </c>
      <c r="M55" s="10">
        <f t="shared" si="9"/>
        <v>0.50808514840312835</v>
      </c>
      <c r="N55" s="10">
        <f t="shared" si="9"/>
        <v>0.75198700762787107</v>
      </c>
      <c r="O55" s="10">
        <f t="shared" si="9"/>
        <v>0.74399743034514831</v>
      </c>
      <c r="P55" s="10">
        <f t="shared" si="9"/>
        <v>0.97326552504308461</v>
      </c>
      <c r="Q55" s="10">
        <f t="shared" si="9"/>
        <v>0.97644974227107006</v>
      </c>
      <c r="R55" s="10">
        <f t="shared" si="9"/>
        <v>0.91596412293101381</v>
      </c>
      <c r="S55" s="10">
        <f t="shared" si="9"/>
        <v>0.91742447231130209</v>
      </c>
      <c r="T55" s="48">
        <f>D49+T46-T49</f>
        <v>1.5270090128363936</v>
      </c>
      <c r="U55" s="48">
        <f>E49+U46-U49</f>
        <v>1.5774057957933674</v>
      </c>
      <c r="V55" s="48">
        <f>F49+V46-V49</f>
        <v>2.3553991586921859</v>
      </c>
      <c r="W55" s="48">
        <f>G49+W46-W49</f>
        <v>2.2441886331871848</v>
      </c>
    </row>
    <row r="56" spans="1:26" s="133" customFormat="1" x14ac:dyDescent="0.3">
      <c r="A56" s="148"/>
      <c r="B56" s="148" t="s">
        <v>93</v>
      </c>
      <c r="L56" s="8">
        <f t="shared" ref="L56:S56" si="10">L45/D49</f>
        <v>3.8506415727512948</v>
      </c>
      <c r="M56" s="198">
        <f t="shared" si="10"/>
        <v>3.8209008342408466</v>
      </c>
      <c r="N56" s="198">
        <f t="shared" si="10"/>
        <v>3.5547224303640816</v>
      </c>
      <c r="O56" s="198">
        <f t="shared" si="10"/>
        <v>3.5410372079392016</v>
      </c>
      <c r="P56" s="198">
        <f t="shared" si="10"/>
        <v>3.992282936687054</v>
      </c>
      <c r="Q56" s="198">
        <f t="shared" si="10"/>
        <v>3.9808594909522164</v>
      </c>
      <c r="R56" s="198">
        <f t="shared" si="10"/>
        <v>3.0032929088270333</v>
      </c>
      <c r="S56" s="198">
        <f t="shared" si="10"/>
        <v>3.0176918712667198</v>
      </c>
      <c r="T56" s="187">
        <f>T45/(D49+T46)</f>
        <v>3.7681639218048808</v>
      </c>
      <c r="U56" s="187">
        <f>U45/(E49+U46)</f>
        <v>3.7584672866813409</v>
      </c>
      <c r="V56" s="187">
        <f>V45/(F49+V46)</f>
        <v>3.7136330282718926</v>
      </c>
      <c r="W56" s="187">
        <f>W45/(G49+W46)</f>
        <v>3.7088713550208001</v>
      </c>
      <c r="Z56" s="133" t="s">
        <v>2055</v>
      </c>
    </row>
    <row r="57" spans="1:26" s="133" customFormat="1" x14ac:dyDescent="0.3">
      <c r="A57" s="148"/>
      <c r="B57" s="148" t="s">
        <v>462</v>
      </c>
      <c r="L57" s="10">
        <f t="shared" ref="L57:W57" si="11">L52/L45</f>
        <v>0.99777123227956976</v>
      </c>
      <c r="M57" s="10">
        <f t="shared" si="11"/>
        <v>0.99892097804132585</v>
      </c>
      <c r="N57" s="10">
        <f t="shared" si="11"/>
        <v>0.99945180442713411</v>
      </c>
      <c r="O57" s="10">
        <f t="shared" si="11"/>
        <v>0.98996027398039799</v>
      </c>
      <c r="P57" s="10">
        <f t="shared" si="11"/>
        <v>1</v>
      </c>
      <c r="Q57" s="10">
        <f t="shared" si="11"/>
        <v>1</v>
      </c>
      <c r="R57" s="10">
        <f t="shared" si="11"/>
        <v>0.90722719755626446</v>
      </c>
      <c r="S57" s="10">
        <f t="shared" si="11"/>
        <v>0.93380258162723428</v>
      </c>
      <c r="T57" s="10">
        <f t="shared" si="11"/>
        <v>1</v>
      </c>
      <c r="U57" s="10">
        <f t="shared" si="11"/>
        <v>1</v>
      </c>
      <c r="V57" s="10">
        <f t="shared" si="11"/>
        <v>1</v>
      </c>
      <c r="W57" s="10">
        <f t="shared" si="11"/>
        <v>1</v>
      </c>
    </row>
    <row r="58" spans="1:26" s="133" customFormat="1" x14ac:dyDescent="0.3">
      <c r="A58" s="148"/>
      <c r="B58" s="148" t="s">
        <v>2085</v>
      </c>
      <c r="L58" s="10">
        <f t="shared" ref="L58:W58" si="12">L54/L53</f>
        <v>0.93854457981857153</v>
      </c>
      <c r="M58" s="10">
        <f t="shared" si="12"/>
        <v>0.92088822503233392</v>
      </c>
      <c r="N58" s="10">
        <f t="shared" si="12"/>
        <v>0.86713108155793617</v>
      </c>
      <c r="O58" s="10">
        <f t="shared" si="12"/>
        <v>0.83971408556072602</v>
      </c>
      <c r="P58" s="10">
        <f t="shared" si="12"/>
        <v>0.97961191873589215</v>
      </c>
      <c r="Q58" s="10">
        <f t="shared" si="12"/>
        <v>0.98272252821670447</v>
      </c>
      <c r="R58" s="10">
        <f t="shared" si="12"/>
        <v>0.91319320729946907</v>
      </c>
      <c r="S58" s="10">
        <f t="shared" si="12"/>
        <v>0.88474701599063554</v>
      </c>
      <c r="T58" s="10">
        <f t="shared" si="12"/>
        <v>0.85989970571590257</v>
      </c>
      <c r="U58" s="10">
        <f t="shared" si="12"/>
        <v>0.88009889077532555</v>
      </c>
      <c r="V58" s="10">
        <f t="shared" si="12"/>
        <v>0.8437855994152047</v>
      </c>
      <c r="W58" s="10">
        <f t="shared" si="12"/>
        <v>0.81471122807017538</v>
      </c>
    </row>
    <row r="59" spans="1:26" s="133" customFormat="1" x14ac:dyDescent="0.3">
      <c r="A59" s="148"/>
      <c r="B59" s="148" t="s">
        <v>2087</v>
      </c>
      <c r="L59" s="10">
        <f t="shared" ref="L59:W59" si="13">L55/L53</f>
        <v>0.93623393648085473</v>
      </c>
      <c r="M59" s="10">
        <f t="shared" si="13"/>
        <v>0.96882662025097666</v>
      </c>
      <c r="N59" s="10">
        <f t="shared" si="13"/>
        <v>1.0377923719809374</v>
      </c>
      <c r="O59" s="10">
        <f t="shared" si="13"/>
        <v>1.0366106390048175</v>
      </c>
      <c r="P59" s="10">
        <f t="shared" si="13"/>
        <v>0.87879505647231126</v>
      </c>
      <c r="Q59" s="10">
        <f t="shared" si="13"/>
        <v>0.88167019618155318</v>
      </c>
      <c r="R59" s="10">
        <f t="shared" si="13"/>
        <v>0.96155272471284281</v>
      </c>
      <c r="S59" s="10">
        <f t="shared" si="13"/>
        <v>0.9356769941188906</v>
      </c>
      <c r="T59" s="10">
        <f t="shared" si="13"/>
        <v>0.98516710505573779</v>
      </c>
      <c r="U59" s="10">
        <f t="shared" si="13"/>
        <v>1.0176811585763661</v>
      </c>
      <c r="V59" s="10">
        <f t="shared" si="13"/>
        <v>1.0330698064439412</v>
      </c>
      <c r="W59" s="10">
        <f t="shared" si="13"/>
        <v>0.984293260169818</v>
      </c>
    </row>
    <row r="60" spans="1:26" s="133" customFormat="1" x14ac:dyDescent="0.3">
      <c r="A60" s="148"/>
      <c r="B60" s="148" t="s">
        <v>2088</v>
      </c>
      <c r="L60" s="10">
        <f t="shared" ref="L60:W60" si="14">L54/L55</f>
        <v>1.002468019207253</v>
      </c>
      <c r="M60" s="10">
        <f t="shared" si="14"/>
        <v>0.95051911847114179</v>
      </c>
      <c r="N60" s="10">
        <f t="shared" si="14"/>
        <v>0.83555353167874691</v>
      </c>
      <c r="O60" s="10">
        <f t="shared" si="14"/>
        <v>0.81005736769871561</v>
      </c>
      <c r="P60" s="10">
        <f t="shared" si="14"/>
        <v>1.1147216993553462</v>
      </c>
      <c r="Q60" s="10">
        <f t="shared" si="14"/>
        <v>1.1146146625720155</v>
      </c>
      <c r="R60" s="10">
        <f t="shared" si="14"/>
        <v>0.94970684792368942</v>
      </c>
      <c r="S60" s="10">
        <f t="shared" si="14"/>
        <v>0.94556884646264616</v>
      </c>
      <c r="T60" s="10">
        <f t="shared" si="14"/>
        <v>0.87284654684775742</v>
      </c>
      <c r="U60" s="10">
        <f t="shared" si="14"/>
        <v>0.86480808194041414</v>
      </c>
      <c r="V60" s="10">
        <f t="shared" si="14"/>
        <v>0.81677500799263958</v>
      </c>
      <c r="W60" s="10">
        <f t="shared" si="14"/>
        <v>0.8277118832751279</v>
      </c>
    </row>
    <row r="61" spans="1:26" s="133" customFormat="1" x14ac:dyDescent="0.3">
      <c r="A61" s="148"/>
      <c r="B61" s="148" t="s">
        <v>2096</v>
      </c>
      <c r="C61" s="133" t="s">
        <v>92</v>
      </c>
      <c r="D61" s="37"/>
      <c r="E61" s="37"/>
      <c r="F61" s="37"/>
      <c r="G61" s="37"/>
      <c r="H61" s="37"/>
      <c r="I61" s="37"/>
      <c r="J61" s="37"/>
      <c r="L61" s="10">
        <f t="shared" ref="L61:S61" si="15">L54/D49</f>
        <v>0.90148600327852302</v>
      </c>
      <c r="M61" s="10">
        <f t="shared" si="15"/>
        <v>0.8787064790581669</v>
      </c>
      <c r="N61" s="10">
        <f t="shared" si="15"/>
        <v>0.77018013549913289</v>
      </c>
      <c r="O61" s="10">
        <f t="shared" si="15"/>
        <v>0.73590152727693814</v>
      </c>
      <c r="P61" s="10">
        <f t="shared" si="15"/>
        <v>0.97772198693614176</v>
      </c>
      <c r="Q61" s="10">
        <f t="shared" si="15"/>
        <v>0.97802007585600637</v>
      </c>
      <c r="R61" s="10">
        <f t="shared" si="15"/>
        <v>0.62203730781596978</v>
      </c>
      <c r="S61" s="10">
        <f t="shared" si="15"/>
        <v>0.62328844905271985</v>
      </c>
      <c r="T61" s="48">
        <f>T54/((D49+T46))</f>
        <v>0.81006076186232456</v>
      </c>
      <c r="U61" s="48">
        <f>U54/((E49+U46))</f>
        <v>0.82695572250589888</v>
      </c>
      <c r="V61" s="48">
        <f>V54/((F49+V46))</f>
        <v>0.78337751769212516</v>
      </c>
      <c r="W61" s="48">
        <f>W54/((G49+W46))</f>
        <v>0.75541478410082286</v>
      </c>
      <c r="Y61" s="10"/>
    </row>
    <row r="62" spans="1:26" s="133" customFormat="1" x14ac:dyDescent="0.3">
      <c r="A62" s="148"/>
      <c r="B62" s="148" t="s">
        <v>2097</v>
      </c>
      <c r="C62" s="133" t="s">
        <v>92</v>
      </c>
      <c r="D62" s="37"/>
      <c r="E62" s="37"/>
      <c r="F62" s="37"/>
      <c r="G62" s="37"/>
      <c r="H62" s="37"/>
      <c r="I62" s="37"/>
      <c r="J62" s="37"/>
      <c r="L62" s="134">
        <f t="shared" ref="L62:S62" si="16">L50/D50</f>
        <v>1.0010797018567501</v>
      </c>
      <c r="M62" s="134">
        <f t="shared" si="16"/>
        <v>0.97772080808704798</v>
      </c>
      <c r="N62" s="134">
        <f t="shared" si="16"/>
        <v>0.92624375813845583</v>
      </c>
      <c r="O62" s="134">
        <f t="shared" si="16"/>
        <v>0.91620830420139487</v>
      </c>
      <c r="P62" s="134">
        <f t="shared" si="16"/>
        <v>1.0491160602601823</v>
      </c>
      <c r="Q62" s="134">
        <f t="shared" si="16"/>
        <v>1.0492364248855079</v>
      </c>
      <c r="R62" s="134">
        <f t="shared" si="16"/>
        <v>0.98346958005918805</v>
      </c>
      <c r="S62" s="134">
        <f t="shared" si="16"/>
        <v>0.98203276838522913</v>
      </c>
      <c r="T62" s="51">
        <f>T50/D50</f>
        <v>1.8080346857530902</v>
      </c>
      <c r="U62" s="51">
        <f>U50/E50</f>
        <v>1.7858243305225932</v>
      </c>
      <c r="V62" s="51">
        <f>V50/F50</f>
        <v>1.7207524239989691</v>
      </c>
      <c r="W62" s="51">
        <f>W50/G50</f>
        <v>1.743156850227668</v>
      </c>
    </row>
    <row r="63" spans="1:26" s="133" customFormat="1" x14ac:dyDescent="0.3">
      <c r="A63" s="148"/>
      <c r="B63" s="148" t="s">
        <v>2081</v>
      </c>
      <c r="L63" s="134">
        <f t="shared" ref="L63:S63" si="17">L52/L53</f>
        <v>4</v>
      </c>
      <c r="M63" s="134">
        <f t="shared" si="17"/>
        <v>4</v>
      </c>
      <c r="N63" s="134">
        <f t="shared" si="17"/>
        <v>4</v>
      </c>
      <c r="O63" s="134">
        <f t="shared" si="17"/>
        <v>4</v>
      </c>
      <c r="P63" s="134">
        <f t="shared" si="17"/>
        <v>4</v>
      </c>
      <c r="Q63" s="134">
        <f t="shared" si="17"/>
        <v>4</v>
      </c>
      <c r="R63" s="134">
        <f t="shared" si="17"/>
        <v>4</v>
      </c>
      <c r="S63" s="134">
        <f t="shared" si="17"/>
        <v>4</v>
      </c>
      <c r="T63" s="134">
        <f>T52/T54</f>
        <v>4.6517052784310842</v>
      </c>
      <c r="U63" s="134">
        <f>U52/U54</f>
        <v>4.5449438033903089</v>
      </c>
      <c r="V63" s="134">
        <f>V52/V54</f>
        <v>4.7405407283227472</v>
      </c>
      <c r="W63" s="134">
        <f>W52/W54</f>
        <v>4.9097150771751226</v>
      </c>
    </row>
    <row r="64" spans="1:26" s="133" customFormat="1" x14ac:dyDescent="0.3">
      <c r="A64" s="148"/>
      <c r="B64" s="148" t="s">
        <v>2137</v>
      </c>
      <c r="L64" s="134">
        <f t="shared" ref="L64:W64" si="18">L52/L55</f>
        <v>4.2724364543282043</v>
      </c>
      <c r="M64" s="134">
        <f t="shared" si="18"/>
        <v>4.1287057110009959</v>
      </c>
      <c r="N64" s="134">
        <f t="shared" si="18"/>
        <v>3.8543355183511343</v>
      </c>
      <c r="O64" s="134">
        <f t="shared" si="18"/>
        <v>3.8587294491209736</v>
      </c>
      <c r="P64" s="134">
        <f t="shared" si="18"/>
        <v>4.5516869610725115</v>
      </c>
      <c r="Q64" s="134">
        <f t="shared" si="18"/>
        <v>4.5368438417490999</v>
      </c>
      <c r="R64" s="134">
        <f t="shared" si="18"/>
        <v>4.1599382927177047</v>
      </c>
      <c r="S64" s="134">
        <f t="shared" si="18"/>
        <v>4.2749795336869694</v>
      </c>
      <c r="T64" s="134">
        <f t="shared" si="18"/>
        <v>4.0602248892320576</v>
      </c>
      <c r="U64" s="134">
        <f t="shared" si="18"/>
        <v>3.9305041331369437</v>
      </c>
      <c r="V64" s="134">
        <f t="shared" si="18"/>
        <v>3.8719551912652448</v>
      </c>
      <c r="W64" s="134">
        <f t="shared" si="18"/>
        <v>4.0638295128729105</v>
      </c>
    </row>
    <row r="65" spans="1:24" s="133" customFormat="1" ht="15" thickBot="1" x14ac:dyDescent="0.35">
      <c r="B65" s="148"/>
    </row>
    <row r="66" spans="1:24" s="133" customFormat="1" x14ac:dyDescent="0.3">
      <c r="B66" s="223" t="s">
        <v>1823</v>
      </c>
      <c r="C66" s="224"/>
      <c r="D66" s="224" t="s">
        <v>273</v>
      </c>
      <c r="E66" s="224"/>
      <c r="F66" s="224"/>
      <c r="G66" s="224"/>
      <c r="H66" s="224" t="s">
        <v>273</v>
      </c>
      <c r="I66" s="224"/>
      <c r="J66" s="224"/>
      <c r="K66" s="224"/>
      <c r="L66" s="224" t="s">
        <v>275</v>
      </c>
      <c r="M66" s="225"/>
      <c r="N66" s="103"/>
      <c r="O66" s="103" t="s">
        <v>2057</v>
      </c>
      <c r="P66" s="103"/>
      <c r="Q66" s="103"/>
      <c r="R66" s="103"/>
      <c r="S66" s="103"/>
      <c r="T66" s="103"/>
      <c r="U66" s="103"/>
      <c r="V66" s="103"/>
      <c r="W66" s="103"/>
      <c r="X66" s="103"/>
    </row>
    <row r="67" spans="1:24" s="133" customFormat="1" x14ac:dyDescent="0.3">
      <c r="B67" s="149"/>
      <c r="C67" s="76"/>
      <c r="D67" s="76" t="s">
        <v>1104</v>
      </c>
      <c r="E67" s="226"/>
      <c r="F67" s="226"/>
      <c r="G67" s="226"/>
      <c r="H67" s="76" t="s">
        <v>1105</v>
      </c>
      <c r="I67" s="226"/>
      <c r="J67" s="226"/>
      <c r="K67" s="226"/>
      <c r="L67" s="76" t="s">
        <v>1862</v>
      </c>
      <c r="M67" s="227"/>
      <c r="N67" s="31"/>
      <c r="O67" s="103"/>
      <c r="P67" s="103"/>
      <c r="Q67" s="103"/>
      <c r="R67" s="103"/>
      <c r="S67" s="103"/>
      <c r="T67" s="103"/>
      <c r="U67" s="103"/>
      <c r="V67" s="103"/>
      <c r="W67" s="103"/>
      <c r="X67" s="103"/>
    </row>
    <row r="68" spans="1:24" s="133" customFormat="1" x14ac:dyDescent="0.3">
      <c r="B68" s="228"/>
      <c r="C68" s="76"/>
      <c r="D68" s="76" t="s">
        <v>1860</v>
      </c>
      <c r="E68" s="76" t="s">
        <v>1863</v>
      </c>
      <c r="F68" s="76" t="s">
        <v>1865</v>
      </c>
      <c r="G68" s="76" t="s">
        <v>1866</v>
      </c>
      <c r="H68" s="76" t="s">
        <v>1861</v>
      </c>
      <c r="I68" s="76" t="s">
        <v>1864</v>
      </c>
      <c r="J68" s="76" t="s">
        <v>1867</v>
      </c>
      <c r="K68" s="76" t="s">
        <v>1868</v>
      </c>
      <c r="L68" s="226" t="s">
        <v>1869</v>
      </c>
      <c r="M68" s="227" t="s">
        <v>1875</v>
      </c>
      <c r="N68" s="31"/>
      <c r="O68" s="103"/>
      <c r="P68" s="103"/>
      <c r="Q68" s="103"/>
      <c r="R68" s="103"/>
      <c r="S68" s="103"/>
      <c r="T68" s="103"/>
      <c r="U68" s="103"/>
      <c r="V68" s="103"/>
      <c r="W68" s="103"/>
      <c r="X68" s="103"/>
    </row>
    <row r="69" spans="1:24" s="133" customFormat="1" x14ac:dyDescent="0.3">
      <c r="B69" s="229"/>
      <c r="C69" s="76"/>
      <c r="D69" s="76" t="s">
        <v>1871</v>
      </c>
      <c r="E69" s="76" t="s">
        <v>1872</v>
      </c>
      <c r="F69" s="76" t="s">
        <v>1873</v>
      </c>
      <c r="G69" s="76" t="s">
        <v>1874</v>
      </c>
      <c r="H69" s="76" t="s">
        <v>1871</v>
      </c>
      <c r="I69" s="76" t="s">
        <v>1872</v>
      </c>
      <c r="J69" s="76" t="s">
        <v>1873</v>
      </c>
      <c r="K69" s="76" t="s">
        <v>1874</v>
      </c>
      <c r="L69" s="76" t="s">
        <v>1871</v>
      </c>
      <c r="M69" s="230" t="s">
        <v>1872</v>
      </c>
      <c r="N69" s="31"/>
      <c r="O69" s="103"/>
      <c r="P69" s="103"/>
      <c r="Q69" s="103"/>
      <c r="R69" s="103"/>
      <c r="S69" s="103"/>
      <c r="T69" s="103"/>
      <c r="U69" s="103"/>
      <c r="V69" s="103"/>
      <c r="W69" s="103"/>
      <c r="X69" s="103"/>
    </row>
    <row r="70" spans="1:24" s="133" customFormat="1" x14ac:dyDescent="0.3">
      <c r="A70" s="205"/>
      <c r="B70" s="229" t="s">
        <v>33</v>
      </c>
      <c r="C70" s="76" t="s">
        <v>361</v>
      </c>
      <c r="D70" s="76">
        <v>2</v>
      </c>
      <c r="E70" s="76">
        <v>3</v>
      </c>
      <c r="F70" s="76">
        <v>4</v>
      </c>
      <c r="G70" s="76">
        <v>5</v>
      </c>
      <c r="H70" s="76">
        <v>2</v>
      </c>
      <c r="I70" s="76">
        <v>3</v>
      </c>
      <c r="J70" s="76">
        <v>4</v>
      </c>
      <c r="K70" s="76">
        <v>5</v>
      </c>
      <c r="L70" s="76">
        <v>2</v>
      </c>
      <c r="M70" s="230">
        <v>3</v>
      </c>
      <c r="N70" s="31"/>
      <c r="O70" s="103"/>
      <c r="P70" s="103"/>
      <c r="Q70" s="103"/>
      <c r="R70" s="103"/>
      <c r="S70" s="103"/>
      <c r="T70" s="103"/>
      <c r="U70" s="103"/>
      <c r="V70" s="103"/>
      <c r="W70" s="103"/>
      <c r="X70" s="103"/>
    </row>
    <row r="71" spans="1:24" s="133" customFormat="1" x14ac:dyDescent="0.3">
      <c r="A71" s="205"/>
      <c r="B71" s="229" t="s">
        <v>26</v>
      </c>
      <c r="C71" s="76" t="s">
        <v>25</v>
      </c>
      <c r="D71" s="76">
        <v>15</v>
      </c>
      <c r="E71" s="76">
        <v>15</v>
      </c>
      <c r="F71" s="76">
        <v>15</v>
      </c>
      <c r="G71" s="76">
        <v>15</v>
      </c>
      <c r="H71" s="76">
        <v>15</v>
      </c>
      <c r="I71" s="76">
        <v>15</v>
      </c>
      <c r="J71" s="76">
        <v>15</v>
      </c>
      <c r="K71" s="76">
        <v>15</v>
      </c>
      <c r="L71" s="76">
        <v>15</v>
      </c>
      <c r="M71" s="230">
        <v>15</v>
      </c>
      <c r="N71" s="31"/>
      <c r="O71" s="103"/>
      <c r="P71" s="103"/>
      <c r="Q71" s="103"/>
      <c r="R71" s="103"/>
      <c r="S71" s="103"/>
      <c r="T71" s="103"/>
      <c r="U71" s="103"/>
      <c r="V71" s="103"/>
      <c r="W71" s="103"/>
      <c r="X71" s="103"/>
    </row>
    <row r="72" spans="1:24" s="133" customFormat="1" x14ac:dyDescent="0.3">
      <c r="A72" s="205"/>
      <c r="B72" s="229" t="s">
        <v>558</v>
      </c>
      <c r="C72" s="76" t="s">
        <v>47</v>
      </c>
      <c r="D72" s="201">
        <v>3.1043749999999998E-2</v>
      </c>
      <c r="E72" s="201">
        <v>1.7537499999999998E-2</v>
      </c>
      <c r="F72" s="201">
        <v>5.5581249999999999E-2</v>
      </c>
      <c r="G72" s="201">
        <v>8.8483750000000014E-2</v>
      </c>
      <c r="H72" s="201">
        <v>6.0425E-2</v>
      </c>
      <c r="I72" s="201">
        <v>9.5027777777777767E-2</v>
      </c>
      <c r="J72" s="201">
        <v>0.49905000000000005</v>
      </c>
      <c r="K72" s="201">
        <v>5.0824999999999995E-2</v>
      </c>
      <c r="L72" s="201"/>
      <c r="M72" s="207"/>
      <c r="N72" s="103"/>
      <c r="O72" s="103"/>
      <c r="P72" s="103"/>
      <c r="Q72" s="103"/>
      <c r="R72" s="103"/>
      <c r="S72" s="103"/>
      <c r="T72" s="103"/>
      <c r="U72" s="103"/>
      <c r="V72" s="103"/>
      <c r="W72" s="103"/>
      <c r="X72" s="103"/>
    </row>
    <row r="73" spans="1:24" s="133" customFormat="1" x14ac:dyDescent="0.3">
      <c r="A73" s="205"/>
      <c r="B73" s="229" t="s">
        <v>52</v>
      </c>
      <c r="C73" s="76" t="s">
        <v>693</v>
      </c>
      <c r="D73" s="201">
        <v>0.70998121012961024</v>
      </c>
      <c r="E73" s="201">
        <v>1.0418243499226796</v>
      </c>
      <c r="F73" s="201">
        <v>1.1948112278349921</v>
      </c>
      <c r="G73" s="201">
        <v>1.0979047279669063</v>
      </c>
      <c r="H73" s="201">
        <v>0.49147116462515567</v>
      </c>
      <c r="I73" s="201">
        <v>0.6349593930786569</v>
      </c>
      <c r="J73" s="201">
        <v>0.93165551547388781</v>
      </c>
      <c r="K73" s="201">
        <v>1.2500908087974458</v>
      </c>
      <c r="L73" s="201"/>
      <c r="M73" s="207"/>
      <c r="N73" s="31"/>
      <c r="O73" s="103"/>
      <c r="P73" s="103"/>
      <c r="Q73" s="103"/>
      <c r="R73" s="103"/>
      <c r="S73" s="103"/>
      <c r="T73" s="103"/>
      <c r="U73" s="103"/>
      <c r="V73" s="103"/>
      <c r="W73" s="103"/>
      <c r="X73" s="103"/>
    </row>
    <row r="74" spans="1:24" s="133" customFormat="1" x14ac:dyDescent="0.3">
      <c r="A74" s="205"/>
      <c r="B74" s="229" t="s">
        <v>35</v>
      </c>
      <c r="C74" s="76"/>
      <c r="D74" s="201">
        <v>7.1371052631578937</v>
      </c>
      <c r="E74" s="201">
        <v>7.346000000000001</v>
      </c>
      <c r="F74" s="201">
        <v>7.3910000000000018</v>
      </c>
      <c r="G74" s="201">
        <v>7.3760000000000012</v>
      </c>
      <c r="H74" s="201">
        <v>7.8710000000000013</v>
      </c>
      <c r="I74" s="201">
        <v>7.9635000000000007</v>
      </c>
      <c r="J74" s="201">
        <v>8.1600000000000019</v>
      </c>
      <c r="K74" s="201">
        <v>7.7720000000000002</v>
      </c>
      <c r="L74" s="201">
        <v>7.8425000000000011</v>
      </c>
      <c r="M74" s="207">
        <v>7.753333333333333</v>
      </c>
      <c r="N74" s="31"/>
      <c r="O74" s="103"/>
      <c r="P74" s="103"/>
      <c r="Q74" s="103"/>
      <c r="R74" s="103"/>
      <c r="S74" s="103"/>
      <c r="T74" s="103"/>
      <c r="U74" s="103"/>
      <c r="V74" s="103"/>
      <c r="W74" s="103"/>
      <c r="X74" s="103"/>
    </row>
    <row r="75" spans="1:24" s="133" customFormat="1" x14ac:dyDescent="0.3">
      <c r="A75" s="205"/>
      <c r="B75" s="229" t="s">
        <v>351</v>
      </c>
      <c r="C75" s="76" t="s">
        <v>701</v>
      </c>
      <c r="D75" s="226">
        <v>0.28862321052631579</v>
      </c>
      <c r="E75" s="226">
        <v>0.2880609833333333</v>
      </c>
      <c r="F75" s="226">
        <v>0.29047977499999994</v>
      </c>
      <c r="G75" s="226">
        <v>0.27758357</v>
      </c>
      <c r="H75" s="226">
        <v>0.53226879999999999</v>
      </c>
      <c r="I75" s="226">
        <v>0.49322864999999994</v>
      </c>
      <c r="J75" s="226">
        <v>0.56214045000000001</v>
      </c>
      <c r="K75" s="226">
        <v>0.45132210999999994</v>
      </c>
      <c r="L75" s="226">
        <v>0.96287266666666671</v>
      </c>
      <c r="M75" s="227">
        <v>0.91828977777777765</v>
      </c>
      <c r="N75" s="31"/>
      <c r="O75" s="31"/>
      <c r="P75" s="103"/>
      <c r="Q75" s="103"/>
      <c r="R75" s="103"/>
      <c r="S75" s="103"/>
      <c r="T75" s="103"/>
      <c r="U75" s="103"/>
      <c r="V75" s="103"/>
      <c r="W75" s="103"/>
      <c r="X75" s="103"/>
    </row>
    <row r="76" spans="1:24" s="133" customFormat="1" x14ac:dyDescent="0.3">
      <c r="A76" s="205"/>
      <c r="B76" s="152" t="s">
        <v>3</v>
      </c>
      <c r="C76" s="76" t="s">
        <v>302</v>
      </c>
      <c r="D76" s="231">
        <v>49.868421052631575</v>
      </c>
      <c r="E76" s="231">
        <v>50.057499999999997</v>
      </c>
      <c r="F76" s="231">
        <v>49.86249999999999</v>
      </c>
      <c r="G76" s="231">
        <v>48.625</v>
      </c>
      <c r="H76" s="231">
        <v>92.465000000000003</v>
      </c>
      <c r="I76" s="231">
        <v>92.282499999999985</v>
      </c>
      <c r="J76" s="231">
        <v>91.385000000000005</v>
      </c>
      <c r="K76" s="231">
        <v>72.024999999999977</v>
      </c>
      <c r="L76" s="231">
        <v>89.108333333333334</v>
      </c>
      <c r="M76" s="232">
        <v>88.033333333333331</v>
      </c>
      <c r="N76" s="31"/>
      <c r="O76" s="103"/>
      <c r="P76" s="103"/>
      <c r="Q76" s="103"/>
      <c r="R76" s="103"/>
      <c r="S76" s="103"/>
      <c r="T76" s="103"/>
      <c r="U76" s="103"/>
      <c r="V76" s="103"/>
      <c r="W76" s="103"/>
      <c r="X76" s="103"/>
    </row>
    <row r="77" spans="1:24" s="133" customFormat="1" x14ac:dyDescent="0.3">
      <c r="A77" s="205"/>
      <c r="B77" s="152" t="s">
        <v>277</v>
      </c>
      <c r="C77" s="76" t="s">
        <v>302</v>
      </c>
      <c r="D77" s="231">
        <v>47.297368421052624</v>
      </c>
      <c r="E77" s="231">
        <v>47.347499999999997</v>
      </c>
      <c r="F77" s="231">
        <v>47.6875</v>
      </c>
      <c r="G77" s="231">
        <v>48.877500000000005</v>
      </c>
      <c r="H77" s="231">
        <v>4.18</v>
      </c>
      <c r="I77" s="231">
        <v>4.3249999999999993</v>
      </c>
      <c r="J77" s="231">
        <v>5.5424999999999995</v>
      </c>
      <c r="K77" s="231">
        <v>15.269999999999998</v>
      </c>
      <c r="L77" s="231">
        <v>4.3500000000000005</v>
      </c>
      <c r="M77" s="232">
        <v>4.8833333333333329</v>
      </c>
      <c r="N77" s="13"/>
      <c r="O77" s="103"/>
      <c r="P77" s="103"/>
      <c r="Q77" s="103"/>
      <c r="R77" s="103"/>
      <c r="S77" s="103"/>
      <c r="T77" s="103"/>
      <c r="U77" s="103"/>
      <c r="V77" s="103"/>
      <c r="W77" s="103"/>
      <c r="X77" s="103"/>
    </row>
    <row r="78" spans="1:24" s="133" customFormat="1" x14ac:dyDescent="0.3">
      <c r="A78" s="205"/>
      <c r="B78" s="152" t="s">
        <v>13</v>
      </c>
      <c r="C78" s="76" t="s">
        <v>302</v>
      </c>
      <c r="D78" s="201"/>
      <c r="E78" s="201"/>
      <c r="F78" s="201"/>
      <c r="G78" s="201"/>
      <c r="H78" s="231">
        <v>0.30000000000000004</v>
      </c>
      <c r="I78" s="231">
        <v>0.95000000000000007</v>
      </c>
      <c r="J78" s="231">
        <v>0</v>
      </c>
      <c r="K78" s="231">
        <v>10.65</v>
      </c>
      <c r="L78" s="231">
        <v>0</v>
      </c>
      <c r="M78" s="232">
        <v>0</v>
      </c>
      <c r="N78" s="13"/>
      <c r="O78" s="103"/>
      <c r="P78" s="103"/>
      <c r="Q78" s="103"/>
      <c r="R78" s="103"/>
      <c r="S78" s="103"/>
      <c r="T78" s="103"/>
      <c r="U78" s="103"/>
      <c r="V78" s="103"/>
      <c r="W78" s="103"/>
      <c r="X78" s="103"/>
    </row>
    <row r="79" spans="1:24" s="133" customFormat="1" x14ac:dyDescent="0.3">
      <c r="A79" s="80"/>
      <c r="B79" s="152" t="s">
        <v>321</v>
      </c>
      <c r="C79" s="76" t="s">
        <v>10</v>
      </c>
      <c r="D79" s="76"/>
      <c r="E79" s="76"/>
      <c r="F79" s="76"/>
      <c r="G79" s="76"/>
      <c r="H79" s="233">
        <v>1050</v>
      </c>
      <c r="I79" s="233">
        <v>1450</v>
      </c>
      <c r="J79" s="233">
        <v>2215</v>
      </c>
      <c r="K79" s="233">
        <v>2100</v>
      </c>
      <c r="L79" s="233">
        <v>3100</v>
      </c>
      <c r="M79" s="234">
        <v>4560</v>
      </c>
      <c r="N79" s="103"/>
      <c r="O79" s="103"/>
      <c r="P79" s="103"/>
      <c r="Q79" s="103"/>
      <c r="R79" s="103"/>
      <c r="S79" s="103"/>
      <c r="T79" s="103"/>
      <c r="U79" s="103"/>
      <c r="V79" s="103"/>
      <c r="W79" s="103"/>
      <c r="X79" s="103"/>
    </row>
    <row r="80" spans="1:24" s="133" customFormat="1" ht="15" thickBot="1" x14ac:dyDescent="0.35">
      <c r="A80" s="80"/>
      <c r="B80" s="235" t="s">
        <v>1820</v>
      </c>
      <c r="C80" s="236" t="s">
        <v>22</v>
      </c>
      <c r="D80" s="236"/>
      <c r="E80" s="236"/>
      <c r="F80" s="236"/>
      <c r="G80" s="236"/>
      <c r="H80" s="237"/>
      <c r="I80" s="236"/>
      <c r="J80" s="236"/>
      <c r="K80" s="236"/>
      <c r="L80" s="237">
        <v>0.54999999999999993</v>
      </c>
      <c r="M80" s="238">
        <v>0.82</v>
      </c>
      <c r="N80" s="103"/>
      <c r="O80" s="103"/>
      <c r="P80" s="103"/>
      <c r="Q80" s="103"/>
      <c r="R80" s="103"/>
      <c r="S80" s="103"/>
      <c r="T80" s="103"/>
      <c r="U80" s="103"/>
      <c r="V80" s="103"/>
      <c r="W80" s="103"/>
      <c r="X80" s="103"/>
    </row>
    <row r="81" spans="1:24" s="133" customFormat="1" x14ac:dyDescent="0.3">
      <c r="A81" s="80"/>
      <c r="B81" s="133" t="s">
        <v>321</v>
      </c>
      <c r="C81" s="133" t="s">
        <v>338</v>
      </c>
      <c r="E81" s="103"/>
      <c r="F81" s="103"/>
      <c r="G81" s="103"/>
      <c r="H81" s="134">
        <f t="shared" ref="H81:M81" si="19">H79/(1000*$D$10)</f>
        <v>2.1</v>
      </c>
      <c r="I81" s="134">
        <f t="shared" si="19"/>
        <v>2.9</v>
      </c>
      <c r="J81" s="134">
        <f t="shared" si="19"/>
        <v>4.43</v>
      </c>
      <c r="K81" s="134">
        <f t="shared" si="19"/>
        <v>4.2</v>
      </c>
      <c r="L81" s="134">
        <f t="shared" si="19"/>
        <v>6.2</v>
      </c>
      <c r="M81" s="134">
        <f t="shared" si="19"/>
        <v>9.1199999999999992</v>
      </c>
      <c r="N81" s="103"/>
      <c r="O81" s="103"/>
      <c r="P81" s="103"/>
      <c r="Q81" s="103"/>
      <c r="R81" s="103"/>
      <c r="S81" s="103"/>
      <c r="T81" s="103"/>
      <c r="U81" s="103"/>
      <c r="V81" s="103"/>
      <c r="W81" s="103"/>
      <c r="X81" s="103"/>
    </row>
    <row r="82" spans="1:24" s="133" customFormat="1" x14ac:dyDescent="0.3">
      <c r="A82" s="80"/>
      <c r="B82" s="133" t="s">
        <v>1820</v>
      </c>
      <c r="C82" s="133" t="s">
        <v>338</v>
      </c>
      <c r="E82" s="31"/>
      <c r="F82" s="31"/>
      <c r="G82" s="31"/>
      <c r="H82" s="134"/>
      <c r="I82" s="134"/>
      <c r="J82" s="134"/>
      <c r="K82" s="134"/>
      <c r="L82" s="133">
        <f t="shared" ref="L82:M82" si="20">L80/$D$10</f>
        <v>1.0999999999999999</v>
      </c>
      <c r="M82" s="133">
        <f t="shared" si="20"/>
        <v>1.64</v>
      </c>
      <c r="N82" s="31"/>
      <c r="O82" s="31"/>
      <c r="P82" s="103"/>
      <c r="Q82" s="103"/>
      <c r="R82" s="103"/>
      <c r="S82" s="103"/>
      <c r="T82" s="103"/>
      <c r="U82" s="103"/>
      <c r="V82" s="103"/>
      <c r="W82" s="103"/>
      <c r="X82" s="103"/>
    </row>
    <row r="83" spans="1:24" s="133" customFormat="1" x14ac:dyDescent="0.3">
      <c r="B83" s="133" t="s">
        <v>459</v>
      </c>
      <c r="C83" s="133" t="s">
        <v>302</v>
      </c>
      <c r="D83" s="198">
        <f>SUM(D76:D78)</f>
        <v>97.1657894736842</v>
      </c>
      <c r="E83" s="198">
        <f t="shared" ref="E83:G83" si="21">SUM(E76:E78)</f>
        <v>97.405000000000001</v>
      </c>
      <c r="F83" s="198">
        <f t="shared" si="21"/>
        <v>97.549999999999983</v>
      </c>
      <c r="G83" s="198">
        <f t="shared" si="21"/>
        <v>97.502499999999998</v>
      </c>
      <c r="H83" s="198">
        <f t="shared" ref="H83:M83" si="22">SUM(H76:H78)</f>
        <v>96.945000000000007</v>
      </c>
      <c r="I83" s="198">
        <f t="shared" si="22"/>
        <v>97.55749999999999</v>
      </c>
      <c r="J83" s="198">
        <f t="shared" si="22"/>
        <v>96.927500000000009</v>
      </c>
      <c r="K83" s="198">
        <f t="shared" si="22"/>
        <v>97.944999999999979</v>
      </c>
      <c r="L83" s="198">
        <f t="shared" si="22"/>
        <v>93.458333333333329</v>
      </c>
      <c r="M83" s="198">
        <f t="shared" si="22"/>
        <v>92.916666666666657</v>
      </c>
      <c r="N83" s="31"/>
      <c r="O83" s="31"/>
      <c r="P83" s="103"/>
      <c r="Q83" s="103"/>
      <c r="R83" s="103"/>
      <c r="S83" s="103"/>
      <c r="T83" s="103"/>
      <c r="U83" s="103"/>
      <c r="V83" s="103"/>
      <c r="W83" s="103"/>
      <c r="X83" s="103"/>
    </row>
    <row r="84" spans="1:24" s="133" customFormat="1" x14ac:dyDescent="0.3">
      <c r="B84" s="133" t="s">
        <v>293</v>
      </c>
      <c r="C84" s="133" t="s">
        <v>338</v>
      </c>
      <c r="D84" s="134">
        <f>D70*D75</f>
        <v>0.57724642105263158</v>
      </c>
      <c r="E84" s="134">
        <f t="shared" ref="E84:G84" si="23">E70*E75</f>
        <v>0.86418294999999989</v>
      </c>
      <c r="F84" s="134">
        <f t="shared" si="23"/>
        <v>1.1619190999999998</v>
      </c>
      <c r="G84" s="134">
        <f t="shared" si="23"/>
        <v>1.38791785</v>
      </c>
      <c r="H84" s="134">
        <f t="shared" ref="H84:M84" si="24">H70*H75</f>
        <v>1.0645376</v>
      </c>
      <c r="I84" s="134">
        <f t="shared" si="24"/>
        <v>1.4796859499999999</v>
      </c>
      <c r="J84" s="134">
        <f t="shared" si="24"/>
        <v>2.2485618000000001</v>
      </c>
      <c r="K84" s="134">
        <f t="shared" si="24"/>
        <v>2.2566105499999995</v>
      </c>
      <c r="L84" s="134">
        <f t="shared" si="24"/>
        <v>1.9257453333333334</v>
      </c>
      <c r="M84" s="134">
        <f t="shared" si="24"/>
        <v>2.7548693333333327</v>
      </c>
      <c r="N84" s="31"/>
      <c r="O84" s="31"/>
      <c r="P84" s="103"/>
      <c r="Q84" s="103"/>
      <c r="R84" s="103"/>
      <c r="S84" s="103"/>
      <c r="T84" s="103"/>
      <c r="U84" s="103"/>
      <c r="V84" s="103"/>
      <c r="W84" s="103"/>
      <c r="X84" s="103"/>
    </row>
    <row r="85" spans="1:24" s="133" customFormat="1" x14ac:dyDescent="0.3">
      <c r="B85" s="133" t="s">
        <v>1082</v>
      </c>
      <c r="C85" s="133" t="s">
        <v>338</v>
      </c>
      <c r="D85" s="10">
        <f>D84*D77/D76</f>
        <v>0.54748548419941667</v>
      </c>
      <c r="E85" s="10">
        <f t="shared" ref="E85:G85" si="25">E84*E77/E76</f>
        <v>0.8173980367602256</v>
      </c>
      <c r="F85" s="10">
        <f t="shared" si="25"/>
        <v>1.1112362412885435</v>
      </c>
      <c r="G85" s="10">
        <f t="shared" si="25"/>
        <v>1.39512503266581</v>
      </c>
      <c r="H85" s="10">
        <f t="shared" ref="H85:M85" si="26">H84*H77/H76</f>
        <v>4.8123800010814892E-2</v>
      </c>
      <c r="I85" s="10">
        <f t="shared" si="26"/>
        <v>6.9348378443908648E-2</v>
      </c>
      <c r="J85" s="10">
        <f t="shared" si="26"/>
        <v>0.13637526701865732</v>
      </c>
      <c r="K85" s="10">
        <f t="shared" si="26"/>
        <v>0.4784233682540785</v>
      </c>
      <c r="L85" s="10">
        <f t="shared" si="26"/>
        <v>9.4009077340316119E-2</v>
      </c>
      <c r="M85" s="10">
        <f t="shared" si="26"/>
        <v>0.15281649274264794</v>
      </c>
      <c r="N85" s="31"/>
      <c r="O85" s="31"/>
      <c r="P85" s="103"/>
      <c r="Q85" s="103"/>
      <c r="R85" s="103"/>
      <c r="S85" s="103"/>
      <c r="T85" s="103"/>
      <c r="U85" s="103"/>
      <c r="V85" s="103"/>
      <c r="W85" s="103"/>
      <c r="X85" s="103"/>
    </row>
    <row r="86" spans="1:24" s="133" customFormat="1" x14ac:dyDescent="0.3">
      <c r="B86" s="133" t="s">
        <v>308</v>
      </c>
      <c r="C86" s="133" t="s">
        <v>338</v>
      </c>
      <c r="D86" s="10">
        <f>SUM(D84:D85)</f>
        <v>1.1247319052520481</v>
      </c>
      <c r="E86" s="10">
        <f t="shared" ref="E86:G86" si="27">SUM(E84:E85)</f>
        <v>1.6815809867602254</v>
      </c>
      <c r="F86" s="10">
        <f t="shared" si="27"/>
        <v>2.2731553412885432</v>
      </c>
      <c r="G86" s="10">
        <f t="shared" si="27"/>
        <v>2.7830428826658098</v>
      </c>
      <c r="H86" s="10">
        <f t="shared" ref="H86:M86" si="28">SUM(H84:H85)</f>
        <v>1.1126614000108148</v>
      </c>
      <c r="I86" s="10">
        <f t="shared" si="28"/>
        <v>1.5490343284439085</v>
      </c>
      <c r="J86" s="10">
        <f t="shared" si="28"/>
        <v>2.3849370670186572</v>
      </c>
      <c r="K86" s="10">
        <f t="shared" si="28"/>
        <v>2.7350339182540782</v>
      </c>
      <c r="L86" s="10">
        <f t="shared" si="28"/>
        <v>2.0197544106736496</v>
      </c>
      <c r="M86" s="10">
        <f t="shared" si="28"/>
        <v>2.9076858260759808</v>
      </c>
      <c r="N86" s="103"/>
      <c r="O86" s="103"/>
      <c r="P86" s="103"/>
      <c r="Q86" s="103"/>
      <c r="R86" s="103"/>
      <c r="S86" s="103"/>
      <c r="T86" s="103"/>
      <c r="U86" s="103"/>
      <c r="V86" s="103"/>
      <c r="W86" s="103"/>
      <c r="X86" s="103"/>
    </row>
    <row r="87" spans="1:24" s="133" customFormat="1" x14ac:dyDescent="0.3">
      <c r="B87" s="133" t="s">
        <v>323</v>
      </c>
      <c r="C87" s="133" t="s">
        <v>338</v>
      </c>
      <c r="E87" s="31"/>
      <c r="F87" s="31"/>
      <c r="G87" s="31"/>
      <c r="H87" s="10">
        <f t="shared" ref="H87:M87" si="29">H84*H78/H76</f>
        <v>3.453861244795328E-3</v>
      </c>
      <c r="I87" s="10">
        <f t="shared" si="29"/>
        <v>1.5232591796927916E-2</v>
      </c>
      <c r="J87" s="10">
        <f t="shared" si="29"/>
        <v>0</v>
      </c>
      <c r="K87" s="10">
        <f t="shared" si="29"/>
        <v>0.3336744513363416</v>
      </c>
      <c r="L87" s="10">
        <f t="shared" si="29"/>
        <v>0</v>
      </c>
      <c r="M87" s="10">
        <f t="shared" si="29"/>
        <v>0</v>
      </c>
      <c r="N87" s="31"/>
      <c r="O87" s="31"/>
      <c r="P87" s="103"/>
      <c r="Q87" s="103"/>
      <c r="R87" s="103"/>
      <c r="S87" s="103"/>
      <c r="T87" s="103"/>
      <c r="U87" s="103"/>
      <c r="V87" s="103"/>
      <c r="W87" s="103"/>
      <c r="X87" s="103"/>
    </row>
    <row r="88" spans="1:24" s="133" customFormat="1" x14ac:dyDescent="0.3">
      <c r="B88" s="133" t="s">
        <v>433</v>
      </c>
      <c r="C88" s="133" t="s">
        <v>338</v>
      </c>
      <c r="E88" s="31"/>
      <c r="F88" s="31"/>
      <c r="G88" s="31"/>
      <c r="H88" s="10">
        <f t="shared" ref="H88:M88" si="30">H81-H87</f>
        <v>2.0965461387552047</v>
      </c>
      <c r="I88" s="10">
        <f t="shared" si="30"/>
        <v>2.8847674082030719</v>
      </c>
      <c r="J88" s="10">
        <f t="shared" si="30"/>
        <v>4.43</v>
      </c>
      <c r="K88" s="10">
        <f t="shared" si="30"/>
        <v>3.8663255486636587</v>
      </c>
      <c r="L88" s="10">
        <f t="shared" si="30"/>
        <v>6.2</v>
      </c>
      <c r="M88" s="10">
        <f t="shared" si="30"/>
        <v>9.1199999999999992</v>
      </c>
      <c r="N88" s="31"/>
      <c r="O88" s="103"/>
      <c r="P88" s="103"/>
      <c r="Q88" s="103"/>
      <c r="R88" s="103"/>
      <c r="S88" s="103"/>
      <c r="T88" s="103"/>
      <c r="U88" s="103"/>
      <c r="V88" s="103"/>
      <c r="W88" s="103"/>
      <c r="X88" s="103"/>
    </row>
    <row r="89" spans="1:24" s="133" customFormat="1" x14ac:dyDescent="0.3">
      <c r="A89" s="148"/>
      <c r="B89" s="148" t="s">
        <v>460</v>
      </c>
      <c r="C89" s="133" t="s">
        <v>338</v>
      </c>
      <c r="H89" s="10">
        <f t="shared" ref="H89:M89" si="31">H88/4</f>
        <v>0.52413653468880117</v>
      </c>
      <c r="I89" s="10">
        <f t="shared" si="31"/>
        <v>0.72119185205076797</v>
      </c>
      <c r="J89" s="10">
        <f t="shared" si="31"/>
        <v>1.1074999999999999</v>
      </c>
      <c r="K89" s="10">
        <f t="shared" si="31"/>
        <v>0.96658138716591468</v>
      </c>
      <c r="L89" s="10">
        <f t="shared" si="31"/>
        <v>1.55</v>
      </c>
      <c r="M89" s="10">
        <f t="shared" si="31"/>
        <v>2.2799999999999998</v>
      </c>
    </row>
    <row r="90" spans="1:24" s="133" customFormat="1" x14ac:dyDescent="0.3">
      <c r="A90" s="148"/>
      <c r="B90" s="148" t="s">
        <v>402</v>
      </c>
      <c r="C90" s="133" t="s">
        <v>338</v>
      </c>
      <c r="H90" s="31">
        <f>H84-D84</f>
        <v>0.4872911789473684</v>
      </c>
      <c r="I90" s="31">
        <f>I84-E84</f>
        <v>0.61550300000000002</v>
      </c>
      <c r="J90" s="31">
        <f>J84-F84</f>
        <v>1.0866427000000003</v>
      </c>
      <c r="K90" s="31">
        <f>K84-G84</f>
        <v>0.86869269999999954</v>
      </c>
      <c r="L90" s="31">
        <f>L84-D84</f>
        <v>1.3484989122807018</v>
      </c>
      <c r="M90" s="31">
        <f>M84-E84</f>
        <v>1.8906863833333327</v>
      </c>
    </row>
    <row r="91" spans="1:24" s="133" customFormat="1" x14ac:dyDescent="0.3">
      <c r="A91" s="148"/>
      <c r="B91" s="148" t="s">
        <v>2086</v>
      </c>
      <c r="C91" s="133" t="s">
        <v>338</v>
      </c>
      <c r="H91" s="48">
        <f>$D85+H82-H85</f>
        <v>0.49936168418860177</v>
      </c>
      <c r="I91" s="48">
        <f>$E85+I82-I85</f>
        <v>0.74804965831631698</v>
      </c>
      <c r="J91" s="48">
        <f>F85+J82-J85</f>
        <v>0.97486097426988616</v>
      </c>
      <c r="K91" s="48">
        <f>G85+K82-K85</f>
        <v>0.91670166441173151</v>
      </c>
      <c r="L91" s="48">
        <f>$D85+L82-L85</f>
        <v>1.5534764068591005</v>
      </c>
      <c r="M91" s="48">
        <f>$E85+M82-M85</f>
        <v>2.3045815440175774</v>
      </c>
    </row>
    <row r="92" spans="1:24" x14ac:dyDescent="0.3">
      <c r="A92" s="148"/>
      <c r="B92" s="148" t="s">
        <v>93</v>
      </c>
      <c r="C92" s="133"/>
      <c r="D92" s="133"/>
      <c r="H92" s="187">
        <f>H81/($D85+H82)</f>
        <v>3.8357181342822488</v>
      </c>
      <c r="I92" s="187">
        <f>I81/($E85+I82)</f>
        <v>3.5478431187505799</v>
      </c>
      <c r="J92" s="187">
        <f>J81/F85</f>
        <v>3.9865510459442497</v>
      </c>
      <c r="K92" s="187">
        <f>K81/G85</f>
        <v>3.0104828611487422</v>
      </c>
      <c r="L92" s="187">
        <f>L81/($D85+L82)</f>
        <v>3.763310851271533</v>
      </c>
      <c r="M92" s="187">
        <f>M81/($E85+M82)</f>
        <v>3.7112424863916584</v>
      </c>
    </row>
    <row r="93" spans="1:24" s="133" customFormat="1" x14ac:dyDescent="0.3">
      <c r="A93" s="148"/>
      <c r="B93" s="148" t="s">
        <v>462</v>
      </c>
      <c r="E93" s="103"/>
      <c r="F93" s="103"/>
      <c r="G93" s="103"/>
      <c r="H93" s="10">
        <f t="shared" ref="H93:M93" si="32">H88/H81</f>
        <v>0.99835530416914509</v>
      </c>
      <c r="I93" s="10">
        <f t="shared" si="32"/>
        <v>0.99474738213899028</v>
      </c>
      <c r="J93" s="10">
        <f t="shared" si="32"/>
        <v>1</v>
      </c>
      <c r="K93" s="10">
        <f t="shared" si="32"/>
        <v>0.92055370206277587</v>
      </c>
      <c r="L93" s="10">
        <f t="shared" si="32"/>
        <v>1</v>
      </c>
      <c r="M93" s="10">
        <f t="shared" si="32"/>
        <v>1</v>
      </c>
      <c r="N93" s="103"/>
      <c r="O93" s="103"/>
      <c r="P93" s="103"/>
      <c r="Q93" s="103"/>
      <c r="R93" s="103"/>
      <c r="S93" s="103"/>
      <c r="T93" s="103"/>
      <c r="U93" s="103"/>
      <c r="V93" s="103"/>
      <c r="W93" s="103"/>
      <c r="X93" s="103"/>
    </row>
    <row r="94" spans="1:24" s="133" customFormat="1" x14ac:dyDescent="0.3">
      <c r="A94" s="148"/>
      <c r="B94" s="148" t="s">
        <v>2085</v>
      </c>
      <c r="H94" s="10">
        <f t="shared" ref="H94:M94" si="33">H90/H89</f>
        <v>0.92970275242631351</v>
      </c>
      <c r="I94" s="10">
        <f t="shared" si="33"/>
        <v>0.85345251509673459</v>
      </c>
      <c r="J94" s="10">
        <f t="shared" si="33"/>
        <v>0.98116722347629826</v>
      </c>
      <c r="K94" s="10">
        <f t="shared" si="33"/>
        <v>0.89872690653300114</v>
      </c>
      <c r="L94" s="10">
        <f t="shared" si="33"/>
        <v>0.86999929824561406</v>
      </c>
      <c r="M94" s="10">
        <f t="shared" si="33"/>
        <v>0.82924841374268987</v>
      </c>
    </row>
    <row r="95" spans="1:24" s="133" customFormat="1" x14ac:dyDescent="0.3">
      <c r="A95" s="148"/>
      <c r="B95" s="148" t="s">
        <v>2087</v>
      </c>
      <c r="H95" s="10">
        <f t="shared" ref="H95:M95" si="34">H91/H89</f>
        <v>0.95273206719903791</v>
      </c>
      <c r="I95" s="10">
        <f t="shared" si="34"/>
        <v>1.03724086203855</v>
      </c>
      <c r="J95" s="10">
        <f t="shared" si="34"/>
        <v>0.88023564268161281</v>
      </c>
      <c r="K95" s="10">
        <f t="shared" si="34"/>
        <v>0.94839573426875712</v>
      </c>
      <c r="L95" s="10">
        <f t="shared" si="34"/>
        <v>1.0022428431349035</v>
      </c>
      <c r="M95" s="10">
        <f t="shared" si="34"/>
        <v>1.0107813789550779</v>
      </c>
    </row>
    <row r="96" spans="1:24" s="133" customFormat="1" x14ac:dyDescent="0.3">
      <c r="A96" s="148"/>
      <c r="B96" s="148" t="s">
        <v>2088</v>
      </c>
      <c r="H96" s="10">
        <f t="shared" ref="H96:M96" si="35">H90/H91</f>
        <v>0.97582813094511567</v>
      </c>
      <c r="I96" s="10">
        <f t="shared" si="35"/>
        <v>0.82281034842707079</v>
      </c>
      <c r="J96" s="10">
        <f t="shared" si="35"/>
        <v>1.1146642738610315</v>
      </c>
      <c r="K96" s="10">
        <f t="shared" si="35"/>
        <v>0.94762858378517245</v>
      </c>
      <c r="L96" s="10">
        <f t="shared" si="35"/>
        <v>0.86805239289547187</v>
      </c>
      <c r="M96" s="10">
        <f t="shared" si="35"/>
        <v>0.82040333449746317</v>
      </c>
    </row>
    <row r="97" spans="1:13" s="133" customFormat="1" x14ac:dyDescent="0.3">
      <c r="A97" s="148"/>
      <c r="B97" s="148" t="s">
        <v>2096</v>
      </c>
      <c r="C97" s="133" t="s">
        <v>92</v>
      </c>
      <c r="D97" s="37"/>
      <c r="H97" s="10">
        <f>H90/D85</f>
        <v>0.89005314845914152</v>
      </c>
      <c r="I97" s="10">
        <f>I90/E85</f>
        <v>0.75300278728287529</v>
      </c>
      <c r="J97" s="10">
        <f>J90/F85</f>
        <v>0.97786830524891311</v>
      </c>
      <c r="K97" s="10">
        <f>K90/G85</f>
        <v>0.62266297260833914</v>
      </c>
      <c r="L97" s="48">
        <f>L90/((D85+L82))</f>
        <v>0.81851944992158454</v>
      </c>
      <c r="M97" s="48">
        <f>M90/((E85+M82))</f>
        <v>0.76938548621368974</v>
      </c>
    </row>
    <row r="98" spans="1:13" s="133" customFormat="1" x14ac:dyDescent="0.3">
      <c r="A98" s="148"/>
      <c r="B98" s="148" t="s">
        <v>2097</v>
      </c>
      <c r="C98" s="133" t="s">
        <v>92</v>
      </c>
      <c r="D98" s="37"/>
      <c r="H98" s="134">
        <f>H86/D86</f>
        <v>0.9892681045279601</v>
      </c>
      <c r="I98" s="134">
        <f>I86/E86</f>
        <v>0.92117735668997758</v>
      </c>
      <c r="J98" s="134">
        <f>J86/F86</f>
        <v>1.0491746972588112</v>
      </c>
      <c r="K98" s="134">
        <f>K86/G86</f>
        <v>0.98274947011749059</v>
      </c>
      <c r="L98" s="51">
        <f>L86/D86</f>
        <v>1.7957651963478625</v>
      </c>
      <c r="M98" s="51">
        <f>M86/E86</f>
        <v>1.7291381437881257</v>
      </c>
    </row>
    <row r="99" spans="1:13" s="133" customFormat="1" x14ac:dyDescent="0.3">
      <c r="A99" s="148"/>
      <c r="B99" s="148" t="s">
        <v>2081</v>
      </c>
      <c r="H99" s="134">
        <f>H88/H89</f>
        <v>4</v>
      </c>
      <c r="I99" s="134">
        <f>I88/I89</f>
        <v>4</v>
      </c>
      <c r="J99" s="134">
        <f>J88/J89</f>
        <v>4</v>
      </c>
      <c r="K99" s="134">
        <f>K88/K89</f>
        <v>4</v>
      </c>
      <c r="L99" s="134">
        <f>L88/L90</f>
        <v>4.5977048579994824</v>
      </c>
      <c r="M99" s="134">
        <f>M88/M90</f>
        <v>4.8236450425591926</v>
      </c>
    </row>
    <row r="100" spans="1:13" s="133" customFormat="1" x14ac:dyDescent="0.3">
      <c r="A100" s="148"/>
      <c r="B100" s="148" t="s">
        <v>2137</v>
      </c>
      <c r="H100" s="134">
        <f t="shared" ref="H100:M100" si="36">H88/H91</f>
        <v>4.1984521542973834</v>
      </c>
      <c r="I100" s="134">
        <f t="shared" si="36"/>
        <v>3.8563849019007663</v>
      </c>
      <c r="J100" s="134">
        <f t="shared" si="36"/>
        <v>4.544237708682318</v>
      </c>
      <c r="K100" s="134">
        <f t="shared" si="36"/>
        <v>4.2176486623320013</v>
      </c>
      <c r="L100" s="134">
        <f t="shared" si="36"/>
        <v>3.9910487038135862</v>
      </c>
      <c r="M100" s="134">
        <f t="shared" si="36"/>
        <v>3.957334477347719</v>
      </c>
    </row>
    <row r="101" spans="1:13" s="133" customFormat="1" x14ac:dyDescent="0.3">
      <c r="B101" s="148"/>
    </row>
    <row r="102" spans="1:13" x14ac:dyDescent="0.3">
      <c r="B102" s="40" t="s">
        <v>359</v>
      </c>
      <c r="C102" s="12"/>
      <c r="D102" t="s">
        <v>273</v>
      </c>
      <c r="H102" t="s">
        <v>274</v>
      </c>
      <c r="L102" t="s">
        <v>275</v>
      </c>
    </row>
    <row r="103" spans="1:13" s="133" customFormat="1" x14ac:dyDescent="0.3">
      <c r="B103" s="103" t="s">
        <v>1795</v>
      </c>
      <c r="C103" s="103"/>
      <c r="D103" s="133" t="s">
        <v>1823</v>
      </c>
      <c r="E103" s="133" t="s">
        <v>1823</v>
      </c>
      <c r="F103" s="133" t="s">
        <v>1823</v>
      </c>
      <c r="G103" s="133" t="s">
        <v>1823</v>
      </c>
      <c r="H103" s="133" t="s">
        <v>1823</v>
      </c>
      <c r="I103" s="133" t="s">
        <v>1823</v>
      </c>
      <c r="J103" s="133" t="s">
        <v>1823</v>
      </c>
      <c r="K103" s="133" t="s">
        <v>1823</v>
      </c>
      <c r="L103" s="133" t="s">
        <v>1823</v>
      </c>
      <c r="M103" s="133" t="s">
        <v>1823</v>
      </c>
    </row>
    <row r="104" spans="1:13" s="133" customFormat="1" x14ac:dyDescent="0.3">
      <c r="B104" s="103" t="s">
        <v>1791</v>
      </c>
      <c r="C104" s="103"/>
      <c r="D104" s="133" t="s">
        <v>1826</v>
      </c>
      <c r="E104" s="133" t="s">
        <v>1824</v>
      </c>
      <c r="F104" s="133" t="s">
        <v>1825</v>
      </c>
      <c r="G104" s="133" t="s">
        <v>1827</v>
      </c>
      <c r="H104" s="133" t="s">
        <v>1876</v>
      </c>
      <c r="I104" s="133" t="s">
        <v>1877</v>
      </c>
      <c r="J104" s="133" t="s">
        <v>1878</v>
      </c>
      <c r="K104" s="133" t="s">
        <v>1879</v>
      </c>
      <c r="L104" s="133" t="s">
        <v>1880</v>
      </c>
      <c r="M104" s="133" t="s">
        <v>1881</v>
      </c>
    </row>
    <row r="105" spans="1:13" x14ac:dyDescent="0.3">
      <c r="B105" s="12" t="s">
        <v>33</v>
      </c>
      <c r="C105" s="133" t="s">
        <v>361</v>
      </c>
      <c r="D105">
        <f t="shared" ref="D105:M105" si="37">D70</f>
        <v>2</v>
      </c>
      <c r="E105" s="133">
        <f t="shared" si="37"/>
        <v>3</v>
      </c>
      <c r="F105" s="133">
        <f t="shared" si="37"/>
        <v>4</v>
      </c>
      <c r="G105" s="133">
        <f t="shared" si="37"/>
        <v>5</v>
      </c>
      <c r="H105" s="133">
        <f t="shared" si="37"/>
        <v>2</v>
      </c>
      <c r="I105" s="133">
        <f t="shared" si="37"/>
        <v>3</v>
      </c>
      <c r="J105" s="133">
        <f t="shared" si="37"/>
        <v>4</v>
      </c>
      <c r="K105" s="133">
        <f t="shared" si="37"/>
        <v>5</v>
      </c>
      <c r="L105" s="133">
        <f t="shared" si="37"/>
        <v>2</v>
      </c>
      <c r="M105" s="133">
        <f t="shared" si="37"/>
        <v>3</v>
      </c>
    </row>
    <row r="106" spans="1:13" x14ac:dyDescent="0.3">
      <c r="B106" s="12" t="s">
        <v>26</v>
      </c>
      <c r="C106" s="12" t="s">
        <v>25</v>
      </c>
      <c r="D106">
        <f t="shared" ref="D106:M106" si="38">D71</f>
        <v>15</v>
      </c>
      <c r="E106" s="133">
        <f t="shared" si="38"/>
        <v>15</v>
      </c>
      <c r="F106" s="133">
        <f t="shared" si="38"/>
        <v>15</v>
      </c>
      <c r="G106" s="133">
        <f t="shared" si="38"/>
        <v>15</v>
      </c>
      <c r="H106" s="133">
        <f t="shared" si="38"/>
        <v>15</v>
      </c>
      <c r="I106" s="133">
        <f t="shared" si="38"/>
        <v>15</v>
      </c>
      <c r="J106" s="133">
        <f t="shared" si="38"/>
        <v>15</v>
      </c>
      <c r="K106" s="133">
        <f t="shared" si="38"/>
        <v>15</v>
      </c>
      <c r="L106" s="133">
        <f t="shared" si="38"/>
        <v>15</v>
      </c>
      <c r="M106" s="133">
        <f t="shared" si="38"/>
        <v>15</v>
      </c>
    </row>
    <row r="107" spans="1:13" s="133" customFormat="1" x14ac:dyDescent="0.3">
      <c r="B107" s="148" t="s">
        <v>1544</v>
      </c>
      <c r="C107" s="133" t="s">
        <v>338</v>
      </c>
      <c r="H107" s="198">
        <f t="shared" ref="H107:M107" si="39">H81</f>
        <v>2.1</v>
      </c>
      <c r="I107" s="198">
        <f t="shared" si="39"/>
        <v>2.9</v>
      </c>
      <c r="J107" s="198">
        <f t="shared" si="39"/>
        <v>4.43</v>
      </c>
      <c r="K107" s="198">
        <f t="shared" si="39"/>
        <v>4.2</v>
      </c>
      <c r="L107" s="198">
        <f t="shared" si="39"/>
        <v>6.2</v>
      </c>
      <c r="M107" s="198">
        <f t="shared" si="39"/>
        <v>9.1199999999999992</v>
      </c>
    </row>
    <row r="108" spans="1:13" x14ac:dyDescent="0.3">
      <c r="B108" s="12" t="s">
        <v>351</v>
      </c>
      <c r="C108" s="12" t="s">
        <v>377</v>
      </c>
      <c r="D108" s="10">
        <f t="shared" ref="D108:M108" si="40">D75</f>
        <v>0.28862321052631579</v>
      </c>
      <c r="E108" s="10">
        <f t="shared" si="40"/>
        <v>0.2880609833333333</v>
      </c>
      <c r="F108" s="10">
        <f t="shared" si="40"/>
        <v>0.29047977499999994</v>
      </c>
      <c r="G108" s="10">
        <f t="shared" si="40"/>
        <v>0.27758357</v>
      </c>
      <c r="H108" s="10">
        <f t="shared" si="40"/>
        <v>0.53226879999999999</v>
      </c>
      <c r="I108" s="10">
        <f t="shared" si="40"/>
        <v>0.49322864999999994</v>
      </c>
      <c r="J108" s="10">
        <f t="shared" si="40"/>
        <v>0.56214045000000001</v>
      </c>
      <c r="K108" s="10">
        <f t="shared" si="40"/>
        <v>0.45132210999999994</v>
      </c>
      <c r="L108" s="10">
        <f t="shared" si="40"/>
        <v>0.96287266666666671</v>
      </c>
      <c r="M108" s="10">
        <f t="shared" si="40"/>
        <v>0.91828977777777765</v>
      </c>
    </row>
    <row r="109" spans="1:13" x14ac:dyDescent="0.3">
      <c r="B109" s="12" t="s">
        <v>352</v>
      </c>
      <c r="C109" s="12" t="s">
        <v>377</v>
      </c>
      <c r="H109" s="10">
        <f>H108-D108</f>
        <v>0.2436455894736842</v>
      </c>
      <c r="I109" s="10">
        <f>I108-E108</f>
        <v>0.20516766666666664</v>
      </c>
      <c r="J109" s="10">
        <f>J108-F108</f>
        <v>0.27166067500000007</v>
      </c>
      <c r="K109" s="10">
        <f>K108-G108</f>
        <v>0.17373853999999994</v>
      </c>
      <c r="L109" s="10">
        <f>L108-D108</f>
        <v>0.67424945614035092</v>
      </c>
      <c r="M109" s="10">
        <f>M108-E108</f>
        <v>0.63022879444444435</v>
      </c>
    </row>
    <row r="110" spans="1:13" x14ac:dyDescent="0.3">
      <c r="B110" s="12" t="s">
        <v>383</v>
      </c>
      <c r="C110" s="12" t="s">
        <v>92</v>
      </c>
      <c r="H110" s="134">
        <f>H109/D108</f>
        <v>0.84416492017182843</v>
      </c>
      <c r="I110" s="134">
        <f>I109/E108</f>
        <v>0.71223691696301117</v>
      </c>
      <c r="J110" s="134">
        <f>J109/F108</f>
        <v>0.93521373389937434</v>
      </c>
      <c r="K110" s="134">
        <f>K109/G108</f>
        <v>0.6258963381730408</v>
      </c>
      <c r="L110" s="134">
        <f>L109/D108</f>
        <v>2.3360888229010777</v>
      </c>
      <c r="M110" s="134">
        <f>M109/E108</f>
        <v>2.1878311569712561</v>
      </c>
    </row>
    <row r="111" spans="1:13" x14ac:dyDescent="0.3">
      <c r="B111" s="12" t="s">
        <v>293</v>
      </c>
      <c r="C111" s="12" t="s">
        <v>338</v>
      </c>
      <c r="D111" s="10">
        <f t="shared" ref="D111:M111" si="41">D84</f>
        <v>0.57724642105263158</v>
      </c>
      <c r="E111" s="10">
        <f t="shared" si="41"/>
        <v>0.86418294999999989</v>
      </c>
      <c r="F111" s="10">
        <f t="shared" si="41"/>
        <v>1.1619190999999998</v>
      </c>
      <c r="G111" s="10">
        <f t="shared" si="41"/>
        <v>1.38791785</v>
      </c>
      <c r="H111" s="10">
        <f t="shared" si="41"/>
        <v>1.0645376</v>
      </c>
      <c r="I111" s="10">
        <f t="shared" si="41"/>
        <v>1.4796859499999999</v>
      </c>
      <c r="J111" s="10">
        <f t="shared" si="41"/>
        <v>2.2485618000000001</v>
      </c>
      <c r="K111" s="10">
        <f t="shared" si="41"/>
        <v>2.2566105499999995</v>
      </c>
      <c r="L111" s="10">
        <f t="shared" si="41"/>
        <v>1.9257453333333334</v>
      </c>
      <c r="M111" s="10">
        <f t="shared" si="41"/>
        <v>2.7548693333333327</v>
      </c>
    </row>
    <row r="112" spans="1:13" x14ac:dyDescent="0.3">
      <c r="B112" s="12" t="s">
        <v>402</v>
      </c>
      <c r="C112" s="12" t="s">
        <v>338</v>
      </c>
      <c r="H112" s="10">
        <f t="shared" ref="H112:M112" si="42">H89</f>
        <v>0.52413653468880117</v>
      </c>
      <c r="I112" s="10">
        <f t="shared" si="42"/>
        <v>0.72119185205076797</v>
      </c>
      <c r="J112" s="10">
        <f t="shared" si="42"/>
        <v>1.1074999999999999</v>
      </c>
      <c r="K112" s="10">
        <f t="shared" si="42"/>
        <v>0.96658138716591468</v>
      </c>
      <c r="L112" s="10">
        <f t="shared" si="42"/>
        <v>1.55</v>
      </c>
      <c r="M112" s="10">
        <f t="shared" si="42"/>
        <v>2.2799999999999998</v>
      </c>
    </row>
    <row r="113" spans="2:13" x14ac:dyDescent="0.3">
      <c r="B113" t="s">
        <v>3</v>
      </c>
      <c r="C113" t="s">
        <v>302</v>
      </c>
      <c r="D113" s="8">
        <f t="shared" ref="D113:M113" si="43">D76</f>
        <v>49.868421052631575</v>
      </c>
      <c r="E113" s="8">
        <f t="shared" si="43"/>
        <v>50.057499999999997</v>
      </c>
      <c r="F113" s="8">
        <f t="shared" si="43"/>
        <v>49.86249999999999</v>
      </c>
      <c r="G113" s="8">
        <f t="shared" si="43"/>
        <v>48.625</v>
      </c>
      <c r="H113" s="8">
        <f t="shared" si="43"/>
        <v>92.465000000000003</v>
      </c>
      <c r="I113" s="8">
        <f t="shared" si="43"/>
        <v>92.282499999999985</v>
      </c>
      <c r="J113" s="8">
        <f t="shared" si="43"/>
        <v>91.385000000000005</v>
      </c>
      <c r="K113" s="8">
        <f t="shared" si="43"/>
        <v>72.024999999999977</v>
      </c>
      <c r="L113" s="8">
        <f t="shared" si="43"/>
        <v>89.108333333333334</v>
      </c>
      <c r="M113" s="8">
        <f t="shared" si="43"/>
        <v>88.033333333333331</v>
      </c>
    </row>
    <row r="114" spans="2:13" x14ac:dyDescent="0.3">
      <c r="B114" t="s">
        <v>277</v>
      </c>
      <c r="C114" t="s">
        <v>302</v>
      </c>
      <c r="D114" s="8">
        <f t="shared" ref="D114:M114" si="44">D77</f>
        <v>47.297368421052624</v>
      </c>
      <c r="E114" s="8">
        <f t="shared" si="44"/>
        <v>47.347499999999997</v>
      </c>
      <c r="F114" s="8">
        <f t="shared" si="44"/>
        <v>47.6875</v>
      </c>
      <c r="G114" s="8">
        <f t="shared" si="44"/>
        <v>48.877500000000005</v>
      </c>
      <c r="H114" s="8">
        <f t="shared" si="44"/>
        <v>4.18</v>
      </c>
      <c r="I114" s="8">
        <f t="shared" si="44"/>
        <v>4.3249999999999993</v>
      </c>
      <c r="J114" s="8">
        <f t="shared" si="44"/>
        <v>5.5424999999999995</v>
      </c>
      <c r="K114" s="8">
        <f t="shared" si="44"/>
        <v>15.269999999999998</v>
      </c>
      <c r="L114" s="8">
        <f t="shared" si="44"/>
        <v>4.3500000000000005</v>
      </c>
      <c r="M114" s="8">
        <f t="shared" si="44"/>
        <v>4.8833333333333329</v>
      </c>
    </row>
    <row r="115" spans="2:13" x14ac:dyDescent="0.3">
      <c r="B115" t="s">
        <v>13</v>
      </c>
      <c r="C115" t="s">
        <v>302</v>
      </c>
      <c r="D115" s="8"/>
      <c r="E115" s="8"/>
      <c r="F115" s="8"/>
      <c r="G115" s="8"/>
      <c r="H115" s="8">
        <f t="shared" ref="H115:M115" si="45">H78</f>
        <v>0.30000000000000004</v>
      </c>
      <c r="I115" s="8">
        <f t="shared" si="45"/>
        <v>0.95000000000000007</v>
      </c>
      <c r="J115" s="8">
        <f t="shared" si="45"/>
        <v>0</v>
      </c>
      <c r="K115" s="8">
        <f t="shared" si="45"/>
        <v>10.65</v>
      </c>
      <c r="L115" s="8">
        <f t="shared" si="45"/>
        <v>0</v>
      </c>
      <c r="M115" s="8">
        <f t="shared" si="45"/>
        <v>0</v>
      </c>
    </row>
    <row r="116" spans="2:13" x14ac:dyDescent="0.3">
      <c r="B116" s="12" t="s">
        <v>35</v>
      </c>
      <c r="C116" s="12"/>
      <c r="D116" s="134">
        <f t="shared" ref="D116:M116" si="46">D74</f>
        <v>7.1371052631578937</v>
      </c>
      <c r="E116" s="134">
        <f t="shared" si="46"/>
        <v>7.346000000000001</v>
      </c>
      <c r="F116" s="134">
        <f t="shared" si="46"/>
        <v>7.3910000000000018</v>
      </c>
      <c r="G116" s="134">
        <f t="shared" si="46"/>
        <v>7.3760000000000012</v>
      </c>
      <c r="H116" s="134">
        <f t="shared" si="46"/>
        <v>7.8710000000000013</v>
      </c>
      <c r="I116" s="134">
        <f t="shared" si="46"/>
        <v>7.9635000000000007</v>
      </c>
      <c r="J116" s="134">
        <f t="shared" si="46"/>
        <v>8.1600000000000019</v>
      </c>
      <c r="K116" s="134">
        <f t="shared" si="46"/>
        <v>7.7720000000000002</v>
      </c>
      <c r="L116" s="134">
        <f t="shared" si="46"/>
        <v>7.8425000000000011</v>
      </c>
      <c r="M116" s="134">
        <f t="shared" si="46"/>
        <v>7.753333333333333</v>
      </c>
    </row>
    <row r="117" spans="2:13" x14ac:dyDescent="0.3">
      <c r="B117" s="12" t="s">
        <v>52</v>
      </c>
      <c r="C117" s="12" t="s">
        <v>621</v>
      </c>
      <c r="D117" s="10">
        <f>D73/Data!$C$34</f>
        <v>5.0688685424090628E-2</v>
      </c>
      <c r="E117" s="10">
        <f>E73/Data!$C$34</f>
        <v>7.4380428646482005E-2</v>
      </c>
      <c r="F117" s="10">
        <f>F73/Data!$C$34</f>
        <v>8.5302835631161658E-2</v>
      </c>
      <c r="G117" s="10">
        <f>G73/Data!$C$34</f>
        <v>7.8384253819022767E-2</v>
      </c>
      <c r="H117" s="10">
        <f>H73/Data!$C$34</f>
        <v>3.5088290933992704E-2</v>
      </c>
      <c r="I117" s="10">
        <f>I73/Data!$C$34</f>
        <v>4.5332547500742996E-2</v>
      </c>
      <c r="J117" s="10">
        <f>J73/Data!$C$34</f>
        <v>6.6514990359891182E-2</v>
      </c>
      <c r="K117" s="10">
        <f>K73/Data!$C$34</f>
        <v>8.9249488373238942E-2</v>
      </c>
      <c r="L117" s="10" t="s">
        <v>1671</v>
      </c>
      <c r="M117" s="10" t="s">
        <v>1671</v>
      </c>
    </row>
    <row r="118" spans="2:13" x14ac:dyDescent="0.3">
      <c r="B118" s="12" t="s">
        <v>558</v>
      </c>
      <c r="C118" s="12" t="s">
        <v>621</v>
      </c>
      <c r="D118" t="s">
        <v>1640</v>
      </c>
      <c r="E118" s="133" t="s">
        <v>1640</v>
      </c>
      <c r="F118" s="133" t="s">
        <v>1640</v>
      </c>
      <c r="G118" s="133" t="s">
        <v>1640</v>
      </c>
      <c r="H118" s="133" t="s">
        <v>1640</v>
      </c>
      <c r="I118" s="133" t="s">
        <v>1640</v>
      </c>
      <c r="J118" s="133" t="s">
        <v>1640</v>
      </c>
      <c r="K118" s="133" t="s">
        <v>1640</v>
      </c>
      <c r="L118" s="133" t="s">
        <v>1640</v>
      </c>
      <c r="M118" s="133" t="s">
        <v>1640</v>
      </c>
    </row>
    <row r="119" spans="2:13" x14ac:dyDescent="0.3">
      <c r="B119" s="12"/>
      <c r="C119" s="12"/>
    </row>
    <row r="122" spans="2:13" x14ac:dyDescent="0.3">
      <c r="B122" s="14" t="s">
        <v>1786</v>
      </c>
    </row>
    <row r="123" spans="2:13" x14ac:dyDescent="0.3">
      <c r="B123" t="s">
        <v>1125</v>
      </c>
    </row>
    <row r="124" spans="2:13" x14ac:dyDescent="0.3">
      <c r="B124" t="s">
        <v>1127</v>
      </c>
    </row>
    <row r="126" spans="2:13" x14ac:dyDescent="0.3">
      <c r="B126" s="184" t="s">
        <v>1132</v>
      </c>
    </row>
    <row r="128" spans="2:13" s="133" customFormat="1" x14ac:dyDescent="0.3">
      <c r="B128" s="148" t="s">
        <v>114</v>
      </c>
      <c r="D128" s="133" t="s">
        <v>1841</v>
      </c>
    </row>
    <row r="129" spans="2:5" s="133" customFormat="1" x14ac:dyDescent="0.3">
      <c r="B129" s="133" t="s">
        <v>667</v>
      </c>
      <c r="C129" s="133" t="s">
        <v>503</v>
      </c>
      <c r="D129" s="133">
        <v>37</v>
      </c>
    </row>
    <row r="130" spans="2:5" s="133" customFormat="1" x14ac:dyDescent="0.3">
      <c r="B130" s="133" t="s">
        <v>1324</v>
      </c>
      <c r="D130" s="133" t="s">
        <v>1091</v>
      </c>
    </row>
    <row r="131" spans="2:5" s="133" customFormat="1" x14ac:dyDescent="0.3">
      <c r="B131" s="133" t="s">
        <v>956</v>
      </c>
      <c r="C131" s="133" t="s">
        <v>22</v>
      </c>
      <c r="D131" s="133">
        <v>1</v>
      </c>
    </row>
    <row r="132" spans="2:5" s="133" customFormat="1" x14ac:dyDescent="0.3">
      <c r="B132" s="133" t="s">
        <v>32</v>
      </c>
      <c r="C132" s="133" t="s">
        <v>22</v>
      </c>
      <c r="D132" s="133">
        <v>0.5</v>
      </c>
    </row>
    <row r="133" spans="2:5" s="133" customFormat="1" x14ac:dyDescent="0.3">
      <c r="B133" s="133" t="s">
        <v>326</v>
      </c>
      <c r="D133" s="133" t="s">
        <v>1341</v>
      </c>
    </row>
    <row r="134" spans="2:5" s="133" customFormat="1" x14ac:dyDescent="0.3">
      <c r="B134" s="133" t="s">
        <v>344</v>
      </c>
      <c r="D134" s="133" t="s">
        <v>665</v>
      </c>
    </row>
    <row r="135" spans="2:5" s="133" customFormat="1" x14ac:dyDescent="0.3">
      <c r="B135" s="133" t="s">
        <v>1332</v>
      </c>
      <c r="D135" s="133" t="s">
        <v>1809</v>
      </c>
    </row>
    <row r="136" spans="2:5" s="133" customFormat="1" x14ac:dyDescent="0.3">
      <c r="B136" s="133" t="s">
        <v>1330</v>
      </c>
      <c r="D136" s="133" t="s">
        <v>1333</v>
      </c>
    </row>
    <row r="137" spans="2:5" s="133" customFormat="1" x14ac:dyDescent="0.3">
      <c r="B137" s="133" t="s">
        <v>1968</v>
      </c>
      <c r="D137" s="133" t="s">
        <v>2090</v>
      </c>
      <c r="E137" s="133" t="s">
        <v>1978</v>
      </c>
    </row>
    <row r="138" spans="2:5" s="133" customFormat="1" x14ac:dyDescent="0.3">
      <c r="B138" s="133" t="s">
        <v>1541</v>
      </c>
      <c r="D138" s="133" t="s">
        <v>2113</v>
      </c>
    </row>
    <row r="139" spans="2:5" s="133" customFormat="1" x14ac:dyDescent="0.3">
      <c r="B139" s="133" t="s">
        <v>1599</v>
      </c>
      <c r="D139" s="133" t="s">
        <v>1818</v>
      </c>
    </row>
    <row r="140" spans="2:5" s="133" customFormat="1" x14ac:dyDescent="0.3"/>
    <row r="141" spans="2:5" x14ac:dyDescent="0.3">
      <c r="B141" t="s">
        <v>287</v>
      </c>
    </row>
    <row r="142" spans="2:5" x14ac:dyDescent="0.3">
      <c r="D142" t="s">
        <v>1130</v>
      </c>
      <c r="E142" t="s">
        <v>37</v>
      </c>
    </row>
    <row r="143" spans="2:5" x14ac:dyDescent="0.3">
      <c r="B143" t="s">
        <v>35</v>
      </c>
      <c r="D143">
        <v>7.54</v>
      </c>
      <c r="E143">
        <v>3.87</v>
      </c>
    </row>
    <row r="144" spans="2:5" x14ac:dyDescent="0.3">
      <c r="B144" t="s">
        <v>27</v>
      </c>
      <c r="C144" t="s">
        <v>1128</v>
      </c>
      <c r="D144">
        <v>7.9</v>
      </c>
      <c r="E144">
        <v>10.8</v>
      </c>
    </row>
    <row r="145" spans="2:8" x14ac:dyDescent="0.3">
      <c r="B145" t="s">
        <v>14</v>
      </c>
      <c r="C145" t="s">
        <v>1128</v>
      </c>
      <c r="D145">
        <v>7.78</v>
      </c>
      <c r="E145">
        <v>9.86</v>
      </c>
    </row>
    <row r="146" spans="2:8" x14ac:dyDescent="0.3">
      <c r="B146" t="s">
        <v>138</v>
      </c>
      <c r="C146" t="s">
        <v>302</v>
      </c>
      <c r="D146">
        <v>98.5</v>
      </c>
      <c r="E146">
        <v>91</v>
      </c>
    </row>
    <row r="147" spans="2:8" x14ac:dyDescent="0.3">
      <c r="B147" t="s">
        <v>51</v>
      </c>
      <c r="C147" t="s">
        <v>1129</v>
      </c>
      <c r="D147">
        <v>2.8</v>
      </c>
      <c r="E147">
        <v>6.31</v>
      </c>
      <c r="G147">
        <v>3.7</v>
      </c>
      <c r="H147" t="s">
        <v>1131</v>
      </c>
    </row>
    <row r="148" spans="2:8" x14ac:dyDescent="0.3">
      <c r="B148" t="s">
        <v>52</v>
      </c>
      <c r="C148" t="s">
        <v>693</v>
      </c>
      <c r="D148">
        <v>0.01</v>
      </c>
      <c r="E148">
        <v>0.88</v>
      </c>
    </row>
    <row r="149" spans="2:8" x14ac:dyDescent="0.3">
      <c r="B149" t="s">
        <v>48</v>
      </c>
      <c r="C149" t="s">
        <v>47</v>
      </c>
      <c r="D149">
        <v>45</v>
      </c>
      <c r="E149">
        <v>144</v>
      </c>
    </row>
    <row r="151" spans="2:8" x14ac:dyDescent="0.3">
      <c r="B151" t="s">
        <v>307</v>
      </c>
      <c r="D151" t="s">
        <v>1126</v>
      </c>
    </row>
    <row r="152" spans="2:8" x14ac:dyDescent="0.3">
      <c r="D152" t="s">
        <v>1134</v>
      </c>
      <c r="E152" t="s">
        <v>1135</v>
      </c>
      <c r="F152" t="s">
        <v>1136</v>
      </c>
      <c r="G152" t="s">
        <v>1137</v>
      </c>
    </row>
    <row r="153" spans="2:8" x14ac:dyDescent="0.3">
      <c r="B153" t="s">
        <v>35</v>
      </c>
      <c r="D153">
        <v>7.67</v>
      </c>
      <c r="E153">
        <v>7.67</v>
      </c>
      <c r="F153">
        <v>7.81</v>
      </c>
      <c r="G153">
        <v>7.81</v>
      </c>
    </row>
    <row r="154" spans="2:8" x14ac:dyDescent="0.3">
      <c r="B154" t="s">
        <v>525</v>
      </c>
      <c r="C154" t="s">
        <v>31</v>
      </c>
      <c r="D154">
        <v>754</v>
      </c>
      <c r="E154">
        <v>754</v>
      </c>
      <c r="F154">
        <v>667</v>
      </c>
      <c r="G154">
        <v>667</v>
      </c>
    </row>
    <row r="155" spans="2:8" x14ac:dyDescent="0.3">
      <c r="B155" t="s">
        <v>3</v>
      </c>
      <c r="C155" t="s">
        <v>302</v>
      </c>
      <c r="D155">
        <v>53.8</v>
      </c>
      <c r="E155">
        <v>53.8</v>
      </c>
      <c r="F155">
        <v>54.3</v>
      </c>
      <c r="G155">
        <v>54.3</v>
      </c>
    </row>
    <row r="156" spans="2:8" x14ac:dyDescent="0.3">
      <c r="B156" t="s">
        <v>277</v>
      </c>
      <c r="C156" t="s">
        <v>302</v>
      </c>
      <c r="D156">
        <v>45.9</v>
      </c>
      <c r="E156">
        <v>45.9</v>
      </c>
      <c r="F156">
        <v>45.4</v>
      </c>
      <c r="G156">
        <v>45.4</v>
      </c>
    </row>
    <row r="157" spans="2:8" x14ac:dyDescent="0.3">
      <c r="B157" t="s">
        <v>351</v>
      </c>
      <c r="C157" t="s">
        <v>701</v>
      </c>
      <c r="D157">
        <v>0.27100000000000002</v>
      </c>
      <c r="E157">
        <v>0.27100000000000002</v>
      </c>
      <c r="F157">
        <v>0.24099999999999999</v>
      </c>
      <c r="G157">
        <v>0.24099999999999999</v>
      </c>
    </row>
    <row r="158" spans="2:8" x14ac:dyDescent="0.3">
      <c r="B158" t="s">
        <v>277</v>
      </c>
      <c r="C158" t="s">
        <v>31</v>
      </c>
      <c r="D158">
        <v>346</v>
      </c>
      <c r="E158">
        <v>346</v>
      </c>
      <c r="F158">
        <v>302</v>
      </c>
      <c r="G158">
        <v>302</v>
      </c>
    </row>
    <row r="160" spans="2:8" x14ac:dyDescent="0.3">
      <c r="B160" t="s">
        <v>52</v>
      </c>
      <c r="C160" t="s">
        <v>693</v>
      </c>
      <c r="D160">
        <v>2</v>
      </c>
      <c r="E160">
        <v>2</v>
      </c>
      <c r="F160">
        <v>3</v>
      </c>
      <c r="G160">
        <v>3</v>
      </c>
    </row>
    <row r="161" spans="1:21" x14ac:dyDescent="0.3">
      <c r="B161" t="s">
        <v>1133</v>
      </c>
      <c r="C161" t="s">
        <v>31</v>
      </c>
      <c r="D161">
        <v>1400</v>
      </c>
      <c r="F161">
        <v>1200</v>
      </c>
    </row>
    <row r="163" spans="1:21" s="133" customFormat="1" x14ac:dyDescent="0.3"/>
    <row r="164" spans="1:21" s="133" customFormat="1" x14ac:dyDescent="0.3">
      <c r="B164" s="6" t="s">
        <v>877</v>
      </c>
    </row>
    <row r="165" spans="1:21" s="133" customFormat="1" x14ac:dyDescent="0.3">
      <c r="B165" s="133" t="s">
        <v>1823</v>
      </c>
      <c r="D165" s="133" t="s">
        <v>1842</v>
      </c>
      <c r="F165" s="133" t="s">
        <v>1845</v>
      </c>
      <c r="L165" s="103"/>
      <c r="N165" s="103"/>
      <c r="O165" s="186"/>
      <c r="P165" s="103"/>
      <c r="Q165" s="103"/>
      <c r="R165" s="103"/>
      <c r="S165" s="103"/>
      <c r="T165" s="103"/>
      <c r="U165" s="103"/>
    </row>
    <row r="166" spans="1:21" s="133" customFormat="1" x14ac:dyDescent="0.3">
      <c r="D166" s="9" t="s">
        <v>1843</v>
      </c>
      <c r="E166" s="9" t="s">
        <v>1844</v>
      </c>
      <c r="F166" s="9" t="s">
        <v>1840</v>
      </c>
      <c r="G166" s="9" t="s">
        <v>1846</v>
      </c>
      <c r="L166" s="103"/>
      <c r="N166" s="103"/>
      <c r="O166" s="103"/>
      <c r="P166" s="103"/>
      <c r="Q166" s="103"/>
      <c r="R166" s="103"/>
      <c r="S166" s="103"/>
      <c r="T166" s="103"/>
      <c r="U166" s="103"/>
    </row>
    <row r="167" spans="1:21" s="133" customFormat="1" x14ac:dyDescent="0.3">
      <c r="D167" s="133" t="s">
        <v>1848</v>
      </c>
      <c r="E167" s="133" t="s">
        <v>1848</v>
      </c>
      <c r="F167" s="133" t="s">
        <v>1849</v>
      </c>
      <c r="G167" s="133" t="s">
        <v>1849</v>
      </c>
      <c r="L167" s="103"/>
      <c r="N167" s="103"/>
      <c r="O167" s="103"/>
      <c r="P167" s="103"/>
      <c r="Q167" s="103"/>
      <c r="R167" s="103"/>
      <c r="S167" s="103"/>
      <c r="T167" s="103"/>
      <c r="U167" s="103"/>
    </row>
    <row r="168" spans="1:21" s="133" customFormat="1" ht="15" thickBot="1" x14ac:dyDescent="0.35">
      <c r="D168" s="133" t="s">
        <v>1104</v>
      </c>
      <c r="E168" s="133" t="s">
        <v>1105</v>
      </c>
      <c r="F168" s="133" t="s">
        <v>1104</v>
      </c>
      <c r="G168" s="133" t="s">
        <v>1105</v>
      </c>
      <c r="L168" s="103"/>
      <c r="N168" s="103"/>
      <c r="O168" s="103"/>
      <c r="P168" s="103"/>
      <c r="Q168" s="103"/>
      <c r="R168" s="103"/>
      <c r="S168" s="103"/>
      <c r="T168" s="103"/>
      <c r="U168" s="103"/>
    </row>
    <row r="169" spans="1:21" s="133" customFormat="1" x14ac:dyDescent="0.3">
      <c r="B169" s="202" t="s">
        <v>33</v>
      </c>
      <c r="C169" s="203" t="s">
        <v>361</v>
      </c>
      <c r="D169" s="203">
        <v>3</v>
      </c>
      <c r="E169" s="203">
        <v>3</v>
      </c>
      <c r="F169" s="203">
        <v>3</v>
      </c>
      <c r="G169" s="204">
        <v>3</v>
      </c>
      <c r="L169" s="103"/>
      <c r="N169" s="103"/>
      <c r="O169" s="103"/>
      <c r="P169" s="103"/>
      <c r="Q169" s="103"/>
      <c r="R169" s="103"/>
      <c r="S169" s="103"/>
      <c r="T169" s="103"/>
      <c r="U169" s="103"/>
    </row>
    <row r="170" spans="1:21" s="133" customFormat="1" x14ac:dyDescent="0.3">
      <c r="B170" s="205" t="s">
        <v>26</v>
      </c>
      <c r="C170" s="80" t="s">
        <v>25</v>
      </c>
      <c r="D170" s="80">
        <v>15</v>
      </c>
      <c r="E170" s="80">
        <v>15</v>
      </c>
      <c r="F170" s="80">
        <v>15</v>
      </c>
      <c r="G170" s="206">
        <v>15</v>
      </c>
      <c r="L170" s="103"/>
      <c r="N170" s="103"/>
      <c r="O170" s="103"/>
      <c r="P170" s="103"/>
      <c r="Q170" s="103"/>
      <c r="R170" s="103"/>
      <c r="S170" s="103"/>
      <c r="T170" s="103"/>
      <c r="U170" s="103"/>
    </row>
    <row r="171" spans="1:21" s="133" customFormat="1" x14ac:dyDescent="0.3">
      <c r="B171" s="205" t="s">
        <v>52</v>
      </c>
      <c r="C171" s="80" t="s">
        <v>693</v>
      </c>
      <c r="D171" s="80">
        <v>2</v>
      </c>
      <c r="E171" s="80">
        <v>2</v>
      </c>
      <c r="F171" s="80">
        <v>3</v>
      </c>
      <c r="G171" s="206">
        <v>3</v>
      </c>
      <c r="I171" s="133" t="s">
        <v>2058</v>
      </c>
      <c r="L171" s="103"/>
      <c r="N171" s="103"/>
      <c r="O171" s="103"/>
      <c r="P171" s="103"/>
      <c r="Q171" s="103"/>
      <c r="R171" s="103"/>
      <c r="S171" s="103"/>
      <c r="T171" s="103"/>
      <c r="U171" s="103"/>
    </row>
    <row r="172" spans="1:21" s="133" customFormat="1" x14ac:dyDescent="0.3">
      <c r="B172" s="205" t="s">
        <v>35</v>
      </c>
      <c r="C172" s="80"/>
      <c r="D172" s="215">
        <v>7.6660000000000004</v>
      </c>
      <c r="E172" s="215">
        <v>8.2277777777777779</v>
      </c>
      <c r="F172" s="215">
        <v>7.8120000000000003</v>
      </c>
      <c r="G172" s="216">
        <v>8.1719230769230773</v>
      </c>
      <c r="J172" s="134"/>
      <c r="L172" s="103"/>
      <c r="N172" s="103"/>
      <c r="O172" s="103"/>
      <c r="P172" s="103"/>
      <c r="Q172" s="103"/>
      <c r="R172" s="103"/>
      <c r="S172" s="103"/>
      <c r="T172" s="103"/>
      <c r="U172" s="103"/>
    </row>
    <row r="173" spans="1:21" s="133" customFormat="1" x14ac:dyDescent="0.3">
      <c r="A173" s="109"/>
      <c r="B173" s="149" t="s">
        <v>1544</v>
      </c>
      <c r="C173" s="80" t="s">
        <v>338</v>
      </c>
      <c r="D173" s="80"/>
      <c r="E173" s="215">
        <v>2.4</v>
      </c>
      <c r="F173" s="80"/>
      <c r="G173" s="216">
        <v>1.6</v>
      </c>
    </row>
    <row r="174" spans="1:21" s="133" customFormat="1" x14ac:dyDescent="0.3">
      <c r="B174" s="205" t="s">
        <v>351</v>
      </c>
      <c r="C174" s="80" t="s">
        <v>701</v>
      </c>
      <c r="D174" s="200">
        <v>0.29522933333333334</v>
      </c>
      <c r="E174" s="200">
        <v>0.46169355555555558</v>
      </c>
      <c r="F174" s="200">
        <v>0.24240716666666665</v>
      </c>
      <c r="G174" s="208">
        <v>0.37369658974358977</v>
      </c>
      <c r="H174" s="10"/>
      <c r="L174" s="103"/>
      <c r="N174" s="31"/>
      <c r="O174" s="103"/>
      <c r="P174" s="103"/>
      <c r="Q174" s="103"/>
      <c r="R174" s="103"/>
      <c r="S174" s="103"/>
      <c r="T174" s="103"/>
      <c r="U174" s="103"/>
    </row>
    <row r="175" spans="1:21" s="133" customFormat="1" x14ac:dyDescent="0.3">
      <c r="B175" s="205" t="s">
        <v>3</v>
      </c>
      <c r="C175" s="80" t="s">
        <v>302</v>
      </c>
      <c r="D175" s="217">
        <v>54.344999999999999</v>
      </c>
      <c r="E175" s="217">
        <v>88.549999999999983</v>
      </c>
      <c r="F175" s="217">
        <v>54.53</v>
      </c>
      <c r="G175" s="218">
        <v>80.538461538461547</v>
      </c>
      <c r="L175" s="103"/>
      <c r="N175" s="103"/>
      <c r="O175" s="103"/>
      <c r="P175" s="103"/>
      <c r="Q175" s="103"/>
      <c r="R175" s="103"/>
      <c r="S175" s="103"/>
      <c r="T175" s="103"/>
      <c r="U175" s="103"/>
    </row>
    <row r="176" spans="1:21" s="133" customFormat="1" x14ac:dyDescent="0.3">
      <c r="B176" s="205" t="s">
        <v>277</v>
      </c>
      <c r="C176" s="80" t="s">
        <v>302</v>
      </c>
      <c r="D176" s="217">
        <v>45.295000000000002</v>
      </c>
      <c r="E176" s="217">
        <v>10.727777777777778</v>
      </c>
      <c r="F176" s="217">
        <v>45.105000000000004</v>
      </c>
      <c r="G176" s="218">
        <v>18.561538461538461</v>
      </c>
      <c r="L176" s="103"/>
      <c r="N176" s="103"/>
      <c r="O176" s="103"/>
      <c r="P176" s="103"/>
      <c r="Q176" s="103"/>
      <c r="R176" s="103"/>
      <c r="S176" s="103"/>
      <c r="T176" s="103"/>
      <c r="U176" s="103"/>
    </row>
    <row r="177" spans="1:21" s="133" customFormat="1" ht="15" thickBot="1" x14ac:dyDescent="0.35">
      <c r="B177" s="209" t="s">
        <v>13</v>
      </c>
      <c r="C177" s="210" t="s">
        <v>302</v>
      </c>
      <c r="D177" s="475"/>
      <c r="E177" s="475">
        <v>0</v>
      </c>
      <c r="F177" s="475"/>
      <c r="G177" s="532">
        <v>0</v>
      </c>
      <c r="L177" s="103"/>
      <c r="N177" s="103"/>
      <c r="O177" s="103"/>
      <c r="P177" s="103"/>
      <c r="Q177" s="103"/>
      <c r="R177" s="103"/>
      <c r="S177" s="103"/>
      <c r="T177" s="103"/>
      <c r="U177" s="103"/>
    </row>
    <row r="178" spans="1:21" s="133" customFormat="1" x14ac:dyDescent="0.3">
      <c r="B178" s="133" t="s">
        <v>459</v>
      </c>
      <c r="C178" s="133" t="s">
        <v>302</v>
      </c>
      <c r="D178" s="198">
        <f>SUM(D175:D177)</f>
        <v>99.64</v>
      </c>
      <c r="E178" s="198">
        <f>SUM(E175:E177)</f>
        <v>99.277777777777757</v>
      </c>
      <c r="F178" s="198">
        <f>SUM(F175:F177)</f>
        <v>99.635000000000005</v>
      </c>
      <c r="G178" s="198">
        <f>SUM(G175:G177)</f>
        <v>99.100000000000009</v>
      </c>
      <c r="L178" s="103"/>
      <c r="N178" s="103"/>
      <c r="O178" s="103"/>
      <c r="P178" s="103"/>
      <c r="Q178" s="103"/>
      <c r="R178" s="103"/>
      <c r="S178" s="103"/>
      <c r="T178" s="103"/>
      <c r="U178" s="103"/>
    </row>
    <row r="179" spans="1:21" s="133" customFormat="1" x14ac:dyDescent="0.3">
      <c r="B179" s="133" t="s">
        <v>321</v>
      </c>
      <c r="C179" s="133" t="s">
        <v>338</v>
      </c>
      <c r="D179" s="198"/>
      <c r="E179" s="198">
        <v>2.4</v>
      </c>
      <c r="F179" s="198"/>
      <c r="G179" s="198">
        <v>1.6</v>
      </c>
      <c r="H179" s="134"/>
      <c r="I179" s="134"/>
      <c r="L179" s="103"/>
      <c r="N179" s="103"/>
      <c r="O179" s="103"/>
      <c r="P179" s="103"/>
      <c r="Q179" s="103"/>
      <c r="R179" s="103"/>
      <c r="S179" s="103"/>
      <c r="T179" s="103"/>
      <c r="U179" s="103"/>
    </row>
    <row r="180" spans="1:21" s="133" customFormat="1" x14ac:dyDescent="0.3">
      <c r="B180" s="133" t="s">
        <v>293</v>
      </c>
      <c r="C180" s="133" t="s">
        <v>338</v>
      </c>
      <c r="D180" s="10">
        <v>0.88568800000000003</v>
      </c>
      <c r="E180" s="10">
        <v>1.3850806666666666</v>
      </c>
      <c r="F180" s="10">
        <v>0.72722149999999997</v>
      </c>
      <c r="G180" s="10">
        <v>1.1210897692307693</v>
      </c>
      <c r="L180" s="103"/>
      <c r="N180" s="103"/>
      <c r="O180" s="103"/>
      <c r="P180" s="103"/>
      <c r="Q180" s="103"/>
      <c r="R180" s="103"/>
      <c r="S180" s="103"/>
      <c r="T180" s="103"/>
      <c r="U180" s="103"/>
    </row>
    <row r="181" spans="1:21" s="133" customFormat="1" x14ac:dyDescent="0.3">
      <c r="B181" s="133" t="s">
        <v>1082</v>
      </c>
      <c r="C181" s="133" t="s">
        <v>338</v>
      </c>
      <c r="D181" s="10">
        <v>0.73815719460069529</v>
      </c>
      <c r="E181" s="10">
        <v>0.16804033606136931</v>
      </c>
      <c r="F181" s="10">
        <v>0.60146602579255171</v>
      </c>
      <c r="G181" s="10">
        <v>0.25842150982063916</v>
      </c>
      <c r="H181" s="10"/>
      <c r="I181" s="10"/>
      <c r="J181" s="10"/>
      <c r="K181" s="10"/>
      <c r="L181" s="31"/>
      <c r="N181" s="31"/>
      <c r="O181" s="31"/>
      <c r="P181" s="31"/>
      <c r="Q181" s="103"/>
      <c r="R181" s="103"/>
      <c r="S181" s="103"/>
      <c r="T181" s="103"/>
      <c r="U181" s="103"/>
    </row>
    <row r="182" spans="1:21" s="133" customFormat="1" x14ac:dyDescent="0.3">
      <c r="B182" s="76" t="s">
        <v>308</v>
      </c>
      <c r="C182" s="133" t="s">
        <v>338</v>
      </c>
      <c r="D182" s="10">
        <v>1.6238451946006953</v>
      </c>
      <c r="E182" s="10">
        <v>1.553121002728036</v>
      </c>
      <c r="F182" s="10">
        <v>1.3286875257925517</v>
      </c>
      <c r="G182" s="10">
        <v>1.3795112790514086</v>
      </c>
      <c r="H182" s="10"/>
      <c r="I182" s="10"/>
      <c r="J182" s="10"/>
      <c r="K182" s="10"/>
      <c r="L182" s="31"/>
      <c r="N182" s="31"/>
      <c r="O182" s="31"/>
      <c r="P182" s="31"/>
      <c r="Q182" s="103"/>
      <c r="R182" s="103"/>
      <c r="S182" s="103"/>
      <c r="T182" s="103"/>
      <c r="U182" s="103"/>
    </row>
    <row r="183" spans="1:21" s="133" customFormat="1" x14ac:dyDescent="0.3">
      <c r="B183" s="133" t="s">
        <v>323</v>
      </c>
      <c r="C183" s="133" t="s">
        <v>338</v>
      </c>
      <c r="D183" s="10"/>
      <c r="E183" s="134">
        <v>0</v>
      </c>
      <c r="F183" s="134"/>
      <c r="G183" s="134">
        <v>0</v>
      </c>
      <c r="H183" s="10"/>
      <c r="I183" s="10"/>
      <c r="J183" s="10"/>
      <c r="K183" s="10"/>
      <c r="L183" s="31"/>
      <c r="N183" s="31"/>
      <c r="O183" s="31"/>
      <c r="P183" s="31"/>
      <c r="Q183" s="103"/>
      <c r="R183" s="103"/>
      <c r="S183" s="103"/>
      <c r="T183" s="103"/>
      <c r="U183" s="103"/>
    </row>
    <row r="184" spans="1:21" s="133" customFormat="1" x14ac:dyDescent="0.3">
      <c r="B184" s="133" t="s">
        <v>433</v>
      </c>
      <c r="C184" s="133" t="s">
        <v>338</v>
      </c>
      <c r="D184" s="134"/>
      <c r="E184" s="134">
        <f>E179-E183</f>
        <v>2.4</v>
      </c>
      <c r="F184" s="134"/>
      <c r="G184" s="134">
        <f>G179-G183</f>
        <v>1.6</v>
      </c>
      <c r="H184" s="134"/>
      <c r="I184" s="134"/>
      <c r="J184" s="134"/>
      <c r="K184" s="134"/>
      <c r="L184" s="13"/>
      <c r="N184" s="13"/>
      <c r="O184" s="13"/>
      <c r="P184" s="13"/>
      <c r="Q184" s="103"/>
      <c r="R184" s="103"/>
      <c r="S184" s="103"/>
      <c r="T184" s="103"/>
      <c r="U184" s="103"/>
    </row>
    <row r="185" spans="1:21" s="133" customFormat="1" x14ac:dyDescent="0.3">
      <c r="A185" s="148"/>
      <c r="B185" s="148" t="s">
        <v>460</v>
      </c>
      <c r="C185" s="133" t="s">
        <v>338</v>
      </c>
      <c r="E185" s="134">
        <f>E184/4</f>
        <v>0.6</v>
      </c>
      <c r="G185" s="134">
        <f>G184/4</f>
        <v>0.4</v>
      </c>
      <c r="H185" s="134"/>
      <c r="I185" s="134"/>
      <c r="L185" s="13"/>
      <c r="N185" s="13"/>
      <c r="O185" s="13"/>
      <c r="P185" s="13"/>
      <c r="Q185" s="103"/>
      <c r="R185" s="103"/>
      <c r="S185" s="103"/>
      <c r="T185" s="103"/>
      <c r="U185" s="103"/>
    </row>
    <row r="186" spans="1:21" s="133" customFormat="1" x14ac:dyDescent="0.3">
      <c r="A186" s="148"/>
      <c r="B186" s="148" t="s">
        <v>402</v>
      </c>
      <c r="C186" s="133" t="s">
        <v>338</v>
      </c>
      <c r="E186" s="10">
        <f>E180-D180</f>
        <v>0.4993926666666666</v>
      </c>
      <c r="G186" s="10">
        <f>G180-F180</f>
        <v>0.39386826923076934</v>
      </c>
      <c r="L186" s="103"/>
      <c r="N186" s="103"/>
      <c r="O186" s="103"/>
      <c r="P186" s="103"/>
      <c r="Q186" s="103"/>
      <c r="R186" s="103"/>
      <c r="S186" s="103"/>
      <c r="T186" s="103"/>
      <c r="U186" s="103"/>
    </row>
    <row r="187" spans="1:21" s="133" customFormat="1" x14ac:dyDescent="0.3">
      <c r="A187" s="148"/>
      <c r="B187" s="148" t="s">
        <v>2086</v>
      </c>
      <c r="C187" s="133" t="s">
        <v>338</v>
      </c>
      <c r="E187" s="10">
        <f>D181-E181</f>
        <v>0.57011685853932592</v>
      </c>
      <c r="G187" s="10">
        <f>F181-G181</f>
        <v>0.34304451597191254</v>
      </c>
      <c r="H187" s="10"/>
      <c r="I187" s="10"/>
      <c r="L187" s="31"/>
      <c r="N187" s="31"/>
      <c r="O187" s="31"/>
      <c r="P187" s="31"/>
      <c r="Q187" s="103"/>
      <c r="R187" s="103"/>
      <c r="S187" s="103"/>
      <c r="T187" s="103"/>
      <c r="U187" s="103"/>
    </row>
    <row r="188" spans="1:21" s="133" customFormat="1" x14ac:dyDescent="0.3">
      <c r="A188" s="148"/>
      <c r="B188" s="148" t="s">
        <v>93</v>
      </c>
      <c r="E188" s="198">
        <f>E179/D181</f>
        <v>3.2513399822625524</v>
      </c>
      <c r="F188" s="134"/>
      <c r="G188" s="198">
        <f>G179/F181</f>
        <v>2.6601668779074932</v>
      </c>
    </row>
    <row r="189" spans="1:21" s="133" customFormat="1" x14ac:dyDescent="0.3">
      <c r="A189" s="148"/>
      <c r="B189" s="148" t="s">
        <v>462</v>
      </c>
      <c r="D189" s="134"/>
      <c r="E189" s="134">
        <f>E184/E179</f>
        <v>1</v>
      </c>
      <c r="F189" s="134"/>
      <c r="G189" s="134">
        <f>G184/G179</f>
        <v>1</v>
      </c>
      <c r="H189" s="134"/>
      <c r="I189" s="134"/>
      <c r="J189" s="134"/>
      <c r="K189" s="134"/>
      <c r="L189" s="13"/>
      <c r="N189" s="13"/>
      <c r="O189" s="13"/>
      <c r="P189" s="13"/>
      <c r="Q189" s="103"/>
      <c r="R189" s="103"/>
      <c r="S189" s="103"/>
      <c r="T189" s="103"/>
      <c r="U189" s="103"/>
    </row>
    <row r="190" spans="1:21" s="133" customFormat="1" x14ac:dyDescent="0.3">
      <c r="A190" s="148"/>
      <c r="B190" s="148" t="s">
        <v>2085</v>
      </c>
      <c r="E190" s="10">
        <f>E186/E185</f>
        <v>0.83232111111111107</v>
      </c>
      <c r="G190" s="10">
        <f>G186/G185</f>
        <v>0.98467067307692335</v>
      </c>
      <c r="H190" s="10"/>
      <c r="I190" s="10"/>
      <c r="J190" s="10"/>
      <c r="K190" s="10"/>
      <c r="L190" s="31"/>
      <c r="N190" s="31"/>
      <c r="O190" s="31"/>
      <c r="P190" s="31"/>
      <c r="Q190" s="103"/>
      <c r="R190" s="103"/>
      <c r="S190" s="103"/>
      <c r="T190" s="103"/>
      <c r="U190" s="103"/>
    </row>
    <row r="191" spans="1:21" s="133" customFormat="1" x14ac:dyDescent="0.3">
      <c r="A191" s="148"/>
      <c r="B191" s="148" t="s">
        <v>2087</v>
      </c>
      <c r="E191" s="10">
        <f>E187/E185</f>
        <v>0.95019476423220994</v>
      </c>
      <c r="G191" s="10">
        <f>G187/G185</f>
        <v>0.85761128992978131</v>
      </c>
      <c r="H191" s="10"/>
      <c r="I191" s="10"/>
      <c r="J191" s="10"/>
      <c r="K191" s="10"/>
      <c r="L191" s="31"/>
      <c r="N191" s="31"/>
      <c r="O191" s="31"/>
      <c r="P191" s="31"/>
      <c r="Q191" s="103"/>
      <c r="R191" s="103"/>
      <c r="S191" s="103"/>
      <c r="T191" s="103"/>
      <c r="U191" s="103"/>
    </row>
    <row r="192" spans="1:21" s="133" customFormat="1" x14ac:dyDescent="0.3">
      <c r="A192" s="148"/>
      <c r="B192" s="148" t="s">
        <v>2088</v>
      </c>
      <c r="E192" s="10">
        <f>E186/E187</f>
        <v>0.8759479029371996</v>
      </c>
      <c r="G192" s="10">
        <f>G186/G187</f>
        <v>1.1481549795800208</v>
      </c>
      <c r="H192" s="10"/>
      <c r="I192" s="10"/>
      <c r="J192" s="10"/>
      <c r="K192" s="10"/>
      <c r="L192" s="31"/>
      <c r="N192" s="31"/>
      <c r="O192" s="31"/>
      <c r="P192" s="31"/>
      <c r="Q192" s="103"/>
      <c r="R192" s="103"/>
      <c r="S192" s="103"/>
      <c r="T192" s="103"/>
      <c r="U192" s="103"/>
    </row>
    <row r="193" spans="1:21" s="133" customFormat="1" x14ac:dyDescent="0.3">
      <c r="A193" s="148"/>
      <c r="B193" s="148" t="s">
        <v>2096</v>
      </c>
      <c r="C193" s="133" t="s">
        <v>92</v>
      </c>
      <c r="D193" s="134"/>
      <c r="E193" s="10">
        <f>E186/D181</f>
        <v>0.67653972665918682</v>
      </c>
      <c r="G193" s="10">
        <f>G186/F181</f>
        <v>0.65484707754152727</v>
      </c>
      <c r="H193" s="37"/>
      <c r="I193" s="148"/>
      <c r="N193" s="10"/>
      <c r="O193" s="10"/>
      <c r="R193" s="10" t="e">
        <f>R186/P181</f>
        <v>#DIV/0!</v>
      </c>
      <c r="S193" s="10" t="e">
        <f>S186/Q181</f>
        <v>#DIV/0!</v>
      </c>
      <c r="T193" s="10" t="e">
        <f>T186/P181</f>
        <v>#DIV/0!</v>
      </c>
      <c r="U193" s="10" t="e">
        <f>U186/Q181</f>
        <v>#DIV/0!</v>
      </c>
    </row>
    <row r="194" spans="1:21" s="133" customFormat="1" x14ac:dyDescent="0.3">
      <c r="A194" s="148"/>
      <c r="B194" s="148" t="s">
        <v>2097</v>
      </c>
      <c r="C194" s="133" t="s">
        <v>92</v>
      </c>
      <c r="D194" s="134"/>
      <c r="E194" s="10">
        <f>E182/D182</f>
        <v>0.95644646909211661</v>
      </c>
      <c r="G194" s="10">
        <f>G182/F182</f>
        <v>1.0382510953646087</v>
      </c>
      <c r="H194" s="37"/>
      <c r="I194" s="148"/>
      <c r="N194" s="10"/>
      <c r="O194" s="10"/>
      <c r="R194" s="10" t="e">
        <f>R182/P182</f>
        <v>#DIV/0!</v>
      </c>
      <c r="S194" s="10" t="e">
        <f>S182/Q182</f>
        <v>#DIV/0!</v>
      </c>
      <c r="T194" s="10" t="e">
        <f>T182/P182</f>
        <v>#DIV/0!</v>
      </c>
      <c r="U194" s="10" t="e">
        <f>U182/Q182</f>
        <v>#DIV/0!</v>
      </c>
    </row>
    <row r="195" spans="1:21" s="133" customFormat="1" x14ac:dyDescent="0.3">
      <c r="A195" s="148"/>
      <c r="B195" s="148" t="s">
        <v>2081</v>
      </c>
      <c r="E195" s="134">
        <f>E184/E186</f>
        <v>4.8058374906052554</v>
      </c>
      <c r="G195" s="134">
        <f>G184/G186</f>
        <v>4.0622718939122064</v>
      </c>
      <c r="H195" s="134"/>
      <c r="I195" s="134"/>
      <c r="J195" s="134"/>
      <c r="K195" s="134"/>
      <c r="L195" s="13"/>
      <c r="N195" s="13"/>
      <c r="O195" s="13"/>
      <c r="P195" s="13"/>
      <c r="Q195" s="103"/>
      <c r="R195" s="103"/>
      <c r="S195" s="103"/>
      <c r="T195" s="103"/>
      <c r="U195" s="103"/>
    </row>
    <row r="196" spans="1:21" s="133" customFormat="1" x14ac:dyDescent="0.3">
      <c r="A196" s="148"/>
      <c r="B196" s="148" t="s">
        <v>2137</v>
      </c>
      <c r="E196" s="134">
        <f>E184/E187</f>
        <v>4.209663271752647</v>
      </c>
      <c r="G196" s="134">
        <f>G184/G187</f>
        <v>4.664117703403261</v>
      </c>
      <c r="H196" s="134"/>
      <c r="I196" s="134"/>
      <c r="J196" s="134"/>
      <c r="K196" s="134"/>
      <c r="L196" s="13"/>
      <c r="N196" s="13"/>
      <c r="O196" s="13"/>
      <c r="P196" s="13"/>
      <c r="Q196" s="103"/>
      <c r="R196" s="103"/>
      <c r="S196" s="103"/>
      <c r="T196" s="103"/>
      <c r="U196" s="103"/>
    </row>
    <row r="197" spans="1:21" s="133" customFormat="1" x14ac:dyDescent="0.3"/>
    <row r="199" spans="1:21" x14ac:dyDescent="0.3">
      <c r="B199" s="40" t="s">
        <v>359</v>
      </c>
      <c r="C199" s="12"/>
    </row>
    <row r="200" spans="1:21" x14ac:dyDescent="0.3">
      <c r="B200" s="95" t="s">
        <v>1795</v>
      </c>
      <c r="C200" s="12"/>
      <c r="D200" t="s">
        <v>1850</v>
      </c>
      <c r="E200" s="133" t="s">
        <v>1850</v>
      </c>
      <c r="F200" s="133" t="s">
        <v>1851</v>
      </c>
      <c r="G200" s="133" t="s">
        <v>1851</v>
      </c>
    </row>
    <row r="201" spans="1:21" s="133" customFormat="1" x14ac:dyDescent="0.3">
      <c r="B201" s="95" t="s">
        <v>1791</v>
      </c>
      <c r="C201" s="103"/>
      <c r="D201" s="133" t="s">
        <v>1104</v>
      </c>
      <c r="E201" s="133" t="s">
        <v>1108</v>
      </c>
      <c r="F201" s="133" t="s">
        <v>1104</v>
      </c>
      <c r="G201" s="133" t="s">
        <v>1108</v>
      </c>
    </row>
    <row r="202" spans="1:21" x14ac:dyDescent="0.3">
      <c r="B202" s="12" t="s">
        <v>33</v>
      </c>
      <c r="C202" s="12" t="s">
        <v>361</v>
      </c>
      <c r="D202">
        <v>3</v>
      </c>
      <c r="E202">
        <v>3</v>
      </c>
      <c r="F202">
        <v>3</v>
      </c>
      <c r="G202">
        <v>3</v>
      </c>
    </row>
    <row r="203" spans="1:21" x14ac:dyDescent="0.3">
      <c r="B203" s="12" t="s">
        <v>26</v>
      </c>
      <c r="C203" s="12" t="s">
        <v>25</v>
      </c>
      <c r="D203">
        <v>15</v>
      </c>
      <c r="E203">
        <v>15</v>
      </c>
      <c r="F203">
        <v>15</v>
      </c>
      <c r="G203">
        <v>15</v>
      </c>
    </row>
    <row r="204" spans="1:21" s="133" customFormat="1" x14ac:dyDescent="0.3">
      <c r="B204" s="103" t="s">
        <v>2078</v>
      </c>
      <c r="C204" s="103" t="s">
        <v>338</v>
      </c>
      <c r="D204" s="198"/>
      <c r="E204" s="198">
        <f>E179</f>
        <v>2.4</v>
      </c>
      <c r="F204" s="198"/>
      <c r="G204" s="198">
        <f>G179</f>
        <v>1.6</v>
      </c>
    </row>
    <row r="205" spans="1:21" x14ac:dyDescent="0.3">
      <c r="B205" s="12" t="s">
        <v>351</v>
      </c>
      <c r="C205" s="133" t="s">
        <v>701</v>
      </c>
      <c r="D205" s="10">
        <f>D174</f>
        <v>0.29522933333333334</v>
      </c>
      <c r="E205" s="10">
        <f>E174</f>
        <v>0.46169355555555558</v>
      </c>
      <c r="F205" s="10">
        <f>F174</f>
        <v>0.24240716666666665</v>
      </c>
      <c r="G205" s="10">
        <f>G174</f>
        <v>0.37369658974358977</v>
      </c>
    </row>
    <row r="206" spans="1:21" x14ac:dyDescent="0.3">
      <c r="B206" s="12" t="s">
        <v>352</v>
      </c>
      <c r="C206" s="133" t="s">
        <v>701</v>
      </c>
      <c r="D206" s="10"/>
      <c r="E206" s="10">
        <f>E205-D205</f>
        <v>0.16646422222222224</v>
      </c>
      <c r="F206" s="10"/>
      <c r="G206" s="10">
        <f>G205-F205</f>
        <v>0.13128942307692312</v>
      </c>
    </row>
    <row r="207" spans="1:21" x14ac:dyDescent="0.3">
      <c r="B207" s="12" t="s">
        <v>383</v>
      </c>
      <c r="C207" s="12" t="s">
        <v>92</v>
      </c>
      <c r="E207" s="10">
        <f>E206/D205</f>
        <v>0.5638471636362542</v>
      </c>
      <c r="G207" s="10">
        <f>G206/F205</f>
        <v>0.54160701963675362</v>
      </c>
    </row>
    <row r="208" spans="1:21" x14ac:dyDescent="0.3">
      <c r="B208" s="12" t="s">
        <v>293</v>
      </c>
      <c r="C208" s="12" t="s">
        <v>338</v>
      </c>
      <c r="D208" s="10">
        <f>D180</f>
        <v>0.88568800000000003</v>
      </c>
      <c r="E208" s="10">
        <f>E180</f>
        <v>1.3850806666666666</v>
      </c>
      <c r="F208" s="10">
        <f>F180</f>
        <v>0.72722149999999997</v>
      </c>
      <c r="G208" s="10">
        <f>G180</f>
        <v>1.1210897692307693</v>
      </c>
    </row>
    <row r="209" spans="2:7" x14ac:dyDescent="0.3">
      <c r="B209" s="12" t="s">
        <v>402</v>
      </c>
      <c r="C209" s="12" t="s">
        <v>338</v>
      </c>
      <c r="D209" s="10"/>
      <c r="E209" s="10">
        <f>E208-D208</f>
        <v>0.4993926666666666</v>
      </c>
      <c r="F209" s="10"/>
      <c r="G209" s="10">
        <f>G208-F208</f>
        <v>0.39386826923076934</v>
      </c>
    </row>
    <row r="210" spans="2:7" x14ac:dyDescent="0.3">
      <c r="B210" t="s">
        <v>3</v>
      </c>
      <c r="C210" t="s">
        <v>302</v>
      </c>
      <c r="D210" s="198">
        <f t="shared" ref="D210:G212" si="47">D175</f>
        <v>54.344999999999999</v>
      </c>
      <c r="E210" s="198">
        <f t="shared" si="47"/>
        <v>88.549999999999983</v>
      </c>
      <c r="F210" s="198">
        <f t="shared" si="47"/>
        <v>54.53</v>
      </c>
      <c r="G210" s="198">
        <f t="shared" si="47"/>
        <v>80.538461538461547</v>
      </c>
    </row>
    <row r="211" spans="2:7" x14ac:dyDescent="0.3">
      <c r="B211" t="s">
        <v>277</v>
      </c>
      <c r="C211" t="s">
        <v>302</v>
      </c>
      <c r="D211" s="198">
        <f t="shared" si="47"/>
        <v>45.295000000000002</v>
      </c>
      <c r="E211" s="198">
        <f t="shared" si="47"/>
        <v>10.727777777777778</v>
      </c>
      <c r="F211" s="198">
        <f t="shared" si="47"/>
        <v>45.105000000000004</v>
      </c>
      <c r="G211" s="198">
        <f t="shared" si="47"/>
        <v>18.561538461538461</v>
      </c>
    </row>
    <row r="212" spans="2:7" x14ac:dyDescent="0.3">
      <c r="B212" t="s">
        <v>13</v>
      </c>
      <c r="C212" t="s">
        <v>302</v>
      </c>
      <c r="D212" s="133">
        <f t="shared" si="47"/>
        <v>0</v>
      </c>
      <c r="E212" s="133">
        <f t="shared" si="47"/>
        <v>0</v>
      </c>
      <c r="F212" s="133">
        <f t="shared" si="47"/>
        <v>0</v>
      </c>
      <c r="G212" s="133">
        <f t="shared" si="47"/>
        <v>0</v>
      </c>
    </row>
    <row r="213" spans="2:7" x14ac:dyDescent="0.3">
      <c r="B213" s="12" t="s">
        <v>35</v>
      </c>
      <c r="C213" s="12"/>
      <c r="D213" s="134">
        <f>D172</f>
        <v>7.6660000000000004</v>
      </c>
      <c r="E213" s="134">
        <f>E172</f>
        <v>8.2277777777777779</v>
      </c>
      <c r="F213" s="134">
        <f>F172</f>
        <v>7.8120000000000003</v>
      </c>
      <c r="G213" s="134">
        <f>G172</f>
        <v>8.1719230769230773</v>
      </c>
    </row>
    <row r="214" spans="2:7" x14ac:dyDescent="0.3">
      <c r="B214" s="12" t="s">
        <v>52</v>
      </c>
      <c r="C214" s="12" t="s">
        <v>621</v>
      </c>
      <c r="D214" s="10">
        <f>D171/Data!$C$34</f>
        <v>0.14278880821321224</v>
      </c>
      <c r="E214" s="10">
        <f>E171/Data!$C$34</f>
        <v>0.14278880821321224</v>
      </c>
      <c r="F214" s="10">
        <f>F171/Data!$C$34</f>
        <v>0.21418321231981838</v>
      </c>
      <c r="G214" s="10">
        <f>G171/Data!$C$34</f>
        <v>0.21418321231981838</v>
      </c>
    </row>
    <row r="215" spans="2:7" x14ac:dyDescent="0.3">
      <c r="B215" s="12" t="s">
        <v>558</v>
      </c>
      <c r="C215" s="12" t="s">
        <v>621</v>
      </c>
      <c r="D215" t="s">
        <v>1671</v>
      </c>
      <c r="E215" s="133" t="s">
        <v>1671</v>
      </c>
      <c r="F215" s="133" t="s">
        <v>1671</v>
      </c>
      <c r="G215" s="133" t="s">
        <v>1671</v>
      </c>
    </row>
    <row r="216" spans="2:7" x14ac:dyDescent="0.3">
      <c r="B216" s="12" t="s">
        <v>757</v>
      </c>
      <c r="C216" s="12" t="s">
        <v>758</v>
      </c>
    </row>
    <row r="219" spans="2:7" x14ac:dyDescent="0.3">
      <c r="B219" s="184" t="s">
        <v>1138</v>
      </c>
    </row>
    <row r="221" spans="2:7" s="133" customFormat="1" x14ac:dyDescent="0.3">
      <c r="B221" s="148" t="s">
        <v>114</v>
      </c>
      <c r="D221" s="133" t="s">
        <v>2013</v>
      </c>
    </row>
    <row r="222" spans="2:7" s="133" customFormat="1" x14ac:dyDescent="0.3">
      <c r="B222" s="133" t="s">
        <v>667</v>
      </c>
      <c r="C222" s="133" t="s">
        <v>503</v>
      </c>
      <c r="D222" s="133">
        <v>37</v>
      </c>
    </row>
    <row r="223" spans="2:7" s="133" customFormat="1" x14ac:dyDescent="0.3">
      <c r="B223" s="133" t="s">
        <v>1324</v>
      </c>
      <c r="D223" s="133" t="s">
        <v>1091</v>
      </c>
    </row>
    <row r="224" spans="2:7" s="133" customFormat="1" x14ac:dyDescent="0.3">
      <c r="B224" s="133" t="s">
        <v>956</v>
      </c>
      <c r="C224" s="133" t="s">
        <v>22</v>
      </c>
      <c r="D224" s="133">
        <v>3</v>
      </c>
    </row>
    <row r="225" spans="2:8" s="133" customFormat="1" x14ac:dyDescent="0.3">
      <c r="B225" s="133" t="s">
        <v>32</v>
      </c>
      <c r="C225" s="133" t="s">
        <v>22</v>
      </c>
      <c r="D225">
        <v>2</v>
      </c>
    </row>
    <row r="226" spans="2:8" s="133" customFormat="1" x14ac:dyDescent="0.3">
      <c r="B226" s="133" t="s">
        <v>326</v>
      </c>
      <c r="D226" s="133" t="s">
        <v>1341</v>
      </c>
    </row>
    <row r="227" spans="2:8" s="133" customFormat="1" x14ac:dyDescent="0.3">
      <c r="B227" s="133" t="s">
        <v>344</v>
      </c>
      <c r="D227" s="133" t="s">
        <v>665</v>
      </c>
    </row>
    <row r="228" spans="2:8" s="133" customFormat="1" x14ac:dyDescent="0.3">
      <c r="B228" s="133" t="s">
        <v>1332</v>
      </c>
      <c r="D228" s="133" t="s">
        <v>1809</v>
      </c>
    </row>
    <row r="229" spans="2:8" s="133" customFormat="1" x14ac:dyDescent="0.3">
      <c r="B229" s="133" t="s">
        <v>1330</v>
      </c>
      <c r="D229" s="133" t="s">
        <v>1333</v>
      </c>
    </row>
    <row r="230" spans="2:8" s="133" customFormat="1" x14ac:dyDescent="0.3">
      <c r="B230" s="133" t="s">
        <v>1968</v>
      </c>
      <c r="D230" s="133" t="s">
        <v>1969</v>
      </c>
      <c r="E230" s="133" t="s">
        <v>1971</v>
      </c>
    </row>
    <row r="231" spans="2:8" s="133" customFormat="1" x14ac:dyDescent="0.3">
      <c r="B231" s="133" t="s">
        <v>1541</v>
      </c>
      <c r="D231" s="133" t="s">
        <v>2119</v>
      </c>
    </row>
    <row r="232" spans="2:8" s="133" customFormat="1" x14ac:dyDescent="0.3">
      <c r="B232" s="133" t="s">
        <v>1599</v>
      </c>
      <c r="D232" s="133" t="s">
        <v>1818</v>
      </c>
    </row>
    <row r="233" spans="2:8" s="133" customFormat="1" x14ac:dyDescent="0.3"/>
    <row r="234" spans="2:8" x14ac:dyDescent="0.3">
      <c r="B234" s="12" t="s">
        <v>33</v>
      </c>
      <c r="C234" s="82" t="s">
        <v>361</v>
      </c>
      <c r="D234" s="103">
        <v>5.76</v>
      </c>
      <c r="E234" s="103">
        <v>5.76</v>
      </c>
      <c r="F234" s="103">
        <v>5.76</v>
      </c>
    </row>
    <row r="235" spans="2:8" s="103" customFormat="1" ht="15" thickBot="1" x14ac:dyDescent="0.35">
      <c r="H235" s="133"/>
    </row>
    <row r="236" spans="2:8" s="133" customFormat="1" x14ac:dyDescent="0.3">
      <c r="B236" s="240" t="s">
        <v>1805</v>
      </c>
      <c r="C236" s="203"/>
      <c r="D236" s="203" t="s">
        <v>1104</v>
      </c>
      <c r="E236" s="203" t="s">
        <v>13</v>
      </c>
      <c r="F236" s="204" t="s">
        <v>1819</v>
      </c>
    </row>
    <row r="237" spans="2:8" s="133" customFormat="1" x14ac:dyDescent="0.3">
      <c r="B237" s="149"/>
      <c r="C237" s="80"/>
      <c r="D237" s="80" t="s">
        <v>1829</v>
      </c>
      <c r="E237" s="80" t="s">
        <v>1839</v>
      </c>
      <c r="F237" s="206" t="s">
        <v>1836</v>
      </c>
      <c r="H237" s="133" t="s">
        <v>1837</v>
      </c>
    </row>
    <row r="238" spans="2:8" s="133" customFormat="1" x14ac:dyDescent="0.3">
      <c r="B238" s="149" t="s">
        <v>33</v>
      </c>
      <c r="C238" s="80" t="s">
        <v>270</v>
      </c>
      <c r="D238" s="80">
        <v>4.1399999999999997</v>
      </c>
      <c r="E238" s="80">
        <v>4.1399999999999997</v>
      </c>
      <c r="F238" s="206">
        <v>4.1399999999999997</v>
      </c>
      <c r="H238" s="133" t="s">
        <v>1821</v>
      </c>
    </row>
    <row r="239" spans="2:8" s="133" customFormat="1" x14ac:dyDescent="0.3">
      <c r="B239" s="149" t="s">
        <v>351</v>
      </c>
      <c r="C239" s="80" t="s">
        <v>1835</v>
      </c>
      <c r="D239" s="200">
        <v>0.56061474637681163</v>
      </c>
      <c r="E239" s="200">
        <v>0.77607195383789596</v>
      </c>
      <c r="F239" s="208">
        <v>1.2145773128019326</v>
      </c>
    </row>
    <row r="240" spans="2:8" s="133" customFormat="1" x14ac:dyDescent="0.3">
      <c r="B240" s="205" t="s">
        <v>293</v>
      </c>
      <c r="C240" s="80" t="s">
        <v>338</v>
      </c>
      <c r="D240" s="215">
        <v>2.3209450500000006</v>
      </c>
      <c r="E240" s="215">
        <v>3.2129378888888893</v>
      </c>
      <c r="F240" s="216">
        <v>5.0283500749999996</v>
      </c>
      <c r="H240" s="133" t="s">
        <v>1833</v>
      </c>
    </row>
    <row r="241" spans="1:8" s="133" customFormat="1" x14ac:dyDescent="0.3">
      <c r="B241" s="149" t="s">
        <v>52</v>
      </c>
      <c r="C241" s="80" t="s">
        <v>693</v>
      </c>
      <c r="D241" s="215">
        <v>4.7165805965909096</v>
      </c>
      <c r="E241" s="215"/>
      <c r="F241" s="206"/>
      <c r="H241" s="133" t="s">
        <v>1828</v>
      </c>
    </row>
    <row r="242" spans="1:8" s="133" customFormat="1" x14ac:dyDescent="0.3">
      <c r="B242" s="149" t="s">
        <v>35</v>
      </c>
      <c r="C242" s="80"/>
      <c r="D242" s="215">
        <v>8.1086666666666662</v>
      </c>
      <c r="E242" s="215">
        <v>8.517777777777777</v>
      </c>
      <c r="F242" s="216">
        <v>8.5060000000000002</v>
      </c>
      <c r="H242" s="133" t="s">
        <v>1830</v>
      </c>
    </row>
    <row r="243" spans="1:8" s="133" customFormat="1" x14ac:dyDescent="0.3">
      <c r="B243" s="149" t="s">
        <v>3</v>
      </c>
      <c r="C243" s="80" t="s">
        <v>302</v>
      </c>
      <c r="D243" s="217">
        <v>65.466666666666654</v>
      </c>
      <c r="E243" s="217">
        <v>90.422222222222217</v>
      </c>
      <c r="F243" s="218">
        <v>89.275000000000006</v>
      </c>
      <c r="H243" s="133" t="s">
        <v>1831</v>
      </c>
    </row>
    <row r="244" spans="1:8" s="133" customFormat="1" ht="15" thickBot="1" x14ac:dyDescent="0.35">
      <c r="B244" s="241" t="s">
        <v>277</v>
      </c>
      <c r="C244" s="210" t="s">
        <v>302</v>
      </c>
      <c r="D244" s="221">
        <v>34.226666666666674</v>
      </c>
      <c r="E244" s="221">
        <v>9.1444444444444457</v>
      </c>
      <c r="F244" s="239">
        <v>9.9049999999999976</v>
      </c>
      <c r="H244" s="133" t="s">
        <v>1832</v>
      </c>
    </row>
    <row r="245" spans="1:8" s="133" customFormat="1" x14ac:dyDescent="0.3">
      <c r="B245" s="148" t="s">
        <v>13</v>
      </c>
      <c r="C245" s="133" t="s">
        <v>302</v>
      </c>
      <c r="E245" s="133">
        <v>0</v>
      </c>
      <c r="F245" s="133">
        <v>0</v>
      </c>
      <c r="H245" s="133" t="s">
        <v>1168</v>
      </c>
    </row>
    <row r="246" spans="1:8" x14ac:dyDescent="0.3">
      <c r="B246" t="s">
        <v>277</v>
      </c>
      <c r="C246" s="133" t="s">
        <v>338</v>
      </c>
      <c r="D246" s="134">
        <f>D244*D$240/D$243</f>
        <v>1.2134146524134426</v>
      </c>
      <c r="E246" s="134">
        <f>E244*E$240/E$243</f>
        <v>0.32492601161901652</v>
      </c>
      <c r="F246" s="134">
        <f>F244*F$240/F$243</f>
        <v>0.5578919909591149</v>
      </c>
      <c r="H246" s="133" t="s">
        <v>1834</v>
      </c>
    </row>
    <row r="247" spans="1:8" s="133" customFormat="1" x14ac:dyDescent="0.3">
      <c r="B247" s="133" t="s">
        <v>323</v>
      </c>
      <c r="C247" s="133" t="s">
        <v>338</v>
      </c>
      <c r="E247" s="133">
        <f>E245*E$240/E$243</f>
        <v>0</v>
      </c>
      <c r="F247" s="134">
        <f>F245*F$240/F$243</f>
        <v>0</v>
      </c>
    </row>
    <row r="248" spans="1:8" s="133" customFormat="1" x14ac:dyDescent="0.3">
      <c r="B248" s="148" t="s">
        <v>459</v>
      </c>
      <c r="C248" s="133" t="s">
        <v>302</v>
      </c>
      <c r="D248" s="198">
        <f>SUM(D243:D245)</f>
        <v>99.693333333333328</v>
      </c>
      <c r="E248" s="198">
        <f>SUM(E243:E245)</f>
        <v>99.566666666666663</v>
      </c>
      <c r="F248" s="198">
        <f>SUM(F243:F245)</f>
        <v>99.18</v>
      </c>
      <c r="H248" s="133" t="s">
        <v>2059</v>
      </c>
    </row>
    <row r="249" spans="1:8" s="133" customFormat="1" x14ac:dyDescent="0.3">
      <c r="B249" s="133" t="s">
        <v>308</v>
      </c>
      <c r="C249" s="133" t="s">
        <v>338</v>
      </c>
      <c r="D249" s="134">
        <f>D240+D246</f>
        <v>3.5343597024134432</v>
      </c>
      <c r="E249" s="134">
        <f>E240+E246</f>
        <v>3.5378639005079058</v>
      </c>
      <c r="F249" s="134">
        <f>F240+F246</f>
        <v>5.5862420659591141</v>
      </c>
      <c r="H249" s="133" t="s">
        <v>135</v>
      </c>
    </row>
    <row r="250" spans="1:8" x14ac:dyDescent="0.3">
      <c r="B250" t="s">
        <v>321</v>
      </c>
      <c r="C250" t="s">
        <v>458</v>
      </c>
      <c r="E250">
        <v>7.4</v>
      </c>
      <c r="F250">
        <v>21.8</v>
      </c>
      <c r="H250" s="133" t="s">
        <v>1838</v>
      </c>
    </row>
    <row r="251" spans="1:8" x14ac:dyDescent="0.3">
      <c r="A251" s="133"/>
      <c r="C251" t="s">
        <v>338</v>
      </c>
      <c r="E251">
        <f>E250/$D225</f>
        <v>3.7</v>
      </c>
      <c r="F251" s="133">
        <f>F250/$D225</f>
        <v>10.9</v>
      </c>
      <c r="H251" s="133"/>
    </row>
    <row r="252" spans="1:8" s="133" customFormat="1" x14ac:dyDescent="0.3">
      <c r="B252" s="133" t="s">
        <v>1820</v>
      </c>
      <c r="C252" s="133" t="s">
        <v>458</v>
      </c>
      <c r="F252" s="133">
        <v>4</v>
      </c>
      <c r="H252" s="133" t="s">
        <v>1821</v>
      </c>
    </row>
    <row r="253" spans="1:8" s="133" customFormat="1" x14ac:dyDescent="0.3">
      <c r="C253" s="133" t="s">
        <v>338</v>
      </c>
      <c r="F253" s="133">
        <f>F252/$D225</f>
        <v>2</v>
      </c>
    </row>
    <row r="254" spans="1:8" s="133" customFormat="1" x14ac:dyDescent="0.3">
      <c r="A254" s="148"/>
      <c r="B254" s="148" t="s">
        <v>460</v>
      </c>
      <c r="C254" s="133" t="s">
        <v>338</v>
      </c>
      <c r="E254" s="133">
        <f>E251/4</f>
        <v>0.92500000000000004</v>
      </c>
      <c r="F254" s="133">
        <f>F251/4</f>
        <v>2.7250000000000001</v>
      </c>
    </row>
    <row r="255" spans="1:8" s="133" customFormat="1" x14ac:dyDescent="0.3">
      <c r="A255" s="148"/>
      <c r="B255" s="148" t="s">
        <v>402</v>
      </c>
      <c r="C255" s="133" t="s">
        <v>338</v>
      </c>
      <c r="E255" s="10">
        <f>E240-$D240</f>
        <v>0.89199283888888869</v>
      </c>
      <c r="F255" s="10">
        <f>F240-$D240</f>
        <v>2.707405024999999</v>
      </c>
    </row>
    <row r="256" spans="1:8" s="133" customFormat="1" x14ac:dyDescent="0.3">
      <c r="A256" s="148"/>
      <c r="B256" s="148" t="s">
        <v>2086</v>
      </c>
      <c r="C256" s="133" t="s">
        <v>338</v>
      </c>
      <c r="E256" s="10">
        <f>$D246+E253-E246</f>
        <v>0.88848864079442613</v>
      </c>
      <c r="F256" s="10">
        <f>$D246+F253-F246</f>
        <v>2.6555226614543277</v>
      </c>
    </row>
    <row r="257" spans="1:15" s="133" customFormat="1" x14ac:dyDescent="0.3">
      <c r="A257" s="148"/>
      <c r="B257" s="148" t="s">
        <v>93</v>
      </c>
      <c r="E257" s="8">
        <f>E251/D246</f>
        <v>3.0492461852515294</v>
      </c>
      <c r="F257" s="134">
        <f>F251/(F246+F253)</f>
        <v>4.2613214469282195</v>
      </c>
    </row>
    <row r="258" spans="1:15" x14ac:dyDescent="0.3">
      <c r="A258" s="148"/>
      <c r="B258" s="148" t="s">
        <v>462</v>
      </c>
      <c r="C258" s="133"/>
      <c r="E258" s="133">
        <f>(E250-E247)/E250</f>
        <v>1</v>
      </c>
      <c r="F258" s="133">
        <f>(F250-F247)/F250</f>
        <v>1</v>
      </c>
    </row>
    <row r="259" spans="1:15" s="133" customFormat="1" x14ac:dyDescent="0.3">
      <c r="A259" s="148"/>
      <c r="B259" s="148" t="s">
        <v>2085</v>
      </c>
      <c r="E259" s="10">
        <f>E255/E254</f>
        <v>0.96431658258258235</v>
      </c>
      <c r="F259" s="10">
        <f>F255/F254</f>
        <v>0.99354312844036663</v>
      </c>
    </row>
    <row r="260" spans="1:15" s="133" customFormat="1" x14ac:dyDescent="0.3">
      <c r="A260" s="148"/>
      <c r="B260" s="148" t="s">
        <v>2087</v>
      </c>
      <c r="E260" s="10">
        <f>E256/E254</f>
        <v>0.96052826031829852</v>
      </c>
      <c r="F260" s="10">
        <f>F256/F254</f>
        <v>0.97450372897406523</v>
      </c>
    </row>
    <row r="261" spans="1:15" s="133" customFormat="1" x14ac:dyDescent="0.3">
      <c r="A261" s="148"/>
      <c r="B261" s="148" t="s">
        <v>2088</v>
      </c>
      <c r="E261" s="10">
        <f>E254/E256</f>
        <v>1.0410937827780533</v>
      </c>
      <c r="F261" s="10">
        <f>F254/F256</f>
        <v>1.0261633385977669</v>
      </c>
    </row>
    <row r="262" spans="1:15" s="133" customFormat="1" x14ac:dyDescent="0.3">
      <c r="A262" s="148"/>
      <c r="B262" s="148" t="s">
        <v>2096</v>
      </c>
      <c r="C262" s="133" t="s">
        <v>92</v>
      </c>
      <c r="D262" s="37"/>
      <c r="E262" s="37">
        <f>E255/D246</f>
        <v>0.73510966520368259</v>
      </c>
      <c r="F262" s="37">
        <f>F255/(D246+F252)</f>
        <v>0.51931511408682252</v>
      </c>
      <c r="G262" s="37"/>
      <c r="H262" s="37"/>
      <c r="I262" s="37"/>
      <c r="J262" s="37"/>
      <c r="K262" s="37"/>
      <c r="L262" s="37"/>
      <c r="M262" s="37"/>
      <c r="N262" s="37"/>
      <c r="O262" s="37"/>
    </row>
    <row r="263" spans="1:15" s="133" customFormat="1" x14ac:dyDescent="0.3">
      <c r="A263" s="148"/>
      <c r="B263" s="148" t="s">
        <v>2097</v>
      </c>
      <c r="C263" s="133" t="s">
        <v>92</v>
      </c>
      <c r="D263" s="37"/>
      <c r="E263" s="37">
        <f>E249/D249</f>
        <v>1.0009914661747841</v>
      </c>
      <c r="F263" s="37">
        <f>F249/D249</f>
        <v>1.5805527836186395</v>
      </c>
      <c r="G263" s="37"/>
      <c r="H263" s="37"/>
      <c r="I263" s="37"/>
      <c r="J263" s="37"/>
      <c r="K263" s="37"/>
      <c r="L263" s="37"/>
      <c r="M263" s="37"/>
      <c r="N263" s="37"/>
      <c r="O263" s="37"/>
    </row>
    <row r="264" spans="1:15" s="133" customFormat="1" x14ac:dyDescent="0.3">
      <c r="A264" s="148"/>
      <c r="B264" s="148" t="s">
        <v>2081</v>
      </c>
      <c r="E264" s="134">
        <f>E251/E254</f>
        <v>4</v>
      </c>
      <c r="F264" s="134">
        <f>F251/F254</f>
        <v>4</v>
      </c>
    </row>
    <row r="265" spans="1:15" s="133" customFormat="1" x14ac:dyDescent="0.3">
      <c r="A265" s="148"/>
      <c r="B265" s="148" t="s">
        <v>2137</v>
      </c>
      <c r="E265" s="134">
        <f>E251/E256</f>
        <v>4.1643751311122132</v>
      </c>
      <c r="F265" s="134">
        <f>F251/F256</f>
        <v>4.1046533543910675</v>
      </c>
    </row>
    <row r="266" spans="1:15" s="133" customFormat="1" x14ac:dyDescent="0.3"/>
    <row r="267" spans="1:15" s="102" customFormat="1" x14ac:dyDescent="0.3">
      <c r="A267" s="148"/>
      <c r="B267" s="185" t="s">
        <v>359</v>
      </c>
      <c r="C267" s="176"/>
    </row>
    <row r="268" spans="1:15" s="133" customFormat="1" x14ac:dyDescent="0.3">
      <c r="A268" s="148"/>
      <c r="B268" s="103" t="s">
        <v>1795</v>
      </c>
      <c r="C268" s="103"/>
      <c r="D268" s="44" t="s">
        <v>2157</v>
      </c>
      <c r="E268" s="44" t="s">
        <v>2158</v>
      </c>
      <c r="F268" s="44" t="s">
        <v>2159</v>
      </c>
    </row>
    <row r="269" spans="1:15" x14ac:dyDescent="0.3">
      <c r="A269" s="148"/>
      <c r="B269" s="12" t="s">
        <v>1791</v>
      </c>
      <c r="C269" s="12"/>
      <c r="D269" t="s">
        <v>1104</v>
      </c>
      <c r="E269" t="s">
        <v>1105</v>
      </c>
      <c r="F269" t="s">
        <v>2010</v>
      </c>
    </row>
    <row r="270" spans="1:15" x14ac:dyDescent="0.3">
      <c r="A270" s="148"/>
      <c r="B270" s="12" t="s">
        <v>33</v>
      </c>
      <c r="C270" s="12" t="s">
        <v>270</v>
      </c>
      <c r="D270">
        <f>D238</f>
        <v>4.1399999999999997</v>
      </c>
      <c r="E270" s="133">
        <f>E238</f>
        <v>4.1399999999999997</v>
      </c>
      <c r="F270" s="133">
        <f>F238</f>
        <v>4.1399999999999997</v>
      </c>
    </row>
    <row r="271" spans="1:15" x14ac:dyDescent="0.3">
      <c r="A271" s="148"/>
      <c r="B271" s="12" t="s">
        <v>26</v>
      </c>
      <c r="C271" s="12" t="s">
        <v>25</v>
      </c>
      <c r="D271">
        <v>25</v>
      </c>
      <c r="E271" s="133">
        <v>25</v>
      </c>
      <c r="F271" s="133">
        <v>25</v>
      </c>
    </row>
    <row r="272" spans="1:15" s="133" customFormat="1" x14ac:dyDescent="0.3">
      <c r="A272" s="109"/>
      <c r="B272" s="148" t="s">
        <v>1544</v>
      </c>
      <c r="C272" s="133" t="s">
        <v>338</v>
      </c>
      <c r="E272" s="133">
        <f>E251</f>
        <v>3.7</v>
      </c>
      <c r="F272" s="133">
        <f>F251</f>
        <v>10.9</v>
      </c>
    </row>
    <row r="273" spans="1:14" x14ac:dyDescent="0.3">
      <c r="A273" s="148"/>
      <c r="B273" s="12" t="s">
        <v>351</v>
      </c>
      <c r="C273" s="12" t="s">
        <v>377</v>
      </c>
      <c r="D273" s="10">
        <f>D239</f>
        <v>0.56061474637681163</v>
      </c>
      <c r="E273" s="10">
        <f>E239</f>
        <v>0.77607195383789596</v>
      </c>
      <c r="F273" s="10">
        <f>F239</f>
        <v>1.2145773128019326</v>
      </c>
    </row>
    <row r="274" spans="1:14" x14ac:dyDescent="0.3">
      <c r="A274" s="148"/>
      <c r="B274" s="12" t="s">
        <v>352</v>
      </c>
      <c r="C274" s="12" t="s">
        <v>377</v>
      </c>
      <c r="D274" s="10"/>
      <c r="E274" s="10">
        <f>E273-$D273</f>
        <v>0.21545720746108432</v>
      </c>
      <c r="F274" s="10">
        <f>F273-$D273</f>
        <v>0.65396256642512096</v>
      </c>
    </row>
    <row r="275" spans="1:14" x14ac:dyDescent="0.3">
      <c r="A275" s="148"/>
      <c r="B275" s="12" t="s">
        <v>383</v>
      </c>
      <c r="C275" s="12" t="s">
        <v>92</v>
      </c>
      <c r="D275" s="10"/>
      <c r="E275" s="10">
        <f>E274/D273</f>
        <v>0.38432311824396231</v>
      </c>
      <c r="F275" s="10">
        <f>F274/E273</f>
        <v>0.84265713145680698</v>
      </c>
    </row>
    <row r="276" spans="1:14" x14ac:dyDescent="0.3">
      <c r="A276" s="148"/>
      <c r="B276" s="12" t="s">
        <v>293</v>
      </c>
      <c r="C276" s="12" t="s">
        <v>338</v>
      </c>
      <c r="D276" s="10">
        <f>D240</f>
        <v>2.3209450500000006</v>
      </c>
      <c r="E276" s="10">
        <f>E240</f>
        <v>3.2129378888888893</v>
      </c>
      <c r="F276" s="10">
        <f>F240</f>
        <v>5.0283500749999996</v>
      </c>
    </row>
    <row r="277" spans="1:14" x14ac:dyDescent="0.3">
      <c r="A277" s="148"/>
      <c r="B277" s="12" t="s">
        <v>402</v>
      </c>
      <c r="C277" s="12" t="s">
        <v>338</v>
      </c>
      <c r="D277" s="10"/>
      <c r="E277" s="10">
        <f>E276-$D276</f>
        <v>0.89199283888888869</v>
      </c>
      <c r="F277" s="10">
        <f>F276-$D276</f>
        <v>2.707405024999999</v>
      </c>
    </row>
    <row r="278" spans="1:14" x14ac:dyDescent="0.3">
      <c r="A278" s="148"/>
      <c r="B278" t="s">
        <v>3</v>
      </c>
      <c r="C278" t="s">
        <v>302</v>
      </c>
      <c r="D278" s="10">
        <f t="shared" ref="D278:F279" si="48">D243</f>
        <v>65.466666666666654</v>
      </c>
      <c r="E278" s="10">
        <f t="shared" si="48"/>
        <v>90.422222222222217</v>
      </c>
      <c r="F278" s="10">
        <f t="shared" si="48"/>
        <v>89.275000000000006</v>
      </c>
    </row>
    <row r="279" spans="1:14" x14ac:dyDescent="0.3">
      <c r="B279" t="s">
        <v>277</v>
      </c>
      <c r="C279" t="s">
        <v>302</v>
      </c>
      <c r="D279" s="10">
        <f t="shared" si="48"/>
        <v>34.226666666666674</v>
      </c>
      <c r="E279" s="10">
        <f t="shared" si="48"/>
        <v>9.1444444444444457</v>
      </c>
      <c r="F279" s="10">
        <f t="shared" si="48"/>
        <v>9.9049999999999976</v>
      </c>
    </row>
    <row r="280" spans="1:14" x14ac:dyDescent="0.3">
      <c r="B280" t="s">
        <v>13</v>
      </c>
      <c r="C280" t="s">
        <v>302</v>
      </c>
      <c r="D280" s="10"/>
      <c r="E280" s="10">
        <f>E245</f>
        <v>0</v>
      </c>
      <c r="F280" s="10">
        <f>F245</f>
        <v>0</v>
      </c>
    </row>
    <row r="281" spans="1:14" x14ac:dyDescent="0.3">
      <c r="B281" s="12" t="s">
        <v>35</v>
      </c>
      <c r="C281" s="12"/>
      <c r="D281" s="10">
        <f>D242</f>
        <v>8.1086666666666662</v>
      </c>
      <c r="E281" s="10">
        <f>E242</f>
        <v>8.517777777777777</v>
      </c>
      <c r="F281" s="10">
        <f>F242</f>
        <v>8.5060000000000002</v>
      </c>
    </row>
    <row r="282" spans="1:14" x14ac:dyDescent="0.3">
      <c r="B282" s="12" t="s">
        <v>52</v>
      </c>
      <c r="C282" s="12" t="s">
        <v>621</v>
      </c>
      <c r="D282" s="10">
        <f>D241/Data!$C$34</f>
        <v>0.33673746111438879</v>
      </c>
      <c r="E282" s="10">
        <f>E241</f>
        <v>0</v>
      </c>
      <c r="F282" s="10">
        <f>F241</f>
        <v>0</v>
      </c>
      <c r="K282" s="133"/>
      <c r="L282" s="133"/>
      <c r="M282" s="133"/>
      <c r="N282" s="133"/>
    </row>
    <row r="283" spans="1:14" x14ac:dyDescent="0.3">
      <c r="B283" s="12" t="s">
        <v>558</v>
      </c>
      <c r="C283" s="12" t="s">
        <v>621</v>
      </c>
      <c r="D283" s="10" t="s">
        <v>1671</v>
      </c>
      <c r="E283" s="10" t="s">
        <v>1671</v>
      </c>
      <c r="F283" s="10" t="s">
        <v>1671</v>
      </c>
      <c r="K283" s="133"/>
      <c r="L283" s="133"/>
      <c r="M283" s="133"/>
      <c r="N283" s="133"/>
    </row>
    <row r="284" spans="1:14" x14ac:dyDescent="0.3">
      <c r="B284" s="12" t="s">
        <v>757</v>
      </c>
      <c r="C284" s="12" t="s">
        <v>758</v>
      </c>
      <c r="K284" s="133"/>
      <c r="L284" s="133"/>
      <c r="M284" s="133"/>
      <c r="N284" s="133"/>
    </row>
    <row r="285" spans="1:14" x14ac:dyDescent="0.3">
      <c r="K285" s="133"/>
      <c r="L285" s="133"/>
      <c r="M285" s="133"/>
      <c r="N285" s="133"/>
    </row>
    <row r="286" spans="1:14" s="133" customFormat="1" x14ac:dyDescent="0.3">
      <c r="D286" s="134"/>
      <c r="E286" s="134"/>
      <c r="F286" s="134"/>
    </row>
    <row r="287" spans="1:14" x14ac:dyDescent="0.3">
      <c r="B287" s="184" t="s">
        <v>1139</v>
      </c>
    </row>
    <row r="289" spans="2:13" s="133" customFormat="1" x14ac:dyDescent="0.3">
      <c r="B289" s="148" t="s">
        <v>114</v>
      </c>
      <c r="D289" s="133" t="s">
        <v>2140</v>
      </c>
      <c r="E289" s="133" t="s">
        <v>1735</v>
      </c>
    </row>
    <row r="290" spans="2:13" s="133" customFormat="1" x14ac:dyDescent="0.3">
      <c r="B290" s="133" t="s">
        <v>667</v>
      </c>
      <c r="C290" s="133" t="s">
        <v>503</v>
      </c>
      <c r="D290" s="133">
        <v>37</v>
      </c>
    </row>
    <row r="291" spans="2:13" s="133" customFormat="1" x14ac:dyDescent="0.3">
      <c r="B291" s="133" t="s">
        <v>1324</v>
      </c>
      <c r="D291" s="133" t="s">
        <v>1091</v>
      </c>
    </row>
    <row r="292" spans="2:13" s="133" customFormat="1" x14ac:dyDescent="0.3">
      <c r="B292" s="133" t="s">
        <v>956</v>
      </c>
      <c r="C292" s="133" t="s">
        <v>22</v>
      </c>
      <c r="D292" s="133">
        <v>3</v>
      </c>
    </row>
    <row r="293" spans="2:13" s="133" customFormat="1" x14ac:dyDescent="0.3">
      <c r="B293" s="133" t="s">
        <v>32</v>
      </c>
      <c r="C293" s="133" t="s">
        <v>22</v>
      </c>
      <c r="D293" s="133">
        <v>2</v>
      </c>
    </row>
    <row r="294" spans="2:13" s="133" customFormat="1" x14ac:dyDescent="0.3">
      <c r="B294" s="133" t="s">
        <v>326</v>
      </c>
      <c r="D294" s="133" t="s">
        <v>1355</v>
      </c>
    </row>
    <row r="295" spans="2:13" s="133" customFormat="1" x14ac:dyDescent="0.3">
      <c r="B295" s="133" t="s">
        <v>344</v>
      </c>
      <c r="D295" s="133" t="s">
        <v>665</v>
      </c>
    </row>
    <row r="296" spans="2:13" s="133" customFormat="1" x14ac:dyDescent="0.3">
      <c r="B296" s="133" t="s">
        <v>1332</v>
      </c>
      <c r="D296" s="133" t="s">
        <v>1809</v>
      </c>
    </row>
    <row r="297" spans="2:13" s="133" customFormat="1" x14ac:dyDescent="0.3">
      <c r="B297" s="133" t="s">
        <v>1330</v>
      </c>
      <c r="D297" s="133" t="s">
        <v>1810</v>
      </c>
    </row>
    <row r="298" spans="2:13" s="133" customFormat="1" x14ac:dyDescent="0.3">
      <c r="B298" s="133" t="s">
        <v>1968</v>
      </c>
      <c r="D298" s="133" t="s">
        <v>1969</v>
      </c>
      <c r="E298" s="133" t="s">
        <v>1971</v>
      </c>
    </row>
    <row r="299" spans="2:13" s="133" customFormat="1" x14ac:dyDescent="0.3">
      <c r="B299" s="133" t="s">
        <v>1541</v>
      </c>
      <c r="D299" s="133" t="s">
        <v>1545</v>
      </c>
    </row>
    <row r="300" spans="2:13" s="133" customFormat="1" x14ac:dyDescent="0.3">
      <c r="B300" s="133" t="s">
        <v>1599</v>
      </c>
      <c r="D300" s="133" t="s">
        <v>1818</v>
      </c>
    </row>
    <row r="301" spans="2:13" s="133" customFormat="1" x14ac:dyDescent="0.3"/>
    <row r="302" spans="2:13" x14ac:dyDescent="0.3">
      <c r="B302" s="6"/>
      <c r="G302" s="133"/>
      <c r="H302" s="133"/>
      <c r="I302" s="133"/>
      <c r="J302" s="133"/>
      <c r="K302" s="133"/>
      <c r="L302" s="133"/>
      <c r="M302" s="133"/>
    </row>
    <row r="303" spans="2:13" x14ac:dyDescent="0.3">
      <c r="B303" t="s">
        <v>52</v>
      </c>
      <c r="C303" t="s">
        <v>17</v>
      </c>
      <c r="D303">
        <v>1512</v>
      </c>
      <c r="G303" s="133"/>
      <c r="H303" s="133"/>
      <c r="I303" s="133"/>
      <c r="J303" s="133"/>
      <c r="K303" s="133"/>
      <c r="L303" s="133"/>
      <c r="M303" s="133"/>
    </row>
    <row r="304" spans="2:13" x14ac:dyDescent="0.3">
      <c r="C304" t="s">
        <v>621</v>
      </c>
      <c r="D304" s="10">
        <f>D303/(1000*Data!C34)</f>
        <v>0.10794833900918846</v>
      </c>
      <c r="G304" s="133"/>
      <c r="H304" s="133"/>
      <c r="I304" s="133"/>
      <c r="J304" s="133"/>
      <c r="K304" s="133"/>
      <c r="L304" s="133"/>
      <c r="M304" s="133"/>
    </row>
    <row r="305" spans="2:7" s="133" customFormat="1" x14ac:dyDescent="0.3">
      <c r="B305" s="133" t="s">
        <v>26</v>
      </c>
      <c r="C305" s="133" t="s">
        <v>25</v>
      </c>
      <c r="D305" s="16">
        <v>15</v>
      </c>
      <c r="E305" s="133">
        <v>15</v>
      </c>
    </row>
    <row r="306" spans="2:7" s="133" customFormat="1" ht="15" thickBot="1" x14ac:dyDescent="0.35">
      <c r="D306" s="10"/>
    </row>
    <row r="307" spans="2:7" s="133" customFormat="1" x14ac:dyDescent="0.3">
      <c r="B307" s="202" t="s">
        <v>1883</v>
      </c>
      <c r="C307" s="203"/>
      <c r="D307" s="203" t="s">
        <v>1104</v>
      </c>
      <c r="E307" s="204" t="s">
        <v>1105</v>
      </c>
    </row>
    <row r="308" spans="2:7" s="133" customFormat="1" x14ac:dyDescent="0.3">
      <c r="B308" s="205"/>
      <c r="C308" s="80"/>
      <c r="D308" s="80" t="s">
        <v>2056</v>
      </c>
      <c r="E308" s="206" t="s">
        <v>1807</v>
      </c>
    </row>
    <row r="309" spans="2:7" s="133" customFormat="1" x14ac:dyDescent="0.3">
      <c r="B309" s="205" t="s">
        <v>33</v>
      </c>
      <c r="C309" s="80" t="s">
        <v>270</v>
      </c>
      <c r="D309" s="80">
        <v>3.6399999999999997</v>
      </c>
      <c r="E309" s="206">
        <v>3.6399999999999997</v>
      </c>
    </row>
    <row r="310" spans="2:7" s="133" customFormat="1" x14ac:dyDescent="0.3">
      <c r="B310" s="205" t="s">
        <v>35</v>
      </c>
      <c r="C310" s="80"/>
      <c r="D310" s="201">
        <v>7.3150000000000004</v>
      </c>
      <c r="E310" s="207">
        <v>7.9430000000000005</v>
      </c>
    </row>
    <row r="311" spans="2:7" s="133" customFormat="1" x14ac:dyDescent="0.3">
      <c r="B311" s="205" t="s">
        <v>351</v>
      </c>
      <c r="C311" s="80" t="s">
        <v>377</v>
      </c>
      <c r="D311" s="200">
        <v>0.30870238449033521</v>
      </c>
      <c r="E311" s="208">
        <v>0.4373535326485688</v>
      </c>
    </row>
    <row r="312" spans="2:7" s="133" customFormat="1" x14ac:dyDescent="0.3">
      <c r="B312" s="205" t="s">
        <v>3</v>
      </c>
      <c r="C312" s="80" t="s">
        <v>302</v>
      </c>
      <c r="D312" s="80">
        <v>60.04999999999999</v>
      </c>
      <c r="E312" s="206">
        <v>90.460000000000008</v>
      </c>
    </row>
    <row r="313" spans="2:7" s="133" customFormat="1" x14ac:dyDescent="0.3">
      <c r="B313" s="205" t="s">
        <v>277</v>
      </c>
      <c r="C313" s="80" t="s">
        <v>302</v>
      </c>
      <c r="D313" s="80">
        <v>39.35</v>
      </c>
      <c r="E313" s="206">
        <v>8.2100000000000009</v>
      </c>
    </row>
    <row r="314" spans="2:7" s="133" customFormat="1" x14ac:dyDescent="0.3">
      <c r="B314" s="205" t="s">
        <v>13</v>
      </c>
      <c r="C314" s="80" t="s">
        <v>302</v>
      </c>
      <c r="D314" s="80"/>
      <c r="E314" s="206"/>
    </row>
    <row r="315" spans="2:7" s="133" customFormat="1" x14ac:dyDescent="0.3">
      <c r="B315" s="205" t="s">
        <v>321</v>
      </c>
      <c r="C315" s="80" t="s">
        <v>338</v>
      </c>
      <c r="D315" s="80"/>
      <c r="E315" s="206">
        <v>2.6999999999999997</v>
      </c>
    </row>
    <row r="316" spans="2:7" s="133" customFormat="1" x14ac:dyDescent="0.3">
      <c r="B316" s="205" t="s">
        <v>308</v>
      </c>
      <c r="C316" s="80" t="s">
        <v>338</v>
      </c>
      <c r="D316" s="200">
        <v>1.8679066417746135</v>
      </c>
      <c r="E316" s="208">
        <v>1.7567104569460228</v>
      </c>
    </row>
    <row r="317" spans="2:7" s="133" customFormat="1" ht="15" thickBot="1" x14ac:dyDescent="0.35">
      <c r="B317" s="209" t="s">
        <v>293</v>
      </c>
      <c r="C317" s="210" t="s">
        <v>338</v>
      </c>
      <c r="D317" s="211">
        <v>1.1216701140456329</v>
      </c>
      <c r="E317" s="212">
        <v>1.5891240608785746</v>
      </c>
    </row>
    <row r="318" spans="2:7" x14ac:dyDescent="0.3">
      <c r="B318" t="s">
        <v>40</v>
      </c>
      <c r="C318" t="s">
        <v>338</v>
      </c>
      <c r="D318" s="10">
        <f>D311*D309</f>
        <v>1.1236766795448201</v>
      </c>
      <c r="E318" s="10">
        <f>E311*E309</f>
        <v>1.5919668588407903</v>
      </c>
      <c r="G318" t="s">
        <v>1808</v>
      </c>
    </row>
    <row r="319" spans="2:7" s="133" customFormat="1" x14ac:dyDescent="0.3">
      <c r="B319" s="133" t="s">
        <v>40</v>
      </c>
      <c r="D319" s="10">
        <f>D316*D312/100</f>
        <v>1.1216779383856552</v>
      </c>
      <c r="E319" s="10">
        <f>E316*E312/100</f>
        <v>1.5891202793533725</v>
      </c>
      <c r="G319" s="133" t="s">
        <v>1813</v>
      </c>
    </row>
    <row r="320" spans="2:7" s="133" customFormat="1" x14ac:dyDescent="0.3">
      <c r="B320" s="133" t="s">
        <v>1082</v>
      </c>
      <c r="C320" s="133" t="s">
        <v>338</v>
      </c>
      <c r="D320" s="10">
        <f>D316*D313/100</f>
        <v>0.73502126353831043</v>
      </c>
      <c r="E320" s="10">
        <f>E316*E313/100</f>
        <v>0.1442259285152685</v>
      </c>
    </row>
    <row r="321" spans="1:33" s="133" customFormat="1" x14ac:dyDescent="0.3">
      <c r="B321" s="133" t="s">
        <v>459</v>
      </c>
      <c r="C321" s="133" t="s">
        <v>92</v>
      </c>
      <c r="D321" s="8">
        <f>SUM(D312:D314)</f>
        <v>99.399999999999991</v>
      </c>
      <c r="E321" s="198">
        <f>SUM(E312:E314)</f>
        <v>98.670000000000016</v>
      </c>
      <c r="G321" s="133" t="s">
        <v>1814</v>
      </c>
    </row>
    <row r="322" spans="1:33" s="133" customFormat="1" x14ac:dyDescent="0.3">
      <c r="B322" s="133" t="s">
        <v>323</v>
      </c>
      <c r="C322" s="133" t="s">
        <v>338</v>
      </c>
      <c r="E322" s="133">
        <v>0</v>
      </c>
    </row>
    <row r="323" spans="1:33" x14ac:dyDescent="0.3">
      <c r="A323" s="133"/>
      <c r="B323" s="133" t="s">
        <v>433</v>
      </c>
      <c r="C323" s="133" t="s">
        <v>338</v>
      </c>
      <c r="E323" s="134">
        <f>E315-E322</f>
        <v>2.6999999999999997</v>
      </c>
    </row>
    <row r="324" spans="1:33" s="133" customFormat="1" x14ac:dyDescent="0.3">
      <c r="A324" s="148"/>
      <c r="B324" s="148" t="s">
        <v>460</v>
      </c>
      <c r="C324" s="133" t="s">
        <v>338</v>
      </c>
      <c r="E324" s="133">
        <f>E323/4</f>
        <v>0.67499999999999993</v>
      </c>
    </row>
    <row r="325" spans="1:33" s="133" customFormat="1" x14ac:dyDescent="0.3">
      <c r="A325" s="148"/>
      <c r="B325" s="148" t="s">
        <v>402</v>
      </c>
      <c r="C325" s="133" t="s">
        <v>338</v>
      </c>
      <c r="E325" s="10">
        <f>E317-D317</f>
        <v>0.46745394683294172</v>
      </c>
    </row>
    <row r="326" spans="1:33" s="133" customFormat="1" x14ac:dyDescent="0.3">
      <c r="A326" s="148"/>
      <c r="B326" s="148" t="s">
        <v>2086</v>
      </c>
      <c r="C326" s="133" t="s">
        <v>338</v>
      </c>
      <c r="E326" s="10">
        <f>D320-E320</f>
        <v>0.59079533502304193</v>
      </c>
    </row>
    <row r="327" spans="1:33" s="133" customFormat="1" x14ac:dyDescent="0.3">
      <c r="A327" s="148"/>
      <c r="B327" s="148" t="s">
        <v>93</v>
      </c>
      <c r="E327" s="134">
        <f>E315/D320</f>
        <v>3.6733631174185364</v>
      </c>
    </row>
    <row r="328" spans="1:33" s="133" customFormat="1" x14ac:dyDescent="0.3">
      <c r="A328" s="148"/>
      <c r="B328" s="148" t="s">
        <v>462</v>
      </c>
      <c r="C328" s="133" t="s">
        <v>92</v>
      </c>
      <c r="E328" s="134">
        <f>E323/E315</f>
        <v>1</v>
      </c>
    </row>
    <row r="329" spans="1:33" s="133" customFormat="1" x14ac:dyDescent="0.3">
      <c r="A329" s="148"/>
      <c r="B329" s="148" t="s">
        <v>2085</v>
      </c>
      <c r="C329" s="133" t="s">
        <v>92</v>
      </c>
      <c r="E329" s="10">
        <f>E325/E324</f>
        <v>0.69252436567843223</v>
      </c>
    </row>
    <row r="330" spans="1:33" s="133" customFormat="1" x14ac:dyDescent="0.3">
      <c r="A330" s="148"/>
      <c r="B330" s="148" t="s">
        <v>2087</v>
      </c>
      <c r="C330" s="133" t="s">
        <v>92</v>
      </c>
      <c r="E330" s="10">
        <f>E326/E324</f>
        <v>0.87525234818228448</v>
      </c>
    </row>
    <row r="331" spans="1:33" s="133" customFormat="1" x14ac:dyDescent="0.3">
      <c r="A331" s="148"/>
      <c r="B331" s="148" t="s">
        <v>2088</v>
      </c>
      <c r="C331" s="133" t="s">
        <v>92</v>
      </c>
      <c r="E331" s="10">
        <f>E325/E326</f>
        <v>0.79122822934055548</v>
      </c>
    </row>
    <row r="332" spans="1:33" s="133" customFormat="1" x14ac:dyDescent="0.3">
      <c r="A332" s="148"/>
      <c r="B332" s="148" t="s">
        <v>2096</v>
      </c>
      <c r="C332" s="133" t="s">
        <v>92</v>
      </c>
      <c r="D332" s="37"/>
      <c r="E332" s="37">
        <f>E325/D320</f>
        <v>0.63597336569920515</v>
      </c>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row>
    <row r="333" spans="1:33" s="133" customFormat="1" x14ac:dyDescent="0.3">
      <c r="A333" s="148"/>
      <c r="B333" s="148" t="s">
        <v>2097</v>
      </c>
      <c r="C333" s="133" t="s">
        <v>92</v>
      </c>
      <c r="D333" s="96"/>
      <c r="E333" s="96">
        <f>E316/D316</f>
        <v>0.94047015929931688</v>
      </c>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row>
    <row r="334" spans="1:33" s="133" customFormat="1" x14ac:dyDescent="0.3">
      <c r="A334" s="148"/>
      <c r="B334" s="148" t="s">
        <v>2081</v>
      </c>
      <c r="E334" s="134">
        <f>E323/E325</f>
        <v>5.775970057142171</v>
      </c>
    </row>
    <row r="335" spans="1:33" s="133" customFormat="1" x14ac:dyDescent="0.3">
      <c r="A335" s="148"/>
      <c r="B335" s="148" t="s">
        <v>2137</v>
      </c>
      <c r="E335" s="134">
        <f>E323/E326</f>
        <v>4.5701105610366666</v>
      </c>
    </row>
    <row r="336" spans="1:33" s="133" customFormat="1" x14ac:dyDescent="0.3"/>
    <row r="337" spans="2:15" x14ac:dyDescent="0.3">
      <c r="B337" s="40" t="s">
        <v>359</v>
      </c>
      <c r="C337" s="12"/>
    </row>
    <row r="338" spans="2:15" s="133" customFormat="1" x14ac:dyDescent="0.3">
      <c r="B338" s="103" t="s">
        <v>1795</v>
      </c>
      <c r="C338" s="103"/>
      <c r="D338" s="66" t="s">
        <v>2160</v>
      </c>
      <c r="E338" s="66" t="s">
        <v>2161</v>
      </c>
    </row>
    <row r="339" spans="2:15" x14ac:dyDescent="0.3">
      <c r="B339" s="12" t="s">
        <v>1791</v>
      </c>
      <c r="C339" s="12"/>
      <c r="D339" t="s">
        <v>1104</v>
      </c>
      <c r="E339" t="s">
        <v>1105</v>
      </c>
    </row>
    <row r="340" spans="2:15" x14ac:dyDescent="0.3">
      <c r="B340" s="12" t="s">
        <v>33</v>
      </c>
      <c r="C340" s="12" t="s">
        <v>270</v>
      </c>
      <c r="D340">
        <f>D309</f>
        <v>3.6399999999999997</v>
      </c>
      <c r="E340" s="133">
        <f>E309</f>
        <v>3.6399999999999997</v>
      </c>
      <c r="F340" s="133"/>
      <c r="J340" t="s">
        <v>1805</v>
      </c>
    </row>
    <row r="341" spans="2:15" x14ac:dyDescent="0.3">
      <c r="B341" s="12" t="s">
        <v>26</v>
      </c>
      <c r="C341" s="12" t="s">
        <v>25</v>
      </c>
      <c r="D341" s="16">
        <f>D305</f>
        <v>15</v>
      </c>
      <c r="E341" s="16">
        <f>E305</f>
        <v>15</v>
      </c>
      <c r="J341" t="s">
        <v>1806</v>
      </c>
      <c r="O341" s="10"/>
    </row>
    <row r="342" spans="2:15" s="133" customFormat="1" x14ac:dyDescent="0.3">
      <c r="B342" s="148" t="s">
        <v>1544</v>
      </c>
      <c r="C342" s="133" t="s">
        <v>338</v>
      </c>
      <c r="E342" s="134">
        <f>E315</f>
        <v>2.6999999999999997</v>
      </c>
    </row>
    <row r="343" spans="2:15" x14ac:dyDescent="0.3">
      <c r="B343" s="12" t="s">
        <v>351</v>
      </c>
      <c r="C343" s="12" t="s">
        <v>377</v>
      </c>
      <c r="D343" s="10">
        <f>D311</f>
        <v>0.30870238449033521</v>
      </c>
      <c r="E343" s="10">
        <f>E311</f>
        <v>0.4373535326485688</v>
      </c>
      <c r="J343" s="133" t="s">
        <v>1805</v>
      </c>
    </row>
    <row r="344" spans="2:15" x14ac:dyDescent="0.3">
      <c r="B344" s="12" t="s">
        <v>352</v>
      </c>
      <c r="C344" s="12" t="s">
        <v>377</v>
      </c>
      <c r="E344" s="10">
        <f>E343-D343</f>
        <v>0.12865114815823359</v>
      </c>
      <c r="J344" s="133" t="s">
        <v>1805</v>
      </c>
    </row>
    <row r="345" spans="2:15" x14ac:dyDescent="0.3">
      <c r="B345" s="12" t="s">
        <v>383</v>
      </c>
      <c r="C345" s="12" t="s">
        <v>92</v>
      </c>
      <c r="E345" s="10">
        <f>E344/D343</f>
        <v>0.41674815168867402</v>
      </c>
      <c r="J345" s="133" t="s">
        <v>1805</v>
      </c>
    </row>
    <row r="346" spans="2:15" x14ac:dyDescent="0.3">
      <c r="B346" s="12" t="s">
        <v>293</v>
      </c>
      <c r="C346" s="12" t="s">
        <v>338</v>
      </c>
      <c r="D346" s="10">
        <f>D317</f>
        <v>1.1216701140456329</v>
      </c>
      <c r="E346" s="10">
        <f>E317</f>
        <v>1.5891240608785746</v>
      </c>
      <c r="J346" s="133" t="s">
        <v>1811</v>
      </c>
    </row>
    <row r="347" spans="2:15" x14ac:dyDescent="0.3">
      <c r="B347" s="12" t="s">
        <v>402</v>
      </c>
      <c r="C347" s="12" t="s">
        <v>338</v>
      </c>
      <c r="E347" s="10">
        <f>E346-D346</f>
        <v>0.46745394683294172</v>
      </c>
      <c r="J347" s="133" t="s">
        <v>1812</v>
      </c>
    </row>
    <row r="348" spans="2:15" x14ac:dyDescent="0.3">
      <c r="B348" t="s">
        <v>3</v>
      </c>
      <c r="C348" t="s">
        <v>302</v>
      </c>
      <c r="D348">
        <f>D312</f>
        <v>60.04999999999999</v>
      </c>
      <c r="E348" s="133">
        <f t="shared" ref="E348:E350" si="49">E312</f>
        <v>90.460000000000008</v>
      </c>
      <c r="J348" s="133" t="s">
        <v>1805</v>
      </c>
    </row>
    <row r="349" spans="2:15" x14ac:dyDescent="0.3">
      <c r="B349" t="s">
        <v>277</v>
      </c>
      <c r="C349" t="s">
        <v>302</v>
      </c>
      <c r="D349" s="133">
        <f t="shared" ref="D349" si="50">D313</f>
        <v>39.35</v>
      </c>
      <c r="E349" s="133">
        <f t="shared" si="49"/>
        <v>8.2100000000000009</v>
      </c>
      <c r="J349" s="133" t="s">
        <v>1805</v>
      </c>
    </row>
    <row r="350" spans="2:15" x14ac:dyDescent="0.3">
      <c r="B350" t="s">
        <v>13</v>
      </c>
      <c r="C350" t="s">
        <v>302</v>
      </c>
      <c r="D350" s="133"/>
      <c r="E350" s="133">
        <f t="shared" si="49"/>
        <v>0</v>
      </c>
      <c r="J350" s="133" t="s">
        <v>1805</v>
      </c>
    </row>
    <row r="351" spans="2:15" x14ac:dyDescent="0.3">
      <c r="B351" s="12" t="s">
        <v>35</v>
      </c>
      <c r="C351" s="12"/>
      <c r="D351" s="134">
        <f>D310</f>
        <v>7.3150000000000004</v>
      </c>
      <c r="E351" s="134">
        <f>E310</f>
        <v>7.9430000000000005</v>
      </c>
      <c r="J351" s="133" t="s">
        <v>1805</v>
      </c>
    </row>
    <row r="352" spans="2:15" x14ac:dyDescent="0.3">
      <c r="B352" s="12" t="s">
        <v>52</v>
      </c>
      <c r="C352" s="12" t="s">
        <v>621</v>
      </c>
      <c r="D352" s="10">
        <f>D304</f>
        <v>0.10794833900918846</v>
      </c>
      <c r="E352" s="10" t="s">
        <v>1671</v>
      </c>
    </row>
    <row r="353" spans="2:5" x14ac:dyDescent="0.3">
      <c r="B353" s="12" t="s">
        <v>558</v>
      </c>
      <c r="C353" s="12" t="s">
        <v>621</v>
      </c>
      <c r="D353" t="s">
        <v>1671</v>
      </c>
      <c r="E353" t="s">
        <v>1671</v>
      </c>
    </row>
    <row r="354" spans="2:5" x14ac:dyDescent="0.3">
      <c r="B354" s="12" t="s">
        <v>757</v>
      </c>
      <c r="C354" s="12" t="s">
        <v>758</v>
      </c>
    </row>
    <row r="356" spans="2:5" x14ac:dyDescent="0.3">
      <c r="B356" s="133"/>
      <c r="C356" s="133"/>
      <c r="D356" s="133"/>
      <c r="E356" s="133"/>
    </row>
    <row r="424" spans="1:11" x14ac:dyDescent="0.3">
      <c r="A424" s="103"/>
      <c r="B424" s="103"/>
      <c r="C424" s="103"/>
      <c r="D424" s="103"/>
      <c r="E424" s="103"/>
      <c r="F424" s="103"/>
      <c r="G424" s="103"/>
      <c r="H424" s="103"/>
      <c r="I424" s="103"/>
      <c r="J424" s="103"/>
      <c r="K424" s="103"/>
    </row>
    <row r="425" spans="1:11" x14ac:dyDescent="0.3">
      <c r="A425" s="103"/>
      <c r="B425" s="103"/>
      <c r="C425" s="103"/>
      <c r="D425" s="103"/>
      <c r="E425" s="103"/>
      <c r="F425" s="103"/>
      <c r="G425" s="103"/>
      <c r="H425" s="103"/>
      <c r="I425" s="103"/>
      <c r="J425" s="103"/>
      <c r="K425" s="103"/>
    </row>
    <row r="426" spans="1:11" x14ac:dyDescent="0.3">
      <c r="A426" s="103"/>
      <c r="B426" s="103"/>
      <c r="C426" s="103"/>
      <c r="D426" s="103"/>
      <c r="E426" s="103"/>
      <c r="F426" s="103"/>
      <c r="G426" s="103"/>
      <c r="H426" s="103"/>
      <c r="I426" s="103"/>
      <c r="J426" s="103"/>
      <c r="K426" s="103"/>
    </row>
    <row r="427" spans="1:11" x14ac:dyDescent="0.3">
      <c r="A427" s="103"/>
      <c r="B427" s="13"/>
      <c r="C427" s="103"/>
      <c r="D427" s="103"/>
      <c r="E427" s="103"/>
      <c r="F427" s="103"/>
      <c r="G427" s="103"/>
      <c r="H427" s="103"/>
      <c r="I427" s="103"/>
      <c r="J427" s="103"/>
      <c r="K427" s="103"/>
    </row>
    <row r="428" spans="1:11" x14ac:dyDescent="0.3">
      <c r="A428" s="103"/>
      <c r="B428" s="40"/>
      <c r="C428" s="103"/>
      <c r="D428" s="103"/>
      <c r="E428" s="103"/>
      <c r="F428" s="103"/>
      <c r="G428" s="103"/>
      <c r="H428" s="103"/>
      <c r="I428" s="103"/>
      <c r="J428" s="103"/>
      <c r="K428" s="103"/>
    </row>
    <row r="429" spans="1:11" x14ac:dyDescent="0.3">
      <c r="A429" s="103"/>
      <c r="B429" s="95"/>
      <c r="C429" s="103"/>
      <c r="D429" s="103"/>
      <c r="E429" s="13"/>
      <c r="F429" s="103"/>
      <c r="G429" s="103"/>
      <c r="H429" s="103"/>
      <c r="I429" s="103"/>
      <c r="J429" s="103"/>
      <c r="K429" s="103"/>
    </row>
    <row r="430" spans="1:11" x14ac:dyDescent="0.3">
      <c r="A430" s="103"/>
      <c r="B430" s="103"/>
      <c r="C430" s="103"/>
      <c r="D430" s="13"/>
      <c r="E430" s="13"/>
      <c r="F430" s="103"/>
      <c r="G430" s="103"/>
      <c r="H430" s="103"/>
      <c r="I430" s="103"/>
      <c r="J430" s="103"/>
      <c r="K430" s="103"/>
    </row>
    <row r="431" spans="1:11" x14ac:dyDescent="0.3">
      <c r="A431" s="103"/>
      <c r="B431" s="103"/>
      <c r="C431" s="103"/>
      <c r="D431" s="31"/>
      <c r="E431" s="31"/>
      <c r="F431" s="103"/>
      <c r="G431" s="103"/>
      <c r="H431" s="103"/>
      <c r="I431" s="103"/>
      <c r="J431" s="103"/>
      <c r="K431" s="103"/>
    </row>
    <row r="432" spans="1:11" x14ac:dyDescent="0.3">
      <c r="A432" s="103"/>
      <c r="B432" s="40"/>
      <c r="C432" s="103"/>
      <c r="D432" s="5"/>
      <c r="E432" s="5"/>
      <c r="F432" s="103"/>
      <c r="G432" s="103"/>
      <c r="H432" s="103"/>
      <c r="I432" s="103"/>
      <c r="J432" s="103"/>
      <c r="K432" s="103"/>
    </row>
    <row r="433" spans="1:11" x14ac:dyDescent="0.3">
      <c r="A433" s="103"/>
      <c r="B433" s="103"/>
      <c r="C433" s="103"/>
      <c r="D433" s="31"/>
      <c r="E433" s="31"/>
      <c r="F433" s="103"/>
      <c r="G433" s="103"/>
      <c r="H433" s="103"/>
      <c r="I433" s="103"/>
      <c r="J433" s="103"/>
      <c r="K433" s="103"/>
    </row>
    <row r="434" spans="1:11" x14ac:dyDescent="0.3">
      <c r="A434" s="103"/>
      <c r="B434" s="103"/>
      <c r="C434" s="103"/>
      <c r="D434" s="13"/>
      <c r="E434" s="13"/>
      <c r="F434" s="103"/>
      <c r="G434" s="103"/>
      <c r="H434" s="103"/>
      <c r="I434" s="103"/>
      <c r="J434" s="103"/>
      <c r="K434" s="103"/>
    </row>
    <row r="435" spans="1:11" x14ac:dyDescent="0.3">
      <c r="A435" s="103"/>
      <c r="B435" s="103"/>
      <c r="C435" s="103"/>
      <c r="D435" s="13"/>
      <c r="E435" s="13"/>
      <c r="F435" s="103"/>
      <c r="G435" s="103"/>
      <c r="H435" s="103"/>
      <c r="I435" s="103"/>
      <c r="J435" s="103"/>
      <c r="K435" s="103"/>
    </row>
    <row r="436" spans="1:11" x14ac:dyDescent="0.3">
      <c r="A436" s="103"/>
      <c r="B436" s="103"/>
      <c r="C436" s="103"/>
      <c r="D436" s="103"/>
      <c r="E436" s="103"/>
      <c r="F436" s="103"/>
      <c r="G436" s="103"/>
      <c r="H436" s="103"/>
      <c r="I436" s="103"/>
      <c r="J436" s="103"/>
      <c r="K436" s="103"/>
    </row>
    <row r="437" spans="1:11" x14ac:dyDescent="0.3">
      <c r="A437" s="103"/>
      <c r="B437" s="103"/>
      <c r="C437" s="103"/>
      <c r="D437" s="103"/>
      <c r="E437" s="103"/>
      <c r="F437" s="103"/>
      <c r="G437" s="103"/>
      <c r="H437" s="103"/>
      <c r="I437" s="103"/>
      <c r="J437" s="103"/>
      <c r="K437" s="103"/>
    </row>
    <row r="438" spans="1:11" x14ac:dyDescent="0.3">
      <c r="A438" s="103"/>
      <c r="B438" s="103"/>
      <c r="C438" s="103"/>
      <c r="D438" s="103"/>
      <c r="E438" s="103"/>
      <c r="F438" s="103"/>
      <c r="G438" s="103"/>
      <c r="H438" s="103"/>
      <c r="I438" s="103"/>
      <c r="J438" s="103"/>
      <c r="K438" s="103"/>
    </row>
    <row r="439" spans="1:11" x14ac:dyDescent="0.3">
      <c r="A439" s="103"/>
      <c r="B439" s="103"/>
      <c r="C439" s="103"/>
      <c r="D439" s="103"/>
      <c r="E439" s="103"/>
      <c r="F439" s="103"/>
      <c r="G439" s="103"/>
      <c r="H439" s="103"/>
      <c r="I439" s="103"/>
      <c r="J439" s="103"/>
      <c r="K439" s="103"/>
    </row>
    <row r="440" spans="1:11" x14ac:dyDescent="0.3">
      <c r="A440" s="103"/>
      <c r="B440" s="103"/>
      <c r="C440" s="103"/>
      <c r="D440" s="103"/>
      <c r="E440" s="103"/>
      <c r="F440" s="103"/>
      <c r="G440" s="103"/>
      <c r="H440" s="103"/>
      <c r="I440" s="103"/>
      <c r="J440" s="103"/>
      <c r="K440" s="103"/>
    </row>
    <row r="441" spans="1:11" x14ac:dyDescent="0.3">
      <c r="A441" s="103"/>
      <c r="B441" s="103"/>
      <c r="C441" s="103"/>
      <c r="D441" s="103"/>
      <c r="E441" s="103"/>
      <c r="F441" s="103"/>
      <c r="G441" s="103"/>
      <c r="H441" s="103"/>
      <c r="I441" s="103"/>
      <c r="J441" s="103"/>
      <c r="K441" s="103"/>
    </row>
    <row r="442" spans="1:11" x14ac:dyDescent="0.3">
      <c r="A442" s="103"/>
      <c r="B442" s="103"/>
      <c r="C442" s="103"/>
      <c r="D442" s="103"/>
      <c r="E442" s="103"/>
      <c r="F442" s="103"/>
      <c r="G442" s="103"/>
      <c r="H442" s="103"/>
      <c r="I442" s="103"/>
      <c r="J442" s="103"/>
      <c r="K442" s="103"/>
    </row>
    <row r="443" spans="1:11" x14ac:dyDescent="0.3">
      <c r="A443" s="103"/>
      <c r="B443" s="103"/>
      <c r="C443" s="103"/>
      <c r="D443" s="103"/>
      <c r="E443" s="103"/>
      <c r="F443" s="103"/>
      <c r="G443" s="103"/>
      <c r="H443" s="103"/>
      <c r="I443" s="103"/>
      <c r="J443" s="103"/>
      <c r="K443" s="103"/>
    </row>
  </sheetData>
  <phoneticPr fontId="4"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88D1A-8EBE-4728-8CCA-18290ED435C6}">
  <dimension ref="A2:P120"/>
  <sheetViews>
    <sheetView workbookViewId="0"/>
  </sheetViews>
  <sheetFormatPr defaultRowHeight="14.4" x14ac:dyDescent="0.3"/>
  <cols>
    <col min="2" max="2" width="19.77734375" customWidth="1"/>
    <col min="3" max="3" width="10.44140625" customWidth="1"/>
    <col min="9" max="9" width="13.6640625" customWidth="1"/>
  </cols>
  <sheetData>
    <row r="2" spans="2:5" x14ac:dyDescent="0.3">
      <c r="B2" s="14" t="s">
        <v>1765</v>
      </c>
    </row>
    <row r="3" spans="2:5" x14ac:dyDescent="0.3">
      <c r="B3" t="s">
        <v>1275</v>
      </c>
    </row>
    <row r="4" spans="2:5" x14ac:dyDescent="0.3">
      <c r="B4" s="83" t="s">
        <v>1294</v>
      </c>
    </row>
    <row r="6" spans="2:5" s="133" customFormat="1" x14ac:dyDescent="0.3">
      <c r="B6" s="148" t="s">
        <v>114</v>
      </c>
      <c r="D6" s="133" t="s">
        <v>1615</v>
      </c>
    </row>
    <row r="7" spans="2:5" s="133" customFormat="1" x14ac:dyDescent="0.3">
      <c r="B7" s="133" t="s">
        <v>667</v>
      </c>
      <c r="C7" s="133" t="s">
        <v>503</v>
      </c>
      <c r="D7" s="133">
        <v>37</v>
      </c>
    </row>
    <row r="8" spans="2:5" s="133" customFormat="1" x14ac:dyDescent="0.3">
      <c r="B8" s="133" t="s">
        <v>1324</v>
      </c>
      <c r="D8" s="133" t="s">
        <v>1616</v>
      </c>
    </row>
    <row r="9" spans="2:5" s="133" customFormat="1" x14ac:dyDescent="0.3">
      <c r="B9" s="133" t="s">
        <v>956</v>
      </c>
      <c r="C9" s="133" t="s">
        <v>22</v>
      </c>
      <c r="D9" s="133" t="s">
        <v>1671</v>
      </c>
    </row>
    <row r="10" spans="2:5" s="133" customFormat="1" x14ac:dyDescent="0.3">
      <c r="B10" s="133" t="s">
        <v>32</v>
      </c>
      <c r="C10" s="133" t="s">
        <v>22</v>
      </c>
      <c r="D10" s="133">
        <v>1.1000000000000001</v>
      </c>
    </row>
    <row r="11" spans="2:5" s="133" customFormat="1" x14ac:dyDescent="0.3">
      <c r="B11" s="133" t="s">
        <v>326</v>
      </c>
      <c r="D11" s="133" t="s">
        <v>343</v>
      </c>
      <c r="E11" s="133" t="s">
        <v>1588</v>
      </c>
    </row>
    <row r="12" spans="2:5" s="133" customFormat="1" x14ac:dyDescent="0.3">
      <c r="B12" s="133" t="s">
        <v>344</v>
      </c>
      <c r="D12" s="133" t="s">
        <v>665</v>
      </c>
    </row>
    <row r="13" spans="2:5" s="133" customFormat="1" x14ac:dyDescent="0.3">
      <c r="B13" s="133" t="s">
        <v>1332</v>
      </c>
      <c r="D13" s="133" t="s">
        <v>190</v>
      </c>
    </row>
    <row r="14" spans="2:5" s="133" customFormat="1" x14ac:dyDescent="0.3">
      <c r="B14" s="133" t="s">
        <v>1330</v>
      </c>
      <c r="D14" s="133" t="s">
        <v>1333</v>
      </c>
    </row>
    <row r="15" spans="2:5" s="133" customFormat="1" x14ac:dyDescent="0.3">
      <c r="B15" s="133" t="s">
        <v>1968</v>
      </c>
      <c r="D15" s="133" t="s">
        <v>1969</v>
      </c>
      <c r="E15" s="133" t="s">
        <v>1971</v>
      </c>
    </row>
    <row r="16" spans="2:5" s="133" customFormat="1" x14ac:dyDescent="0.3">
      <c r="B16" s="133" t="s">
        <v>1541</v>
      </c>
      <c r="D16" s="133" t="s">
        <v>1617</v>
      </c>
    </row>
    <row r="17" spans="2:6" s="133" customFormat="1" x14ac:dyDescent="0.3">
      <c r="B17" s="133" t="s">
        <v>1599</v>
      </c>
      <c r="D17" s="133" t="s">
        <v>2122</v>
      </c>
    </row>
    <row r="19" spans="2:6" x14ac:dyDescent="0.3">
      <c r="B19" t="s">
        <v>1295</v>
      </c>
      <c r="C19" t="s">
        <v>22</v>
      </c>
      <c r="D19">
        <v>0.6</v>
      </c>
    </row>
    <row r="20" spans="2:6" x14ac:dyDescent="0.3">
      <c r="B20" t="s">
        <v>1296</v>
      </c>
      <c r="C20" t="s">
        <v>22</v>
      </c>
      <c r="D20">
        <v>1.1000000000000001</v>
      </c>
    </row>
    <row r="21" spans="2:6" x14ac:dyDescent="0.3">
      <c r="B21" t="s">
        <v>571</v>
      </c>
      <c r="C21" t="s">
        <v>30</v>
      </c>
      <c r="D21">
        <f>D33*10</f>
        <v>12.8</v>
      </c>
    </row>
    <row r="22" spans="2:6" x14ac:dyDescent="0.3">
      <c r="C22" t="s">
        <v>439</v>
      </c>
      <c r="D22">
        <f>D30</f>
        <v>18.8</v>
      </c>
    </row>
    <row r="23" spans="2:6" x14ac:dyDescent="0.3">
      <c r="B23" t="s">
        <v>26</v>
      </c>
      <c r="C23" t="s">
        <v>566</v>
      </c>
      <c r="D23">
        <v>10</v>
      </c>
      <c r="F23" t="s">
        <v>1297</v>
      </c>
    </row>
    <row r="24" spans="2:6" x14ac:dyDescent="0.3">
      <c r="B24" t="s">
        <v>33</v>
      </c>
      <c r="C24" t="s">
        <v>270</v>
      </c>
      <c r="D24">
        <f>D21/D23</f>
        <v>1.28</v>
      </c>
    </row>
    <row r="25" spans="2:6" x14ac:dyDescent="0.3">
      <c r="C25" t="s">
        <v>361</v>
      </c>
      <c r="D25">
        <f>D22/D23</f>
        <v>1.8800000000000001</v>
      </c>
      <c r="F25" t="s">
        <v>1299</v>
      </c>
    </row>
    <row r="27" spans="2:6" x14ac:dyDescent="0.3">
      <c r="B27" t="s">
        <v>287</v>
      </c>
      <c r="C27" t="s">
        <v>114</v>
      </c>
      <c r="D27" t="s">
        <v>1280</v>
      </c>
    </row>
    <row r="28" spans="2:6" x14ac:dyDescent="0.3">
      <c r="B28" t="s">
        <v>35</v>
      </c>
      <c r="D28">
        <v>7.29</v>
      </c>
    </row>
    <row r="29" spans="2:6" x14ac:dyDescent="0.3">
      <c r="B29" t="s">
        <v>591</v>
      </c>
      <c r="C29" t="s">
        <v>1279</v>
      </c>
      <c r="D29">
        <v>7.2</v>
      </c>
    </row>
    <row r="30" spans="2:6" x14ac:dyDescent="0.3">
      <c r="B30" t="s">
        <v>1277</v>
      </c>
      <c r="C30" t="s">
        <v>47</v>
      </c>
      <c r="D30">
        <v>18.8</v>
      </c>
    </row>
    <row r="31" spans="2:6" x14ac:dyDescent="0.3">
      <c r="B31" t="s">
        <v>1278</v>
      </c>
      <c r="C31" t="s">
        <v>47</v>
      </c>
      <c r="D31">
        <v>6.39</v>
      </c>
    </row>
    <row r="32" spans="2:6" x14ac:dyDescent="0.3">
      <c r="B32" t="s">
        <v>27</v>
      </c>
      <c r="C32" t="s">
        <v>302</v>
      </c>
      <c r="D32">
        <v>2.25</v>
      </c>
    </row>
    <row r="33" spans="2:7" x14ac:dyDescent="0.3">
      <c r="B33" t="s">
        <v>14</v>
      </c>
      <c r="C33" t="s">
        <v>302</v>
      </c>
      <c r="D33">
        <v>1.28</v>
      </c>
    </row>
    <row r="34" spans="2:7" x14ac:dyDescent="0.3">
      <c r="B34" t="s">
        <v>309</v>
      </c>
      <c r="C34" t="s">
        <v>47</v>
      </c>
      <c r="D34">
        <v>2.1</v>
      </c>
    </row>
    <row r="35" spans="2:7" x14ac:dyDescent="0.3">
      <c r="B35" t="s">
        <v>310</v>
      </c>
      <c r="C35" t="s">
        <v>47</v>
      </c>
      <c r="D35">
        <v>0.86</v>
      </c>
    </row>
    <row r="36" spans="2:7" x14ac:dyDescent="0.3">
      <c r="B36" t="s">
        <v>171</v>
      </c>
      <c r="C36" t="s">
        <v>47</v>
      </c>
      <c r="D36">
        <v>2.96</v>
      </c>
    </row>
    <row r="39" spans="2:7" x14ac:dyDescent="0.3">
      <c r="B39" t="s">
        <v>307</v>
      </c>
      <c r="D39" t="s">
        <v>1104</v>
      </c>
      <c r="E39" t="s">
        <v>13</v>
      </c>
    </row>
    <row r="40" spans="2:7" x14ac:dyDescent="0.3">
      <c r="D40" t="s">
        <v>1281</v>
      </c>
      <c r="E40" t="s">
        <v>1282</v>
      </c>
      <c r="F40" t="s">
        <v>1283</v>
      </c>
      <c r="G40" t="s">
        <v>1284</v>
      </c>
    </row>
    <row r="41" spans="2:7" x14ac:dyDescent="0.3">
      <c r="B41" t="s">
        <v>33</v>
      </c>
      <c r="C41" t="s">
        <v>270</v>
      </c>
      <c r="D41">
        <v>2</v>
      </c>
      <c r="E41">
        <v>2</v>
      </c>
      <c r="F41">
        <v>2</v>
      </c>
      <c r="G41">
        <v>2</v>
      </c>
    </row>
    <row r="42" spans="2:7" x14ac:dyDescent="0.3">
      <c r="B42" t="s">
        <v>26</v>
      </c>
      <c r="C42" t="s">
        <v>566</v>
      </c>
      <c r="D42">
        <v>10</v>
      </c>
      <c r="E42">
        <v>10</v>
      </c>
      <c r="F42">
        <v>10</v>
      </c>
      <c r="G42">
        <v>10</v>
      </c>
    </row>
    <row r="43" spans="2:7" x14ac:dyDescent="0.3">
      <c r="B43" t="s">
        <v>13</v>
      </c>
      <c r="C43" t="s">
        <v>338</v>
      </c>
      <c r="E43" t="s">
        <v>1286</v>
      </c>
      <c r="F43">
        <v>1.4</v>
      </c>
      <c r="G43" t="s">
        <v>1287</v>
      </c>
    </row>
    <row r="44" spans="2:7" x14ac:dyDescent="0.3">
      <c r="B44" t="s">
        <v>1285</v>
      </c>
      <c r="C44" t="s">
        <v>348</v>
      </c>
      <c r="E44">
        <v>3</v>
      </c>
      <c r="F44">
        <v>6</v>
      </c>
      <c r="G44">
        <v>6</v>
      </c>
    </row>
    <row r="46" spans="2:7" x14ac:dyDescent="0.3">
      <c r="B46" t="s">
        <v>13</v>
      </c>
      <c r="C46" t="s">
        <v>338</v>
      </c>
      <c r="E46">
        <v>2</v>
      </c>
      <c r="F46">
        <v>1.4</v>
      </c>
      <c r="G46">
        <v>1.5</v>
      </c>
    </row>
    <row r="48" spans="2:7" x14ac:dyDescent="0.3">
      <c r="B48" t="s">
        <v>1288</v>
      </c>
      <c r="D48" t="s">
        <v>1281</v>
      </c>
      <c r="E48" t="s">
        <v>1282</v>
      </c>
      <c r="F48" t="s">
        <v>1283</v>
      </c>
      <c r="G48" t="s">
        <v>1284</v>
      </c>
    </row>
    <row r="49" spans="2:9" x14ac:dyDescent="0.3">
      <c r="B49" t="s">
        <v>308</v>
      </c>
      <c r="C49" t="s">
        <v>338</v>
      </c>
      <c r="D49">
        <v>0.96</v>
      </c>
      <c r="E49">
        <v>1.03</v>
      </c>
      <c r="F49">
        <v>1.0900000000000001</v>
      </c>
      <c r="G49">
        <v>1.24</v>
      </c>
    </row>
    <row r="50" spans="2:9" x14ac:dyDescent="0.3">
      <c r="B50" t="s">
        <v>3</v>
      </c>
      <c r="C50" t="s">
        <v>338</v>
      </c>
      <c r="D50">
        <v>0.45</v>
      </c>
      <c r="E50">
        <v>0.68</v>
      </c>
      <c r="F50">
        <v>0.78</v>
      </c>
      <c r="G50">
        <v>0.85</v>
      </c>
      <c r="I50" t="s">
        <v>1310</v>
      </c>
    </row>
    <row r="51" spans="2:9" x14ac:dyDescent="0.3">
      <c r="B51" t="s">
        <v>277</v>
      </c>
      <c r="C51" t="s">
        <v>338</v>
      </c>
      <c r="D51">
        <v>0.51</v>
      </c>
      <c r="E51">
        <v>0.24</v>
      </c>
      <c r="F51">
        <v>0.25</v>
      </c>
      <c r="G51">
        <v>0.2</v>
      </c>
    </row>
    <row r="52" spans="2:9" x14ac:dyDescent="0.3">
      <c r="B52" t="s">
        <v>13</v>
      </c>
      <c r="C52" t="s">
        <v>338</v>
      </c>
      <c r="D52" s="3"/>
      <c r="E52" s="3">
        <v>0.11</v>
      </c>
      <c r="F52" s="3">
        <v>0.06</v>
      </c>
      <c r="G52" s="3">
        <v>0.19</v>
      </c>
    </row>
    <row r="53" spans="2:9" x14ac:dyDescent="0.3">
      <c r="B53" t="s">
        <v>13</v>
      </c>
      <c r="C53" t="s">
        <v>302</v>
      </c>
      <c r="D53" s="3"/>
      <c r="E53" s="3">
        <v>10.75</v>
      </c>
      <c r="F53" s="3">
        <v>5.75</v>
      </c>
      <c r="G53" s="3">
        <v>15.1</v>
      </c>
    </row>
    <row r="54" spans="2:9" x14ac:dyDescent="0.3">
      <c r="B54" t="s">
        <v>277</v>
      </c>
      <c r="C54" t="s">
        <v>302</v>
      </c>
      <c r="D54" s="3">
        <v>51.35</v>
      </c>
      <c r="E54" s="3">
        <v>23.1</v>
      </c>
      <c r="F54" s="3">
        <v>22.82</v>
      </c>
      <c r="G54" s="3">
        <v>16.72</v>
      </c>
    </row>
    <row r="55" spans="2:9" x14ac:dyDescent="0.3">
      <c r="B55" t="s">
        <v>3</v>
      </c>
      <c r="C55" t="s">
        <v>302</v>
      </c>
      <c r="D55" s="3">
        <v>48.65</v>
      </c>
      <c r="E55" s="3">
        <v>66.150000000000006</v>
      </c>
      <c r="F55" s="3">
        <v>71.430000000000007</v>
      </c>
      <c r="G55" s="3">
        <v>68.180000000000007</v>
      </c>
    </row>
    <row r="56" spans="2:9" x14ac:dyDescent="0.3">
      <c r="B56" t="s">
        <v>1289</v>
      </c>
      <c r="C56" t="s">
        <v>302</v>
      </c>
      <c r="E56" s="3">
        <v>92.14</v>
      </c>
      <c r="F56" s="3">
        <v>95.49</v>
      </c>
      <c r="G56" s="3">
        <v>88.28</v>
      </c>
    </row>
    <row r="57" spans="2:9" x14ac:dyDescent="0.3">
      <c r="B57" t="s">
        <v>35</v>
      </c>
      <c r="D57">
        <v>7.82</v>
      </c>
      <c r="E57" s="3">
        <v>7.98</v>
      </c>
      <c r="F57" s="3">
        <v>7.98</v>
      </c>
      <c r="G57" s="3">
        <v>8.02</v>
      </c>
      <c r="I57" t="s">
        <v>1298</v>
      </c>
    </row>
    <row r="58" spans="2:9" x14ac:dyDescent="0.3">
      <c r="B58" t="s">
        <v>1290</v>
      </c>
      <c r="C58" t="s">
        <v>47</v>
      </c>
      <c r="D58" s="3">
        <v>9.0500000000000007</v>
      </c>
      <c r="E58" s="3">
        <v>8.7200000000000006</v>
      </c>
      <c r="F58" s="3">
        <v>8.1</v>
      </c>
      <c r="G58" s="3">
        <v>10</v>
      </c>
    </row>
    <row r="59" spans="2:9" x14ac:dyDescent="0.3">
      <c r="B59" t="s">
        <v>1216</v>
      </c>
      <c r="C59" t="s">
        <v>302</v>
      </c>
      <c r="D59" s="3">
        <v>51.89</v>
      </c>
      <c r="E59" s="3">
        <v>53.59</v>
      </c>
      <c r="F59" s="3">
        <v>56.91</v>
      </c>
      <c r="G59" s="3">
        <v>46.75</v>
      </c>
    </row>
    <row r="60" spans="2:9" x14ac:dyDescent="0.3">
      <c r="B60" t="s">
        <v>309</v>
      </c>
      <c r="C60" t="s">
        <v>47</v>
      </c>
      <c r="D60" s="3">
        <v>0.03</v>
      </c>
      <c r="E60" s="3">
        <v>1.23</v>
      </c>
      <c r="F60" s="3">
        <v>1.68</v>
      </c>
      <c r="G60" s="3">
        <v>1.87</v>
      </c>
    </row>
    <row r="61" spans="2:9" x14ac:dyDescent="0.3">
      <c r="B61" t="s">
        <v>310</v>
      </c>
      <c r="C61" t="s">
        <v>47</v>
      </c>
      <c r="D61" s="3">
        <v>7.0000000000000007E-2</v>
      </c>
      <c r="E61" s="3">
        <v>0.4</v>
      </c>
      <c r="F61" s="3">
        <v>0.3</v>
      </c>
      <c r="G61" s="3">
        <v>0.22</v>
      </c>
    </row>
    <row r="62" spans="2:9" x14ac:dyDescent="0.3">
      <c r="B62" t="s">
        <v>171</v>
      </c>
      <c r="C62" t="s">
        <v>47</v>
      </c>
      <c r="D62" s="3">
        <v>0.19</v>
      </c>
      <c r="E62" s="3">
        <v>1.69</v>
      </c>
      <c r="F62" s="3">
        <v>1.98</v>
      </c>
      <c r="G62" s="3">
        <v>2.21</v>
      </c>
    </row>
    <row r="63" spans="2:9" x14ac:dyDescent="0.3">
      <c r="D63" s="3"/>
      <c r="E63" s="3"/>
      <c r="F63" s="3"/>
      <c r="G63" s="3"/>
    </row>
    <row r="64" spans="2:9" x14ac:dyDescent="0.3">
      <c r="B64" t="s">
        <v>1301</v>
      </c>
      <c r="D64" s="3">
        <v>7.82</v>
      </c>
      <c r="E64" s="3">
        <v>8.4499999999999993</v>
      </c>
      <c r="F64" s="3"/>
      <c r="G64" s="3"/>
      <c r="I64" t="s">
        <v>1302</v>
      </c>
    </row>
    <row r="65" spans="2:16" x14ac:dyDescent="0.3">
      <c r="D65" s="3"/>
      <c r="E65" s="3"/>
      <c r="F65" s="3"/>
      <c r="G65" s="3"/>
    </row>
    <row r="66" spans="2:16" x14ac:dyDescent="0.3">
      <c r="B66" t="s">
        <v>1303</v>
      </c>
      <c r="C66" t="s">
        <v>1304</v>
      </c>
      <c r="D66" t="s">
        <v>1281</v>
      </c>
      <c r="E66" t="s">
        <v>1282</v>
      </c>
      <c r="F66" t="s">
        <v>1283</v>
      </c>
      <c r="G66" t="s">
        <v>1284</v>
      </c>
      <c r="I66" t="s">
        <v>1303</v>
      </c>
      <c r="J66" t="s">
        <v>1304</v>
      </c>
      <c r="K66" t="s">
        <v>1281</v>
      </c>
      <c r="L66" t="s">
        <v>1282</v>
      </c>
      <c r="M66" t="s">
        <v>1283</v>
      </c>
      <c r="N66" t="s">
        <v>1284</v>
      </c>
    </row>
    <row r="67" spans="2:16" x14ac:dyDescent="0.3">
      <c r="B67" t="s">
        <v>1305</v>
      </c>
      <c r="C67" t="s">
        <v>458</v>
      </c>
      <c r="D67" s="3">
        <v>0.52</v>
      </c>
      <c r="E67" s="3">
        <v>0.65</v>
      </c>
      <c r="F67" s="3">
        <v>0.73</v>
      </c>
      <c r="G67" s="3">
        <v>0.83</v>
      </c>
      <c r="I67" t="s">
        <v>1305</v>
      </c>
      <c r="J67" t="s">
        <v>338</v>
      </c>
      <c r="K67" s="3">
        <f>D67/$D$20</f>
        <v>0.47272727272727272</v>
      </c>
      <c r="L67" s="3">
        <f>E67/$D$20</f>
        <v>0.59090909090909083</v>
      </c>
      <c r="M67" s="3">
        <f>F67/$D$20</f>
        <v>0.66363636363636358</v>
      </c>
      <c r="N67" s="3">
        <f>G67/$D$20</f>
        <v>0.75454545454545441</v>
      </c>
      <c r="P67" t="s">
        <v>1308</v>
      </c>
    </row>
    <row r="68" spans="2:16" x14ac:dyDescent="0.3">
      <c r="B68" t="s">
        <v>736</v>
      </c>
      <c r="C68" t="s">
        <v>458</v>
      </c>
      <c r="D68" s="3"/>
      <c r="E68" s="3">
        <v>1.4</v>
      </c>
      <c r="F68" s="3">
        <v>1.45</v>
      </c>
      <c r="G68" s="3">
        <v>1.57</v>
      </c>
      <c r="I68" t="s">
        <v>736</v>
      </c>
      <c r="J68" t="s">
        <v>338</v>
      </c>
      <c r="K68" s="3"/>
      <c r="L68" s="3">
        <f t="shared" ref="L68:N70" si="0">E68/$D$20</f>
        <v>1.2727272727272725</v>
      </c>
      <c r="M68" s="3">
        <f t="shared" si="0"/>
        <v>1.3181818181818181</v>
      </c>
      <c r="N68" s="3">
        <f t="shared" si="0"/>
        <v>1.4272727272727272</v>
      </c>
    </row>
    <row r="69" spans="2:16" x14ac:dyDescent="0.3">
      <c r="B69" t="s">
        <v>697</v>
      </c>
      <c r="C69" t="s">
        <v>458</v>
      </c>
      <c r="E69" s="3">
        <v>0.35</v>
      </c>
      <c r="F69">
        <v>0.37</v>
      </c>
      <c r="G69">
        <v>0.39</v>
      </c>
      <c r="I69" t="s">
        <v>697</v>
      </c>
      <c r="J69" t="s">
        <v>338</v>
      </c>
      <c r="K69" s="3"/>
      <c r="L69" s="3">
        <f t="shared" si="0"/>
        <v>0.31818181818181812</v>
      </c>
      <c r="M69" s="3">
        <f t="shared" si="0"/>
        <v>0.33636363636363631</v>
      </c>
      <c r="N69" s="3">
        <f t="shared" si="0"/>
        <v>0.35454545454545455</v>
      </c>
    </row>
    <row r="70" spans="2:16" x14ac:dyDescent="0.3">
      <c r="B70" t="s">
        <v>1306</v>
      </c>
      <c r="C70" t="s">
        <v>458</v>
      </c>
      <c r="D70" s="3">
        <v>0.52</v>
      </c>
      <c r="E70" s="3">
        <v>0.87</v>
      </c>
      <c r="F70" s="3">
        <v>0.89</v>
      </c>
      <c r="G70" s="3">
        <v>0.91</v>
      </c>
      <c r="I70" t="s">
        <v>1306</v>
      </c>
      <c r="J70" t="s">
        <v>338</v>
      </c>
      <c r="K70" s="3">
        <f>D70/$D$20</f>
        <v>0.47272727272727272</v>
      </c>
      <c r="L70" s="3">
        <f t="shared" si="0"/>
        <v>0.79090909090909089</v>
      </c>
      <c r="M70" s="3">
        <f t="shared" si="0"/>
        <v>0.80909090909090908</v>
      </c>
      <c r="N70" s="3">
        <f t="shared" si="0"/>
        <v>0.82727272727272727</v>
      </c>
    </row>
    <row r="71" spans="2:16" x14ac:dyDescent="0.3">
      <c r="B71" t="s">
        <v>1307</v>
      </c>
      <c r="C71" t="s">
        <v>302</v>
      </c>
      <c r="D71" s="3"/>
      <c r="E71" s="3">
        <v>74.709999999999994</v>
      </c>
      <c r="F71" s="3">
        <v>82.02</v>
      </c>
      <c r="G71" s="3">
        <v>91.2</v>
      </c>
      <c r="I71" t="s">
        <v>1307</v>
      </c>
      <c r="J71" t="s">
        <v>302</v>
      </c>
      <c r="K71" s="3"/>
      <c r="L71" s="10">
        <f>L67/L70</f>
        <v>0.74712643678160906</v>
      </c>
      <c r="M71" s="10">
        <f>M67/M70</f>
        <v>0.82022471910112349</v>
      </c>
      <c r="N71" s="10">
        <f>N67/N70</f>
        <v>0.91208791208791196</v>
      </c>
    </row>
    <row r="72" spans="2:16" x14ac:dyDescent="0.3">
      <c r="D72" s="3"/>
      <c r="E72" s="3"/>
      <c r="F72" s="3"/>
      <c r="G72" s="3"/>
    </row>
    <row r="74" spans="2:16" x14ac:dyDescent="0.3">
      <c r="B74" s="6" t="s">
        <v>877</v>
      </c>
    </row>
    <row r="75" spans="2:16" x14ac:dyDescent="0.3">
      <c r="B75" t="s">
        <v>459</v>
      </c>
      <c r="C75" t="s">
        <v>302</v>
      </c>
      <c r="D75" s="8">
        <f>SUM(D53:D55)</f>
        <v>100</v>
      </c>
      <c r="E75" s="8">
        <f>SUM(E53:E55)</f>
        <v>100</v>
      </c>
      <c r="F75" s="8">
        <f>SUM(F53:F55)</f>
        <v>100</v>
      </c>
      <c r="G75" s="8">
        <f>SUM(G53:G55)</f>
        <v>100</v>
      </c>
      <c r="I75" t="s">
        <v>1291</v>
      </c>
    </row>
    <row r="76" spans="2:16" x14ac:dyDescent="0.3">
      <c r="B76" t="s">
        <v>33</v>
      </c>
      <c r="C76" t="s">
        <v>361</v>
      </c>
      <c r="D76" s="3">
        <f>$D25</f>
        <v>1.8800000000000001</v>
      </c>
      <c r="E76" s="3">
        <f>$D25</f>
        <v>1.8800000000000001</v>
      </c>
      <c r="F76" s="3">
        <f>$D25</f>
        <v>1.8800000000000001</v>
      </c>
      <c r="G76" s="3">
        <f>$D25</f>
        <v>1.8800000000000001</v>
      </c>
      <c r="I76" t="s">
        <v>1300</v>
      </c>
    </row>
    <row r="77" spans="2:16" x14ac:dyDescent="0.3">
      <c r="B77" t="s">
        <v>293</v>
      </c>
      <c r="C77" t="s">
        <v>338</v>
      </c>
      <c r="D77">
        <f>D50</f>
        <v>0.45</v>
      </c>
      <c r="E77">
        <f>E50</f>
        <v>0.68</v>
      </c>
      <c r="F77">
        <f>F50</f>
        <v>0.78</v>
      </c>
      <c r="G77">
        <f>G50</f>
        <v>0.85</v>
      </c>
      <c r="I77" t="s">
        <v>1309</v>
      </c>
    </row>
    <row r="78" spans="2:16" s="133" customFormat="1" x14ac:dyDescent="0.3">
      <c r="B78" s="133" t="s">
        <v>40</v>
      </c>
      <c r="C78" s="133" t="s">
        <v>338</v>
      </c>
      <c r="D78" s="134">
        <f>K67</f>
        <v>0.47272727272727272</v>
      </c>
      <c r="E78" s="134">
        <f t="shared" ref="E78:G78" si="1">L67</f>
        <v>0.59090909090909083</v>
      </c>
      <c r="F78" s="134">
        <f t="shared" si="1"/>
        <v>0.66363636363636358</v>
      </c>
      <c r="G78" s="134">
        <f t="shared" si="1"/>
        <v>0.75454545454545441</v>
      </c>
      <c r="I78" s="133" t="s">
        <v>363</v>
      </c>
    </row>
    <row r="79" spans="2:16" x14ac:dyDescent="0.3">
      <c r="B79" t="s">
        <v>40</v>
      </c>
      <c r="C79" t="s">
        <v>338</v>
      </c>
      <c r="D79" s="10">
        <f>D49*D55/100</f>
        <v>0.46703999999999996</v>
      </c>
      <c r="E79" s="10">
        <f>E49*E55/100</f>
        <v>0.68134499999999998</v>
      </c>
      <c r="F79" s="10">
        <f>F49*F55/100</f>
        <v>0.77858700000000014</v>
      </c>
      <c r="G79" s="10">
        <f>G49*G55/100</f>
        <v>0.84543200000000018</v>
      </c>
      <c r="I79" t="s">
        <v>2061</v>
      </c>
    </row>
    <row r="80" spans="2:16" x14ac:dyDescent="0.3">
      <c r="B80" t="s">
        <v>351</v>
      </c>
      <c r="C80" t="s">
        <v>377</v>
      </c>
      <c r="D80" s="10">
        <f>D77/D76</f>
        <v>0.23936170212765956</v>
      </c>
      <c r="E80" s="10">
        <f t="shared" ref="E80:G80" si="2">E77/E76</f>
        <v>0.36170212765957449</v>
      </c>
      <c r="F80" s="10">
        <f t="shared" si="2"/>
        <v>0.41489361702127658</v>
      </c>
      <c r="G80" s="10">
        <f t="shared" si="2"/>
        <v>0.45212765957446804</v>
      </c>
    </row>
    <row r="81" spans="1:9" x14ac:dyDescent="0.3">
      <c r="B81" t="s">
        <v>1082</v>
      </c>
      <c r="C81" t="s">
        <v>338</v>
      </c>
      <c r="D81" s="3">
        <f>D51</f>
        <v>0.51</v>
      </c>
      <c r="E81" s="3">
        <f>E51</f>
        <v>0.24</v>
      </c>
      <c r="F81" s="3">
        <f>F51</f>
        <v>0.25</v>
      </c>
      <c r="G81" s="3">
        <f>G51</f>
        <v>0.2</v>
      </c>
      <c r="I81" t="s">
        <v>1309</v>
      </c>
    </row>
    <row r="82" spans="1:9" x14ac:dyDescent="0.3">
      <c r="B82" t="s">
        <v>40</v>
      </c>
      <c r="C82" t="s">
        <v>338</v>
      </c>
      <c r="D82" s="3">
        <f>D49*D54/100</f>
        <v>0.49296000000000001</v>
      </c>
      <c r="E82" s="3">
        <f>E49*E54/100</f>
        <v>0.23793000000000003</v>
      </c>
      <c r="F82" s="3">
        <f>F49*F54/100</f>
        <v>0.24873800000000001</v>
      </c>
      <c r="G82" s="3">
        <f>G49*G54/100</f>
        <v>0.20732799999999998</v>
      </c>
    </row>
    <row r="83" spans="1:9" s="133" customFormat="1" x14ac:dyDescent="0.3">
      <c r="B83" s="133" t="s">
        <v>308</v>
      </c>
      <c r="C83" s="133" t="s">
        <v>338</v>
      </c>
      <c r="D83" s="134">
        <f>D49</f>
        <v>0.96</v>
      </c>
      <c r="E83" s="134">
        <f t="shared" ref="E83:G83" si="3">E49</f>
        <v>1.03</v>
      </c>
      <c r="F83" s="134">
        <f t="shared" si="3"/>
        <v>1.0900000000000001</v>
      </c>
      <c r="G83" s="134">
        <f t="shared" si="3"/>
        <v>1.24</v>
      </c>
    </row>
    <row r="84" spans="1:9" s="133" customFormat="1" x14ac:dyDescent="0.3">
      <c r="B84" s="133" t="s">
        <v>40</v>
      </c>
      <c r="C84" s="133" t="s">
        <v>338</v>
      </c>
      <c r="D84" s="134">
        <f>D77+D81</f>
        <v>0.96</v>
      </c>
      <c r="E84" s="30">
        <f t="shared" ref="E84:G84" si="4">E77+E81</f>
        <v>0.92</v>
      </c>
      <c r="F84" s="30">
        <f t="shared" si="4"/>
        <v>1.03</v>
      </c>
      <c r="G84" s="30">
        <f t="shared" si="4"/>
        <v>1.05</v>
      </c>
      <c r="I84" s="133" t="s">
        <v>428</v>
      </c>
    </row>
    <row r="85" spans="1:9" x14ac:dyDescent="0.3">
      <c r="B85" t="s">
        <v>321</v>
      </c>
      <c r="C85" t="s">
        <v>338</v>
      </c>
      <c r="D85" s="8"/>
      <c r="E85" s="8">
        <f>E46</f>
        <v>2</v>
      </c>
      <c r="F85" s="8">
        <f>F46</f>
        <v>1.4</v>
      </c>
      <c r="G85" s="8">
        <f>G46</f>
        <v>1.5</v>
      </c>
      <c r="I85" t="s">
        <v>1292</v>
      </c>
    </row>
    <row r="86" spans="1:9" x14ac:dyDescent="0.3">
      <c r="A86" s="133"/>
      <c r="B86" t="s">
        <v>323</v>
      </c>
      <c r="C86" t="s">
        <v>338</v>
      </c>
      <c r="E86" s="3">
        <f>E52</f>
        <v>0.11</v>
      </c>
      <c r="F86" s="3">
        <f>F52</f>
        <v>0.06</v>
      </c>
      <c r="G86" s="3">
        <f>G52</f>
        <v>0.19</v>
      </c>
      <c r="I86" t="s">
        <v>1309</v>
      </c>
    </row>
    <row r="87" spans="1:9" x14ac:dyDescent="0.3">
      <c r="A87" s="133"/>
      <c r="B87" t="s">
        <v>40</v>
      </c>
      <c r="C87" t="s">
        <v>338</v>
      </c>
      <c r="D87" s="8"/>
      <c r="E87" s="3">
        <f>E49*E52</f>
        <v>0.1133</v>
      </c>
      <c r="F87" s="3">
        <f>F49*F52</f>
        <v>6.54E-2</v>
      </c>
      <c r="G87" s="3">
        <f>G49*G52</f>
        <v>0.2356</v>
      </c>
    </row>
    <row r="88" spans="1:9" x14ac:dyDescent="0.3">
      <c r="A88" s="133"/>
      <c r="B88" s="133" t="s">
        <v>433</v>
      </c>
      <c r="C88" t="s">
        <v>338</v>
      </c>
      <c r="E88" s="3">
        <f>E85-E86</f>
        <v>1.89</v>
      </c>
      <c r="F88" s="3">
        <f>F85-F86</f>
        <v>1.3399999999999999</v>
      </c>
      <c r="G88" s="3">
        <f>G85-G86</f>
        <v>1.31</v>
      </c>
    </row>
    <row r="89" spans="1:9" x14ac:dyDescent="0.3">
      <c r="A89" s="148"/>
      <c r="B89" s="148" t="s">
        <v>460</v>
      </c>
      <c r="C89" t="s">
        <v>338</v>
      </c>
      <c r="E89" s="10">
        <f>E88/4</f>
        <v>0.47249999999999998</v>
      </c>
      <c r="F89" s="10">
        <f>F88/4</f>
        <v>0.33499999999999996</v>
      </c>
      <c r="G89" s="10">
        <f>G88/4</f>
        <v>0.32750000000000001</v>
      </c>
    </row>
    <row r="90" spans="1:9" x14ac:dyDescent="0.3">
      <c r="A90" s="148"/>
      <c r="B90" s="148" t="s">
        <v>402</v>
      </c>
      <c r="C90" t="s">
        <v>338</v>
      </c>
      <c r="E90">
        <f>E77-$D77</f>
        <v>0.23000000000000004</v>
      </c>
      <c r="F90">
        <f>F77-$D77</f>
        <v>0.33</v>
      </c>
      <c r="G90">
        <f>G77-$D77</f>
        <v>0.39999999999999997</v>
      </c>
    </row>
    <row r="91" spans="1:9" x14ac:dyDescent="0.3">
      <c r="A91" s="148"/>
      <c r="B91" s="148" t="s">
        <v>2086</v>
      </c>
      <c r="C91" t="s">
        <v>338</v>
      </c>
      <c r="E91" s="3">
        <f>$D81-E81</f>
        <v>0.27</v>
      </c>
      <c r="F91" s="3">
        <f>$D81-F81</f>
        <v>0.26</v>
      </c>
      <c r="G91" s="3">
        <f>$D81-G81</f>
        <v>0.31</v>
      </c>
    </row>
    <row r="92" spans="1:9" s="133" customFormat="1" x14ac:dyDescent="0.3">
      <c r="A92" s="148"/>
      <c r="B92" s="148" t="s">
        <v>93</v>
      </c>
      <c r="E92" s="134">
        <f>E85/$D81</f>
        <v>3.9215686274509802</v>
      </c>
      <c r="F92" s="134">
        <f>F85/$D81</f>
        <v>2.7450980392156858</v>
      </c>
      <c r="G92" s="134">
        <f>G85/$D81</f>
        <v>2.9411764705882351</v>
      </c>
    </row>
    <row r="93" spans="1:9" x14ac:dyDescent="0.3">
      <c r="A93" s="148"/>
      <c r="B93" s="148" t="s">
        <v>462</v>
      </c>
      <c r="E93" s="10">
        <f>E88/E85</f>
        <v>0.94499999999999995</v>
      </c>
      <c r="F93" s="10">
        <f>F88/F85</f>
        <v>0.95714285714285707</v>
      </c>
      <c r="G93" s="10">
        <f>G88/G85</f>
        <v>0.87333333333333341</v>
      </c>
      <c r="I93" t="s">
        <v>1293</v>
      </c>
    </row>
    <row r="94" spans="1:9" x14ac:dyDescent="0.3">
      <c r="A94" s="148"/>
      <c r="B94" s="148" t="s">
        <v>2085</v>
      </c>
      <c r="C94" t="s">
        <v>92</v>
      </c>
      <c r="E94" s="3">
        <f>E90/E89</f>
        <v>0.48677248677248686</v>
      </c>
      <c r="F94" s="3">
        <f>F90/F89</f>
        <v>0.98507462686567182</v>
      </c>
      <c r="G94" s="3">
        <f>G90/G89</f>
        <v>1.2213740458015265</v>
      </c>
    </row>
    <row r="95" spans="1:9" x14ac:dyDescent="0.3">
      <c r="A95" s="148"/>
      <c r="B95" s="148" t="s">
        <v>2087</v>
      </c>
      <c r="C95" t="s">
        <v>92</v>
      </c>
      <c r="E95" s="10">
        <f>E91/E89</f>
        <v>0.57142857142857151</v>
      </c>
      <c r="F95" s="10">
        <f>F91/F89</f>
        <v>0.77611940298507476</v>
      </c>
      <c r="G95" s="10">
        <f>G91/G89</f>
        <v>0.94656488549618312</v>
      </c>
    </row>
    <row r="96" spans="1:9" x14ac:dyDescent="0.3">
      <c r="A96" s="148"/>
      <c r="B96" s="148" t="s">
        <v>2088</v>
      </c>
      <c r="C96" t="s">
        <v>92</v>
      </c>
      <c r="E96" s="10">
        <f>E90/E91</f>
        <v>0.85185185185185197</v>
      </c>
      <c r="F96" s="10">
        <f>F90/F91</f>
        <v>1.2692307692307692</v>
      </c>
      <c r="G96" s="10">
        <f>G90/G91</f>
        <v>1.2903225806451613</v>
      </c>
    </row>
    <row r="97" spans="1:15" s="133" customFormat="1" x14ac:dyDescent="0.3">
      <c r="A97" s="148"/>
      <c r="B97" s="148" t="s">
        <v>2096</v>
      </c>
      <c r="C97" s="133" t="s">
        <v>92</v>
      </c>
      <c r="D97" s="37"/>
      <c r="E97" s="37">
        <f>E90/$D81</f>
        <v>0.45098039215686281</v>
      </c>
      <c r="F97" s="37">
        <f>F90/$D81</f>
        <v>0.6470588235294118</v>
      </c>
      <c r="G97" s="37">
        <f>G90/$D81</f>
        <v>0.78431372549019596</v>
      </c>
      <c r="H97" s="37"/>
      <c r="I97" s="37"/>
      <c r="J97" s="37"/>
      <c r="K97" s="37"/>
      <c r="L97" s="37"/>
      <c r="M97" s="37"/>
      <c r="N97" s="37"/>
      <c r="O97" s="37"/>
    </row>
    <row r="98" spans="1:15" s="133" customFormat="1" x14ac:dyDescent="0.3">
      <c r="A98" s="148"/>
      <c r="B98" s="148" t="s">
        <v>2097</v>
      </c>
      <c r="C98" s="133" t="s">
        <v>92</v>
      </c>
      <c r="D98" s="37"/>
      <c r="E98" s="37">
        <f>E83/$D83</f>
        <v>1.0729166666666667</v>
      </c>
      <c r="F98" s="37">
        <f>F83/$D83</f>
        <v>1.1354166666666667</v>
      </c>
      <c r="G98" s="37">
        <f>G83/$D83</f>
        <v>1.2916666666666667</v>
      </c>
      <c r="H98" s="37"/>
      <c r="I98" s="37"/>
      <c r="J98" s="37"/>
      <c r="K98" s="37"/>
      <c r="L98" s="37"/>
      <c r="M98" s="37"/>
      <c r="N98" s="37"/>
      <c r="O98" s="37"/>
    </row>
    <row r="99" spans="1:15" x14ac:dyDescent="0.3">
      <c r="A99" s="148"/>
      <c r="B99" s="148" t="s">
        <v>2081</v>
      </c>
      <c r="E99" s="3">
        <f>E88/E90</f>
        <v>8.2173913043478244</v>
      </c>
      <c r="F99" s="3">
        <f>F88/F90</f>
        <v>4.0606060606060597</v>
      </c>
      <c r="G99" s="3">
        <f>G88/G90</f>
        <v>3.2750000000000004</v>
      </c>
    </row>
    <row r="100" spans="1:15" x14ac:dyDescent="0.3">
      <c r="A100" s="148"/>
      <c r="B100" s="148" t="s">
        <v>2137</v>
      </c>
      <c r="E100" s="3">
        <f>E88/E91</f>
        <v>6.9999999999999991</v>
      </c>
      <c r="F100" s="3">
        <f>F88/F91</f>
        <v>5.1538461538461533</v>
      </c>
      <c r="G100" s="3">
        <f>G88/G91</f>
        <v>4.225806451612903</v>
      </c>
    </row>
    <row r="101" spans="1:15" s="133" customFormat="1" x14ac:dyDescent="0.3">
      <c r="B101" s="148"/>
      <c r="E101" s="134"/>
      <c r="F101" s="134"/>
      <c r="G101" s="134"/>
    </row>
    <row r="102" spans="1:15" x14ac:dyDescent="0.3">
      <c r="D102" t="s">
        <v>1598</v>
      </c>
      <c r="G102" t="s">
        <v>1618</v>
      </c>
    </row>
    <row r="103" spans="1:15" x14ac:dyDescent="0.3">
      <c r="B103" s="6" t="s">
        <v>359</v>
      </c>
      <c r="D103" t="s">
        <v>1281</v>
      </c>
      <c r="E103" t="s">
        <v>1282</v>
      </c>
      <c r="F103" t="s">
        <v>1283</v>
      </c>
      <c r="G103" t="s">
        <v>1284</v>
      </c>
    </row>
    <row r="104" spans="1:15" s="133" customFormat="1" x14ac:dyDescent="0.3">
      <c r="B104" s="148" t="s">
        <v>1795</v>
      </c>
      <c r="D104" s="66" t="s">
        <v>1686</v>
      </c>
      <c r="F104" s="133" t="s">
        <v>2120</v>
      </c>
      <c r="G104" s="133" t="s">
        <v>1734</v>
      </c>
    </row>
    <row r="105" spans="1:15" s="133" customFormat="1" x14ac:dyDescent="0.3">
      <c r="B105" s="148" t="s">
        <v>1791</v>
      </c>
      <c r="D105" s="133" t="s">
        <v>1104</v>
      </c>
      <c r="E105" s="133" t="s">
        <v>1105</v>
      </c>
      <c r="F105" s="133" t="s">
        <v>1105</v>
      </c>
      <c r="G105" s="133" t="s">
        <v>1105</v>
      </c>
    </row>
    <row r="106" spans="1:15" x14ac:dyDescent="0.3">
      <c r="B106" t="s">
        <v>33</v>
      </c>
      <c r="C106" t="s">
        <v>270</v>
      </c>
      <c r="D106">
        <f>$D25</f>
        <v>1.8800000000000001</v>
      </c>
      <c r="E106">
        <f>$D25</f>
        <v>1.8800000000000001</v>
      </c>
      <c r="F106">
        <f>$D25</f>
        <v>1.8800000000000001</v>
      </c>
      <c r="G106">
        <f>$D25</f>
        <v>1.8800000000000001</v>
      </c>
    </row>
    <row r="107" spans="1:15" x14ac:dyDescent="0.3">
      <c r="B107" t="s">
        <v>26</v>
      </c>
      <c r="C107" t="s">
        <v>25</v>
      </c>
      <c r="D107">
        <f>$D42</f>
        <v>10</v>
      </c>
      <c r="E107">
        <f>$D42</f>
        <v>10</v>
      </c>
      <c r="F107">
        <f>$D42</f>
        <v>10</v>
      </c>
      <c r="G107">
        <f>$D42</f>
        <v>10</v>
      </c>
    </row>
    <row r="108" spans="1:15" s="133" customFormat="1" x14ac:dyDescent="0.3">
      <c r="B108" s="148" t="s">
        <v>1544</v>
      </c>
      <c r="C108" s="133" t="s">
        <v>338</v>
      </c>
      <c r="E108" s="134">
        <f>E46</f>
        <v>2</v>
      </c>
      <c r="F108" s="134">
        <f>F46</f>
        <v>1.4</v>
      </c>
      <c r="G108" s="134">
        <f>G46</f>
        <v>1.5</v>
      </c>
    </row>
    <row r="109" spans="1:15" x14ac:dyDescent="0.3">
      <c r="B109" t="s">
        <v>351</v>
      </c>
      <c r="C109" t="s">
        <v>377</v>
      </c>
      <c r="D109" s="10">
        <f>D80</f>
        <v>0.23936170212765956</v>
      </c>
      <c r="E109" s="10">
        <f>E80</f>
        <v>0.36170212765957449</v>
      </c>
      <c r="F109" s="10">
        <f>F80</f>
        <v>0.41489361702127658</v>
      </c>
      <c r="G109" s="10">
        <f>G80</f>
        <v>0.45212765957446804</v>
      </c>
    </row>
    <row r="110" spans="1:15" x14ac:dyDescent="0.3">
      <c r="B110" t="s">
        <v>352</v>
      </c>
      <c r="C110" t="s">
        <v>377</v>
      </c>
      <c r="E110" s="10">
        <f>E109-$D109</f>
        <v>0.12234042553191493</v>
      </c>
      <c r="F110" s="10">
        <f>F109-$D109</f>
        <v>0.17553191489361702</v>
      </c>
      <c r="G110" s="10">
        <f>G109-$D109</f>
        <v>0.21276595744680848</v>
      </c>
    </row>
    <row r="111" spans="1:15" x14ac:dyDescent="0.3">
      <c r="B111" t="s">
        <v>353</v>
      </c>
      <c r="C111" t="s">
        <v>92</v>
      </c>
      <c r="E111" s="10">
        <f>E110/$D109</f>
        <v>0.51111111111111129</v>
      </c>
      <c r="F111" s="10">
        <f>F110/$D109</f>
        <v>0.73333333333333339</v>
      </c>
      <c r="G111" s="10">
        <f>G110/$D109</f>
        <v>0.88888888888888884</v>
      </c>
    </row>
    <row r="112" spans="1:15" x14ac:dyDescent="0.3">
      <c r="B112" t="s">
        <v>293</v>
      </c>
      <c r="C112" t="s">
        <v>338</v>
      </c>
      <c r="D112">
        <f>D77</f>
        <v>0.45</v>
      </c>
      <c r="E112">
        <f>E77</f>
        <v>0.68</v>
      </c>
      <c r="F112">
        <f>F77</f>
        <v>0.78</v>
      </c>
      <c r="G112">
        <f>G77</f>
        <v>0.85</v>
      </c>
    </row>
    <row r="113" spans="2:7" x14ac:dyDescent="0.3">
      <c r="B113" t="s">
        <v>402</v>
      </c>
      <c r="C113" t="s">
        <v>338</v>
      </c>
      <c r="E113" s="3">
        <f>E112-$D112</f>
        <v>0.23000000000000004</v>
      </c>
      <c r="F113" s="3">
        <f>F112-$D112</f>
        <v>0.33</v>
      </c>
      <c r="G113" s="3">
        <f>G112-$D112</f>
        <v>0.39999999999999997</v>
      </c>
    </row>
    <row r="114" spans="2:7" x14ac:dyDescent="0.3">
      <c r="B114" t="s">
        <v>3</v>
      </c>
      <c r="C114" t="s">
        <v>302</v>
      </c>
      <c r="D114" s="3">
        <f>D55</f>
        <v>48.65</v>
      </c>
      <c r="E114" s="3">
        <f>E55</f>
        <v>66.150000000000006</v>
      </c>
      <c r="F114" s="3">
        <f>F55</f>
        <v>71.430000000000007</v>
      </c>
      <c r="G114" s="3">
        <f>G55</f>
        <v>68.180000000000007</v>
      </c>
    </row>
    <row r="115" spans="2:7" x14ac:dyDescent="0.3">
      <c r="B115" t="s">
        <v>277</v>
      </c>
      <c r="C115" t="s">
        <v>302</v>
      </c>
      <c r="D115" s="3">
        <f>D54</f>
        <v>51.35</v>
      </c>
      <c r="E115" s="3">
        <f>E54</f>
        <v>23.1</v>
      </c>
      <c r="F115" s="3">
        <f>F54</f>
        <v>22.82</v>
      </c>
      <c r="G115" s="3">
        <f>G54</f>
        <v>16.72</v>
      </c>
    </row>
    <row r="116" spans="2:7" x14ac:dyDescent="0.3">
      <c r="B116" t="s">
        <v>13</v>
      </c>
      <c r="C116" t="s">
        <v>302</v>
      </c>
      <c r="D116" s="3"/>
      <c r="E116" s="3">
        <f>E53</f>
        <v>10.75</v>
      </c>
      <c r="F116" s="3">
        <f>F53</f>
        <v>5.75</v>
      </c>
      <c r="G116" s="3">
        <f>G53</f>
        <v>15.1</v>
      </c>
    </row>
    <row r="117" spans="2:7" x14ac:dyDescent="0.3">
      <c r="B117" t="s">
        <v>35</v>
      </c>
      <c r="D117">
        <f>D57</f>
        <v>7.82</v>
      </c>
      <c r="E117">
        <f>E57</f>
        <v>7.98</v>
      </c>
      <c r="F117">
        <f>F57</f>
        <v>7.98</v>
      </c>
      <c r="G117">
        <f>G57</f>
        <v>8.02</v>
      </c>
    </row>
    <row r="118" spans="2:7" x14ac:dyDescent="0.3">
      <c r="B118" t="s">
        <v>52</v>
      </c>
      <c r="C118" t="s">
        <v>621</v>
      </c>
      <c r="D118" t="s">
        <v>1671</v>
      </c>
      <c r="E118" s="133" t="s">
        <v>1671</v>
      </c>
      <c r="F118" s="133" t="s">
        <v>1671</v>
      </c>
      <c r="G118" s="133" t="s">
        <v>1671</v>
      </c>
    </row>
    <row r="119" spans="2:7" x14ac:dyDescent="0.3">
      <c r="B119" t="s">
        <v>558</v>
      </c>
      <c r="C119" t="s">
        <v>621</v>
      </c>
      <c r="D119" s="10">
        <f>D60/Data!$D$18+D61/Data!$E$18</f>
        <v>1.4444983248810808E-3</v>
      </c>
      <c r="E119" s="10">
        <f>E60/Data!$D$18+E61/Data!$E$18</f>
        <v>2.5881738634458154E-2</v>
      </c>
      <c r="F119" s="10">
        <f>F60/Data!$D$18+F61/Data!$E$18</f>
        <v>3.2025287763335873E-2</v>
      </c>
      <c r="G119" s="10">
        <f>G60/Data!$D$18+G61/Data!$E$18</f>
        <v>3.4109266018419987E-2</v>
      </c>
    </row>
    <row r="120" spans="2:7" x14ac:dyDescent="0.3">
      <c r="B120" s="12"/>
      <c r="C120" s="12"/>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3A8D-EC8C-4A63-8784-7308AC5A070F}">
  <dimension ref="A2:W194"/>
  <sheetViews>
    <sheetView workbookViewId="0"/>
  </sheetViews>
  <sheetFormatPr defaultRowHeight="14.4" x14ac:dyDescent="0.3"/>
  <cols>
    <col min="2" max="2" width="20.6640625" customWidth="1"/>
    <col min="3" max="3" width="11" customWidth="1"/>
    <col min="4" max="6" width="12.44140625" customWidth="1"/>
  </cols>
  <sheetData>
    <row r="2" spans="2:6" x14ac:dyDescent="0.3">
      <c r="B2" s="14" t="s">
        <v>1755</v>
      </c>
    </row>
    <row r="3" spans="2:6" x14ac:dyDescent="0.3">
      <c r="B3" t="s">
        <v>1265</v>
      </c>
    </row>
    <row r="4" spans="2:6" x14ac:dyDescent="0.3">
      <c r="B4" t="s">
        <v>1266</v>
      </c>
    </row>
    <row r="6" spans="2:6" s="101" customFormat="1" x14ac:dyDescent="0.3">
      <c r="B6" s="148" t="s">
        <v>114</v>
      </c>
      <c r="D6" s="101" t="s">
        <v>209</v>
      </c>
    </row>
    <row r="7" spans="2:6" s="101" customFormat="1" x14ac:dyDescent="0.3">
      <c r="B7" s="101" t="s">
        <v>667</v>
      </c>
      <c r="C7" s="101" t="s">
        <v>503</v>
      </c>
      <c r="D7" s="101">
        <v>55</v>
      </c>
    </row>
    <row r="8" spans="2:6" s="101" customFormat="1" x14ac:dyDescent="0.3">
      <c r="B8" s="101" t="s">
        <v>1324</v>
      </c>
      <c r="D8" s="101" t="s">
        <v>1325</v>
      </c>
    </row>
    <row r="9" spans="2:6" s="101" customFormat="1" x14ac:dyDescent="0.3">
      <c r="B9" s="101" t="s">
        <v>956</v>
      </c>
      <c r="C9" s="101" t="s">
        <v>22</v>
      </c>
      <c r="D9" s="101" t="s">
        <v>1671</v>
      </c>
    </row>
    <row r="10" spans="2:6" s="101" customFormat="1" x14ac:dyDescent="0.3">
      <c r="B10" s="101" t="s">
        <v>32</v>
      </c>
      <c r="C10" s="101" t="s">
        <v>22</v>
      </c>
      <c r="D10" s="101" t="s">
        <v>1521</v>
      </c>
      <c r="E10" s="101">
        <v>1.5</v>
      </c>
      <c r="F10" s="101">
        <v>2</v>
      </c>
    </row>
    <row r="11" spans="2:6" s="101" customFormat="1" x14ac:dyDescent="0.3">
      <c r="B11" s="101" t="s">
        <v>326</v>
      </c>
      <c r="D11" s="101" t="s">
        <v>1329</v>
      </c>
    </row>
    <row r="12" spans="2:6" s="101" customFormat="1" x14ac:dyDescent="0.3">
      <c r="B12" s="101" t="s">
        <v>344</v>
      </c>
      <c r="D12" s="101" t="s">
        <v>694</v>
      </c>
    </row>
    <row r="13" spans="2:6" s="101" customFormat="1" x14ac:dyDescent="0.3">
      <c r="B13" s="101" t="s">
        <v>1332</v>
      </c>
      <c r="D13" s="101" t="s">
        <v>328</v>
      </c>
      <c r="E13" s="133" t="s">
        <v>1331</v>
      </c>
    </row>
    <row r="14" spans="2:6" s="101" customFormat="1" x14ac:dyDescent="0.3">
      <c r="B14" s="101" t="s">
        <v>1330</v>
      </c>
      <c r="D14" s="101" t="s">
        <v>1333</v>
      </c>
      <c r="E14" s="133" t="s">
        <v>2149</v>
      </c>
    </row>
    <row r="15" spans="2:6" s="133" customFormat="1" x14ac:dyDescent="0.3">
      <c r="B15" s="133" t="s">
        <v>1968</v>
      </c>
      <c r="D15" s="133" t="s">
        <v>1969</v>
      </c>
      <c r="E15" s="133" t="s">
        <v>1971</v>
      </c>
    </row>
    <row r="16" spans="2:6" s="133" customFormat="1" x14ac:dyDescent="0.3">
      <c r="B16" s="133" t="s">
        <v>1541</v>
      </c>
      <c r="D16" s="133" t="s">
        <v>533</v>
      </c>
    </row>
    <row r="17" spans="2:6" s="133" customFormat="1" x14ac:dyDescent="0.3">
      <c r="B17" s="133" t="s">
        <v>1599</v>
      </c>
      <c r="D17" s="133" t="s">
        <v>2122</v>
      </c>
    </row>
    <row r="18" spans="2:6" s="101" customFormat="1" x14ac:dyDescent="0.3"/>
    <row r="19" spans="2:6" s="101" customFormat="1" x14ac:dyDescent="0.3">
      <c r="B19" s="101" t="s">
        <v>26</v>
      </c>
      <c r="D19" s="101" t="s">
        <v>1520</v>
      </c>
    </row>
    <row r="20" spans="2:6" x14ac:dyDescent="0.3">
      <c r="B20" t="s">
        <v>1335</v>
      </c>
      <c r="C20" t="s">
        <v>22</v>
      </c>
      <c r="D20">
        <v>1.5</v>
      </c>
    </row>
    <row r="21" spans="2:6" x14ac:dyDescent="0.3">
      <c r="B21" t="s">
        <v>1336</v>
      </c>
      <c r="C21" t="s">
        <v>566</v>
      </c>
      <c r="D21">
        <v>15</v>
      </c>
    </row>
    <row r="22" spans="2:6" x14ac:dyDescent="0.3">
      <c r="B22" t="s">
        <v>1337</v>
      </c>
      <c r="C22" t="s">
        <v>22</v>
      </c>
      <c r="D22">
        <v>2</v>
      </c>
    </row>
    <row r="23" spans="2:6" x14ac:dyDescent="0.3">
      <c r="B23" t="s">
        <v>1338</v>
      </c>
      <c r="C23" t="s">
        <v>566</v>
      </c>
      <c r="D23">
        <v>20</v>
      </c>
    </row>
    <row r="24" spans="2:6" x14ac:dyDescent="0.3">
      <c r="B24" t="s">
        <v>1271</v>
      </c>
    </row>
    <row r="26" spans="2:6" x14ac:dyDescent="0.3">
      <c r="B26" t="s">
        <v>287</v>
      </c>
      <c r="C26" t="s">
        <v>1270</v>
      </c>
      <c r="D26" t="s">
        <v>1267</v>
      </c>
      <c r="E26" t="s">
        <v>1268</v>
      </c>
      <c r="F26" t="s">
        <v>1269</v>
      </c>
    </row>
    <row r="27" spans="2:6" x14ac:dyDescent="0.3">
      <c r="B27" t="s">
        <v>35</v>
      </c>
      <c r="D27" s="3">
        <v>7.9</v>
      </c>
      <c r="E27">
        <v>8.49</v>
      </c>
      <c r="F27">
        <v>8.7100000000000009</v>
      </c>
    </row>
    <row r="28" spans="2:6" x14ac:dyDescent="0.3">
      <c r="B28" t="s">
        <v>308</v>
      </c>
      <c r="C28" t="s">
        <v>290</v>
      </c>
      <c r="D28">
        <v>387</v>
      </c>
      <c r="E28">
        <v>428</v>
      </c>
      <c r="F28">
        <v>355</v>
      </c>
    </row>
    <row r="29" spans="2:6" x14ac:dyDescent="0.3">
      <c r="B29" t="s">
        <v>3</v>
      </c>
      <c r="C29" t="s">
        <v>290</v>
      </c>
      <c r="D29">
        <v>259</v>
      </c>
      <c r="E29">
        <v>372</v>
      </c>
      <c r="F29">
        <v>344</v>
      </c>
    </row>
    <row r="30" spans="2:6" x14ac:dyDescent="0.3">
      <c r="B30" t="s">
        <v>3</v>
      </c>
      <c r="C30" t="s">
        <v>302</v>
      </c>
      <c r="D30">
        <v>66.900000000000006</v>
      </c>
      <c r="E30">
        <v>86.5</v>
      </c>
      <c r="F30">
        <v>98.7</v>
      </c>
    </row>
    <row r="31" spans="2:6" x14ac:dyDescent="0.3">
      <c r="B31" t="s">
        <v>277</v>
      </c>
      <c r="C31" t="s">
        <v>302</v>
      </c>
      <c r="D31">
        <v>33.1</v>
      </c>
      <c r="E31">
        <v>6.6</v>
      </c>
      <c r="F31">
        <v>0.9</v>
      </c>
    </row>
    <row r="32" spans="2:6" x14ac:dyDescent="0.3">
      <c r="B32" t="s">
        <v>13</v>
      </c>
      <c r="C32" t="s">
        <v>302</v>
      </c>
      <c r="E32">
        <v>6.9</v>
      </c>
      <c r="F32">
        <v>0.4</v>
      </c>
    </row>
    <row r="33" spans="1:8" x14ac:dyDescent="0.3">
      <c r="B33" t="s">
        <v>558</v>
      </c>
      <c r="C33" t="s">
        <v>17</v>
      </c>
      <c r="D33">
        <v>125</v>
      </c>
      <c r="E33">
        <v>429</v>
      </c>
      <c r="F33">
        <v>1144</v>
      </c>
    </row>
    <row r="34" spans="1:8" x14ac:dyDescent="0.3">
      <c r="B34" t="s">
        <v>309</v>
      </c>
      <c r="C34" t="s">
        <v>17</v>
      </c>
      <c r="D34">
        <v>106</v>
      </c>
      <c r="E34">
        <v>373</v>
      </c>
      <c r="F34">
        <v>938</v>
      </c>
    </row>
    <row r="36" spans="1:8" x14ac:dyDescent="0.3">
      <c r="B36" t="s">
        <v>351</v>
      </c>
      <c r="C36" t="s">
        <v>303</v>
      </c>
      <c r="D36">
        <v>262</v>
      </c>
    </row>
    <row r="37" spans="1:8" x14ac:dyDescent="0.3">
      <c r="B37" t="s">
        <v>33</v>
      </c>
      <c r="C37" t="s">
        <v>270</v>
      </c>
      <c r="D37" s="3">
        <f>D29/D36</f>
        <v>0.98854961832061072</v>
      </c>
      <c r="H37" t="s">
        <v>1272</v>
      </c>
    </row>
    <row r="40" spans="1:8" x14ac:dyDescent="0.3">
      <c r="B40" s="6" t="s">
        <v>877</v>
      </c>
      <c r="D40" t="s">
        <v>1267</v>
      </c>
      <c r="E40" t="s">
        <v>1268</v>
      </c>
      <c r="F40" t="s">
        <v>1269</v>
      </c>
    </row>
    <row r="41" spans="1:8" x14ac:dyDescent="0.3">
      <c r="B41" t="s">
        <v>459</v>
      </c>
      <c r="C41" t="s">
        <v>302</v>
      </c>
      <c r="D41">
        <f>SUM(D30:D32)</f>
        <v>100</v>
      </c>
      <c r="E41">
        <f>SUM(E30:E32)</f>
        <v>100</v>
      </c>
      <c r="F41">
        <f>SUM(F30:F32)</f>
        <v>100.00000000000001</v>
      </c>
    </row>
    <row r="42" spans="1:8" x14ac:dyDescent="0.3">
      <c r="B42" t="s">
        <v>351</v>
      </c>
      <c r="C42" t="s">
        <v>377</v>
      </c>
      <c r="D42">
        <f>D36/1000</f>
        <v>0.26200000000000001</v>
      </c>
      <c r="E42" s="10">
        <f>D42*E29/$D29</f>
        <v>0.37630888030888032</v>
      </c>
      <c r="F42" s="10">
        <f>E42*F29/$D29</f>
        <v>0.49980793369210358</v>
      </c>
      <c r="H42" t="s">
        <v>2179</v>
      </c>
    </row>
    <row r="43" spans="1:8" x14ac:dyDescent="0.3">
      <c r="B43" t="s">
        <v>293</v>
      </c>
      <c r="C43" t="s">
        <v>338</v>
      </c>
      <c r="D43" s="10">
        <f>D28*D30/100000</f>
        <v>0.25890300000000005</v>
      </c>
      <c r="E43" s="10">
        <f>E28*E30/100000</f>
        <v>0.37021999999999999</v>
      </c>
      <c r="F43" s="31">
        <f>F28*F30/100000</f>
        <v>0.350385</v>
      </c>
      <c r="H43" t="s">
        <v>1273</v>
      </c>
    </row>
    <row r="44" spans="1:8" x14ac:dyDescent="0.3">
      <c r="B44" t="s">
        <v>293</v>
      </c>
      <c r="C44" t="s">
        <v>338</v>
      </c>
      <c r="D44">
        <f>D29/1000</f>
        <v>0.25900000000000001</v>
      </c>
      <c r="E44">
        <f>E29/1000</f>
        <v>0.372</v>
      </c>
      <c r="F44">
        <f>F29/1000</f>
        <v>0.34399999999999997</v>
      </c>
      <c r="H44" t="s">
        <v>2178</v>
      </c>
    </row>
    <row r="45" spans="1:8" x14ac:dyDescent="0.3">
      <c r="B45" t="s">
        <v>1082</v>
      </c>
      <c r="C45" t="s">
        <v>338</v>
      </c>
      <c r="D45" s="10">
        <f>D28*D31/100000</f>
        <v>0.12809700000000002</v>
      </c>
      <c r="E45" s="10">
        <f>E28*E31/100000</f>
        <v>2.8247999999999999E-2</v>
      </c>
      <c r="F45" s="10">
        <f>F28*F31/100000</f>
        <v>3.1949999999999999E-3</v>
      </c>
    </row>
    <row r="46" spans="1:8" x14ac:dyDescent="0.3">
      <c r="B46" t="s">
        <v>323</v>
      </c>
      <c r="C46" t="s">
        <v>338</v>
      </c>
      <c r="E46" s="10">
        <f>E28*E31/100000</f>
        <v>2.8247999999999999E-2</v>
      </c>
      <c r="F46" s="10">
        <f>F28*F31/100000</f>
        <v>3.1949999999999999E-3</v>
      </c>
    </row>
    <row r="47" spans="1:8" x14ac:dyDescent="0.3">
      <c r="A47" s="133"/>
      <c r="B47" t="s">
        <v>308</v>
      </c>
      <c r="C47" t="s">
        <v>338</v>
      </c>
      <c r="D47" s="10">
        <f>SUM(D44:D46)</f>
        <v>0.38709700000000002</v>
      </c>
      <c r="E47" s="10">
        <f>SUM(E44:E46)</f>
        <v>0.42849599999999999</v>
      </c>
      <c r="F47" s="10">
        <f>SUM(F44:F46)</f>
        <v>0.35038999999999998</v>
      </c>
      <c r="H47" t="s">
        <v>1010</v>
      </c>
    </row>
    <row r="48" spans="1:8" x14ac:dyDescent="0.3">
      <c r="A48" s="133"/>
      <c r="B48" t="s">
        <v>321</v>
      </c>
      <c r="C48" t="s">
        <v>338</v>
      </c>
      <c r="D48" s="10"/>
      <c r="E48" s="10">
        <f>D45*4</f>
        <v>0.51238800000000007</v>
      </c>
      <c r="F48" s="10">
        <f>E48</f>
        <v>0.51238800000000007</v>
      </c>
      <c r="H48" t="s">
        <v>1274</v>
      </c>
    </row>
    <row r="49" spans="1:19" x14ac:dyDescent="0.3">
      <c r="A49" s="133"/>
      <c r="B49" s="133" t="s">
        <v>433</v>
      </c>
      <c r="C49" t="s">
        <v>338</v>
      </c>
      <c r="D49" s="10"/>
      <c r="E49" s="10">
        <f>E48-E46</f>
        <v>0.48414000000000007</v>
      </c>
      <c r="F49" s="10">
        <f>F48-F46</f>
        <v>0.50919300000000012</v>
      </c>
    </row>
    <row r="50" spans="1:19" x14ac:dyDescent="0.3">
      <c r="A50" s="148"/>
      <c r="B50" s="148" t="s">
        <v>1328</v>
      </c>
      <c r="C50" t="s">
        <v>338</v>
      </c>
      <c r="E50" s="10">
        <f>E54/4</f>
        <v>0.23621747581910585</v>
      </c>
      <c r="F50" s="10">
        <f>F54/4</f>
        <v>0.24844112274292141</v>
      </c>
    </row>
    <row r="51" spans="1:19" x14ac:dyDescent="0.3">
      <c r="A51" s="148"/>
      <c r="B51" s="148" t="s">
        <v>402</v>
      </c>
      <c r="C51" t="s">
        <v>338</v>
      </c>
      <c r="E51">
        <f>E44-$D44</f>
        <v>0.11299999999999999</v>
      </c>
      <c r="F51">
        <f>F44-$D44</f>
        <v>8.4999999999999964E-2</v>
      </c>
    </row>
    <row r="52" spans="1:19" x14ac:dyDescent="0.3">
      <c r="A52" s="148"/>
      <c r="B52" s="148" t="s">
        <v>2086</v>
      </c>
      <c r="C52" t="s">
        <v>338</v>
      </c>
      <c r="E52" s="10">
        <f>D45-E45</f>
        <v>9.9849000000000021E-2</v>
      </c>
      <c r="F52" s="10">
        <f>D45-F45</f>
        <v>0.12490200000000001</v>
      </c>
    </row>
    <row r="53" spans="1:19" s="133" customFormat="1" x14ac:dyDescent="0.3">
      <c r="A53" s="148"/>
      <c r="B53" s="148" t="s">
        <v>93</v>
      </c>
      <c r="E53" s="8">
        <f>E48/$D45</f>
        <v>4</v>
      </c>
      <c r="F53" s="198">
        <f>F48/$D45</f>
        <v>4</v>
      </c>
    </row>
    <row r="54" spans="1:19" x14ac:dyDescent="0.3">
      <c r="A54" s="148"/>
      <c r="B54" s="148" t="s">
        <v>462</v>
      </c>
      <c r="E54" s="10">
        <f>E49/E48</f>
        <v>0.9448699032764234</v>
      </c>
      <c r="F54" s="10">
        <f>F49/F48</f>
        <v>0.99376449097168562</v>
      </c>
    </row>
    <row r="55" spans="1:19" x14ac:dyDescent="0.3">
      <c r="A55" s="148"/>
      <c r="B55" s="148" t="s">
        <v>2085</v>
      </c>
      <c r="C55" t="s">
        <v>92</v>
      </c>
      <c r="E55" s="10">
        <f>E51/E50</f>
        <v>0.47837273515925138</v>
      </c>
      <c r="F55" s="10">
        <f>F51/F50</f>
        <v>0.34213337575339786</v>
      </c>
    </row>
    <row r="56" spans="1:19" x14ac:dyDescent="0.3">
      <c r="A56" s="148"/>
      <c r="B56" s="148" t="s">
        <v>2087</v>
      </c>
      <c r="C56" t="s">
        <v>92</v>
      </c>
      <c r="E56" s="10">
        <f>E52/E50</f>
        <v>0.4226994622381956</v>
      </c>
      <c r="F56" s="10">
        <f>F52/F50</f>
        <v>0.50274285762765791</v>
      </c>
    </row>
    <row r="57" spans="1:19" x14ac:dyDescent="0.3">
      <c r="A57" s="148"/>
      <c r="B57" s="148" t="s">
        <v>2088</v>
      </c>
      <c r="C57" t="s">
        <v>92</v>
      </c>
      <c r="E57" s="10">
        <f>E51/E52</f>
        <v>1.131708880409418</v>
      </c>
      <c r="F57" s="10">
        <f>F51/F52</f>
        <v>0.68053353829402219</v>
      </c>
    </row>
    <row r="58" spans="1:19" s="133" customFormat="1" x14ac:dyDescent="0.3">
      <c r="A58" s="148"/>
      <c r="B58" s="148" t="s">
        <v>2096</v>
      </c>
      <c r="C58" s="133" t="s">
        <v>92</v>
      </c>
      <c r="D58" s="37"/>
      <c r="E58" s="37">
        <f>E51/$D45</f>
        <v>0.88214400024981054</v>
      </c>
      <c r="F58" s="37">
        <f>F51/$D45</f>
        <v>0.66355964620560948</v>
      </c>
      <c r="G58" s="37"/>
      <c r="H58" s="37"/>
      <c r="I58" s="148"/>
      <c r="J58" s="37"/>
      <c r="M58" s="37"/>
      <c r="O58" s="37"/>
      <c r="Q58" s="37"/>
      <c r="S58" s="37"/>
    </row>
    <row r="59" spans="1:19" s="133" customFormat="1" x14ac:dyDescent="0.3">
      <c r="A59" s="148"/>
      <c r="B59" s="148" t="s">
        <v>2097</v>
      </c>
      <c r="C59" s="133" t="s">
        <v>92</v>
      </c>
      <c r="D59" s="96"/>
      <c r="E59" s="96">
        <f>E47/D47</f>
        <v>1.10694735428071</v>
      </c>
      <c r="F59" s="96">
        <f>F47/E47</f>
        <v>0.81772058548971283</v>
      </c>
      <c r="G59" s="96"/>
      <c r="H59" s="96"/>
      <c r="I59" s="148"/>
      <c r="J59" s="96"/>
      <c r="M59" s="96"/>
      <c r="O59" s="96"/>
      <c r="Q59" s="96"/>
      <c r="S59" s="96"/>
    </row>
    <row r="60" spans="1:19" x14ac:dyDescent="0.3">
      <c r="A60" s="148"/>
      <c r="B60" s="148" t="s">
        <v>2081</v>
      </c>
      <c r="E60" s="3">
        <f>E49/E51</f>
        <v>4.2844247787610632</v>
      </c>
      <c r="F60" s="3">
        <f>F49/F51</f>
        <v>5.9905058823529451</v>
      </c>
    </row>
    <row r="61" spans="1:19" x14ac:dyDescent="0.3">
      <c r="A61" s="148"/>
      <c r="B61" s="148" t="s">
        <v>2137</v>
      </c>
      <c r="E61" s="3">
        <f>E49/E52</f>
        <v>4.8487215695700501</v>
      </c>
      <c r="F61" s="3">
        <f>F49/F52</f>
        <v>4.076740164288803</v>
      </c>
    </row>
    <row r="63" spans="1:19" x14ac:dyDescent="0.3">
      <c r="B63" s="6" t="s">
        <v>359</v>
      </c>
      <c r="D63" t="s">
        <v>1267</v>
      </c>
      <c r="E63" t="s">
        <v>1268</v>
      </c>
      <c r="F63" t="s">
        <v>1269</v>
      </c>
    </row>
    <row r="64" spans="1:19" s="133" customFormat="1" x14ac:dyDescent="0.3">
      <c r="B64" s="148" t="s">
        <v>1795</v>
      </c>
      <c r="D64" s="133" t="s">
        <v>2156</v>
      </c>
      <c r="E64" s="133" t="s">
        <v>2126</v>
      </c>
      <c r="F64" s="133" t="s">
        <v>1799</v>
      </c>
    </row>
    <row r="65" spans="2:6" s="133" customFormat="1" x14ac:dyDescent="0.3">
      <c r="B65" s="148" t="s">
        <v>1791</v>
      </c>
      <c r="D65" s="133" t="s">
        <v>1104</v>
      </c>
      <c r="E65" s="133" t="s">
        <v>1105</v>
      </c>
      <c r="F65" s="133" t="s">
        <v>1105</v>
      </c>
    </row>
    <row r="66" spans="2:6" x14ac:dyDescent="0.3">
      <c r="B66" t="s">
        <v>33</v>
      </c>
      <c r="C66" t="s">
        <v>270</v>
      </c>
      <c r="D66" s="3">
        <f>$D37</f>
        <v>0.98854961832061072</v>
      </c>
      <c r="E66" s="3">
        <f>$D37</f>
        <v>0.98854961832061072</v>
      </c>
      <c r="F66" s="3">
        <f>$D37</f>
        <v>0.98854961832061072</v>
      </c>
    </row>
    <row r="67" spans="2:6" x14ac:dyDescent="0.3">
      <c r="B67" t="s">
        <v>26</v>
      </c>
      <c r="C67" t="s">
        <v>25</v>
      </c>
      <c r="D67" t="str">
        <f>$D19</f>
        <v>15 and 20</v>
      </c>
      <c r="E67" s="133" t="str">
        <f>$D19</f>
        <v>15 and 20</v>
      </c>
      <c r="F67" s="133" t="str">
        <f>$D19</f>
        <v>15 and 20</v>
      </c>
    </row>
    <row r="68" spans="2:6" s="133" customFormat="1" x14ac:dyDescent="0.3">
      <c r="B68" s="148" t="s">
        <v>1544</v>
      </c>
      <c r="C68" s="133" t="s">
        <v>338</v>
      </c>
      <c r="E68" s="134">
        <f>E48</f>
        <v>0.51238800000000007</v>
      </c>
      <c r="F68" s="134">
        <f>F48</f>
        <v>0.51238800000000007</v>
      </c>
    </row>
    <row r="69" spans="2:6" x14ac:dyDescent="0.3">
      <c r="B69" t="s">
        <v>351</v>
      </c>
      <c r="C69" t="s">
        <v>377</v>
      </c>
      <c r="D69" s="10">
        <f>D42</f>
        <v>0.26200000000000001</v>
      </c>
      <c r="E69" s="10">
        <f>E42</f>
        <v>0.37630888030888032</v>
      </c>
      <c r="F69" s="10">
        <f>F42</f>
        <v>0.49980793369210358</v>
      </c>
    </row>
    <row r="70" spans="2:6" x14ac:dyDescent="0.3">
      <c r="B70" t="s">
        <v>352</v>
      </c>
      <c r="C70" t="s">
        <v>377</v>
      </c>
      <c r="D70" s="10"/>
      <c r="E70" s="10">
        <f>E69-$D69</f>
        <v>0.11430888030888031</v>
      </c>
      <c r="F70" s="10">
        <f>F69-$D69</f>
        <v>0.23780793369210357</v>
      </c>
    </row>
    <row r="71" spans="2:6" x14ac:dyDescent="0.3">
      <c r="B71" t="s">
        <v>353</v>
      </c>
      <c r="C71" t="s">
        <v>92</v>
      </c>
      <c r="E71" s="10">
        <f>E70/$D69</f>
        <v>0.43629343629343631</v>
      </c>
      <c r="F71" s="10">
        <f>F70/$D69</f>
        <v>0.90766386905383034</v>
      </c>
    </row>
    <row r="72" spans="2:6" x14ac:dyDescent="0.3">
      <c r="B72" t="s">
        <v>293</v>
      </c>
      <c r="C72" t="s">
        <v>338</v>
      </c>
      <c r="D72">
        <f>D44</f>
        <v>0.25900000000000001</v>
      </c>
      <c r="E72">
        <f>E44</f>
        <v>0.372</v>
      </c>
      <c r="F72">
        <f>F44</f>
        <v>0.34399999999999997</v>
      </c>
    </row>
    <row r="73" spans="2:6" x14ac:dyDescent="0.3">
      <c r="B73" t="s">
        <v>402</v>
      </c>
      <c r="C73" t="s">
        <v>338</v>
      </c>
      <c r="D73" s="10"/>
      <c r="E73" s="10">
        <f>E72-$D72</f>
        <v>0.11299999999999999</v>
      </c>
      <c r="F73" s="10">
        <f>F72-$D72</f>
        <v>8.4999999999999964E-2</v>
      </c>
    </row>
    <row r="74" spans="2:6" x14ac:dyDescent="0.3">
      <c r="B74" t="s">
        <v>3</v>
      </c>
      <c r="C74" t="s">
        <v>302</v>
      </c>
      <c r="D74">
        <f t="shared" ref="D74:F75" si="0">D30</f>
        <v>66.900000000000006</v>
      </c>
      <c r="E74">
        <f t="shared" si="0"/>
        <v>86.5</v>
      </c>
      <c r="F74">
        <f t="shared" si="0"/>
        <v>98.7</v>
      </c>
    </row>
    <row r="75" spans="2:6" x14ac:dyDescent="0.3">
      <c r="B75" t="s">
        <v>277</v>
      </c>
      <c r="C75" t="s">
        <v>302</v>
      </c>
      <c r="D75">
        <f t="shared" si="0"/>
        <v>33.1</v>
      </c>
      <c r="E75">
        <f t="shared" si="0"/>
        <v>6.6</v>
      </c>
      <c r="F75">
        <f t="shared" si="0"/>
        <v>0.9</v>
      </c>
    </row>
    <row r="76" spans="2:6" x14ac:dyDescent="0.3">
      <c r="B76" t="s">
        <v>13</v>
      </c>
      <c r="C76" t="s">
        <v>302</v>
      </c>
      <c r="E76">
        <f>E32</f>
        <v>6.9</v>
      </c>
      <c r="F76">
        <f>F32</f>
        <v>0.4</v>
      </c>
    </row>
    <row r="77" spans="2:6" x14ac:dyDescent="0.3">
      <c r="B77" t="s">
        <v>35</v>
      </c>
      <c r="D77" s="3">
        <f>D27</f>
        <v>7.9</v>
      </c>
      <c r="E77">
        <f>E27</f>
        <v>8.49</v>
      </c>
      <c r="F77">
        <f>F27</f>
        <v>8.7100000000000009</v>
      </c>
    </row>
    <row r="78" spans="2:6" x14ac:dyDescent="0.3">
      <c r="B78" t="s">
        <v>52</v>
      </c>
      <c r="C78" t="s">
        <v>621</v>
      </c>
      <c r="D78" t="s">
        <v>1671</v>
      </c>
      <c r="E78" s="133" t="s">
        <v>1671</v>
      </c>
      <c r="F78" s="133" t="s">
        <v>1671</v>
      </c>
    </row>
    <row r="79" spans="2:6" x14ac:dyDescent="0.3">
      <c r="B79" t="s">
        <v>558</v>
      </c>
      <c r="C79" t="s">
        <v>621</v>
      </c>
      <c r="D79" t="s">
        <v>1672</v>
      </c>
      <c r="E79" s="133" t="s">
        <v>1672</v>
      </c>
      <c r="F79" s="133" t="s">
        <v>1672</v>
      </c>
    </row>
    <row r="82" spans="2:6" x14ac:dyDescent="0.3">
      <c r="B82" s="102" t="s">
        <v>1756</v>
      </c>
    </row>
    <row r="83" spans="2:6" x14ac:dyDescent="0.3">
      <c r="B83" t="s">
        <v>1421</v>
      </c>
    </row>
    <row r="85" spans="2:6" s="101" customFormat="1" x14ac:dyDescent="0.3">
      <c r="B85" s="148" t="s">
        <v>114</v>
      </c>
      <c r="D85" s="101" t="s">
        <v>46</v>
      </c>
      <c r="E85" s="133" t="s">
        <v>1412</v>
      </c>
    </row>
    <row r="86" spans="2:6" s="101" customFormat="1" x14ac:dyDescent="0.3">
      <c r="B86" s="101" t="s">
        <v>667</v>
      </c>
      <c r="C86" s="101" t="s">
        <v>503</v>
      </c>
      <c r="D86" s="101">
        <v>37</v>
      </c>
      <c r="E86" s="101">
        <v>54</v>
      </c>
    </row>
    <row r="87" spans="2:6" s="101" customFormat="1" x14ac:dyDescent="0.3">
      <c r="B87" s="101" t="s">
        <v>1324</v>
      </c>
      <c r="D87" s="101" t="s">
        <v>1091</v>
      </c>
      <c r="E87" s="133" t="s">
        <v>1091</v>
      </c>
    </row>
    <row r="88" spans="2:6" s="101" customFormat="1" x14ac:dyDescent="0.3">
      <c r="B88" s="101" t="s">
        <v>956</v>
      </c>
      <c r="C88" s="101" t="s">
        <v>22</v>
      </c>
      <c r="D88" s="101" t="s">
        <v>1671</v>
      </c>
      <c r="E88" s="133" t="s">
        <v>1671</v>
      </c>
    </row>
    <row r="89" spans="2:6" s="101" customFormat="1" x14ac:dyDescent="0.3">
      <c r="B89" s="101" t="s">
        <v>32</v>
      </c>
      <c r="C89" s="101" t="s">
        <v>22</v>
      </c>
      <c r="D89" s="101">
        <v>1.5</v>
      </c>
      <c r="E89" s="133">
        <v>1.5</v>
      </c>
    </row>
    <row r="90" spans="2:6" s="101" customFormat="1" x14ac:dyDescent="0.3">
      <c r="B90" s="101" t="s">
        <v>326</v>
      </c>
      <c r="D90" s="101" t="s">
        <v>1427</v>
      </c>
      <c r="E90" s="133" t="s">
        <v>1427</v>
      </c>
    </row>
    <row r="91" spans="2:6" s="101" customFormat="1" x14ac:dyDescent="0.3">
      <c r="B91" s="101" t="s">
        <v>344</v>
      </c>
      <c r="D91" s="101" t="s">
        <v>665</v>
      </c>
      <c r="E91" s="133" t="s">
        <v>665</v>
      </c>
    </row>
    <row r="92" spans="2:6" s="101" customFormat="1" x14ac:dyDescent="0.3">
      <c r="B92" s="101" t="s">
        <v>1332</v>
      </c>
      <c r="D92" s="101" t="s">
        <v>1428</v>
      </c>
      <c r="E92" s="133" t="s">
        <v>1428</v>
      </c>
    </row>
    <row r="93" spans="2:6" s="101" customFormat="1" x14ac:dyDescent="0.3">
      <c r="B93" s="101" t="s">
        <v>1330</v>
      </c>
      <c r="D93" s="101" t="s">
        <v>1333</v>
      </c>
      <c r="E93" s="133" t="s">
        <v>1333</v>
      </c>
    </row>
    <row r="94" spans="2:6" s="133" customFormat="1" x14ac:dyDescent="0.3">
      <c r="B94" s="133" t="s">
        <v>1968</v>
      </c>
      <c r="D94" s="133" t="s">
        <v>1969</v>
      </c>
      <c r="E94" s="133" t="s">
        <v>1969</v>
      </c>
      <c r="F94" s="133" t="s">
        <v>1975</v>
      </c>
    </row>
    <row r="95" spans="2:6" s="133" customFormat="1" x14ac:dyDescent="0.3">
      <c r="B95" s="133" t="s">
        <v>1541</v>
      </c>
      <c r="D95" s="133" t="s">
        <v>2180</v>
      </c>
      <c r="E95" s="133" t="s">
        <v>2180</v>
      </c>
    </row>
    <row r="96" spans="2:6" s="101" customFormat="1" x14ac:dyDescent="0.3">
      <c r="B96" s="101" t="s">
        <v>1599</v>
      </c>
      <c r="D96" s="133" t="s">
        <v>2131</v>
      </c>
    </row>
    <row r="97" spans="2:8" s="101" customFormat="1" x14ac:dyDescent="0.3"/>
    <row r="98" spans="2:8" x14ac:dyDescent="0.3">
      <c r="B98" t="s">
        <v>33</v>
      </c>
      <c r="C98" t="s">
        <v>270</v>
      </c>
      <c r="D98">
        <v>2.2000000000000002</v>
      </c>
      <c r="E98">
        <v>2.2000000000000002</v>
      </c>
      <c r="G98" t="s">
        <v>1426</v>
      </c>
    </row>
    <row r="99" spans="2:8" s="101" customFormat="1" x14ac:dyDescent="0.3"/>
    <row r="100" spans="2:8" s="101" customFormat="1" x14ac:dyDescent="0.3"/>
    <row r="101" spans="2:8" x14ac:dyDescent="0.3">
      <c r="B101" t="s">
        <v>287</v>
      </c>
      <c r="C101" t="s">
        <v>1422</v>
      </c>
      <c r="D101" t="s">
        <v>1423</v>
      </c>
      <c r="F101" t="s">
        <v>1424</v>
      </c>
      <c r="G101" t="s">
        <v>209</v>
      </c>
    </row>
    <row r="102" spans="2:8" x14ac:dyDescent="0.3">
      <c r="B102" t="s">
        <v>35</v>
      </c>
      <c r="D102">
        <v>7.87</v>
      </c>
      <c r="E102">
        <v>8.15</v>
      </c>
      <c r="F102">
        <v>3.3</v>
      </c>
      <c r="G102">
        <v>7.87</v>
      </c>
    </row>
    <row r="103" spans="2:8" x14ac:dyDescent="0.3">
      <c r="B103" t="s">
        <v>27</v>
      </c>
      <c r="C103" t="s">
        <v>47</v>
      </c>
      <c r="D103">
        <v>26.79</v>
      </c>
      <c r="E103">
        <v>35.159999999999997</v>
      </c>
      <c r="F103">
        <v>59.76</v>
      </c>
      <c r="G103">
        <v>81.680000000000007</v>
      </c>
    </row>
    <row r="104" spans="2:8" x14ac:dyDescent="0.3">
      <c r="B104" t="s">
        <v>14</v>
      </c>
      <c r="C104" s="101" t="s">
        <v>47</v>
      </c>
      <c r="D104">
        <v>14.41</v>
      </c>
      <c r="E104">
        <v>22.49</v>
      </c>
      <c r="F104">
        <v>54.35</v>
      </c>
      <c r="G104">
        <v>58.21</v>
      </c>
    </row>
    <row r="105" spans="2:8" x14ac:dyDescent="0.3">
      <c r="B105" t="s">
        <v>48</v>
      </c>
      <c r="C105" s="101" t="s">
        <v>47</v>
      </c>
      <c r="D105">
        <v>20.43</v>
      </c>
      <c r="E105">
        <v>31.89</v>
      </c>
      <c r="F105">
        <v>77.5</v>
      </c>
      <c r="G105">
        <v>90.64</v>
      </c>
    </row>
    <row r="106" spans="2:8" x14ac:dyDescent="0.3">
      <c r="B106" t="s">
        <v>51</v>
      </c>
      <c r="C106" s="101" t="s">
        <v>47</v>
      </c>
      <c r="D106">
        <v>5.25</v>
      </c>
      <c r="E106">
        <v>2.0099999999999998</v>
      </c>
      <c r="F106">
        <v>1.48</v>
      </c>
      <c r="G106">
        <v>3.17</v>
      </c>
    </row>
    <row r="107" spans="2:8" x14ac:dyDescent="0.3">
      <c r="B107" t="s">
        <v>1102</v>
      </c>
      <c r="C107" s="101" t="s">
        <v>47</v>
      </c>
      <c r="D107">
        <v>4.78</v>
      </c>
      <c r="E107">
        <v>1.67</v>
      </c>
      <c r="F107">
        <v>0.11</v>
      </c>
      <c r="G107">
        <v>2.8</v>
      </c>
    </row>
    <row r="108" spans="2:8" x14ac:dyDescent="0.3">
      <c r="B108" t="s">
        <v>1425</v>
      </c>
      <c r="C108" s="101" t="s">
        <v>47</v>
      </c>
      <c r="D108">
        <v>2.98</v>
      </c>
      <c r="E108">
        <v>2.13</v>
      </c>
      <c r="F108">
        <v>8.74</v>
      </c>
      <c r="G108">
        <v>2.34</v>
      </c>
    </row>
    <row r="109" spans="2:8" x14ac:dyDescent="0.3">
      <c r="B109" t="s">
        <v>1191</v>
      </c>
      <c r="C109" s="101" t="s">
        <v>47</v>
      </c>
      <c r="F109">
        <v>35.28</v>
      </c>
    </row>
    <row r="110" spans="2:8" x14ac:dyDescent="0.3">
      <c r="B110" t="s">
        <v>171</v>
      </c>
      <c r="C110" s="101" t="s">
        <v>47</v>
      </c>
      <c r="D110">
        <v>0.12</v>
      </c>
      <c r="E110">
        <v>0.18</v>
      </c>
      <c r="F110">
        <v>0.45</v>
      </c>
      <c r="G110">
        <v>4.9000000000000004</v>
      </c>
    </row>
    <row r="112" spans="2:8" x14ac:dyDescent="0.3">
      <c r="B112" t="s">
        <v>307</v>
      </c>
      <c r="D112" t="s">
        <v>485</v>
      </c>
      <c r="H112" t="s">
        <v>486</v>
      </c>
    </row>
    <row r="113" spans="2:14" s="101" customFormat="1" x14ac:dyDescent="0.3">
      <c r="D113" s="101" t="s">
        <v>1429</v>
      </c>
      <c r="F113" s="101" t="s">
        <v>1430</v>
      </c>
      <c r="G113" s="101" t="s">
        <v>1431</v>
      </c>
      <c r="L113" s="101" t="s">
        <v>827</v>
      </c>
    </row>
    <row r="114" spans="2:14" x14ac:dyDescent="0.3">
      <c r="B114" t="s">
        <v>1196</v>
      </c>
      <c r="D114">
        <v>0</v>
      </c>
      <c r="E114">
        <v>88</v>
      </c>
      <c r="F114">
        <v>97</v>
      </c>
      <c r="G114">
        <v>146</v>
      </c>
      <c r="H114">
        <v>0</v>
      </c>
      <c r="I114">
        <v>47</v>
      </c>
      <c r="J114">
        <v>125</v>
      </c>
      <c r="K114">
        <v>155</v>
      </c>
      <c r="L114">
        <v>272</v>
      </c>
    </row>
    <row r="115" spans="2:14" x14ac:dyDescent="0.3">
      <c r="B115" t="s">
        <v>1444</v>
      </c>
      <c r="D115" t="s">
        <v>46</v>
      </c>
      <c r="E115" t="s">
        <v>1432</v>
      </c>
      <c r="F115" t="s">
        <v>1442</v>
      </c>
      <c r="G115" t="s">
        <v>1438</v>
      </c>
      <c r="H115" t="s">
        <v>46</v>
      </c>
      <c r="I115" t="s">
        <v>1433</v>
      </c>
      <c r="J115" t="s">
        <v>1412</v>
      </c>
      <c r="K115" s="101" t="s">
        <v>1438</v>
      </c>
    </row>
    <row r="116" spans="2:14" s="101" customFormat="1" x14ac:dyDescent="0.3">
      <c r="B116" s="101" t="s">
        <v>1441</v>
      </c>
      <c r="D116" s="101" t="s">
        <v>1435</v>
      </c>
      <c r="E116" s="101" t="s">
        <v>1436</v>
      </c>
      <c r="F116" s="101" t="s">
        <v>13</v>
      </c>
      <c r="G116" s="101" t="s">
        <v>1437</v>
      </c>
      <c r="H116" s="101" t="s">
        <v>1439</v>
      </c>
      <c r="I116" s="101" t="s">
        <v>1440</v>
      </c>
      <c r="J116" s="101" t="s">
        <v>1437</v>
      </c>
      <c r="K116" s="101" t="s">
        <v>13</v>
      </c>
    </row>
    <row r="118" spans="2:14" s="101" customFormat="1" x14ac:dyDescent="0.3">
      <c r="B118" s="101" t="s">
        <v>33</v>
      </c>
      <c r="C118" s="101" t="s">
        <v>270</v>
      </c>
      <c r="D118" s="101">
        <f>$D98</f>
        <v>2.2000000000000002</v>
      </c>
      <c r="E118" s="101">
        <f>$D98</f>
        <v>2.2000000000000002</v>
      </c>
      <c r="F118" s="101">
        <f>$D98</f>
        <v>2.2000000000000002</v>
      </c>
      <c r="G118" s="103">
        <v>3.6</v>
      </c>
      <c r="H118" s="101">
        <f>$E98</f>
        <v>2.2000000000000002</v>
      </c>
      <c r="I118" s="101">
        <f>$E98</f>
        <v>2.2000000000000002</v>
      </c>
      <c r="J118" s="101">
        <f>$E98</f>
        <v>2.2000000000000002</v>
      </c>
      <c r="K118" s="133">
        <f>$E98</f>
        <v>2.2000000000000002</v>
      </c>
    </row>
    <row r="119" spans="2:14" s="101" customFormat="1" x14ac:dyDescent="0.3">
      <c r="B119" s="101" t="s">
        <v>26</v>
      </c>
      <c r="C119" s="101" t="s">
        <v>25</v>
      </c>
      <c r="D119" s="101">
        <v>25</v>
      </c>
      <c r="E119" s="101">
        <v>25</v>
      </c>
      <c r="F119" s="101">
        <v>25</v>
      </c>
      <c r="G119" s="101">
        <v>25</v>
      </c>
      <c r="H119" s="101">
        <v>15</v>
      </c>
      <c r="I119" s="101">
        <v>15</v>
      </c>
      <c r="J119" s="101">
        <v>15</v>
      </c>
      <c r="K119" s="133">
        <v>15</v>
      </c>
    </row>
    <row r="120" spans="2:14" s="101" customFormat="1" x14ac:dyDescent="0.3">
      <c r="B120" s="101" t="s">
        <v>93</v>
      </c>
      <c r="F120" s="101">
        <v>2</v>
      </c>
      <c r="G120" s="101">
        <v>2</v>
      </c>
      <c r="K120" s="101">
        <v>2</v>
      </c>
      <c r="M120" s="101" t="s">
        <v>1546</v>
      </c>
    </row>
    <row r="121" spans="2:14" s="133" customFormat="1" x14ac:dyDescent="0.3"/>
    <row r="122" spans="2:14" ht="15" thickBot="1" x14ac:dyDescent="0.35">
      <c r="B122" s="6" t="s">
        <v>2181</v>
      </c>
    </row>
    <row r="123" spans="2:14" x14ac:dyDescent="0.3">
      <c r="B123" s="522" t="s">
        <v>1445</v>
      </c>
      <c r="C123" s="523"/>
      <c r="D123" s="523"/>
      <c r="E123" s="523"/>
      <c r="F123" s="523"/>
      <c r="G123" s="523"/>
      <c r="H123" s="523"/>
      <c r="I123" s="523"/>
      <c r="J123" s="523"/>
      <c r="K123" s="523"/>
      <c r="L123" s="523"/>
      <c r="M123" s="523"/>
      <c r="N123" s="524"/>
    </row>
    <row r="124" spans="2:14" x14ac:dyDescent="0.3">
      <c r="B124" s="121"/>
      <c r="C124" s="527" t="s">
        <v>1446</v>
      </c>
      <c r="D124" s="527"/>
      <c r="E124" s="527"/>
      <c r="F124" s="527" t="s">
        <v>1436</v>
      </c>
      <c r="G124" s="527"/>
      <c r="H124" s="527"/>
      <c r="I124" s="527" t="s">
        <v>13</v>
      </c>
      <c r="J124" s="527"/>
      <c r="K124" s="527"/>
      <c r="L124" s="527" t="s">
        <v>1447</v>
      </c>
      <c r="M124" s="527"/>
      <c r="N124" s="528"/>
    </row>
    <row r="125" spans="2:14" x14ac:dyDescent="0.3">
      <c r="B125" s="127" t="s">
        <v>1448</v>
      </c>
      <c r="C125" s="116" t="s">
        <v>1449</v>
      </c>
      <c r="D125" s="116" t="s">
        <v>1450</v>
      </c>
      <c r="E125" s="116" t="s">
        <v>1451</v>
      </c>
      <c r="F125" s="116" t="s">
        <v>1452</v>
      </c>
      <c r="G125" s="116" t="s">
        <v>1453</v>
      </c>
      <c r="H125" s="116" t="s">
        <v>1454</v>
      </c>
      <c r="I125" s="116" t="s">
        <v>1455</v>
      </c>
      <c r="J125" s="116" t="s">
        <v>1456</v>
      </c>
      <c r="K125" s="116" t="s">
        <v>1457</v>
      </c>
      <c r="L125" s="116" t="s">
        <v>1458</v>
      </c>
      <c r="M125" s="116" t="s">
        <v>1459</v>
      </c>
      <c r="N125" s="128" t="s">
        <v>1460</v>
      </c>
    </row>
    <row r="126" spans="2:14" x14ac:dyDescent="0.3">
      <c r="B126" s="121" t="s">
        <v>1461</v>
      </c>
      <c r="C126" s="120">
        <v>618.79999999999995</v>
      </c>
      <c r="D126" s="120">
        <v>642.13333333333333</v>
      </c>
      <c r="E126" s="120">
        <v>690.21333333333325</v>
      </c>
      <c r="F126" s="120">
        <v>645.57999999999993</v>
      </c>
      <c r="G126" s="120">
        <v>617.65333333333331</v>
      </c>
      <c r="H126" s="120">
        <v>639.36</v>
      </c>
      <c r="I126" s="120">
        <v>1000.96</v>
      </c>
      <c r="J126" s="120">
        <v>969.88666666666666</v>
      </c>
      <c r="K126" s="120">
        <v>895.86000000000013</v>
      </c>
      <c r="L126" s="120">
        <v>913.92000000000007</v>
      </c>
      <c r="M126" s="120">
        <v>939.12</v>
      </c>
      <c r="N126" s="129">
        <v>881.65333333333331</v>
      </c>
    </row>
    <row r="127" spans="2:14" x14ac:dyDescent="0.3">
      <c r="B127" s="130" t="s">
        <v>1462</v>
      </c>
      <c r="C127" s="118">
        <v>0.59499999999999997</v>
      </c>
      <c r="D127" s="118">
        <v>0.56000000000000005</v>
      </c>
      <c r="E127" s="118">
        <v>0.57199999999999995</v>
      </c>
      <c r="F127" s="118">
        <v>0.57299999999999995</v>
      </c>
      <c r="G127" s="118">
        <v>0.59199999999999997</v>
      </c>
      <c r="H127" s="118">
        <v>0.59199999999999997</v>
      </c>
      <c r="I127" s="118">
        <v>0.55200000000000005</v>
      </c>
      <c r="J127" s="118">
        <v>0.58899999999999997</v>
      </c>
      <c r="K127" s="118">
        <v>0.55300000000000005</v>
      </c>
      <c r="L127" s="118">
        <v>0.54400000000000004</v>
      </c>
      <c r="M127" s="118">
        <v>0.55900000000000005</v>
      </c>
      <c r="N127" s="122">
        <v>0.54200000000000004</v>
      </c>
    </row>
    <row r="128" spans="2:14" x14ac:dyDescent="0.3">
      <c r="B128" s="130" t="s">
        <v>1463</v>
      </c>
      <c r="C128" s="118">
        <v>0</v>
      </c>
      <c r="D128" s="118">
        <v>0</v>
      </c>
      <c r="E128" s="118">
        <v>0</v>
      </c>
      <c r="F128" s="118">
        <v>0</v>
      </c>
      <c r="G128" s="118">
        <v>0</v>
      </c>
      <c r="H128" s="118">
        <v>0</v>
      </c>
      <c r="I128" s="118">
        <v>0.20200000000000001</v>
      </c>
      <c r="J128" s="118">
        <v>0.187</v>
      </c>
      <c r="K128" s="118">
        <v>0.16800000000000001</v>
      </c>
      <c r="L128" s="118">
        <v>0.217</v>
      </c>
      <c r="M128" s="118">
        <v>0.245779590606689</v>
      </c>
      <c r="N128" s="122">
        <v>0.20899999999999999</v>
      </c>
    </row>
    <row r="129" spans="2:23" x14ac:dyDescent="0.3">
      <c r="B129" s="130" t="s">
        <v>35</v>
      </c>
      <c r="C129" s="120">
        <v>7.18</v>
      </c>
      <c r="D129" s="117">
        <v>7.28</v>
      </c>
      <c r="E129" s="117">
        <v>7.17</v>
      </c>
      <c r="F129" s="120">
        <v>6.87</v>
      </c>
      <c r="G129" s="120">
        <v>6.95</v>
      </c>
      <c r="H129" s="117">
        <v>6.82</v>
      </c>
      <c r="I129" s="117">
        <v>7.7</v>
      </c>
      <c r="J129" s="120">
        <v>7.56</v>
      </c>
      <c r="K129" s="120">
        <v>7.5</v>
      </c>
      <c r="L129" s="120">
        <v>7.59</v>
      </c>
      <c r="M129" s="120">
        <v>7.75</v>
      </c>
      <c r="N129" s="129">
        <v>7.96</v>
      </c>
    </row>
    <row r="130" spans="2:23" x14ac:dyDescent="0.3">
      <c r="B130" s="130" t="s">
        <v>309</v>
      </c>
      <c r="C130" s="120">
        <v>3059.35693359375</v>
      </c>
      <c r="D130" s="120">
        <v>3354.66455078125</v>
      </c>
      <c r="E130" s="120">
        <v>2601.0316162109375</v>
      </c>
      <c r="F130" s="119">
        <v>3982.41357421875</v>
      </c>
      <c r="G130" s="119">
        <v>3686.61279296875</v>
      </c>
      <c r="H130" s="119">
        <v>5436.630859375</v>
      </c>
      <c r="I130" s="119">
        <v>555.58755493164063</v>
      </c>
      <c r="J130" s="120">
        <v>528.82655334472656</v>
      </c>
      <c r="K130" s="120">
        <v>688.46597290039063</v>
      </c>
      <c r="L130" s="120">
        <v>276.46969604492188</v>
      </c>
      <c r="M130" s="120">
        <v>452.76900000000001</v>
      </c>
      <c r="N130" s="129">
        <v>370.79399999999998</v>
      </c>
    </row>
    <row r="131" spans="2:23" x14ac:dyDescent="0.3">
      <c r="B131" s="123" t="s">
        <v>310</v>
      </c>
      <c r="C131" s="120">
        <v>1834.3161010742188</v>
      </c>
      <c r="D131" s="120">
        <v>2160.6859130859375</v>
      </c>
      <c r="E131" s="120">
        <v>1716.4161376953125</v>
      </c>
      <c r="F131" s="119">
        <v>1384.1930541992188</v>
      </c>
      <c r="G131" s="119">
        <v>1253.6097412109375</v>
      </c>
      <c r="H131" s="119">
        <v>1415.1205444335938</v>
      </c>
      <c r="I131" s="119">
        <v>1732.77001953125</v>
      </c>
      <c r="J131" s="120">
        <v>1830.0448608398438</v>
      </c>
      <c r="K131" s="120">
        <v>1760.8292846679688</v>
      </c>
      <c r="L131" s="120">
        <v>196.44099426269531</v>
      </c>
      <c r="M131" s="120">
        <v>172.76614999999998</v>
      </c>
      <c r="N131" s="129">
        <v>240.54955000000001</v>
      </c>
    </row>
    <row r="132" spans="2:23" x14ac:dyDescent="0.3">
      <c r="B132" s="123" t="s">
        <v>1464</v>
      </c>
      <c r="C132" s="120">
        <v>332.22967529296875</v>
      </c>
      <c r="D132" s="120">
        <v>380.41090393066406</v>
      </c>
      <c r="E132" s="120">
        <v>302.90982055664063</v>
      </c>
      <c r="F132" s="119">
        <v>272.74232482910156</v>
      </c>
      <c r="G132" s="119">
        <v>276.37760925292969</v>
      </c>
      <c r="H132" s="119">
        <v>304.22743225097656</v>
      </c>
      <c r="I132" s="119">
        <v>333.34095764160156</v>
      </c>
      <c r="J132" s="120">
        <v>349.3150634765625</v>
      </c>
      <c r="K132" s="120">
        <v>319.39920043945313</v>
      </c>
      <c r="L132" s="120">
        <v>5.1383249759674072</v>
      </c>
      <c r="M132" s="120">
        <v>6.4719499999999996</v>
      </c>
      <c r="N132" s="129">
        <v>0</v>
      </c>
    </row>
    <row r="133" spans="2:23" x14ac:dyDescent="0.3">
      <c r="B133" s="123" t="s">
        <v>311</v>
      </c>
      <c r="C133" s="120">
        <v>49.954521179199219</v>
      </c>
      <c r="D133" s="120">
        <v>53.259365081787109</v>
      </c>
      <c r="E133" s="120">
        <v>58.154909133911133</v>
      </c>
      <c r="F133" s="119">
        <v>629.27694702148438</v>
      </c>
      <c r="G133" s="119">
        <v>549.18475341796875</v>
      </c>
      <c r="H133" s="119">
        <v>564.18157958984375</v>
      </c>
      <c r="I133" s="119">
        <v>1.5486649870872498</v>
      </c>
      <c r="J133" s="120">
        <v>0.6544250100851059</v>
      </c>
      <c r="K133" s="120">
        <v>4.4014499187469482</v>
      </c>
      <c r="L133" s="120">
        <v>0.3222300112247467</v>
      </c>
      <c r="M133" s="120">
        <v>11.828199999999999</v>
      </c>
      <c r="N133" s="129">
        <v>8.1018000000000008</v>
      </c>
    </row>
    <row r="134" spans="2:23" ht="15" thickBot="1" x14ac:dyDescent="0.35">
      <c r="B134" s="124" t="s">
        <v>1465</v>
      </c>
      <c r="C134" s="126">
        <v>517.34817504882813</v>
      </c>
      <c r="D134" s="126">
        <v>625.25616455078125</v>
      </c>
      <c r="E134" s="126">
        <v>531.17938232421875</v>
      </c>
      <c r="F134" s="125">
        <v>680.52279663085938</v>
      </c>
      <c r="G134" s="125">
        <v>705.54861450195313</v>
      </c>
      <c r="H134" s="125">
        <v>758.82150268554688</v>
      </c>
      <c r="I134" s="125">
        <v>448.565185546875</v>
      </c>
      <c r="J134" s="126">
        <v>468.21450805664063</v>
      </c>
      <c r="K134" s="126">
        <v>440.62327575683594</v>
      </c>
      <c r="L134" s="126">
        <v>1.5722149610519409</v>
      </c>
      <c r="M134" s="126">
        <v>0</v>
      </c>
      <c r="N134" s="131">
        <v>0</v>
      </c>
    </row>
    <row r="135" spans="2:23" s="133" customFormat="1" x14ac:dyDescent="0.3">
      <c r="B135" s="147" t="s">
        <v>1487</v>
      </c>
      <c r="C135" s="132">
        <f>(C130/Data!$D$18+C131/Data!$E$18+ C132/Data!$F$18+C133/Data!$G$18+C134/Data!$H$18)/1000</f>
        <v>8.5109567410641851E-2</v>
      </c>
      <c r="D135" s="132">
        <f>(D130/Data!$D$18+D131/Data!$E$18+ D132/Data!$F$18+D133/Data!$G$18+D134/Data!$H$18)/1000</f>
        <v>9.6073664999411224E-2</v>
      </c>
      <c r="E135" s="132">
        <f>(E130/Data!$D$18+E131/Data!$E$18+ E132/Data!$F$18+E133/Data!$G$18+E134/Data!$H$18)/1000</f>
        <v>7.5781656658401447E-2</v>
      </c>
      <c r="F135" s="132">
        <f>(F130/Data!$D$18+F131/Data!$E$18+ F132/Data!$F$18+F133/Data!$G$18+F134/Data!$H$18)/1000</f>
        <v>0.10190196112082396</v>
      </c>
      <c r="G135" s="132">
        <f>(G130/Data!$D$18+G131/Data!$E$18+ G132/Data!$F$18+G133/Data!$G$18+G134/Data!$H$18)/1000</f>
        <v>9.4590746049257768E-2</v>
      </c>
      <c r="H135" s="132">
        <f>(H130/Data!$D$18+H131/Data!$E$18+ H132/Data!$F$18+H133/Data!$G$18+H134/Data!$H$18)/1000</f>
        <v>0.12692042060453435</v>
      </c>
      <c r="I135" s="132">
        <f>(I130/Data!$D$18+I131/Data!$E$18+ I132/Data!$F$18+I133/Data!$G$18+I134/Data!$H$18)/1000</f>
        <v>4.08354545209344E-2</v>
      </c>
      <c r="J135" s="132">
        <f>(J130/Data!$D$18+J131/Data!$E$18+ J132/Data!$F$18+J133/Data!$G$18+J134/Data!$H$18)/1000</f>
        <v>4.2066492378495982E-2</v>
      </c>
      <c r="K135" s="132">
        <f>(K130/Data!$D$18+K131/Data!$E$18+ K132/Data!$F$18+K133/Data!$G$18+K134/Data!$H$18)/1000</f>
        <v>4.3223316192554193E-2</v>
      </c>
      <c r="L135" s="132">
        <f>(L130/Data!$D$18+L131/Data!$E$18+ L132/Data!$F$18+L133/Data!$G$18+L134/Data!$H$18)/1000</f>
        <v>7.3329484658180791E-3</v>
      </c>
      <c r="M135" s="132">
        <f>(M130/Data!$D$18+M131/Data!$E$18+ M132/Data!$F$18+M133/Data!$G$18+M134/Data!$H$18)/1000</f>
        <v>1.0079453142818873E-2</v>
      </c>
      <c r="N135" s="132">
        <f>(N130/Data!$D$18+N131/Data!$E$18+ N132/Data!$F$18+N133/Data!$G$18+N134/Data!$H$18)/1000</f>
        <v>9.5136569607979678E-3</v>
      </c>
    </row>
    <row r="136" spans="2:23" ht="15" thickBot="1" x14ac:dyDescent="0.35"/>
    <row r="137" spans="2:23" x14ac:dyDescent="0.3">
      <c r="B137" s="522" t="s">
        <v>1466</v>
      </c>
      <c r="C137" s="523"/>
      <c r="D137" s="523"/>
      <c r="E137" s="523"/>
      <c r="F137" s="523"/>
      <c r="G137" s="523"/>
      <c r="H137" s="523"/>
      <c r="I137" s="523"/>
      <c r="J137" s="523"/>
      <c r="K137" s="523"/>
      <c r="L137" s="523"/>
      <c r="M137" s="523"/>
      <c r="N137" s="523"/>
      <c r="O137" s="523"/>
      <c r="P137" s="523"/>
      <c r="Q137" s="523"/>
      <c r="R137" s="523"/>
      <c r="S137" s="523"/>
      <c r="T137" s="523"/>
      <c r="U137" s="523"/>
      <c r="V137" s="523"/>
      <c r="W137" s="524"/>
    </row>
    <row r="138" spans="2:23" x14ac:dyDescent="0.3">
      <c r="B138" s="149"/>
      <c r="C138" s="525" t="s">
        <v>1467</v>
      </c>
      <c r="D138" s="525"/>
      <c r="E138" s="525"/>
      <c r="F138" s="525" t="s">
        <v>1468</v>
      </c>
      <c r="G138" s="525"/>
      <c r="H138" s="525"/>
      <c r="I138" s="525" t="s">
        <v>1469</v>
      </c>
      <c r="J138" s="525"/>
      <c r="K138" s="525"/>
      <c r="L138" s="525" t="s">
        <v>1470</v>
      </c>
      <c r="M138" s="525"/>
      <c r="N138" s="525"/>
      <c r="O138" s="525" t="s">
        <v>1471</v>
      </c>
      <c r="P138" s="525"/>
      <c r="Q138" s="525"/>
      <c r="R138" s="525" t="s">
        <v>1447</v>
      </c>
      <c r="S138" s="525"/>
      <c r="T138" s="525"/>
      <c r="U138" s="525" t="s">
        <v>335</v>
      </c>
      <c r="V138" s="525"/>
      <c r="W138" s="526"/>
    </row>
    <row r="139" spans="2:23" x14ac:dyDescent="0.3">
      <c r="B139" s="150" t="s">
        <v>1448</v>
      </c>
      <c r="C139" s="135" t="s">
        <v>1472</v>
      </c>
      <c r="D139" s="135" t="s">
        <v>1473</v>
      </c>
      <c r="E139" s="135" t="s">
        <v>1474</v>
      </c>
      <c r="F139" s="135" t="s">
        <v>1475</v>
      </c>
      <c r="G139" s="135" t="s">
        <v>1476</v>
      </c>
      <c r="H139" s="135" t="s">
        <v>1477</v>
      </c>
      <c r="I139" s="135" t="s">
        <v>1478</v>
      </c>
      <c r="J139" s="135" t="s">
        <v>1479</v>
      </c>
      <c r="K139" s="135" t="s">
        <v>1480</v>
      </c>
      <c r="L139" s="135" t="s">
        <v>1481</v>
      </c>
      <c r="M139" s="135" t="s">
        <v>1482</v>
      </c>
      <c r="N139" s="135" t="s">
        <v>1483</v>
      </c>
      <c r="O139" s="135" t="s">
        <v>1484</v>
      </c>
      <c r="P139" s="135" t="s">
        <v>1485</v>
      </c>
      <c r="Q139" s="135" t="s">
        <v>1486</v>
      </c>
      <c r="R139" s="136" t="s">
        <v>1458</v>
      </c>
      <c r="S139" s="136" t="s">
        <v>1459</v>
      </c>
      <c r="T139" s="136" t="s">
        <v>1460</v>
      </c>
      <c r="U139" s="135" t="s">
        <v>1455</v>
      </c>
      <c r="V139" s="135" t="s">
        <v>1456</v>
      </c>
      <c r="W139" s="151" t="s">
        <v>1457</v>
      </c>
    </row>
    <row r="140" spans="2:23" x14ac:dyDescent="0.3">
      <c r="B140" s="152" t="s">
        <v>1461</v>
      </c>
      <c r="C140" s="138">
        <v>1444.3999999999999</v>
      </c>
      <c r="D140" s="138">
        <v>1480.7466666666667</v>
      </c>
      <c r="E140" s="138">
        <v>1182.29</v>
      </c>
      <c r="F140" s="138">
        <v>126.54</v>
      </c>
      <c r="G140" s="138">
        <v>1159.2533333333333</v>
      </c>
      <c r="H140" s="138">
        <v>832.38666666666666</v>
      </c>
      <c r="I140" s="138">
        <v>823.69333333333327</v>
      </c>
      <c r="J140" s="138">
        <v>605.36</v>
      </c>
      <c r="K140" s="138">
        <v>413.65333333333336</v>
      </c>
      <c r="L140" s="138">
        <v>230.22666666666669</v>
      </c>
      <c r="M140" s="138">
        <v>463.68</v>
      </c>
      <c r="N140" s="138">
        <v>313.61333333333334</v>
      </c>
      <c r="O140" s="138">
        <v>441.6733333333334</v>
      </c>
      <c r="P140" s="138">
        <v>552.39333333333332</v>
      </c>
      <c r="Q140" s="138">
        <v>550.19999999999993</v>
      </c>
      <c r="R140" s="138">
        <v>968.70666666666682</v>
      </c>
      <c r="S140" s="138">
        <v>892.32</v>
      </c>
      <c r="T140" s="138">
        <v>856.84</v>
      </c>
      <c r="U140" s="138">
        <v>954.83815852534917</v>
      </c>
      <c r="V140" s="138">
        <v>1001.5796462514237</v>
      </c>
      <c r="W140" s="153">
        <v>973.33333333333337</v>
      </c>
    </row>
    <row r="141" spans="2:23" x14ac:dyDescent="0.3">
      <c r="B141" s="154" t="s">
        <v>1462</v>
      </c>
      <c r="C141" s="139">
        <v>0.628</v>
      </c>
      <c r="D141" s="140">
        <v>0.63100000000000001</v>
      </c>
      <c r="E141" s="139">
        <v>0.61899999999999999</v>
      </c>
      <c r="F141" s="140">
        <v>0.33300000000000002</v>
      </c>
      <c r="G141" s="140">
        <v>0.70399999999999996</v>
      </c>
      <c r="H141" s="140">
        <v>0.76600000000000001</v>
      </c>
      <c r="I141" s="140">
        <v>0.65200000000000002</v>
      </c>
      <c r="J141" s="139">
        <v>0.65800000000000003</v>
      </c>
      <c r="K141" s="140">
        <v>0.55400000000000005</v>
      </c>
      <c r="L141" s="140">
        <v>0.55700000000000005</v>
      </c>
      <c r="M141" s="140">
        <v>0.621</v>
      </c>
      <c r="N141" s="139">
        <v>0.54700000000000004</v>
      </c>
      <c r="O141" s="140">
        <v>0.68300000000000005</v>
      </c>
      <c r="P141" s="140">
        <v>0.623</v>
      </c>
      <c r="Q141" s="139">
        <v>0.63</v>
      </c>
      <c r="R141" s="139">
        <v>0.67900000000000005</v>
      </c>
      <c r="S141" s="139">
        <v>0.67600000000000005</v>
      </c>
      <c r="T141" s="139">
        <v>0.69099999999999995</v>
      </c>
      <c r="U141" s="140">
        <v>0.73449089117334554</v>
      </c>
      <c r="V141" s="140">
        <v>0.73286315579372463</v>
      </c>
      <c r="W141" s="155">
        <v>0.73</v>
      </c>
    </row>
    <row r="142" spans="2:23" x14ac:dyDescent="0.3">
      <c r="B142" s="154" t="s">
        <v>1463</v>
      </c>
      <c r="C142" s="140">
        <v>0</v>
      </c>
      <c r="D142" s="140">
        <v>0</v>
      </c>
      <c r="E142" s="140">
        <v>0</v>
      </c>
      <c r="F142" s="140">
        <v>0</v>
      </c>
      <c r="G142" s="140">
        <v>0</v>
      </c>
      <c r="H142" s="140">
        <v>0</v>
      </c>
      <c r="I142" s="140">
        <v>0</v>
      </c>
      <c r="J142" s="140">
        <v>0</v>
      </c>
      <c r="K142" s="140">
        <v>0</v>
      </c>
      <c r="L142" s="140">
        <v>0</v>
      </c>
      <c r="M142" s="140">
        <v>0</v>
      </c>
      <c r="N142" s="140">
        <v>0</v>
      </c>
      <c r="O142" s="140">
        <v>0</v>
      </c>
      <c r="P142" s="140">
        <v>0</v>
      </c>
      <c r="Q142" s="140">
        <v>0</v>
      </c>
      <c r="R142" s="140">
        <v>0</v>
      </c>
      <c r="S142" s="140">
        <v>0</v>
      </c>
      <c r="T142" s="140">
        <v>0</v>
      </c>
      <c r="U142" s="139">
        <v>4.2947496668206443E-2</v>
      </c>
      <c r="V142" s="139">
        <v>4.8246839456274587E-2</v>
      </c>
      <c r="W142" s="155">
        <v>6.3E-2</v>
      </c>
    </row>
    <row r="143" spans="2:23" x14ac:dyDescent="0.3">
      <c r="B143" s="154" t="s">
        <v>35</v>
      </c>
      <c r="C143" s="141">
        <v>7.7</v>
      </c>
      <c r="D143" s="141">
        <v>7.54</v>
      </c>
      <c r="E143" s="142">
        <v>7.25</v>
      </c>
      <c r="F143" s="141">
        <v>6.28</v>
      </c>
      <c r="G143" s="141">
        <v>7.32</v>
      </c>
      <c r="H143" s="141">
        <v>7.68</v>
      </c>
      <c r="I143" s="141">
        <v>7.56</v>
      </c>
      <c r="J143" s="137">
        <v>7.44</v>
      </c>
      <c r="K143" s="141">
        <v>6.13</v>
      </c>
      <c r="L143" s="141">
        <v>6.51</v>
      </c>
      <c r="M143" s="141">
        <v>6.34</v>
      </c>
      <c r="N143" s="141">
        <v>6.86</v>
      </c>
      <c r="O143" s="141">
        <v>6.98</v>
      </c>
      <c r="P143" s="141">
        <v>6.66</v>
      </c>
      <c r="Q143" s="141">
        <v>6.88</v>
      </c>
      <c r="R143" s="143">
        <v>7.78</v>
      </c>
      <c r="S143" s="143">
        <v>7.74</v>
      </c>
      <c r="T143" s="143">
        <v>7.76</v>
      </c>
      <c r="U143" s="141">
        <v>8.0500000000000007</v>
      </c>
      <c r="V143" s="141">
        <v>7.97</v>
      </c>
      <c r="W143" s="156">
        <v>8.06</v>
      </c>
    </row>
    <row r="144" spans="2:23" x14ac:dyDescent="0.3">
      <c r="B144" s="154" t="s">
        <v>309</v>
      </c>
      <c r="C144" s="144">
        <v>1129.4862670898438</v>
      </c>
      <c r="D144" s="144">
        <v>1863.0543212890625</v>
      </c>
      <c r="E144" s="144">
        <v>2535.1845703125</v>
      </c>
      <c r="F144" s="144">
        <v>5000.4033203125</v>
      </c>
      <c r="G144" s="144">
        <v>3155.2366943359375</v>
      </c>
      <c r="H144" s="144">
        <v>2784.8802490234375</v>
      </c>
      <c r="I144" s="145">
        <v>568.43215942382813</v>
      </c>
      <c r="J144" s="144">
        <v>1193.8984375</v>
      </c>
      <c r="K144" s="145">
        <v>3532.7423095703125</v>
      </c>
      <c r="L144" s="145">
        <v>5870.0400390625</v>
      </c>
      <c r="M144" s="145">
        <v>5424.5419921875</v>
      </c>
      <c r="N144" s="145">
        <v>6203.541015625</v>
      </c>
      <c r="O144" s="145">
        <v>3029.8765869140625</v>
      </c>
      <c r="P144" s="145">
        <v>3746.7222900390625</v>
      </c>
      <c r="Q144" s="146">
        <v>3847.7672119140625</v>
      </c>
      <c r="R144" s="146">
        <v>21.467494964599609</v>
      </c>
      <c r="S144" s="146">
        <v>0.3751550018787384</v>
      </c>
      <c r="T144" s="146">
        <v>0.37836499512195587</v>
      </c>
      <c r="U144" s="145">
        <v>19.950099945068359</v>
      </c>
      <c r="V144" s="145">
        <v>27.551945686340332</v>
      </c>
      <c r="W144" s="157">
        <v>32.705550000000002</v>
      </c>
    </row>
    <row r="145" spans="2:23" x14ac:dyDescent="0.3">
      <c r="B145" s="158" t="s">
        <v>310</v>
      </c>
      <c r="C145" s="144">
        <v>634.30059814453125</v>
      </c>
      <c r="D145" s="144">
        <v>983.6695556640625</v>
      </c>
      <c r="E145" s="144">
        <v>1112.6276245117188</v>
      </c>
      <c r="F145" s="144">
        <v>2012.268798828125</v>
      </c>
      <c r="G145" s="144">
        <v>1575.0642700195313</v>
      </c>
      <c r="H145" s="144">
        <v>1638.4861450195313</v>
      </c>
      <c r="I145" s="145">
        <v>1087.3025512695313</v>
      </c>
      <c r="J145" s="144">
        <v>1110.4055786132813</v>
      </c>
      <c r="K145" s="145">
        <v>976.3277587890625</v>
      </c>
      <c r="L145" s="145">
        <v>1082.3983764648438</v>
      </c>
      <c r="M145" s="145">
        <v>847.64630126953125</v>
      </c>
      <c r="N145" s="145">
        <v>735.31167602539063</v>
      </c>
      <c r="O145" s="145">
        <v>422.31117248535156</v>
      </c>
      <c r="P145" s="145">
        <v>480.54827880859375</v>
      </c>
      <c r="Q145" s="146">
        <v>492.91812133789063</v>
      </c>
      <c r="R145" s="146">
        <v>3.2253100872039795</v>
      </c>
      <c r="S145" s="146">
        <v>44.205860137939453</v>
      </c>
      <c r="T145" s="146">
        <v>158.31697082519531</v>
      </c>
      <c r="U145" s="145">
        <v>0.79502502083778381</v>
      </c>
      <c r="V145" s="145">
        <v>2.6730700135231018</v>
      </c>
      <c r="W145" s="157">
        <v>0</v>
      </c>
    </row>
    <row r="146" spans="2:23" x14ac:dyDescent="0.3">
      <c r="B146" s="158" t="s">
        <v>1464</v>
      </c>
      <c r="C146" s="144">
        <v>100.32473373413086</v>
      </c>
      <c r="D146" s="144">
        <v>136.70821380615234</v>
      </c>
      <c r="E146" s="144">
        <v>189.29444122314453</v>
      </c>
      <c r="F146" s="144">
        <v>279.68179321289063</v>
      </c>
      <c r="G146" s="144">
        <v>267.34292602539063</v>
      </c>
      <c r="H146" s="144">
        <v>291.23683166503906</v>
      </c>
      <c r="I146" s="145">
        <v>32.333710670471191</v>
      </c>
      <c r="J146" s="144">
        <v>71.595176696777344</v>
      </c>
      <c r="K146" s="145">
        <v>126.30759048461914</v>
      </c>
      <c r="L146" s="145">
        <v>133.68282318115234</v>
      </c>
      <c r="M146" s="145">
        <v>133.75373840332031</v>
      </c>
      <c r="N146" s="145">
        <v>142.42176818847656</v>
      </c>
      <c r="O146" s="145">
        <v>102.5592155456543</v>
      </c>
      <c r="P146" s="145">
        <v>148.01226806640625</v>
      </c>
      <c r="Q146" s="146">
        <v>165.36014556884766</v>
      </c>
      <c r="R146" s="146">
        <v>0.88532501459121704</v>
      </c>
      <c r="S146" s="146">
        <v>5.7910199165344238</v>
      </c>
      <c r="T146" s="146">
        <v>150.95114517211914</v>
      </c>
      <c r="U146" s="145">
        <v>0.42971999943256378</v>
      </c>
      <c r="V146" s="145">
        <v>0.40982000529766083</v>
      </c>
      <c r="W146" s="157">
        <v>0</v>
      </c>
    </row>
    <row r="147" spans="2:23" x14ac:dyDescent="0.3">
      <c r="B147" s="158" t="s">
        <v>311</v>
      </c>
      <c r="C147" s="144">
        <v>61.06627082824707</v>
      </c>
      <c r="D147" s="144">
        <v>118.83009719848633</v>
      </c>
      <c r="E147" s="144">
        <v>194.10765075683594</v>
      </c>
      <c r="F147" s="144">
        <v>1871.5848388671875</v>
      </c>
      <c r="G147" s="144">
        <v>2205.65625</v>
      </c>
      <c r="H147" s="144">
        <v>145.90446472167969</v>
      </c>
      <c r="I147" s="145">
        <v>9.7132396697998047</v>
      </c>
      <c r="J147" s="144">
        <v>39.829765319824219</v>
      </c>
      <c r="K147" s="145">
        <v>145.68399047851563</v>
      </c>
      <c r="L147" s="145">
        <v>498.27569580078125</v>
      </c>
      <c r="M147" s="145">
        <v>647.62509155273438</v>
      </c>
      <c r="N147" s="145">
        <v>733.36178588867188</v>
      </c>
      <c r="O147" s="145">
        <v>141.94679260253906</v>
      </c>
      <c r="P147" s="145">
        <v>273.89788818359375</v>
      </c>
      <c r="Q147" s="146">
        <v>306.34759521484375</v>
      </c>
      <c r="R147" s="146">
        <v>4.0785449743270874</v>
      </c>
      <c r="S147" s="146">
        <v>0.8079250156879425</v>
      </c>
      <c r="T147" s="146">
        <v>2.5086800456047058</v>
      </c>
      <c r="U147" s="145">
        <v>0.15196999907493591</v>
      </c>
      <c r="V147" s="145">
        <v>0.20966000109910965</v>
      </c>
      <c r="W147" s="157">
        <v>4.6824499999999993</v>
      </c>
    </row>
    <row r="148" spans="2:23" ht="15" thickBot="1" x14ac:dyDescent="0.35">
      <c r="B148" s="159" t="s">
        <v>1465</v>
      </c>
      <c r="C148" s="160">
        <v>180.48331451416016</v>
      </c>
      <c r="D148" s="160">
        <v>277.93614196777344</v>
      </c>
      <c r="E148" s="160">
        <v>395.97456359863281</v>
      </c>
      <c r="F148" s="160">
        <v>595.605224609375</v>
      </c>
      <c r="G148" s="160">
        <v>533.72645568847656</v>
      </c>
      <c r="H148" s="160">
        <v>548.47030639648438</v>
      </c>
      <c r="I148" s="161">
        <v>42.132534027099609</v>
      </c>
      <c r="J148" s="160">
        <v>111.95222854614258</v>
      </c>
      <c r="K148" s="161">
        <v>217.76728820800781</v>
      </c>
      <c r="L148" s="161">
        <v>269.61723327636719</v>
      </c>
      <c r="M148" s="161">
        <v>267.69142150878906</v>
      </c>
      <c r="N148" s="161">
        <v>286.30917358398438</v>
      </c>
      <c r="O148" s="161">
        <v>144.21751403808594</v>
      </c>
      <c r="P148" s="161">
        <v>239.94376373291016</v>
      </c>
      <c r="Q148" s="162">
        <v>283.71307373046875</v>
      </c>
      <c r="R148" s="162">
        <v>0.78382000327110291</v>
      </c>
      <c r="S148" s="162">
        <v>7.3862099647521973</v>
      </c>
      <c r="T148" s="162">
        <v>3.2147949934005737</v>
      </c>
      <c r="U148" s="161">
        <v>0.22987999767065048</v>
      </c>
      <c r="V148" s="161">
        <v>0.2906000018119812</v>
      </c>
      <c r="W148" s="163">
        <v>0</v>
      </c>
    </row>
    <row r="149" spans="2:23" s="133" customFormat="1" x14ac:dyDescent="0.3">
      <c r="B149" s="147" t="s">
        <v>1487</v>
      </c>
      <c r="C149" s="132">
        <f>(C144/Data!$D$18+C145/Data!$E$18+ C146/Data!$F$18+C147/Data!$G$18+C148/Data!$H$18)/1000</f>
        <v>3.0969736447375648E-2</v>
      </c>
      <c r="D149" s="132">
        <f>(D144/Data!$D$18+D145/Data!$E$18+ D146/Data!$F$18+D147/Data!$G$18+D148/Data!$H$18)/1000</f>
        <v>4.9924103269720792E-2</v>
      </c>
      <c r="E149" s="132">
        <f>(E144/Data!$D$18+E145/Data!$E$18+ E146/Data!$F$18+E147/Data!$G$18+E148/Data!$H$18)/1000</f>
        <v>6.5464296980999856E-2</v>
      </c>
      <c r="F149" s="132">
        <f>(F144/Data!$D$18+F145/Data!$E$18+ F146/Data!$F$18+F147/Data!$G$18+F148/Data!$H$18)/1000</f>
        <v>0.14067955913060065</v>
      </c>
      <c r="G149" s="132">
        <f>(G144/Data!$D$18+G145/Data!$E$18+ G146/Data!$F$18+G147/Data!$G$18+G148/Data!$H$18)/1000</f>
        <v>0.10709755056048177</v>
      </c>
      <c r="H149" s="132">
        <f>(H144/Data!$D$18+H145/Data!$E$18+ H146/Data!$F$18+H147/Data!$G$18+H148/Data!$H$18)/1000</f>
        <v>7.8823909549451995E-2</v>
      </c>
      <c r="I149" s="132">
        <f>(I144/Data!$D$18+I145/Data!$E$18+ I146/Data!$F$18+I147/Data!$G$18+I148/Data!$H$18)/1000</f>
        <v>2.5032929823858446E-2</v>
      </c>
      <c r="J149" s="132">
        <f>(J144/Data!$D$18+J145/Data!$E$18+ J146/Data!$F$18+J147/Data!$G$18+J148/Data!$H$18)/1000</f>
        <v>3.7231195545576537E-2</v>
      </c>
      <c r="K149" s="132">
        <f>(K144/Data!$D$18+K145/Data!$E$18+ K146/Data!$F$18+K147/Data!$G$18+K148/Data!$H$18)/1000</f>
        <v>7.7226467306144783E-2</v>
      </c>
      <c r="L149" s="132">
        <f>(L144/Data!$D$18+L145/Data!$E$18+ L146/Data!$F$18+L147/Data!$G$18+L148/Data!$H$18)/1000</f>
        <v>0.12217257664425728</v>
      </c>
      <c r="M149" s="132">
        <f>(M144/Data!$D$18+M145/Data!$E$18+ M146/Data!$F$18+M147/Data!$G$18+M148/Data!$H$18)/1000</f>
        <v>0.11326221359923637</v>
      </c>
      <c r="N149" s="132">
        <f>(N144/Data!$D$18+N145/Data!$E$18+ N146/Data!$F$18+N147/Data!$G$18+N148/Data!$H$18)/1000</f>
        <v>0.12597156922610553</v>
      </c>
      <c r="O149" s="132">
        <f>(O144/Data!$D$18+O145/Data!$E$18+ O146/Data!$F$18+O147/Data!$G$18+O148/Data!$H$18)/1000</f>
        <v>6.0341879733633218E-2</v>
      </c>
      <c r="P149" s="132">
        <f>(P144/Data!$D$18+P145/Data!$E$18+ P146/Data!$F$18+P147/Data!$G$18+P148/Data!$H$18)/1000</f>
        <v>7.6015832861332025E-2</v>
      </c>
      <c r="Q149" s="132">
        <f>(Q144/Data!$D$18+Q145/Data!$E$18+ Q146/Data!$F$18+Q147/Data!$G$18+Q148/Data!$H$18)/1000</f>
        <v>7.8859180485557373E-2</v>
      </c>
      <c r="R149" s="132">
        <f>(R144/Data!$D$18+R145/Data!$E$18+ R146/Data!$F$18+R147/Data!$G$18+R148/Data!$H$18)/1000</f>
        <v>4.6503232501791692E-4</v>
      </c>
      <c r="S149" s="132">
        <f>(S144/Data!$D$18+S145/Data!$E$18+ S146/Data!$F$18+S147/Data!$G$18+S148/Data!$H$18)/1000</f>
        <v>7.5020240375771731E-4</v>
      </c>
      <c r="T149" s="132">
        <f>(T144/Data!$D$18+T145/Data!$E$18+ T146/Data!$F$18+T147/Data!$G$18+T148/Data!$H$18)/1000</f>
        <v>3.9166720308127555E-3</v>
      </c>
      <c r="U149" s="132">
        <f>(U144/Data!$D$18+U145/Data!$E$18+ U146/Data!$F$18+U147/Data!$G$18+U148/Data!$H$18)/1000</f>
        <v>3.5179658550167625E-4</v>
      </c>
      <c r="V149" s="132">
        <f>(V144/Data!$D$18+V145/Data!$E$18+ V146/Data!$F$18+V147/Data!$G$18+V148/Data!$H$18)/1000</f>
        <v>5.0475875041337901E-4</v>
      </c>
      <c r="W149" s="132">
        <f>(W144/Data!$D$18+W145/Data!$E$18+ W146/Data!$F$18+W147/Data!$G$18+W148/Data!$H$18)/1000</f>
        <v>5.9776251068384401E-4</v>
      </c>
    </row>
    <row r="151" spans="2:23" s="133" customFormat="1" x14ac:dyDescent="0.3">
      <c r="B151" s="164" t="s">
        <v>877</v>
      </c>
      <c r="E151" s="133" t="s">
        <v>2182</v>
      </c>
      <c r="F151" s="133" t="s">
        <v>2183</v>
      </c>
      <c r="G151" s="133" t="s">
        <v>1512</v>
      </c>
      <c r="J151" s="133" t="s">
        <v>2182</v>
      </c>
      <c r="K151" s="133" t="s">
        <v>2183</v>
      </c>
    </row>
    <row r="152" spans="2:23" s="133" customFormat="1" x14ac:dyDescent="0.3">
      <c r="B152" s="101" t="s">
        <v>293</v>
      </c>
      <c r="C152" s="101" t="s">
        <v>338</v>
      </c>
      <c r="D152" s="10">
        <f>AVERAGE(C126:E126)/1000</f>
        <v>0.65038222222222219</v>
      </c>
      <c r="E152" s="10">
        <f>AVERAGE(F126:H126)/1000</f>
        <v>0.63419777777777775</v>
      </c>
      <c r="F152" s="10">
        <f>AVERAGE(I126:K126)/1000</f>
        <v>0.95556888888888902</v>
      </c>
      <c r="G152" s="10">
        <f>AVERAGE(L126:N126)/1000</f>
        <v>0.9115644444444444</v>
      </c>
      <c r="H152" s="8"/>
      <c r="I152" s="8"/>
      <c r="J152" s="10">
        <f>AVERAGE(R140:T140)/1000</f>
        <v>0.90595555555555562</v>
      </c>
      <c r="K152" s="10">
        <f>AVERAGE(U140:W140)/1000</f>
        <v>0.97658371270336874</v>
      </c>
    </row>
    <row r="153" spans="2:23" s="133" customFormat="1" x14ac:dyDescent="0.3">
      <c r="B153" s="133" t="s">
        <v>3</v>
      </c>
      <c r="C153" s="133" t="s">
        <v>302</v>
      </c>
      <c r="D153" s="8">
        <f>AVERAGE(C127:E127)*100</f>
        <v>57.566666666666663</v>
      </c>
      <c r="E153" s="8">
        <f>AVERAGE(F127:H127)*100</f>
        <v>58.56666666666667</v>
      </c>
      <c r="F153" s="8">
        <f>AVERAGE(I127:K127)*100</f>
        <v>56.466666666666669</v>
      </c>
      <c r="G153" s="8">
        <f>AVERAGE(L127:N127)*100</f>
        <v>54.833333333333343</v>
      </c>
      <c r="H153" s="8"/>
      <c r="I153" s="8"/>
      <c r="J153" s="8">
        <f>AVERAGE(R141:T141)*100</f>
        <v>68.199999999999989</v>
      </c>
      <c r="K153" s="8">
        <f>AVERAGE(U141:W141)*100</f>
        <v>73.245134898902336</v>
      </c>
    </row>
    <row r="154" spans="2:23" s="133" customFormat="1" x14ac:dyDescent="0.3">
      <c r="B154" s="133" t="s">
        <v>13</v>
      </c>
      <c r="C154" s="133" t="s">
        <v>302</v>
      </c>
      <c r="D154" s="8">
        <f>AVERAGE(C128:E128)*100</f>
        <v>0</v>
      </c>
      <c r="E154" s="8">
        <f>AVERAGE(F128:H128)*100</f>
        <v>0</v>
      </c>
      <c r="F154" s="8">
        <f>AVERAGE(I128:K128)*100</f>
        <v>18.566666666666666</v>
      </c>
      <c r="G154" s="8">
        <f>AVERAGE(L128:N128)*100</f>
        <v>22.392653020222966</v>
      </c>
      <c r="H154" s="8"/>
      <c r="I154" s="8"/>
      <c r="J154" s="8">
        <f>AVERAGE(R142:T142)*100</f>
        <v>0</v>
      </c>
      <c r="K154" s="8">
        <f>AVERAGE(U142:W142)*100</f>
        <v>5.1398112041493675</v>
      </c>
    </row>
    <row r="155" spans="2:23" s="133" customFormat="1" x14ac:dyDescent="0.3">
      <c r="B155" s="133" t="s">
        <v>277</v>
      </c>
      <c r="C155" s="133" t="s">
        <v>302</v>
      </c>
      <c r="D155" s="8">
        <f>100-D153-D154</f>
        <v>42.433333333333337</v>
      </c>
      <c r="E155" s="8">
        <f t="shared" ref="E155:G155" si="1">100-E153-E154</f>
        <v>41.43333333333333</v>
      </c>
      <c r="F155" s="8">
        <f t="shared" si="1"/>
        <v>24.966666666666665</v>
      </c>
      <c r="G155" s="8">
        <f t="shared" si="1"/>
        <v>22.774013646443692</v>
      </c>
      <c r="H155" s="8"/>
      <c r="I155" s="8"/>
      <c r="J155" s="8">
        <f>100-J188-J190</f>
        <v>31.800000000000011</v>
      </c>
      <c r="K155" s="8">
        <f>100-K188-K190</f>
        <v>21.615053896948297</v>
      </c>
      <c r="M155" t="s">
        <v>1513</v>
      </c>
    </row>
    <row r="156" spans="2:23" s="133" customFormat="1" x14ac:dyDescent="0.3">
      <c r="B156" s="133" t="s">
        <v>277</v>
      </c>
      <c r="C156" s="133" t="s">
        <v>338</v>
      </c>
      <c r="D156" s="10">
        <f t="shared" ref="D156:E156" si="2">D152*D155/D153</f>
        <v>0.47940739368204338</v>
      </c>
      <c r="E156" s="10">
        <f t="shared" si="2"/>
        <v>0.44866695377221261</v>
      </c>
      <c r="F156" s="10">
        <f>F152*F155/F153</f>
        <v>0.42250359963269052</v>
      </c>
      <c r="G156" s="10">
        <f t="shared" ref="G156" si="3">G152*G155/G153</f>
        <v>0.37860147897976842</v>
      </c>
      <c r="H156" s="10"/>
      <c r="I156" s="10"/>
      <c r="J156" s="10">
        <f t="shared" ref="J156:K156" si="4">J152*J155/J153</f>
        <v>0.4224250244379279</v>
      </c>
      <c r="K156" s="10">
        <f t="shared" si="4"/>
        <v>0.28819538136015538</v>
      </c>
      <c r="M156" s="133" t="s">
        <v>1489</v>
      </c>
    </row>
    <row r="157" spans="2:23" s="133" customFormat="1" x14ac:dyDescent="0.3">
      <c r="B157" s="133" t="s">
        <v>308</v>
      </c>
      <c r="C157" s="133" t="s">
        <v>338</v>
      </c>
      <c r="D157" s="10">
        <f>D152+D156</f>
        <v>1.1297896159042655</v>
      </c>
      <c r="E157" s="10">
        <f t="shared" ref="E157:G157" si="5">E152+E156</f>
        <v>1.0828647315499904</v>
      </c>
      <c r="F157" s="10">
        <f t="shared" si="5"/>
        <v>1.3780724885215796</v>
      </c>
      <c r="G157" s="10">
        <f t="shared" si="5"/>
        <v>1.2901659234242129</v>
      </c>
      <c r="H157" s="10"/>
      <c r="I157" s="10"/>
      <c r="J157" s="10">
        <f t="shared" ref="J157:K157" si="6">J152+J156</f>
        <v>1.3283805799934836</v>
      </c>
      <c r="K157" s="10">
        <f t="shared" si="6"/>
        <v>1.2647790940635242</v>
      </c>
    </row>
    <row r="158" spans="2:23" s="133" customFormat="1" x14ac:dyDescent="0.3">
      <c r="B158" s="133" t="s">
        <v>321</v>
      </c>
      <c r="C158" s="133" t="s">
        <v>338</v>
      </c>
      <c r="D158" s="10"/>
      <c r="E158" s="10"/>
      <c r="F158" s="31">
        <f>E156*F120</f>
        <v>0.89733390754442521</v>
      </c>
      <c r="G158" s="31">
        <f>F156*G120</f>
        <v>0.84500719926538104</v>
      </c>
      <c r="H158" s="10"/>
      <c r="I158" s="10"/>
      <c r="J158" s="10"/>
      <c r="K158" s="31">
        <f>J156*K120</f>
        <v>0.8448500488758558</v>
      </c>
      <c r="M158" s="103" t="s">
        <v>1488</v>
      </c>
    </row>
    <row r="159" spans="2:23" s="133" customFormat="1" x14ac:dyDescent="0.3">
      <c r="B159" s="133" t="s">
        <v>323</v>
      </c>
      <c r="C159" s="133" t="s">
        <v>338</v>
      </c>
      <c r="D159" s="10"/>
      <c r="E159" s="10"/>
      <c r="F159" s="10">
        <f>F152*F154/F153</f>
        <v>0.31419827102190739</v>
      </c>
      <c r="G159" s="10">
        <f>G152*G154/G153</f>
        <v>0.37226163483313229</v>
      </c>
      <c r="H159" s="10"/>
      <c r="I159" s="10"/>
      <c r="J159" s="10"/>
      <c r="K159" s="10">
        <f>K152*K154/K153</f>
        <v>6.8529546914900749E-2</v>
      </c>
    </row>
    <row r="160" spans="2:23" s="133" customFormat="1" x14ac:dyDescent="0.3">
      <c r="B160" s="133" t="s">
        <v>433</v>
      </c>
      <c r="C160" s="133" t="s">
        <v>338</v>
      </c>
      <c r="F160" s="10">
        <f t="shared" ref="F160:K160" si="7">F158-F159</f>
        <v>0.58313563652251776</v>
      </c>
      <c r="G160" s="10">
        <f t="shared" si="7"/>
        <v>0.47274556443224874</v>
      </c>
      <c r="H160" s="10"/>
      <c r="I160" s="10"/>
      <c r="J160" s="10"/>
      <c r="K160" s="10">
        <f t="shared" si="7"/>
        <v>0.77632050196095503</v>
      </c>
    </row>
    <row r="161" spans="1:19" s="133" customFormat="1" x14ac:dyDescent="0.3">
      <c r="A161" s="148"/>
      <c r="B161" s="148" t="s">
        <v>460</v>
      </c>
      <c r="C161" s="133" t="s">
        <v>338</v>
      </c>
      <c r="F161" s="10">
        <f>F160/4</f>
        <v>0.14578390913062944</v>
      </c>
      <c r="G161" s="10">
        <f>G160/4</f>
        <v>0.11818639110806219</v>
      </c>
      <c r="H161" s="10"/>
      <c r="I161" s="10"/>
      <c r="J161" s="10"/>
      <c r="K161" s="10">
        <f>K160/4</f>
        <v>0.19408012549023876</v>
      </c>
    </row>
    <row r="162" spans="1:19" s="133" customFormat="1" x14ac:dyDescent="0.3">
      <c r="A162" s="148"/>
      <c r="B162" s="148" t="s">
        <v>402</v>
      </c>
      <c r="C162" s="133" t="s">
        <v>338</v>
      </c>
      <c r="E162" s="31"/>
      <c r="F162" s="10">
        <f>F152-E152</f>
        <v>0.32137111111111127</v>
      </c>
      <c r="G162" s="79"/>
      <c r="H162" s="10"/>
      <c r="I162" s="10"/>
      <c r="J162" s="10"/>
      <c r="K162" s="10">
        <f>K152-J152</f>
        <v>7.062815714781312E-2</v>
      </c>
    </row>
    <row r="163" spans="1:19" s="133" customFormat="1" x14ac:dyDescent="0.3">
      <c r="A163" s="148"/>
      <c r="B163" s="148" t="s">
        <v>2086</v>
      </c>
      <c r="C163" s="133" t="s">
        <v>338</v>
      </c>
      <c r="E163" s="31"/>
      <c r="F163" s="10">
        <f>E156-F156</f>
        <v>2.6163354139522088E-2</v>
      </c>
      <c r="G163" s="10"/>
      <c r="H163" s="10"/>
      <c r="I163" s="10"/>
      <c r="J163" s="10"/>
      <c r="K163" s="10">
        <f>J156-K156</f>
        <v>0.13422964307777252</v>
      </c>
    </row>
    <row r="164" spans="1:19" s="133" customFormat="1" x14ac:dyDescent="0.3">
      <c r="A164" s="148"/>
      <c r="B164" s="148" t="s">
        <v>93</v>
      </c>
      <c r="D164" s="134"/>
      <c r="E164" s="134"/>
      <c r="F164" s="8">
        <f>F120</f>
        <v>2</v>
      </c>
      <c r="G164" s="8">
        <f>G120</f>
        <v>2</v>
      </c>
      <c r="H164" s="134"/>
      <c r="K164" s="8">
        <f>K120</f>
        <v>2</v>
      </c>
      <c r="L164" s="134"/>
      <c r="M164" s="134" t="s">
        <v>1552</v>
      </c>
      <c r="N164" s="134"/>
    </row>
    <row r="165" spans="1:19" s="133" customFormat="1" x14ac:dyDescent="0.3">
      <c r="A165" s="148"/>
      <c r="B165" s="148" t="s">
        <v>462</v>
      </c>
      <c r="F165" s="10">
        <f>F160/F158</f>
        <v>0.64985356244731884</v>
      </c>
      <c r="G165" s="10">
        <f t="shared" ref="G165" si="8">G160/G158</f>
        <v>0.55945743994043695</v>
      </c>
      <c r="H165" s="10"/>
      <c r="I165" s="10"/>
      <c r="J165" s="10"/>
      <c r="K165" s="10">
        <f>K160/K158</f>
        <v>0.91888555015640339</v>
      </c>
    </row>
    <row r="166" spans="1:19" s="133" customFormat="1" x14ac:dyDescent="0.3">
      <c r="A166" s="148"/>
      <c r="B166" s="148" t="s">
        <v>2085</v>
      </c>
      <c r="C166" s="133" t="s">
        <v>92</v>
      </c>
      <c r="E166" s="13"/>
      <c r="F166" s="134">
        <f>F162/F161</f>
        <v>2.2044347214146054</v>
      </c>
      <c r="G166" s="10"/>
      <c r="H166" s="10"/>
      <c r="I166" s="10"/>
      <c r="J166" s="10"/>
      <c r="K166" s="10">
        <f>K162/K161</f>
        <v>0.36391236335719163</v>
      </c>
      <c r="M166" s="133" t="s">
        <v>2184</v>
      </c>
    </row>
    <row r="167" spans="1:19" s="133" customFormat="1" x14ac:dyDescent="0.3">
      <c r="A167" s="148"/>
      <c r="B167" s="148" t="s">
        <v>2087</v>
      </c>
      <c r="C167" s="133" t="s">
        <v>92</v>
      </c>
      <c r="E167" s="31"/>
      <c r="F167" s="10">
        <f>F163/F161</f>
        <v>0.1794666797971404</v>
      </c>
      <c r="G167" s="10"/>
      <c r="H167" s="10"/>
      <c r="I167" s="10"/>
      <c r="J167" s="10"/>
      <c r="K167" s="10">
        <f>K163/K161</f>
        <v>0.69161972530012394</v>
      </c>
    </row>
    <row r="168" spans="1:19" s="133" customFormat="1" x14ac:dyDescent="0.3">
      <c r="A168" s="148"/>
      <c r="B168" s="148" t="s">
        <v>2088</v>
      </c>
      <c r="C168" s="133" t="s">
        <v>92</v>
      </c>
      <c r="E168" s="41"/>
      <c r="F168" s="8">
        <f>F162/F163</f>
        <v>12.283253492550156</v>
      </c>
      <c r="G168" s="10"/>
      <c r="H168" s="10"/>
      <c r="I168" s="10"/>
      <c r="J168" s="10"/>
      <c r="K168" s="10">
        <f>K162/K163</f>
        <v>0.52617406653529752</v>
      </c>
      <c r="M168" s="133" t="s">
        <v>2184</v>
      </c>
    </row>
    <row r="169" spans="1:19" s="133" customFormat="1" x14ac:dyDescent="0.3">
      <c r="A169" s="148"/>
      <c r="B169" s="148" t="s">
        <v>2096</v>
      </c>
      <c r="C169" s="133" t="s">
        <v>92</v>
      </c>
      <c r="D169" s="37"/>
      <c r="E169" s="37"/>
      <c r="F169" s="37">
        <f>F162/F156</f>
        <v>0.7606352026124743</v>
      </c>
      <c r="G169" s="37"/>
      <c r="H169" s="37"/>
      <c r="I169" s="148"/>
      <c r="J169" s="37"/>
      <c r="K169" s="37">
        <f>K162/K156</f>
        <v>0.24507039916628537</v>
      </c>
      <c r="M169" s="37"/>
      <c r="O169" s="37"/>
      <c r="Q169" s="37"/>
      <c r="S169" s="37"/>
    </row>
    <row r="170" spans="1:19" s="133" customFormat="1" x14ac:dyDescent="0.3">
      <c r="A170" s="148"/>
      <c r="B170" s="148" t="s">
        <v>2097</v>
      </c>
      <c r="C170" s="133" t="s">
        <v>92</v>
      </c>
      <c r="D170" s="96"/>
      <c r="E170" s="96"/>
      <c r="F170" s="96">
        <f>F157/E157</f>
        <v>1.2726173901231734</v>
      </c>
      <c r="G170" s="96"/>
      <c r="H170" s="96"/>
      <c r="I170" s="148"/>
      <c r="J170" s="96"/>
      <c r="K170" s="96">
        <f>K157/J157</f>
        <v>0.95212103602849163</v>
      </c>
      <c r="M170" s="96"/>
      <c r="O170" s="96"/>
      <c r="Q170" s="96"/>
      <c r="S170" s="96"/>
    </row>
    <row r="171" spans="1:19" s="133" customFormat="1" x14ac:dyDescent="0.3">
      <c r="A171" s="148"/>
      <c r="B171" s="148" t="s">
        <v>2081</v>
      </c>
      <c r="E171" s="13"/>
      <c r="F171" s="41">
        <f>F160/F162</f>
        <v>1.8145241322606116</v>
      </c>
      <c r="G171" s="10"/>
      <c r="H171" s="10"/>
      <c r="I171" s="10"/>
      <c r="J171" s="10"/>
      <c r="K171" s="8">
        <f>K160/K162</f>
        <v>10.991657340517095</v>
      </c>
      <c r="M171" s="103" t="s">
        <v>2185</v>
      </c>
      <c r="N171" s="103"/>
      <c r="O171" s="103"/>
      <c r="P171" s="103"/>
      <c r="Q171" s="103"/>
      <c r="R171" s="103"/>
      <c r="S171" s="103"/>
    </row>
    <row r="172" spans="1:19" s="133" customFormat="1" x14ac:dyDescent="0.3">
      <c r="A172" s="148"/>
      <c r="B172" s="148" t="s">
        <v>2137</v>
      </c>
      <c r="E172" s="13"/>
      <c r="F172" s="41">
        <f>F160/F163</f>
        <v>22.288259884906697</v>
      </c>
      <c r="G172" s="10"/>
      <c r="H172" s="10"/>
      <c r="I172" s="10"/>
      <c r="J172" s="10"/>
      <c r="K172" s="8">
        <f>K160/K163</f>
        <v>5.7835250408224335</v>
      </c>
    </row>
    <row r="173" spans="1:19" s="133" customFormat="1" x14ac:dyDescent="0.3">
      <c r="B173" s="148"/>
      <c r="D173" s="134"/>
      <c r="E173" s="134"/>
      <c r="F173" s="134"/>
      <c r="G173" s="134"/>
      <c r="H173" s="134"/>
      <c r="K173" s="134"/>
      <c r="L173" s="134"/>
      <c r="M173" s="134"/>
      <c r="N173" s="134"/>
    </row>
    <row r="174" spans="1:19" s="133" customFormat="1" x14ac:dyDescent="0.3">
      <c r="B174" s="148" t="s">
        <v>35</v>
      </c>
      <c r="D174" s="134">
        <f>AVERAGE(C129:E129)</f>
        <v>7.2100000000000009</v>
      </c>
      <c r="E174" s="134">
        <f>AVERAGE(F129:H129)</f>
        <v>6.88</v>
      </c>
      <c r="F174" s="134">
        <f>AVERAGE(I129:K129)</f>
        <v>7.586666666666666</v>
      </c>
      <c r="G174" s="134">
        <f>AVERAGE(L129:N129)</f>
        <v>7.7666666666666666</v>
      </c>
      <c r="H174" s="134"/>
      <c r="I174" s="134"/>
      <c r="J174" s="134">
        <f>AVERAGE(R143:T143)</f>
        <v>7.7600000000000007</v>
      </c>
      <c r="K174" s="134">
        <f>AVERAGE(U143:W143)</f>
        <v>8.0266666666666655</v>
      </c>
    </row>
    <row r="175" spans="1:19" s="133" customFormat="1" x14ac:dyDescent="0.3"/>
    <row r="176" spans="1:19" s="101" customFormat="1" x14ac:dyDescent="0.3">
      <c r="D176">
        <v>37</v>
      </c>
      <c r="E176" t="s">
        <v>1598</v>
      </c>
      <c r="F176" s="101" t="s">
        <v>1608</v>
      </c>
      <c r="H176">
        <v>54</v>
      </c>
      <c r="J176" s="101" t="s">
        <v>1598</v>
      </c>
      <c r="K176" s="101" t="s">
        <v>1608</v>
      </c>
    </row>
    <row r="177" spans="1:13" s="103" customFormat="1" x14ac:dyDescent="0.3">
      <c r="B177" s="40" t="s">
        <v>359</v>
      </c>
      <c r="D177" s="103" t="s">
        <v>46</v>
      </c>
      <c r="E177" s="103" t="s">
        <v>1432</v>
      </c>
      <c r="F177" s="103" t="s">
        <v>1443</v>
      </c>
      <c r="G177" s="103" t="s">
        <v>1438</v>
      </c>
      <c r="H177" s="103" t="s">
        <v>46</v>
      </c>
      <c r="I177" s="103" t="s">
        <v>1433</v>
      </c>
      <c r="J177" s="103" t="s">
        <v>1412</v>
      </c>
      <c r="K177" s="103" t="s">
        <v>1438</v>
      </c>
      <c r="M177" s="103" t="s">
        <v>1434</v>
      </c>
    </row>
    <row r="178" spans="1:13" s="103" customFormat="1" x14ac:dyDescent="0.3">
      <c r="B178" s="95" t="s">
        <v>1795</v>
      </c>
      <c r="D178" s="473" t="s">
        <v>1686</v>
      </c>
      <c r="E178" s="103" t="s">
        <v>1960</v>
      </c>
      <c r="F178" s="473" t="s">
        <v>1686</v>
      </c>
      <c r="G178" s="473" t="s">
        <v>1686</v>
      </c>
      <c r="H178" s="473" t="s">
        <v>1686</v>
      </c>
      <c r="I178" s="473" t="s">
        <v>1686</v>
      </c>
      <c r="J178" s="473" t="s">
        <v>1686</v>
      </c>
      <c r="K178" s="473" t="s">
        <v>1686</v>
      </c>
    </row>
    <row r="179" spans="1:13" s="103" customFormat="1" x14ac:dyDescent="0.3">
      <c r="B179" s="95" t="s">
        <v>1791</v>
      </c>
      <c r="D179" s="103" t="s">
        <v>1104</v>
      </c>
      <c r="E179" s="103" t="s">
        <v>1104</v>
      </c>
      <c r="F179" s="103" t="s">
        <v>1105</v>
      </c>
      <c r="G179" s="103" t="s">
        <v>1105</v>
      </c>
      <c r="H179" s="103" t="s">
        <v>1104</v>
      </c>
      <c r="I179" s="103" t="s">
        <v>1104</v>
      </c>
      <c r="J179" s="103" t="s">
        <v>1104</v>
      </c>
      <c r="K179" s="103" t="s">
        <v>1105</v>
      </c>
    </row>
    <row r="180" spans="1:13" x14ac:dyDescent="0.3">
      <c r="B180" s="101" t="s">
        <v>33</v>
      </c>
      <c r="C180" s="101" t="s">
        <v>270</v>
      </c>
      <c r="D180">
        <f t="shared" ref="D180:K181" si="9">D118</f>
        <v>2.2000000000000002</v>
      </c>
      <c r="E180" s="101">
        <f t="shared" si="9"/>
        <v>2.2000000000000002</v>
      </c>
      <c r="F180" s="101">
        <f t="shared" si="9"/>
        <v>2.2000000000000002</v>
      </c>
      <c r="G180" s="101">
        <f t="shared" si="9"/>
        <v>3.6</v>
      </c>
      <c r="H180" s="101">
        <f t="shared" si="9"/>
        <v>2.2000000000000002</v>
      </c>
      <c r="I180" s="101">
        <f t="shared" si="9"/>
        <v>2.2000000000000002</v>
      </c>
      <c r="J180" s="101">
        <f t="shared" si="9"/>
        <v>2.2000000000000002</v>
      </c>
      <c r="K180" s="133">
        <f t="shared" si="9"/>
        <v>2.2000000000000002</v>
      </c>
    </row>
    <row r="181" spans="1:13" x14ac:dyDescent="0.3">
      <c r="B181" s="101" t="s">
        <v>26</v>
      </c>
      <c r="C181" s="101" t="s">
        <v>25</v>
      </c>
      <c r="D181">
        <f t="shared" si="9"/>
        <v>25</v>
      </c>
      <c r="E181" s="101">
        <f t="shared" si="9"/>
        <v>25</v>
      </c>
      <c r="F181" s="101">
        <f t="shared" si="9"/>
        <v>25</v>
      </c>
      <c r="G181" s="101">
        <f t="shared" si="9"/>
        <v>25</v>
      </c>
      <c r="H181" s="101">
        <f t="shared" si="9"/>
        <v>15</v>
      </c>
      <c r="I181" s="101">
        <f t="shared" si="9"/>
        <v>15</v>
      </c>
      <c r="J181" s="101">
        <f t="shared" si="9"/>
        <v>15</v>
      </c>
      <c r="K181" s="133">
        <f t="shared" si="9"/>
        <v>15</v>
      </c>
    </row>
    <row r="182" spans="1:13" s="133" customFormat="1" x14ac:dyDescent="0.3">
      <c r="A182" s="6"/>
      <c r="B182" s="148" t="s">
        <v>1544</v>
      </c>
      <c r="C182" s="133" t="s">
        <v>338</v>
      </c>
      <c r="D182" s="134"/>
      <c r="E182" s="13"/>
      <c r="F182" s="13">
        <f>F158</f>
        <v>0.89733390754442521</v>
      </c>
      <c r="G182" s="13">
        <f>G158</f>
        <v>0.84500719926538104</v>
      </c>
      <c r="H182" s="134"/>
      <c r="I182" s="134"/>
      <c r="K182" s="13">
        <f>K158</f>
        <v>0.8448500488758558</v>
      </c>
      <c r="M182" s="133" t="s">
        <v>2186</v>
      </c>
    </row>
    <row r="183" spans="1:13" x14ac:dyDescent="0.3">
      <c r="B183" s="101" t="s">
        <v>351</v>
      </c>
      <c r="C183" s="101" t="s">
        <v>377</v>
      </c>
      <c r="D183" s="10">
        <f>D152/D180</f>
        <v>0.2956282828282828</v>
      </c>
      <c r="E183" s="10">
        <f>E152/E180</f>
        <v>0.28827171717171712</v>
      </c>
      <c r="F183" s="10">
        <f>F152/F180</f>
        <v>0.43434949494949499</v>
      </c>
      <c r="G183" s="10">
        <f>G152/G180</f>
        <v>0.25321234567901235</v>
      </c>
      <c r="H183" s="10"/>
      <c r="I183" s="10"/>
      <c r="J183" s="10">
        <f>J152/J180</f>
        <v>0.41179797979797977</v>
      </c>
      <c r="K183" s="10">
        <f>K152/K180</f>
        <v>0.44390168759244031</v>
      </c>
    </row>
    <row r="184" spans="1:13" x14ac:dyDescent="0.3">
      <c r="B184" s="101" t="s">
        <v>352</v>
      </c>
      <c r="C184" s="101" t="s">
        <v>377</v>
      </c>
      <c r="F184" s="10">
        <f>F183-E183</f>
        <v>0.14607777777777786</v>
      </c>
      <c r="K184" s="10">
        <f>K183-J183</f>
        <v>3.2103707794460534E-2</v>
      </c>
    </row>
    <row r="185" spans="1:13" x14ac:dyDescent="0.3">
      <c r="B185" s="101" t="s">
        <v>353</v>
      </c>
      <c r="C185" s="101" t="s">
        <v>92</v>
      </c>
      <c r="F185" s="10">
        <f>F184/E183</f>
        <v>0.50673641941350267</v>
      </c>
      <c r="K185" s="10">
        <f>K184/J183</f>
        <v>7.7959847715158778E-2</v>
      </c>
    </row>
    <row r="186" spans="1:13" x14ac:dyDescent="0.3">
      <c r="B186" t="s">
        <v>293</v>
      </c>
      <c r="C186" s="133" t="s">
        <v>338</v>
      </c>
      <c r="D186" s="10">
        <f>D152</f>
        <v>0.65038222222222219</v>
      </c>
      <c r="E186" s="10">
        <f>E152</f>
        <v>0.63419777777777775</v>
      </c>
      <c r="F186" s="10">
        <f>F152</f>
        <v>0.95556888888888902</v>
      </c>
      <c r="G186" s="10">
        <f>G152</f>
        <v>0.9115644444444444</v>
      </c>
      <c r="H186" s="10"/>
      <c r="I186" s="10"/>
      <c r="J186" s="10">
        <f>J152</f>
        <v>0.90595555555555562</v>
      </c>
      <c r="K186" s="10">
        <f>K152</f>
        <v>0.97658371270336874</v>
      </c>
    </row>
    <row r="187" spans="1:13" x14ac:dyDescent="0.3">
      <c r="B187" s="101" t="s">
        <v>402</v>
      </c>
      <c r="C187" s="101" t="s">
        <v>338</v>
      </c>
      <c r="F187" s="10">
        <f>F152-E152</f>
        <v>0.32137111111111127</v>
      </c>
      <c r="G187" s="133"/>
      <c r="H187" s="133"/>
      <c r="I187" s="133"/>
      <c r="J187" s="133"/>
      <c r="K187" s="10">
        <f>K152-J152</f>
        <v>7.062815714781312E-2</v>
      </c>
    </row>
    <row r="188" spans="1:13" x14ac:dyDescent="0.3">
      <c r="B188" s="101" t="s">
        <v>3</v>
      </c>
      <c r="C188" s="101" t="s">
        <v>302</v>
      </c>
      <c r="D188" s="8">
        <f>D153</f>
        <v>57.566666666666663</v>
      </c>
      <c r="E188" s="8">
        <f>E153</f>
        <v>58.56666666666667</v>
      </c>
      <c r="F188" s="8">
        <f>F153</f>
        <v>56.466666666666669</v>
      </c>
      <c r="G188" s="8">
        <f>G153</f>
        <v>54.833333333333343</v>
      </c>
      <c r="H188" s="8"/>
      <c r="I188" s="8"/>
      <c r="J188" s="8">
        <f>J153</f>
        <v>68.199999999999989</v>
      </c>
      <c r="K188" s="8">
        <f>K153</f>
        <v>73.245134898902336</v>
      </c>
      <c r="L188" s="8"/>
    </row>
    <row r="189" spans="1:13" x14ac:dyDescent="0.3">
      <c r="B189" s="101" t="s">
        <v>277</v>
      </c>
      <c r="C189" s="101" t="s">
        <v>302</v>
      </c>
      <c r="D189" s="8">
        <f>D155</f>
        <v>42.433333333333337</v>
      </c>
      <c r="E189" s="8">
        <f>E155</f>
        <v>41.43333333333333</v>
      </c>
      <c r="F189" s="8">
        <f>F155</f>
        <v>24.966666666666665</v>
      </c>
      <c r="G189" s="8">
        <f>G155</f>
        <v>22.774013646443692</v>
      </c>
      <c r="H189" s="8"/>
      <c r="I189" s="8"/>
      <c r="J189" s="8">
        <f>J155</f>
        <v>31.800000000000011</v>
      </c>
      <c r="K189" s="8">
        <f>K155</f>
        <v>21.615053896948297</v>
      </c>
    </row>
    <row r="190" spans="1:13" x14ac:dyDescent="0.3">
      <c r="B190" s="101" t="s">
        <v>13</v>
      </c>
      <c r="C190" s="101" t="s">
        <v>302</v>
      </c>
      <c r="D190" s="8">
        <f>D154</f>
        <v>0</v>
      </c>
      <c r="E190" s="8">
        <f>E154</f>
        <v>0</v>
      </c>
      <c r="F190" s="8">
        <f>F154</f>
        <v>18.566666666666666</v>
      </c>
      <c r="G190" s="8">
        <f>G154</f>
        <v>22.392653020222966</v>
      </c>
      <c r="H190" s="8"/>
      <c r="I190" s="8"/>
      <c r="J190" s="8">
        <f>J154</f>
        <v>0</v>
      </c>
      <c r="K190" s="8">
        <f>K154</f>
        <v>5.1398112041493675</v>
      </c>
    </row>
    <row r="191" spans="1:13" x14ac:dyDescent="0.3">
      <c r="B191" s="101" t="s">
        <v>35</v>
      </c>
      <c r="C191" s="101"/>
      <c r="D191" s="134">
        <f>D174</f>
        <v>7.2100000000000009</v>
      </c>
      <c r="E191" s="134">
        <f>E174</f>
        <v>6.88</v>
      </c>
      <c r="F191" s="134">
        <f>F174</f>
        <v>7.586666666666666</v>
      </c>
      <c r="G191" s="134">
        <f>G174</f>
        <v>7.7666666666666666</v>
      </c>
      <c r="H191" s="134"/>
      <c r="I191" s="134"/>
      <c r="J191" s="134">
        <f>J174</f>
        <v>7.7600000000000007</v>
      </c>
      <c r="K191" s="134">
        <f>K174</f>
        <v>8.0266666666666655</v>
      </c>
    </row>
    <row r="192" spans="1:13" x14ac:dyDescent="0.3">
      <c r="B192" s="101" t="s">
        <v>52</v>
      </c>
      <c r="C192" s="101" t="s">
        <v>621</v>
      </c>
      <c r="D192" t="s">
        <v>1671</v>
      </c>
      <c r="E192" s="133" t="s">
        <v>1671</v>
      </c>
      <c r="F192" s="133" t="s">
        <v>1671</v>
      </c>
      <c r="G192" s="133" t="s">
        <v>1671</v>
      </c>
      <c r="J192" s="133" t="s">
        <v>1671</v>
      </c>
      <c r="K192" s="133" t="s">
        <v>1671</v>
      </c>
    </row>
    <row r="193" spans="2:13" x14ac:dyDescent="0.3">
      <c r="B193" s="101" t="s">
        <v>558</v>
      </c>
      <c r="C193" s="101" t="s">
        <v>621</v>
      </c>
      <c r="D193" s="10">
        <f>AVERAGE(C135:E135)</f>
        <v>8.5654963022818165E-2</v>
      </c>
      <c r="E193" s="10">
        <f>AVERAGE(F135:H135)</f>
        <v>0.10780437592487202</v>
      </c>
      <c r="F193" s="10">
        <f>AVERAGE(I135:K135)</f>
        <v>4.2041754363994856E-2</v>
      </c>
      <c r="G193" s="10">
        <f>AVERAGE(L135:N135)</f>
        <v>8.9753528564783074E-3</v>
      </c>
      <c r="H193" s="10"/>
      <c r="I193" s="10"/>
      <c r="J193" s="10">
        <f>AVERAGE(R149:T149)</f>
        <v>1.7106355865294633E-3</v>
      </c>
      <c r="K193" s="10">
        <f>AVERAGE(U149:W149)</f>
        <v>4.8477261553296641E-4</v>
      </c>
      <c r="L193" s="10"/>
      <c r="M193" s="10"/>
    </row>
    <row r="194" spans="2:13" x14ac:dyDescent="0.3">
      <c r="B194" s="133"/>
      <c r="C194" s="133"/>
      <c r="D194" s="133"/>
      <c r="E194" s="133"/>
      <c r="F194" s="133"/>
      <c r="G194" s="133"/>
      <c r="H194" s="133"/>
      <c r="I194" s="133"/>
      <c r="J194" s="133"/>
      <c r="K194" s="133"/>
    </row>
  </sheetData>
  <mergeCells count="13">
    <mergeCell ref="B123:N123"/>
    <mergeCell ref="C124:E124"/>
    <mergeCell ref="F124:H124"/>
    <mergeCell ref="I124:K124"/>
    <mergeCell ref="L124:N124"/>
    <mergeCell ref="B137:W137"/>
    <mergeCell ref="C138:E138"/>
    <mergeCell ref="F138:H138"/>
    <mergeCell ref="I138:K138"/>
    <mergeCell ref="L138:N138"/>
    <mergeCell ref="O138:Q138"/>
    <mergeCell ref="R138:T138"/>
    <mergeCell ref="U138:W13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C7224-B8CD-4FF9-8B20-9979D426F18E}">
  <dimension ref="A2:N99"/>
  <sheetViews>
    <sheetView zoomScaleNormal="100" workbookViewId="0"/>
  </sheetViews>
  <sheetFormatPr defaultRowHeight="14.4" x14ac:dyDescent="0.3"/>
  <cols>
    <col min="2" max="2" width="15.88671875" customWidth="1"/>
  </cols>
  <sheetData>
    <row r="2" spans="1:5" x14ac:dyDescent="0.3">
      <c r="B2" s="14" t="s">
        <v>1772</v>
      </c>
    </row>
    <row r="3" spans="1:5" x14ac:dyDescent="0.3">
      <c r="B3" t="s">
        <v>1771</v>
      </c>
    </row>
    <row r="4" spans="1:5" x14ac:dyDescent="0.3">
      <c r="B4" t="s">
        <v>1525</v>
      </c>
    </row>
    <row r="6" spans="1:5" s="133" customFormat="1" x14ac:dyDescent="0.3">
      <c r="A6" s="148"/>
      <c r="B6" s="133" t="s">
        <v>114</v>
      </c>
      <c r="C6" s="133" t="s">
        <v>566</v>
      </c>
      <c r="D6" s="133" t="s">
        <v>215</v>
      </c>
    </row>
    <row r="7" spans="1:5" s="133" customFormat="1" x14ac:dyDescent="0.3">
      <c r="B7" s="133" t="s">
        <v>667</v>
      </c>
      <c r="C7" s="133" t="s">
        <v>503</v>
      </c>
      <c r="D7" s="133">
        <v>55</v>
      </c>
    </row>
    <row r="8" spans="1:5" s="133" customFormat="1" x14ac:dyDescent="0.3">
      <c r="B8" s="133" t="s">
        <v>1324</v>
      </c>
      <c r="D8" s="133" t="s">
        <v>1091</v>
      </c>
    </row>
    <row r="9" spans="1:5" s="133" customFormat="1" x14ac:dyDescent="0.3">
      <c r="B9" s="133" t="s">
        <v>956</v>
      </c>
      <c r="C9" s="133" t="s">
        <v>22</v>
      </c>
      <c r="D9" s="133">
        <v>9.5</v>
      </c>
    </row>
    <row r="10" spans="1:5" s="133" customFormat="1" x14ac:dyDescent="0.3">
      <c r="B10" s="133" t="s">
        <v>32</v>
      </c>
      <c r="C10" s="133" t="s">
        <v>22</v>
      </c>
      <c r="D10" s="133" t="s">
        <v>1671</v>
      </c>
    </row>
    <row r="11" spans="1:5" s="133" customFormat="1" x14ac:dyDescent="0.3">
      <c r="B11" s="133" t="s">
        <v>326</v>
      </c>
      <c r="D11" s="133" t="s">
        <v>1355</v>
      </c>
    </row>
    <row r="12" spans="1:5" s="133" customFormat="1" x14ac:dyDescent="0.3">
      <c r="B12" s="133" t="s">
        <v>344</v>
      </c>
      <c r="D12" s="133" t="s">
        <v>665</v>
      </c>
    </row>
    <row r="13" spans="1:5" s="133" customFormat="1" x14ac:dyDescent="0.3">
      <c r="B13" s="133" t="s">
        <v>1332</v>
      </c>
      <c r="D13" s="133" t="s">
        <v>1534</v>
      </c>
      <c r="E13" s="133" t="s">
        <v>1535</v>
      </c>
    </row>
    <row r="14" spans="1:5" s="133" customFormat="1" x14ac:dyDescent="0.3">
      <c r="B14" s="133" t="s">
        <v>1330</v>
      </c>
      <c r="D14" s="133" t="s">
        <v>1333</v>
      </c>
    </row>
    <row r="15" spans="1:5" s="133" customFormat="1" x14ac:dyDescent="0.3">
      <c r="B15" s="133" t="s">
        <v>1968</v>
      </c>
      <c r="D15" s="133" t="s">
        <v>1969</v>
      </c>
      <c r="E15" s="133" t="s">
        <v>1971</v>
      </c>
    </row>
    <row r="16" spans="1:5" s="133" customFormat="1" x14ac:dyDescent="0.3">
      <c r="B16" s="133" t="s">
        <v>1541</v>
      </c>
      <c r="D16" s="133" t="s">
        <v>1543</v>
      </c>
    </row>
    <row r="17" spans="2:10" s="133" customFormat="1" x14ac:dyDescent="0.3">
      <c r="B17" s="133" t="s">
        <v>1599</v>
      </c>
      <c r="D17" s="133" t="s">
        <v>2130</v>
      </c>
    </row>
    <row r="18" spans="2:10" s="133" customFormat="1" x14ac:dyDescent="0.3"/>
    <row r="19" spans="2:10" x14ac:dyDescent="0.3">
      <c r="B19" s="6" t="s">
        <v>114</v>
      </c>
      <c r="C19">
        <v>0.2</v>
      </c>
      <c r="D19" t="s">
        <v>572</v>
      </c>
    </row>
    <row r="20" spans="2:10" x14ac:dyDescent="0.3">
      <c r="C20">
        <v>0.91</v>
      </c>
      <c r="D20" t="s">
        <v>138</v>
      </c>
    </row>
    <row r="21" spans="2:10" x14ac:dyDescent="0.3">
      <c r="C21">
        <f>C19*C20*1000</f>
        <v>182.00000000000003</v>
      </c>
      <c r="D21" t="s">
        <v>30</v>
      </c>
    </row>
    <row r="22" spans="2:10" x14ac:dyDescent="0.3">
      <c r="B22" t="s">
        <v>33</v>
      </c>
      <c r="C22">
        <v>4</v>
      </c>
      <c r="D22" t="s">
        <v>270</v>
      </c>
    </row>
    <row r="23" spans="2:10" x14ac:dyDescent="0.3">
      <c r="B23" t="s">
        <v>26</v>
      </c>
      <c r="C23">
        <v>46</v>
      </c>
      <c r="D23" t="s">
        <v>25</v>
      </c>
    </row>
    <row r="24" spans="2:10" x14ac:dyDescent="0.3">
      <c r="B24" s="6" t="s">
        <v>40</v>
      </c>
      <c r="C24">
        <f>C21/C22</f>
        <v>45.500000000000007</v>
      </c>
      <c r="D24" t="s">
        <v>25</v>
      </c>
      <c r="F24" t="s">
        <v>524</v>
      </c>
    </row>
    <row r="25" spans="2:10" x14ac:dyDescent="0.3">
      <c r="B25" s="6" t="s">
        <v>583</v>
      </c>
      <c r="C25" s="3">
        <f>C21/C23</f>
        <v>3.9565217391304355</v>
      </c>
      <c r="D25" t="s">
        <v>30</v>
      </c>
    </row>
    <row r="26" spans="2:10" x14ac:dyDescent="0.3">
      <c r="B26" s="6"/>
    </row>
    <row r="27" spans="2:10" s="133" customFormat="1" x14ac:dyDescent="0.3">
      <c r="B27" s="6"/>
    </row>
    <row r="29" spans="2:10" x14ac:dyDescent="0.3">
      <c r="B29" t="s">
        <v>287</v>
      </c>
      <c r="D29" t="s">
        <v>569</v>
      </c>
      <c r="E29" t="s">
        <v>588</v>
      </c>
      <c r="F29" t="s">
        <v>570</v>
      </c>
      <c r="G29" t="s">
        <v>589</v>
      </c>
      <c r="H29" t="s">
        <v>590</v>
      </c>
    </row>
    <row r="30" spans="2:10" x14ac:dyDescent="0.3">
      <c r="B30" t="s">
        <v>33</v>
      </c>
      <c r="C30" t="s">
        <v>270</v>
      </c>
      <c r="D30" s="8">
        <f t="shared" ref="D30:H30" si="0">$C$22</f>
        <v>4</v>
      </c>
      <c r="E30" s="8">
        <f t="shared" si="0"/>
        <v>4</v>
      </c>
      <c r="F30" s="8">
        <f t="shared" si="0"/>
        <v>4</v>
      </c>
      <c r="G30" s="8">
        <f t="shared" si="0"/>
        <v>4</v>
      </c>
      <c r="H30" s="8">
        <f t="shared" si="0"/>
        <v>4</v>
      </c>
      <c r="J30" s="8"/>
    </row>
    <row r="31" spans="2:10" x14ac:dyDescent="0.3">
      <c r="B31" t="s">
        <v>559</v>
      </c>
      <c r="C31" t="s">
        <v>566</v>
      </c>
      <c r="D31">
        <v>46</v>
      </c>
      <c r="E31">
        <v>46</v>
      </c>
      <c r="F31">
        <v>46</v>
      </c>
      <c r="G31">
        <v>46</v>
      </c>
      <c r="H31">
        <v>46</v>
      </c>
    </row>
    <row r="32" spans="2:10" x14ac:dyDescent="0.3">
      <c r="B32" t="s">
        <v>560</v>
      </c>
      <c r="C32" t="s">
        <v>567</v>
      </c>
      <c r="E32">
        <v>24</v>
      </c>
      <c r="G32">
        <v>24</v>
      </c>
      <c r="H32">
        <v>24</v>
      </c>
    </row>
    <row r="33" spans="2:10" x14ac:dyDescent="0.3">
      <c r="B33" t="s">
        <v>321</v>
      </c>
      <c r="C33" t="s">
        <v>338</v>
      </c>
      <c r="E33">
        <v>5.05</v>
      </c>
      <c r="G33">
        <v>5.29</v>
      </c>
      <c r="H33">
        <v>5.29</v>
      </c>
    </row>
    <row r="34" spans="2:10" x14ac:dyDescent="0.3">
      <c r="B34" t="s">
        <v>13</v>
      </c>
      <c r="C34" t="s">
        <v>302</v>
      </c>
      <c r="E34">
        <v>56.5</v>
      </c>
      <c r="G34">
        <v>34.6</v>
      </c>
      <c r="H34">
        <v>93.9</v>
      </c>
    </row>
    <row r="35" spans="2:10" x14ac:dyDescent="0.3">
      <c r="B35" t="s">
        <v>277</v>
      </c>
      <c r="C35" t="s">
        <v>302</v>
      </c>
      <c r="D35">
        <v>45.2</v>
      </c>
      <c r="E35">
        <v>11.4</v>
      </c>
      <c r="F35">
        <v>46.8</v>
      </c>
      <c r="G35">
        <v>5.0999999999999996</v>
      </c>
      <c r="H35">
        <v>0</v>
      </c>
    </row>
    <row r="36" spans="2:10" x14ac:dyDescent="0.3">
      <c r="B36" t="s">
        <v>3</v>
      </c>
      <c r="C36" t="s">
        <v>302</v>
      </c>
      <c r="D36">
        <v>54.8</v>
      </c>
      <c r="E36">
        <v>32.1</v>
      </c>
      <c r="F36">
        <v>53.2</v>
      </c>
      <c r="G36">
        <v>60.3</v>
      </c>
      <c r="H36">
        <v>6.1</v>
      </c>
    </row>
    <row r="37" spans="2:10" x14ac:dyDescent="0.3">
      <c r="B37" t="s">
        <v>573</v>
      </c>
      <c r="C37" t="s">
        <v>338</v>
      </c>
      <c r="D37">
        <v>1.53</v>
      </c>
      <c r="E37">
        <v>1.82</v>
      </c>
      <c r="F37">
        <v>1.51</v>
      </c>
      <c r="G37">
        <v>2.52</v>
      </c>
      <c r="H37">
        <v>0.33</v>
      </c>
      <c r="J37" t="s">
        <v>574</v>
      </c>
    </row>
    <row r="38" spans="2:10" x14ac:dyDescent="0.3">
      <c r="B38" t="s">
        <v>561</v>
      </c>
      <c r="C38" t="s">
        <v>568</v>
      </c>
      <c r="D38">
        <v>381</v>
      </c>
      <c r="E38">
        <v>708</v>
      </c>
      <c r="F38">
        <v>381</v>
      </c>
      <c r="G38">
        <v>719</v>
      </c>
      <c r="H38">
        <v>719</v>
      </c>
    </row>
    <row r="39" spans="2:10" x14ac:dyDescent="0.3">
      <c r="B39" t="s">
        <v>562</v>
      </c>
      <c r="C39" t="s">
        <v>568</v>
      </c>
      <c r="D39">
        <v>388</v>
      </c>
      <c r="E39">
        <v>461</v>
      </c>
      <c r="F39">
        <v>382</v>
      </c>
      <c r="G39">
        <v>640</v>
      </c>
      <c r="H39">
        <v>47</v>
      </c>
    </row>
    <row r="40" spans="2:10" x14ac:dyDescent="0.3">
      <c r="B40" t="s">
        <v>563</v>
      </c>
      <c r="C40" t="s">
        <v>302</v>
      </c>
      <c r="E40">
        <v>33</v>
      </c>
      <c r="G40">
        <v>72</v>
      </c>
      <c r="H40">
        <v>4</v>
      </c>
    </row>
    <row r="41" spans="2:10" x14ac:dyDescent="0.3">
      <c r="B41" t="s">
        <v>681</v>
      </c>
      <c r="C41" t="s">
        <v>302</v>
      </c>
      <c r="E41">
        <v>92</v>
      </c>
      <c r="G41">
        <v>104</v>
      </c>
      <c r="H41">
        <v>18</v>
      </c>
    </row>
    <row r="42" spans="2:10" x14ac:dyDescent="0.3">
      <c r="B42" t="s">
        <v>564</v>
      </c>
      <c r="C42" t="s">
        <v>302</v>
      </c>
      <c r="E42">
        <v>65</v>
      </c>
      <c r="G42">
        <v>89</v>
      </c>
      <c r="H42">
        <v>12</v>
      </c>
    </row>
    <row r="43" spans="2:10" x14ac:dyDescent="0.3">
      <c r="B43" t="s">
        <v>558</v>
      </c>
      <c r="C43" t="s">
        <v>17</v>
      </c>
      <c r="D43">
        <v>472</v>
      </c>
      <c r="E43">
        <v>1897</v>
      </c>
      <c r="F43">
        <v>621</v>
      </c>
      <c r="G43">
        <v>7807</v>
      </c>
      <c r="H43">
        <v>11827</v>
      </c>
      <c r="J43" t="s">
        <v>680</v>
      </c>
    </row>
    <row r="44" spans="2:10" x14ac:dyDescent="0.3">
      <c r="B44" t="s">
        <v>35</v>
      </c>
      <c r="D44">
        <v>7.81</v>
      </c>
      <c r="E44">
        <v>7.97</v>
      </c>
      <c r="F44">
        <v>7.89</v>
      </c>
      <c r="G44">
        <v>8.3699999999999992</v>
      </c>
      <c r="H44">
        <v>7.93</v>
      </c>
    </row>
    <row r="45" spans="2:10" x14ac:dyDescent="0.3">
      <c r="B45" t="s">
        <v>565</v>
      </c>
      <c r="D45">
        <v>0.37</v>
      </c>
      <c r="E45">
        <v>0.4</v>
      </c>
      <c r="F45">
        <v>0.22</v>
      </c>
      <c r="G45">
        <v>0.76</v>
      </c>
      <c r="H45">
        <v>0.9</v>
      </c>
    </row>
    <row r="47" spans="2:10" x14ac:dyDescent="0.3">
      <c r="B47" t="s">
        <v>576</v>
      </c>
      <c r="C47" t="s">
        <v>92</v>
      </c>
      <c r="D47" s="3">
        <v>1</v>
      </c>
      <c r="E47" s="3">
        <v>0.92</v>
      </c>
      <c r="F47" s="3"/>
      <c r="G47" s="3"/>
      <c r="H47" s="3"/>
      <c r="J47" t="s">
        <v>577</v>
      </c>
    </row>
    <row r="48" spans="2:10" x14ac:dyDescent="0.3">
      <c r="B48" t="s">
        <v>575</v>
      </c>
      <c r="C48" t="s">
        <v>92</v>
      </c>
      <c r="E48">
        <v>0.33</v>
      </c>
    </row>
    <row r="50" spans="2:14" x14ac:dyDescent="0.3">
      <c r="H50" t="s">
        <v>1923</v>
      </c>
    </row>
    <row r="51" spans="2:14" x14ac:dyDescent="0.3">
      <c r="B51" s="6" t="s">
        <v>877</v>
      </c>
      <c r="D51" t="s">
        <v>569</v>
      </c>
      <c r="E51" t="s">
        <v>588</v>
      </c>
      <c r="F51" t="s">
        <v>570</v>
      </c>
      <c r="G51" t="s">
        <v>589</v>
      </c>
      <c r="H51" t="s">
        <v>590</v>
      </c>
    </row>
    <row r="52" spans="2:14" s="133" customFormat="1" x14ac:dyDescent="0.3">
      <c r="B52" s="148" t="s">
        <v>1526</v>
      </c>
      <c r="C52" s="133" t="s">
        <v>1527</v>
      </c>
      <c r="D52" s="134">
        <f>$C$25</f>
        <v>3.9565217391304355</v>
      </c>
      <c r="E52" s="134">
        <f t="shared" ref="E52:H52" si="1">$C$25</f>
        <v>3.9565217391304355</v>
      </c>
      <c r="F52" s="134">
        <f t="shared" si="1"/>
        <v>3.9565217391304355</v>
      </c>
      <c r="G52" s="134">
        <f t="shared" si="1"/>
        <v>3.9565217391304355</v>
      </c>
      <c r="H52" s="134">
        <f t="shared" si="1"/>
        <v>3.9565217391304355</v>
      </c>
    </row>
    <row r="53" spans="2:14" x14ac:dyDescent="0.3">
      <c r="B53" s="27" t="s">
        <v>459</v>
      </c>
      <c r="C53" t="s">
        <v>302</v>
      </c>
      <c r="D53">
        <f>SUM(D34:D36)</f>
        <v>100</v>
      </c>
      <c r="E53">
        <f>SUM(E34:E36)</f>
        <v>100</v>
      </c>
      <c r="F53">
        <f>SUM(F34:F36)</f>
        <v>100</v>
      </c>
      <c r="G53">
        <f>SUM(G34:G36)</f>
        <v>100</v>
      </c>
      <c r="H53">
        <f>SUM(H34:H36)</f>
        <v>100</v>
      </c>
    </row>
    <row r="54" spans="2:14" x14ac:dyDescent="0.3">
      <c r="B54" s="148" t="s">
        <v>2037</v>
      </c>
      <c r="C54" t="s">
        <v>338</v>
      </c>
      <c r="D54" s="3">
        <f>100*D37/D36</f>
        <v>2.7919708029197081</v>
      </c>
      <c r="E54" s="3">
        <f>100*E37/E36</f>
        <v>5.6697819314641746</v>
      </c>
      <c r="F54" s="3">
        <f>100*F37/F36</f>
        <v>2.8383458646616542</v>
      </c>
      <c r="G54" s="3">
        <f>100*G37/G36</f>
        <v>4.1791044776119408</v>
      </c>
      <c r="H54" s="3">
        <f>100*H37/H36</f>
        <v>5.4098360655737707</v>
      </c>
    </row>
    <row r="55" spans="2:14" x14ac:dyDescent="0.3">
      <c r="B55" s="27" t="s">
        <v>1415</v>
      </c>
      <c r="C55" t="s">
        <v>338</v>
      </c>
      <c r="D55">
        <f>D37</f>
        <v>1.53</v>
      </c>
      <c r="E55">
        <f>E37</f>
        <v>1.82</v>
      </c>
      <c r="F55">
        <f>F37</f>
        <v>1.51</v>
      </c>
      <c r="G55">
        <f>G37</f>
        <v>2.52</v>
      </c>
      <c r="H55">
        <f>H37</f>
        <v>0.33</v>
      </c>
      <c r="K55" t="s">
        <v>1171</v>
      </c>
    </row>
    <row r="56" spans="2:14" x14ac:dyDescent="0.3">
      <c r="B56" t="s">
        <v>293</v>
      </c>
      <c r="C56" t="s">
        <v>338</v>
      </c>
      <c r="D56" s="3">
        <f>D39*D52/1000</f>
        <v>1.5351304347826089</v>
      </c>
      <c r="E56" s="134">
        <f t="shared" ref="E56:H56" si="2">E39*E52/1000</f>
        <v>1.8239565217391307</v>
      </c>
      <c r="F56" s="134">
        <f t="shared" si="2"/>
        <v>1.5113913043478264</v>
      </c>
      <c r="G56" s="134">
        <f t="shared" si="2"/>
        <v>2.5321739130434788</v>
      </c>
      <c r="H56" s="134">
        <f t="shared" si="2"/>
        <v>0.18595652173913046</v>
      </c>
      <c r="K56" t="s">
        <v>1528</v>
      </c>
    </row>
    <row r="57" spans="2:14" x14ac:dyDescent="0.3">
      <c r="B57" s="27" t="s">
        <v>277</v>
      </c>
      <c r="C57" t="s">
        <v>338</v>
      </c>
      <c r="D57" s="3">
        <f>D54*D35/100</f>
        <v>1.2619708029197083</v>
      </c>
      <c r="E57" s="3">
        <f>E54*E35/100</f>
        <v>0.64635514018691598</v>
      </c>
      <c r="F57" s="3">
        <f>F54*F35/100</f>
        <v>1.3283458646616539</v>
      </c>
      <c r="G57" s="3">
        <f>G54*G35/100</f>
        <v>0.21313432835820897</v>
      </c>
      <c r="H57" s="3">
        <f>H54*H35/100</f>
        <v>0</v>
      </c>
      <c r="I57" s="134"/>
      <c r="K57" s="134">
        <v>1.5351304347826089</v>
      </c>
      <c r="L57" s="134">
        <v>1.5113913043478264</v>
      </c>
      <c r="M57" s="134">
        <v>2.5321739130434788</v>
      </c>
      <c r="N57" s="134">
        <v>0.18595652173913046</v>
      </c>
    </row>
    <row r="58" spans="2:14" s="133" customFormat="1" x14ac:dyDescent="0.3">
      <c r="B58" s="148" t="s">
        <v>308</v>
      </c>
      <c r="C58" s="133" t="s">
        <v>338</v>
      </c>
      <c r="D58" s="134">
        <f>D55+D57</f>
        <v>2.7919708029197086</v>
      </c>
      <c r="E58" s="134">
        <f t="shared" ref="E58:H58" si="3">E55+E57</f>
        <v>2.4663551401869159</v>
      </c>
      <c r="F58" s="134">
        <f t="shared" si="3"/>
        <v>2.8383458646616537</v>
      </c>
      <c r="G58" s="134">
        <f t="shared" si="3"/>
        <v>2.7331343283582088</v>
      </c>
      <c r="H58" s="134">
        <f t="shared" si="3"/>
        <v>0.33</v>
      </c>
      <c r="I58" s="134"/>
      <c r="K58" s="134"/>
      <c r="L58" s="134"/>
      <c r="M58" s="134"/>
      <c r="N58" s="134"/>
    </row>
    <row r="59" spans="2:14" x14ac:dyDescent="0.3">
      <c r="B59" s="27" t="s">
        <v>323</v>
      </c>
      <c r="C59" t="s">
        <v>338</v>
      </c>
      <c r="D59" s="3"/>
      <c r="E59" s="3">
        <f>E54*E34/100</f>
        <v>3.2034267912772587</v>
      </c>
      <c r="F59" s="3"/>
      <c r="G59" s="3">
        <f>G54*G34/100</f>
        <v>1.4459701492537314</v>
      </c>
      <c r="H59" s="3">
        <f>H54*H34/100</f>
        <v>5.0798360655737715</v>
      </c>
    </row>
    <row r="60" spans="2:14" s="133" customFormat="1" x14ac:dyDescent="0.3">
      <c r="B60" s="148" t="s">
        <v>1403</v>
      </c>
      <c r="C60" t="s">
        <v>1529</v>
      </c>
      <c r="D60" s="133">
        <f>D39/1000</f>
        <v>0.38800000000000001</v>
      </c>
      <c r="E60" s="133">
        <f t="shared" ref="E60:H60" si="4">E39/1000</f>
        <v>0.46100000000000002</v>
      </c>
      <c r="F60" s="133">
        <f t="shared" si="4"/>
        <v>0.38200000000000001</v>
      </c>
      <c r="G60" s="133">
        <f t="shared" si="4"/>
        <v>0.64</v>
      </c>
      <c r="H60" s="133">
        <f t="shared" si="4"/>
        <v>4.7E-2</v>
      </c>
    </row>
    <row r="61" spans="2:14" s="133" customFormat="1" x14ac:dyDescent="0.3">
      <c r="B61" s="148" t="s">
        <v>561</v>
      </c>
      <c r="C61" s="133" t="s">
        <v>1529</v>
      </c>
    </row>
    <row r="62" spans="2:14" x14ac:dyDescent="0.3">
      <c r="B62" t="s">
        <v>561</v>
      </c>
      <c r="E62" s="3">
        <f>$D55+E33/4</f>
        <v>2.7925</v>
      </c>
      <c r="F62" s="134"/>
      <c r="G62" s="134">
        <f>$D55+G33/4</f>
        <v>2.8525</v>
      </c>
      <c r="H62" s="134">
        <f>$D55+H33/4</f>
        <v>2.8525</v>
      </c>
    </row>
    <row r="63" spans="2:14" x14ac:dyDescent="0.3">
      <c r="C63" t="s">
        <v>377</v>
      </c>
      <c r="E63" s="10">
        <f>E62/E52</f>
        <v>0.70579670329670319</v>
      </c>
      <c r="F63" s="10"/>
      <c r="G63" s="10">
        <f>G62/G52</f>
        <v>0.72096153846153832</v>
      </c>
      <c r="H63" s="10">
        <f>H62/H52</f>
        <v>0.72096153846153832</v>
      </c>
      <c r="K63" t="s">
        <v>578</v>
      </c>
    </row>
    <row r="64" spans="2:14" x14ac:dyDescent="0.3">
      <c r="B64" t="s">
        <v>576</v>
      </c>
      <c r="C64" t="s">
        <v>338</v>
      </c>
      <c r="D64" s="3"/>
      <c r="E64" s="3">
        <f>E47*D56</f>
        <v>1.4123200000000002</v>
      </c>
      <c r="F64" s="3"/>
      <c r="G64" s="3"/>
      <c r="H64" s="3"/>
      <c r="K64" t="s">
        <v>579</v>
      </c>
    </row>
    <row r="65" spans="1:14" x14ac:dyDescent="0.3">
      <c r="B65" t="s">
        <v>575</v>
      </c>
      <c r="C65" t="s">
        <v>338</v>
      </c>
      <c r="D65" s="3"/>
      <c r="E65" s="3">
        <f>E56-E64</f>
        <v>0.41163652173913046</v>
      </c>
      <c r="F65" s="3"/>
      <c r="G65" s="3"/>
      <c r="H65" s="3"/>
      <c r="K65" t="s">
        <v>580</v>
      </c>
    </row>
    <row r="66" spans="1:14" x14ac:dyDescent="0.3">
      <c r="B66" t="s">
        <v>581</v>
      </c>
      <c r="C66" t="s">
        <v>338</v>
      </c>
      <c r="D66" s="3"/>
      <c r="E66" s="3">
        <f>E65*4</f>
        <v>1.6465460869565218</v>
      </c>
      <c r="F66" s="3"/>
      <c r="G66" s="3"/>
      <c r="H66" s="3"/>
      <c r="K66" t="s">
        <v>582</v>
      </c>
    </row>
    <row r="67" spans="1:14" x14ac:dyDescent="0.3">
      <c r="A67" s="133"/>
      <c r="C67" t="s">
        <v>92</v>
      </c>
      <c r="E67" s="3">
        <f>E66/E33</f>
        <v>0.32604873009040036</v>
      </c>
      <c r="K67" t="s">
        <v>584</v>
      </c>
    </row>
    <row r="68" spans="1:14" x14ac:dyDescent="0.3">
      <c r="A68" s="133"/>
      <c r="B68" t="s">
        <v>854</v>
      </c>
      <c r="E68" s="3"/>
      <c r="I68" s="9" t="s">
        <v>1532</v>
      </c>
    </row>
    <row r="69" spans="1:14" x14ac:dyDescent="0.3">
      <c r="A69" s="133"/>
      <c r="B69" s="133" t="s">
        <v>433</v>
      </c>
      <c r="C69" s="133" t="s">
        <v>338</v>
      </c>
      <c r="D69" s="3"/>
      <c r="E69" s="3">
        <f>E33-E59</f>
        <v>1.8465732087227411</v>
      </c>
      <c r="F69" s="3"/>
      <c r="G69" s="134">
        <f>G33-G59</f>
        <v>3.8440298507462689</v>
      </c>
      <c r="H69" s="134"/>
      <c r="I69" s="134">
        <f>G69</f>
        <v>3.8440298507462689</v>
      </c>
      <c r="K69" s="9" t="s">
        <v>1531</v>
      </c>
    </row>
    <row r="70" spans="1:14" s="133" customFormat="1" x14ac:dyDescent="0.3">
      <c r="A70" s="148"/>
      <c r="B70" s="148" t="s">
        <v>460</v>
      </c>
      <c r="C70" s="133" t="s">
        <v>338</v>
      </c>
      <c r="D70" s="134"/>
      <c r="E70" s="134">
        <f>E69/4</f>
        <v>0.46164330218068528</v>
      </c>
      <c r="F70" s="134"/>
      <c r="G70" s="134">
        <f>G69/4</f>
        <v>0.96100746268656723</v>
      </c>
      <c r="H70" s="134"/>
      <c r="I70" s="134">
        <f>G70</f>
        <v>0.96100746268656723</v>
      </c>
    </row>
    <row r="71" spans="1:14" x14ac:dyDescent="0.3">
      <c r="A71" s="148"/>
      <c r="B71" s="148" t="s">
        <v>402</v>
      </c>
      <c r="C71" t="s">
        <v>338</v>
      </c>
      <c r="D71" s="10"/>
      <c r="E71" s="3">
        <f>E55-$D55</f>
        <v>0.29000000000000004</v>
      </c>
      <c r="F71" s="3"/>
      <c r="G71" s="134">
        <f>G55-$F55</f>
        <v>1.01</v>
      </c>
      <c r="H71" s="134"/>
      <c r="I71" s="47">
        <f>G55-$D55</f>
        <v>0.99</v>
      </c>
    </row>
    <row r="72" spans="1:14" s="133" customFormat="1" x14ac:dyDescent="0.3">
      <c r="A72" s="148"/>
      <c r="B72" s="148" t="s">
        <v>2086</v>
      </c>
      <c r="D72" s="134"/>
      <c r="E72" s="134">
        <f>$D57-E57</f>
        <v>0.61561566273279233</v>
      </c>
      <c r="F72" s="134"/>
      <c r="G72" s="134">
        <f>F$57-G57</f>
        <v>1.1152115363034449</v>
      </c>
      <c r="H72" s="134"/>
      <c r="I72" s="47">
        <f>D$57-G57</f>
        <v>1.0488364745614993</v>
      </c>
    </row>
    <row r="73" spans="1:14" s="133" customFormat="1" x14ac:dyDescent="0.3">
      <c r="A73" s="148"/>
      <c r="B73" s="148" t="s">
        <v>93</v>
      </c>
      <c r="D73" s="134"/>
      <c r="E73" s="134">
        <f>E33/$D57</f>
        <v>4.0016773671120358</v>
      </c>
      <c r="F73" s="134"/>
      <c r="G73" s="134">
        <f>G33/$F57</f>
        <v>3.9823965585554997</v>
      </c>
      <c r="H73" s="134"/>
      <c r="I73" s="47">
        <f>G33/$D57</f>
        <v>4.191856093469835</v>
      </c>
      <c r="K73" s="134" t="s">
        <v>1556</v>
      </c>
      <c r="L73" s="134"/>
      <c r="M73" s="134"/>
      <c r="N73" s="134"/>
    </row>
    <row r="74" spans="1:14" x14ac:dyDescent="0.3">
      <c r="A74" s="148"/>
      <c r="B74" s="148" t="s">
        <v>462</v>
      </c>
      <c r="C74" s="133"/>
      <c r="D74" s="3"/>
      <c r="E74" s="3">
        <f>E69/E33</f>
        <v>0.36565806113321608</v>
      </c>
      <c r="F74" s="3"/>
      <c r="G74" s="134">
        <f>G69/G33</f>
        <v>0.72665970713540051</v>
      </c>
      <c r="H74" s="134"/>
      <c r="I74" s="134">
        <f>G74</f>
        <v>0.72665970713540051</v>
      </c>
      <c r="K74" t="s">
        <v>1530</v>
      </c>
    </row>
    <row r="75" spans="1:14" s="133" customFormat="1" x14ac:dyDescent="0.3">
      <c r="A75" s="148"/>
      <c r="B75" s="148" t="s">
        <v>2085</v>
      </c>
      <c r="D75" s="134"/>
      <c r="E75" s="134">
        <f>E71/E70</f>
        <v>0.62819063686208365</v>
      </c>
      <c r="F75" s="134"/>
      <c r="G75" s="134">
        <f>G71/G70</f>
        <v>1.0509803921568628</v>
      </c>
      <c r="H75" s="134"/>
      <c r="I75" s="134">
        <f>I71/I70</f>
        <v>1.0301688992428655</v>
      </c>
    </row>
    <row r="76" spans="1:14" s="133" customFormat="1" x14ac:dyDescent="0.3">
      <c r="A76" s="148"/>
      <c r="B76" s="148" t="s">
        <v>2087</v>
      </c>
      <c r="D76" s="134"/>
      <c r="E76" s="134">
        <f>E72/E70</f>
        <v>1.3335310180496085</v>
      </c>
      <c r="F76" s="134"/>
      <c r="G76" s="134">
        <f>G72/G70</f>
        <v>1.1604608492693582</v>
      </c>
      <c r="H76" s="134"/>
      <c r="I76" s="134">
        <f>I72/I70</f>
        <v>1.0913926429139267</v>
      </c>
    </row>
    <row r="77" spans="1:14" s="133" customFormat="1" x14ac:dyDescent="0.3">
      <c r="A77" s="148"/>
      <c r="B77" s="148" t="s">
        <v>2088</v>
      </c>
      <c r="D77" s="134"/>
      <c r="E77" s="134">
        <f>E71/E72</f>
        <v>0.47107313467733258</v>
      </c>
      <c r="F77" s="134"/>
      <c r="G77" s="134">
        <f>G71/G72</f>
        <v>0.90565777623482435</v>
      </c>
      <c r="H77" s="134"/>
      <c r="I77" s="134">
        <f>I71/I72</f>
        <v>0.94390310025583557</v>
      </c>
    </row>
    <row r="78" spans="1:14" s="133" customFormat="1" x14ac:dyDescent="0.3">
      <c r="A78" s="148"/>
      <c r="B78" s="148" t="s">
        <v>2096</v>
      </c>
      <c r="C78" s="133" t="s">
        <v>92</v>
      </c>
      <c r="D78" s="37"/>
      <c r="E78" s="37">
        <f>E71/$D57</f>
        <v>0.229799294349008</v>
      </c>
      <c r="F78" s="37"/>
      <c r="G78" s="37">
        <f>G71/$F57</f>
        <v>0.76034414445010479</v>
      </c>
      <c r="H78" s="37"/>
      <c r="I78" s="37">
        <f>I71/$D57</f>
        <v>0.78448724622592381</v>
      </c>
    </row>
    <row r="79" spans="1:14" s="133" customFormat="1" x14ac:dyDescent="0.3">
      <c r="A79" s="148"/>
      <c r="B79" s="148" t="s">
        <v>2097</v>
      </c>
      <c r="C79" s="133" t="s">
        <v>92</v>
      </c>
      <c r="D79" s="37"/>
      <c r="E79" s="37">
        <f>E58/D58</f>
        <v>0.88337425936106517</v>
      </c>
      <c r="F79" s="37"/>
      <c r="G79" s="37">
        <f>G58/F58</f>
        <v>0.96293209449441541</v>
      </c>
      <c r="H79" s="37"/>
      <c r="I79" s="97">
        <f>G58/D58</f>
        <v>0.97892654375182886</v>
      </c>
    </row>
    <row r="80" spans="1:14" s="133" customFormat="1" x14ac:dyDescent="0.3">
      <c r="A80" s="148"/>
      <c r="B80" s="148" t="s">
        <v>2081</v>
      </c>
      <c r="D80" s="134"/>
      <c r="E80" s="134">
        <f>E69/E71</f>
        <v>6.3674938231818654</v>
      </c>
      <c r="F80" s="134"/>
      <c r="G80" s="134">
        <f>G69/G71</f>
        <v>3.8059701492537314</v>
      </c>
      <c r="H80" s="134"/>
      <c r="I80" s="134">
        <f>I69/I71</f>
        <v>3.8828584350972415</v>
      </c>
    </row>
    <row r="81" spans="1:10" s="133" customFormat="1" x14ac:dyDescent="0.3">
      <c r="A81" s="148"/>
      <c r="B81" s="148" t="s">
        <v>2137</v>
      </c>
      <c r="D81" s="134"/>
      <c r="E81" s="134">
        <f>E69-E72</f>
        <v>1.2309575459899489</v>
      </c>
      <c r="F81" s="134"/>
      <c r="G81" s="134">
        <f>G69-G72</f>
        <v>2.7288183144428242</v>
      </c>
      <c r="H81" s="134"/>
      <c r="I81" s="134">
        <f>I69-I72</f>
        <v>2.7951933761847698</v>
      </c>
    </row>
    <row r="82" spans="1:10" x14ac:dyDescent="0.3">
      <c r="A82" s="148"/>
      <c r="E82" s="10"/>
    </row>
    <row r="83" spans="1:10" x14ac:dyDescent="0.3">
      <c r="A83" s="148"/>
      <c r="B83" s="40" t="s">
        <v>359</v>
      </c>
      <c r="C83" s="12"/>
      <c r="D83" s="133" t="s">
        <v>569</v>
      </c>
      <c r="E83" s="133" t="s">
        <v>588</v>
      </c>
      <c r="F83" s="133" t="s">
        <v>570</v>
      </c>
      <c r="G83" s="133" t="s">
        <v>589</v>
      </c>
      <c r="H83" s="133" t="s">
        <v>590</v>
      </c>
    </row>
    <row r="84" spans="1:10" s="133" customFormat="1" x14ac:dyDescent="0.3">
      <c r="A84" s="148"/>
      <c r="B84" s="95" t="s">
        <v>1795</v>
      </c>
      <c r="C84" s="103"/>
      <c r="D84" s="133" t="s">
        <v>2156</v>
      </c>
      <c r="E84" s="133" t="s">
        <v>1534</v>
      </c>
      <c r="F84" s="133" t="s">
        <v>2156</v>
      </c>
      <c r="G84" s="133" t="s">
        <v>1535</v>
      </c>
    </row>
    <row r="85" spans="1:10" s="133" customFormat="1" x14ac:dyDescent="0.3">
      <c r="A85" s="148"/>
      <c r="B85" s="95" t="s">
        <v>1791</v>
      </c>
      <c r="C85" s="103"/>
      <c r="D85" s="133" t="s">
        <v>1104</v>
      </c>
      <c r="E85" s="133" t="s">
        <v>1105</v>
      </c>
      <c r="F85" s="133" t="s">
        <v>1104</v>
      </c>
      <c r="G85" s="133" t="s">
        <v>1105</v>
      </c>
      <c r="H85" s="133" t="s">
        <v>1923</v>
      </c>
    </row>
    <row r="86" spans="1:10" x14ac:dyDescent="0.3">
      <c r="A86" s="148"/>
      <c r="B86" s="12" t="s">
        <v>33</v>
      </c>
      <c r="C86" s="12" t="s">
        <v>270</v>
      </c>
      <c r="D86" s="8">
        <f>D52</f>
        <v>3.9565217391304355</v>
      </c>
      <c r="E86" s="8">
        <f>E52</f>
        <v>3.9565217391304355</v>
      </c>
      <c r="F86" s="8">
        <f>F52</f>
        <v>3.9565217391304355</v>
      </c>
      <c r="G86" s="8">
        <f>G52</f>
        <v>3.9565217391304355</v>
      </c>
      <c r="H86" s="8">
        <f>H52</f>
        <v>3.9565217391304355</v>
      </c>
    </row>
    <row r="87" spans="1:10" x14ac:dyDescent="0.3">
      <c r="A87" s="148"/>
      <c r="B87" s="12" t="s">
        <v>26</v>
      </c>
      <c r="C87" s="12" t="s">
        <v>25</v>
      </c>
      <c r="D87">
        <f>$D31</f>
        <v>46</v>
      </c>
      <c r="E87" s="133">
        <f>$D31</f>
        <v>46</v>
      </c>
      <c r="F87" s="133">
        <f>$D31</f>
        <v>46</v>
      </c>
      <c r="G87" s="133">
        <f>$D31</f>
        <v>46</v>
      </c>
      <c r="H87" s="133">
        <f>$D31</f>
        <v>46</v>
      </c>
    </row>
    <row r="88" spans="1:10" s="133" customFormat="1" x14ac:dyDescent="0.3">
      <c r="A88" s="6"/>
      <c r="B88" s="148" t="s">
        <v>1544</v>
      </c>
      <c r="C88" s="133" t="s">
        <v>338</v>
      </c>
      <c r="D88" s="134"/>
      <c r="E88" s="134">
        <f>E33</f>
        <v>5.05</v>
      </c>
      <c r="F88" s="134"/>
      <c r="G88" s="134">
        <f>G33</f>
        <v>5.29</v>
      </c>
      <c r="H88" s="134">
        <f>H33</f>
        <v>5.29</v>
      </c>
      <c r="I88" s="134"/>
      <c r="J88" s="133" t="s">
        <v>1552</v>
      </c>
    </row>
    <row r="89" spans="1:10" x14ac:dyDescent="0.3">
      <c r="A89" s="148"/>
      <c r="B89" s="12" t="s">
        <v>351</v>
      </c>
      <c r="C89" s="12" t="s">
        <v>377</v>
      </c>
      <c r="D89">
        <f>D39/1000</f>
        <v>0.38800000000000001</v>
      </c>
      <c r="E89">
        <f>E39/1000</f>
        <v>0.46100000000000002</v>
      </c>
      <c r="F89">
        <f>F39/1000</f>
        <v>0.38200000000000001</v>
      </c>
      <c r="G89">
        <f>G39/1000</f>
        <v>0.64</v>
      </c>
      <c r="H89" s="133">
        <f>H39/1000</f>
        <v>4.7E-2</v>
      </c>
    </row>
    <row r="90" spans="1:10" x14ac:dyDescent="0.3">
      <c r="A90" s="148"/>
      <c r="B90" s="12" t="s">
        <v>352</v>
      </c>
      <c r="C90" s="12" t="s">
        <v>377</v>
      </c>
      <c r="E90">
        <f>E89-D89</f>
        <v>7.3000000000000009E-2</v>
      </c>
      <c r="G90">
        <f>G89-$F89</f>
        <v>0.25800000000000001</v>
      </c>
      <c r="H90" s="133">
        <f>H89-$F89</f>
        <v>-0.33500000000000002</v>
      </c>
      <c r="J90" t="s">
        <v>1533</v>
      </c>
    </row>
    <row r="91" spans="1:10" x14ac:dyDescent="0.3">
      <c r="A91" s="148"/>
      <c r="B91" s="12" t="s">
        <v>383</v>
      </c>
      <c r="C91" s="12" t="s">
        <v>92</v>
      </c>
      <c r="E91" s="3">
        <f>E90/D89</f>
        <v>0.18814432989690724</v>
      </c>
      <c r="G91" s="3">
        <f>G90/F89</f>
        <v>0.67539267015706805</v>
      </c>
      <c r="H91" s="134">
        <f>H90/G89</f>
        <v>-0.5234375</v>
      </c>
    </row>
    <row r="92" spans="1:10" x14ac:dyDescent="0.3">
      <c r="A92" s="148"/>
      <c r="B92" s="12" t="s">
        <v>293</v>
      </c>
      <c r="C92" s="12" t="s">
        <v>338</v>
      </c>
      <c r="D92" s="3">
        <f>D55</f>
        <v>1.53</v>
      </c>
      <c r="E92" s="134">
        <f>E55</f>
        <v>1.82</v>
      </c>
      <c r="F92" s="134">
        <f>F55</f>
        <v>1.51</v>
      </c>
      <c r="G92" s="134">
        <f>G55</f>
        <v>2.52</v>
      </c>
      <c r="H92" s="134">
        <f>H55</f>
        <v>0.33</v>
      </c>
    </row>
    <row r="93" spans="1:10" x14ac:dyDescent="0.3">
      <c r="B93" s="12" t="s">
        <v>402</v>
      </c>
      <c r="C93" s="12" t="s">
        <v>338</v>
      </c>
      <c r="D93" s="10"/>
      <c r="E93" s="133">
        <f>E92-D92</f>
        <v>0.29000000000000004</v>
      </c>
      <c r="F93" s="133"/>
      <c r="G93" s="133">
        <f>G92-$D92</f>
        <v>0.99</v>
      </c>
      <c r="H93" s="133">
        <f>H92-$D92</f>
        <v>-1.2</v>
      </c>
    </row>
    <row r="94" spans="1:10" x14ac:dyDescent="0.3">
      <c r="B94" s="12" t="s">
        <v>3</v>
      </c>
      <c r="C94" s="12" t="s">
        <v>302</v>
      </c>
      <c r="D94">
        <f>D36</f>
        <v>54.8</v>
      </c>
      <c r="E94">
        <f>E36</f>
        <v>32.1</v>
      </c>
      <c r="F94">
        <f>F36</f>
        <v>53.2</v>
      </c>
      <c r="G94">
        <f>G36</f>
        <v>60.3</v>
      </c>
      <c r="H94" s="133">
        <f>H36</f>
        <v>6.1</v>
      </c>
    </row>
    <row r="95" spans="1:10" x14ac:dyDescent="0.3">
      <c r="B95" s="12" t="s">
        <v>277</v>
      </c>
      <c r="C95" s="12" t="s">
        <v>302</v>
      </c>
      <c r="D95">
        <f>D35</f>
        <v>45.2</v>
      </c>
      <c r="E95">
        <f>E35</f>
        <v>11.4</v>
      </c>
      <c r="F95">
        <f>F35</f>
        <v>46.8</v>
      </c>
      <c r="G95">
        <f>G35</f>
        <v>5.0999999999999996</v>
      </c>
      <c r="H95" s="133">
        <f>H35</f>
        <v>0</v>
      </c>
    </row>
    <row r="96" spans="1:10" x14ac:dyDescent="0.3">
      <c r="B96" s="12" t="s">
        <v>13</v>
      </c>
      <c r="C96" s="12" t="s">
        <v>302</v>
      </c>
      <c r="D96" s="8"/>
      <c r="E96" s="8">
        <f>E34</f>
        <v>56.5</v>
      </c>
      <c r="F96" s="8"/>
      <c r="G96" s="8">
        <f>G34</f>
        <v>34.6</v>
      </c>
      <c r="H96" s="8">
        <f>H34</f>
        <v>93.9</v>
      </c>
    </row>
    <row r="97" spans="2:10" x14ac:dyDescent="0.3">
      <c r="B97" s="12" t="s">
        <v>35</v>
      </c>
      <c r="C97" s="12"/>
      <c r="D97" s="3">
        <f>D44</f>
        <v>7.81</v>
      </c>
      <c r="E97" s="3">
        <f>E44</f>
        <v>7.97</v>
      </c>
      <c r="F97" s="3">
        <f>F44</f>
        <v>7.89</v>
      </c>
      <c r="G97" s="3">
        <f>G44</f>
        <v>8.3699999999999992</v>
      </c>
      <c r="H97" s="134">
        <f>H44</f>
        <v>7.93</v>
      </c>
      <c r="J97" t="s">
        <v>759</v>
      </c>
    </row>
    <row r="98" spans="2:10" x14ac:dyDescent="0.3">
      <c r="B98" s="12" t="s">
        <v>52</v>
      </c>
      <c r="C98" s="12" t="s">
        <v>621</v>
      </c>
      <c r="D98" s="8" t="s">
        <v>1671</v>
      </c>
      <c r="E98" s="8" t="s">
        <v>1671</v>
      </c>
      <c r="F98" s="8" t="s">
        <v>1671</v>
      </c>
      <c r="G98" s="8" t="s">
        <v>1671</v>
      </c>
      <c r="H98" s="8" t="s">
        <v>1671</v>
      </c>
    </row>
    <row r="99" spans="2:10" x14ac:dyDescent="0.3">
      <c r="B99" s="12" t="s">
        <v>558</v>
      </c>
      <c r="C99" s="12" t="s">
        <v>621</v>
      </c>
      <c r="D99" s="8" t="s">
        <v>1673</v>
      </c>
      <c r="E99" s="8" t="s">
        <v>1673</v>
      </c>
      <c r="F99" s="8" t="s">
        <v>1673</v>
      </c>
      <c r="G99" s="8" t="s">
        <v>1673</v>
      </c>
      <c r="H99" s="8" t="s">
        <v>1673</v>
      </c>
      <c r="J99" t="s">
        <v>682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D4E0-C955-41B4-B778-6AABED83A299}">
  <dimension ref="A2:AG359"/>
  <sheetViews>
    <sheetView zoomScaleNormal="100" workbookViewId="0"/>
  </sheetViews>
  <sheetFormatPr defaultRowHeight="14.4" x14ac:dyDescent="0.3"/>
  <cols>
    <col min="2" max="2" width="21" customWidth="1"/>
    <col min="5" max="5" width="8.21875" bestFit="1" customWidth="1"/>
    <col min="7" max="7" width="17.77734375" bestFit="1" customWidth="1"/>
  </cols>
  <sheetData>
    <row r="2" spans="2:5" x14ac:dyDescent="0.3">
      <c r="B2" s="14" t="s">
        <v>1752</v>
      </c>
    </row>
    <row r="3" spans="2:5" x14ac:dyDescent="0.3">
      <c r="B3" t="s">
        <v>695</v>
      </c>
    </row>
    <row r="4" spans="2:5" x14ac:dyDescent="0.3">
      <c r="B4" t="s">
        <v>696</v>
      </c>
    </row>
    <row r="6" spans="2:5" s="133" customFormat="1" x14ac:dyDescent="0.3">
      <c r="B6" s="148" t="s">
        <v>114</v>
      </c>
      <c r="D6" s="133" t="s">
        <v>214</v>
      </c>
    </row>
    <row r="7" spans="2:5" s="133" customFormat="1" x14ac:dyDescent="0.3">
      <c r="B7" s="133" t="s">
        <v>667</v>
      </c>
      <c r="C7" s="133" t="s">
        <v>503</v>
      </c>
      <c r="D7" s="133">
        <v>37</v>
      </c>
    </row>
    <row r="8" spans="2:5" s="133" customFormat="1" x14ac:dyDescent="0.3">
      <c r="B8" s="133" t="s">
        <v>1324</v>
      </c>
      <c r="D8" s="133" t="s">
        <v>1091</v>
      </c>
    </row>
    <row r="9" spans="2:5" s="133" customFormat="1" x14ac:dyDescent="0.3">
      <c r="B9" s="133" t="s">
        <v>956</v>
      </c>
      <c r="C9" s="133" t="s">
        <v>22</v>
      </c>
      <c r="D9" s="133">
        <v>0.5</v>
      </c>
    </row>
    <row r="10" spans="2:5" s="133" customFormat="1" x14ac:dyDescent="0.3">
      <c r="B10" s="133" t="s">
        <v>32</v>
      </c>
      <c r="C10" s="133" t="s">
        <v>22</v>
      </c>
      <c r="D10" s="133">
        <v>0.38850000000000001</v>
      </c>
    </row>
    <row r="11" spans="2:5" s="133" customFormat="1" x14ac:dyDescent="0.3">
      <c r="B11" s="133" t="s">
        <v>326</v>
      </c>
      <c r="D11" s="133" t="s">
        <v>1641</v>
      </c>
    </row>
    <row r="12" spans="2:5" s="133" customFormat="1" x14ac:dyDescent="0.3">
      <c r="B12" s="133" t="s">
        <v>344</v>
      </c>
      <c r="D12" s="133" t="s">
        <v>694</v>
      </c>
    </row>
    <row r="13" spans="2:5" s="133" customFormat="1" x14ac:dyDescent="0.3">
      <c r="B13" s="133" t="s">
        <v>1332</v>
      </c>
      <c r="D13" s="133" t="s">
        <v>190</v>
      </c>
    </row>
    <row r="14" spans="2:5" s="133" customFormat="1" x14ac:dyDescent="0.3">
      <c r="B14" s="133" t="s">
        <v>1330</v>
      </c>
      <c r="D14" s="133" t="s">
        <v>1643</v>
      </c>
    </row>
    <row r="15" spans="2:5" s="133" customFormat="1" x14ac:dyDescent="0.3">
      <c r="B15" s="133" t="s">
        <v>1968</v>
      </c>
      <c r="D15" s="133" t="s">
        <v>2090</v>
      </c>
      <c r="E15" s="133" t="s">
        <v>1980</v>
      </c>
    </row>
    <row r="16" spans="2:5" s="133" customFormat="1" x14ac:dyDescent="0.3">
      <c r="B16" s="133" t="s">
        <v>1541</v>
      </c>
      <c r="D16" s="133" t="s">
        <v>533</v>
      </c>
    </row>
    <row r="17" spans="2:7" s="133" customFormat="1" x14ac:dyDescent="0.3">
      <c r="B17" s="133" t="s">
        <v>1599</v>
      </c>
      <c r="D17" s="133" t="s">
        <v>2132</v>
      </c>
    </row>
    <row r="18" spans="2:7" s="133" customFormat="1" x14ac:dyDescent="0.3"/>
    <row r="19" spans="2:7" x14ac:dyDescent="0.3">
      <c r="B19" t="s">
        <v>214</v>
      </c>
      <c r="C19" s="10">
        <f>W51</f>
        <v>1.0656931194939898</v>
      </c>
      <c r="D19" t="s">
        <v>699</v>
      </c>
    </row>
    <row r="20" spans="2:7" x14ac:dyDescent="0.3">
      <c r="C20" s="16">
        <v>1</v>
      </c>
      <c r="D20" t="s">
        <v>700</v>
      </c>
    </row>
    <row r="21" spans="2:7" x14ac:dyDescent="0.3">
      <c r="C21" s="16">
        <f>C20*1000/100</f>
        <v>10</v>
      </c>
      <c r="D21" t="s">
        <v>30</v>
      </c>
    </row>
    <row r="22" spans="2:7" x14ac:dyDescent="0.3">
      <c r="C22" s="3">
        <f>C19*C21</f>
        <v>10.656931194939897</v>
      </c>
      <c r="D22" t="s">
        <v>439</v>
      </c>
    </row>
    <row r="23" spans="2:7" x14ac:dyDescent="0.3">
      <c r="C23" s="8">
        <v>18.5</v>
      </c>
      <c r="D23" t="s">
        <v>31</v>
      </c>
    </row>
    <row r="24" spans="2:7" x14ac:dyDescent="0.3">
      <c r="B24" t="s">
        <v>33</v>
      </c>
      <c r="C24" s="12">
        <v>0.05</v>
      </c>
      <c r="D24" t="s">
        <v>361</v>
      </c>
      <c r="F24" t="s">
        <v>1648</v>
      </c>
    </row>
    <row r="25" spans="2:7" x14ac:dyDescent="0.3">
      <c r="B25" t="s">
        <v>374</v>
      </c>
      <c r="C25" s="30">
        <f>C22/C28</f>
        <v>0.50747291404475703</v>
      </c>
      <c r="D25" t="s">
        <v>361</v>
      </c>
      <c r="F25" t="s">
        <v>2211</v>
      </c>
    </row>
    <row r="26" spans="2:7" x14ac:dyDescent="0.3">
      <c r="C26" s="3">
        <f>C25/C19</f>
        <v>0.47619047619047616</v>
      </c>
      <c r="D26" t="s">
        <v>270</v>
      </c>
    </row>
    <row r="27" spans="2:7" x14ac:dyDescent="0.3">
      <c r="B27" t="s">
        <v>11</v>
      </c>
      <c r="C27" s="8">
        <v>388.5</v>
      </c>
      <c r="D27" t="s">
        <v>10</v>
      </c>
    </row>
    <row r="28" spans="2:7" x14ac:dyDescent="0.3">
      <c r="B28" t="s">
        <v>26</v>
      </c>
      <c r="C28" s="16">
        <f>C27/C23</f>
        <v>21</v>
      </c>
      <c r="D28" t="s">
        <v>25</v>
      </c>
      <c r="F28" t="s">
        <v>1642</v>
      </c>
    </row>
    <row r="30" spans="2:7" x14ac:dyDescent="0.3">
      <c r="B30" t="s">
        <v>287</v>
      </c>
    </row>
    <row r="31" spans="2:7" x14ac:dyDescent="0.3">
      <c r="D31" t="s">
        <v>70</v>
      </c>
      <c r="E31" t="s">
        <v>13</v>
      </c>
      <c r="G31" t="s">
        <v>703</v>
      </c>
    </row>
    <row r="32" spans="2:7" x14ac:dyDescent="0.3">
      <c r="B32" t="s">
        <v>3</v>
      </c>
      <c r="C32" t="s">
        <v>302</v>
      </c>
      <c r="D32">
        <v>66.7</v>
      </c>
      <c r="E32">
        <v>94.47</v>
      </c>
    </row>
    <row r="33" spans="2:33" x14ac:dyDescent="0.3">
      <c r="B33" t="s">
        <v>277</v>
      </c>
      <c r="C33" t="s">
        <v>302</v>
      </c>
      <c r="D33">
        <v>33.299999999999997</v>
      </c>
      <c r="E33">
        <v>3.09</v>
      </c>
    </row>
    <row r="34" spans="2:33" x14ac:dyDescent="0.3">
      <c r="B34" t="s">
        <v>13</v>
      </c>
      <c r="C34" t="s">
        <v>302</v>
      </c>
      <c r="E34">
        <v>2.4500000000000002</v>
      </c>
      <c r="H34" s="6" t="s">
        <v>2212</v>
      </c>
    </row>
    <row r="35" spans="2:33" x14ac:dyDescent="0.3">
      <c r="B35" t="s">
        <v>3</v>
      </c>
      <c r="C35" t="s">
        <v>315</v>
      </c>
      <c r="D35">
        <v>1.03</v>
      </c>
      <c r="E35">
        <v>1.68</v>
      </c>
      <c r="H35">
        <v>0.05</v>
      </c>
      <c r="I35" t="s">
        <v>361</v>
      </c>
    </row>
    <row r="36" spans="2:33" x14ac:dyDescent="0.3">
      <c r="B36" t="s">
        <v>697</v>
      </c>
      <c r="C36" t="s">
        <v>315</v>
      </c>
      <c r="E36">
        <v>0.59</v>
      </c>
      <c r="H36">
        <v>0.35</v>
      </c>
      <c r="I36" t="s">
        <v>1661</v>
      </c>
    </row>
    <row r="37" spans="2:33" x14ac:dyDescent="0.3">
      <c r="B37" t="s">
        <v>1086</v>
      </c>
      <c r="C37" t="s">
        <v>315</v>
      </c>
      <c r="E37">
        <v>2.37</v>
      </c>
      <c r="H37">
        <f>H36*H35</f>
        <v>1.7499999999999998E-2</v>
      </c>
      <c r="I37" t="s">
        <v>2213</v>
      </c>
    </row>
    <row r="38" spans="2:33" x14ac:dyDescent="0.3">
      <c r="B38" t="s">
        <v>698</v>
      </c>
      <c r="C38" t="s">
        <v>315</v>
      </c>
      <c r="E38">
        <v>2.3199999999999998</v>
      </c>
      <c r="H38">
        <f>H37*1000</f>
        <v>17.499999999999996</v>
      </c>
      <c r="I38" s="133" t="s">
        <v>2214</v>
      </c>
    </row>
    <row r="39" spans="2:33" x14ac:dyDescent="0.3">
      <c r="B39" t="s">
        <v>416</v>
      </c>
      <c r="C39" t="s">
        <v>302</v>
      </c>
      <c r="E39">
        <v>98</v>
      </c>
    </row>
    <row r="40" spans="2:33" x14ac:dyDescent="0.3">
      <c r="B40" t="s">
        <v>171</v>
      </c>
      <c r="C40" t="s">
        <v>17</v>
      </c>
      <c r="D40">
        <v>35.4</v>
      </c>
      <c r="E40">
        <v>37.5</v>
      </c>
    </row>
    <row r="41" spans="2:33" x14ac:dyDescent="0.3">
      <c r="B41" t="s">
        <v>35</v>
      </c>
      <c r="D41">
        <v>7.07</v>
      </c>
      <c r="E41">
        <v>7.64</v>
      </c>
      <c r="F41" s="133">
        <v>7.64</v>
      </c>
    </row>
    <row r="43" spans="2:33" s="133" customFormat="1" x14ac:dyDescent="0.3">
      <c r="B43" s="6" t="s">
        <v>877</v>
      </c>
    </row>
    <row r="44" spans="2:33" x14ac:dyDescent="0.3">
      <c r="B44" t="s">
        <v>3</v>
      </c>
      <c r="C44" t="s">
        <v>31</v>
      </c>
      <c r="D44">
        <v>9.5500000000000007</v>
      </c>
      <c r="E44">
        <v>15.67</v>
      </c>
      <c r="H44" t="s">
        <v>1646</v>
      </c>
      <c r="J44" s="133"/>
      <c r="K44" s="133"/>
      <c r="L44" s="133"/>
      <c r="M44" s="133"/>
      <c r="N44" s="133"/>
      <c r="O44" s="133"/>
      <c r="P44" s="133"/>
      <c r="Q44" s="133"/>
      <c r="R44" s="133"/>
      <c r="S44" s="133"/>
      <c r="T44" s="133"/>
      <c r="U44" s="133"/>
      <c r="V44" s="133"/>
      <c r="W44" s="133"/>
      <c r="X44" s="133"/>
      <c r="Y44" s="133"/>
      <c r="Z44" s="133"/>
      <c r="AA44" s="133"/>
      <c r="AB44" s="133"/>
      <c r="AC44" s="133"/>
      <c r="AD44" s="133"/>
      <c r="AE44" s="179">
        <v>22.413996390000001</v>
      </c>
      <c r="AF44" s="133" t="s">
        <v>1657</v>
      </c>
      <c r="AG44" s="133"/>
    </row>
    <row r="45" spans="2:33" x14ac:dyDescent="0.3">
      <c r="B45" t="s">
        <v>697</v>
      </c>
      <c r="C45" t="s">
        <v>31</v>
      </c>
      <c r="E45">
        <f>E44-D44</f>
        <v>6.1199999999999992</v>
      </c>
      <c r="J45" s="133"/>
      <c r="K45" s="133"/>
      <c r="L45" s="67" t="s">
        <v>623</v>
      </c>
      <c r="M45" s="133"/>
      <c r="N45" s="133"/>
      <c r="O45" s="133"/>
      <c r="P45" s="133"/>
      <c r="Q45" s="133"/>
      <c r="R45" s="133"/>
      <c r="S45" s="133"/>
      <c r="T45" s="133"/>
      <c r="U45" s="133"/>
      <c r="V45" s="133"/>
      <c r="W45" s="133"/>
      <c r="X45" s="133"/>
      <c r="Y45" s="133"/>
      <c r="Z45" s="133"/>
      <c r="AA45" s="133"/>
      <c r="AB45" s="133"/>
      <c r="AC45" s="133"/>
      <c r="AD45" s="133"/>
      <c r="AE45" s="10">
        <f>L48+4*L49</f>
        <v>16.042760000000001</v>
      </c>
      <c r="AF45" s="133" t="s">
        <v>1649</v>
      </c>
      <c r="AG45" s="133"/>
    </row>
    <row r="46" spans="2:33" x14ac:dyDescent="0.3">
      <c r="B46" t="s">
        <v>321</v>
      </c>
      <c r="C46" t="s">
        <v>31</v>
      </c>
      <c r="E46">
        <v>21.75</v>
      </c>
      <c r="H46" t="s">
        <v>1646</v>
      </c>
      <c r="J46" s="68" t="s">
        <v>214</v>
      </c>
      <c r="K46" s="133"/>
      <c r="L46" s="133"/>
      <c r="M46" s="133"/>
      <c r="N46" s="133" t="s">
        <v>1650</v>
      </c>
      <c r="O46" s="133" t="s">
        <v>1651</v>
      </c>
      <c r="P46" s="66" t="s">
        <v>1652</v>
      </c>
      <c r="Q46" s="133"/>
      <c r="R46" s="133"/>
      <c r="S46" s="133"/>
      <c r="T46" s="133" t="s">
        <v>1653</v>
      </c>
      <c r="U46" s="133"/>
      <c r="V46" s="133"/>
      <c r="W46" s="68" t="s">
        <v>48</v>
      </c>
      <c r="X46" s="133"/>
      <c r="Y46" s="133"/>
      <c r="Z46" s="68" t="s">
        <v>1654</v>
      </c>
      <c r="AA46" s="133"/>
      <c r="AB46" s="68" t="s">
        <v>3</v>
      </c>
      <c r="AC46" s="133" t="s">
        <v>1655</v>
      </c>
      <c r="AD46" s="133"/>
      <c r="AE46" s="133"/>
      <c r="AF46" s="133"/>
      <c r="AG46" s="133"/>
    </row>
    <row r="47" spans="2:33" x14ac:dyDescent="0.3">
      <c r="B47" t="s">
        <v>704</v>
      </c>
      <c r="C47" t="s">
        <v>31</v>
      </c>
      <c r="E47" s="3">
        <f>E46/4</f>
        <v>5.4375</v>
      </c>
      <c r="J47" s="133"/>
      <c r="K47" s="133" t="s">
        <v>1315</v>
      </c>
      <c r="L47" s="133" t="s">
        <v>1656</v>
      </c>
      <c r="M47" s="133" t="s">
        <v>21</v>
      </c>
      <c r="N47" s="133"/>
      <c r="O47" s="133"/>
      <c r="P47" s="133" t="s">
        <v>1315</v>
      </c>
      <c r="Q47" s="133"/>
      <c r="R47" s="133"/>
      <c r="S47" s="133"/>
      <c r="T47" s="133" t="s">
        <v>1315</v>
      </c>
      <c r="U47" s="133"/>
      <c r="V47" s="133"/>
      <c r="W47" s="133"/>
      <c r="X47" s="133"/>
      <c r="Y47" s="133"/>
      <c r="Z47" s="133"/>
      <c r="AA47" s="133"/>
      <c r="AB47" s="133"/>
      <c r="AC47" s="133"/>
      <c r="AD47" s="133"/>
      <c r="AE47" s="133"/>
      <c r="AF47" s="133"/>
      <c r="AG47" s="133"/>
    </row>
    <row r="48" spans="2:33" x14ac:dyDescent="0.3">
      <c r="B48" t="s">
        <v>705</v>
      </c>
      <c r="C48" t="s">
        <v>377</v>
      </c>
      <c r="D48" s="10">
        <f>$AE50</f>
        <v>0.37323964856785463</v>
      </c>
      <c r="E48" s="10">
        <f>$AE50</f>
        <v>0.37323964856785463</v>
      </c>
      <c r="J48" s="133" t="s">
        <v>619</v>
      </c>
      <c r="K48" s="133">
        <v>6</v>
      </c>
      <c r="L48" s="180">
        <v>12.010999999999999</v>
      </c>
      <c r="M48" s="10">
        <f>K48*L48</f>
        <v>72.066000000000003</v>
      </c>
      <c r="N48" s="133"/>
      <c r="O48" s="69" t="s">
        <v>619</v>
      </c>
      <c r="P48" s="133">
        <v>6</v>
      </c>
      <c r="Q48" s="10">
        <f>L48*P48</f>
        <v>72.066000000000003</v>
      </c>
      <c r="R48" s="133"/>
      <c r="S48" s="133"/>
      <c r="T48" s="133"/>
      <c r="U48" s="133"/>
      <c r="V48" s="133" t="b">
        <f>K48=P48-T48</f>
        <v>1</v>
      </c>
      <c r="W48" s="133"/>
      <c r="X48" s="133"/>
      <c r="Y48" s="133"/>
      <c r="Z48" s="133"/>
      <c r="AA48" s="133"/>
      <c r="AB48" s="69" t="s">
        <v>619</v>
      </c>
      <c r="AC48" s="133">
        <v>3</v>
      </c>
      <c r="AD48" s="10">
        <f>L48*AC48</f>
        <v>36.033000000000001</v>
      </c>
      <c r="AE48" s="133"/>
      <c r="AF48" s="133"/>
      <c r="AG48" s="133"/>
    </row>
    <row r="49" spans="2:33" x14ac:dyDescent="0.3">
      <c r="C49" t="s">
        <v>706</v>
      </c>
      <c r="D49" s="8">
        <f>D48*1000</f>
        <v>373.23964856785466</v>
      </c>
      <c r="E49" s="10"/>
      <c r="J49" s="133" t="s">
        <v>618</v>
      </c>
      <c r="K49" s="133">
        <v>12</v>
      </c>
      <c r="L49" s="180">
        <v>1.0079400000000001</v>
      </c>
      <c r="M49" s="10">
        <f>K49*L49</f>
        <v>12.095280000000001</v>
      </c>
      <c r="N49" s="133"/>
      <c r="O49" s="69" t="s">
        <v>618</v>
      </c>
      <c r="P49" s="133">
        <v>12</v>
      </c>
      <c r="Q49" s="10">
        <f>L49*P49</f>
        <v>12.095280000000001</v>
      </c>
      <c r="R49" s="133"/>
      <c r="S49" s="133"/>
      <c r="T49" s="133"/>
      <c r="U49" s="133"/>
      <c r="V49" s="133" t="b">
        <f>K49=P49-T49</f>
        <v>1</v>
      </c>
      <c r="W49" s="133"/>
      <c r="X49" s="133"/>
      <c r="Y49" s="133"/>
      <c r="Z49" s="133"/>
      <c r="AA49" s="133"/>
      <c r="AB49" s="69" t="s">
        <v>618</v>
      </c>
      <c r="AC49" s="133">
        <v>12</v>
      </c>
      <c r="AD49" s="10">
        <f>L49*AC49</f>
        <v>12.095280000000001</v>
      </c>
      <c r="AE49" s="133"/>
      <c r="AF49" s="133"/>
      <c r="AG49" s="133"/>
    </row>
    <row r="50" spans="2:33" x14ac:dyDescent="0.3">
      <c r="B50" t="s">
        <v>1647</v>
      </c>
      <c r="C50" t="s">
        <v>707</v>
      </c>
      <c r="D50" s="10">
        <f>D44/D49</f>
        <v>2.5586777923095751E-2</v>
      </c>
      <c r="E50" s="10"/>
      <c r="J50" s="133" t="s">
        <v>620</v>
      </c>
      <c r="K50" s="133">
        <v>6</v>
      </c>
      <c r="L50" s="181">
        <v>15.9994</v>
      </c>
      <c r="M50" s="10">
        <f>K50*L50</f>
        <v>95.996399999999994</v>
      </c>
      <c r="N50" s="133"/>
      <c r="O50" s="69" t="s">
        <v>620</v>
      </c>
      <c r="P50" s="133">
        <v>18</v>
      </c>
      <c r="Q50" s="10">
        <f>L50*P50</f>
        <v>287.98919999999998</v>
      </c>
      <c r="R50" s="133"/>
      <c r="S50" s="69" t="s">
        <v>620</v>
      </c>
      <c r="T50" s="133">
        <f>P50-K50</f>
        <v>12</v>
      </c>
      <c r="U50" s="10">
        <f>L50*T50</f>
        <v>191.99279999999999</v>
      </c>
      <c r="V50" s="133" t="b">
        <f>K50=P50-T50</f>
        <v>1</v>
      </c>
      <c r="W50" s="133"/>
      <c r="X50" s="133"/>
      <c r="Y50" s="133"/>
      <c r="Z50" s="133"/>
      <c r="AA50" s="133"/>
      <c r="AB50" s="69" t="s">
        <v>620</v>
      </c>
      <c r="AC50" s="133">
        <v>0</v>
      </c>
      <c r="AD50" s="10">
        <f>L50*AC50</f>
        <v>0</v>
      </c>
      <c r="AE50" s="10">
        <f>AE51*AE44/AE45</f>
        <v>0.37323964856785463</v>
      </c>
      <c r="AF50" s="133" t="s">
        <v>1660</v>
      </c>
      <c r="AG50" s="10"/>
    </row>
    <row r="51" spans="2:33" x14ac:dyDescent="0.3">
      <c r="B51" t="s">
        <v>33</v>
      </c>
      <c r="C51" t="s">
        <v>270</v>
      </c>
      <c r="D51" s="10">
        <f>D50*1000/C27</f>
        <v>6.5860432234480695E-2</v>
      </c>
      <c r="J51" s="133"/>
      <c r="K51" s="133"/>
      <c r="L51" s="133"/>
      <c r="M51" s="10">
        <f>SUM(M48:M50)</f>
        <v>180.15768</v>
      </c>
      <c r="N51" s="133"/>
      <c r="O51" s="133"/>
      <c r="P51" s="133"/>
      <c r="Q51" s="10">
        <f>SUM(Q48:Q50)</f>
        <v>372.15048000000002</v>
      </c>
      <c r="R51" s="133"/>
      <c r="S51" s="133"/>
      <c r="T51" s="133"/>
      <c r="U51" s="10">
        <f>SUM(U48:U50)</f>
        <v>191.99279999999999</v>
      </c>
      <c r="V51" s="133" t="b">
        <f>M51+U51=Q51</f>
        <v>1</v>
      </c>
      <c r="W51" s="10">
        <f>U51/M51</f>
        <v>1.0656931194939898</v>
      </c>
      <c r="X51" s="133" t="s">
        <v>1658</v>
      </c>
      <c r="Y51" s="133"/>
      <c r="Z51" s="133"/>
      <c r="AA51" s="133"/>
      <c r="AB51" s="133"/>
      <c r="AC51" s="133"/>
      <c r="AD51" s="10">
        <f>SUM(AD48:AD50)</f>
        <v>48.128280000000004</v>
      </c>
      <c r="AE51" s="10">
        <f>AD51/M51</f>
        <v>0.26714531403823588</v>
      </c>
      <c r="AF51" s="133" t="s">
        <v>1659</v>
      </c>
      <c r="AG51" s="133"/>
    </row>
    <row r="52" spans="2:33" s="133" customFormat="1" x14ac:dyDescent="0.3">
      <c r="B52" s="133" t="s">
        <v>374</v>
      </c>
      <c r="C52" s="133" t="s">
        <v>361</v>
      </c>
      <c r="D52" s="10">
        <f>D51*W51</f>
        <v>7.0187009479186255E-2</v>
      </c>
      <c r="M52" s="10"/>
      <c r="Q52" s="10"/>
      <c r="U52" s="10"/>
      <c r="W52" s="10"/>
      <c r="AD52" s="10"/>
      <c r="AE52" s="10">
        <f>AE50/W51</f>
        <v>0.35023182728727337</v>
      </c>
      <c r="AF52" s="133" t="s">
        <v>1661</v>
      </c>
    </row>
    <row r="53" spans="2:33" s="133" customFormat="1" x14ac:dyDescent="0.3">
      <c r="D53" s="10"/>
    </row>
    <row r="54" spans="2:33" s="133" customFormat="1" x14ac:dyDescent="0.3">
      <c r="B54" s="133" t="s">
        <v>747</v>
      </c>
      <c r="C54" s="133" t="s">
        <v>302</v>
      </c>
      <c r="D54" s="133">
        <f>SUM(D32:D34)</f>
        <v>100</v>
      </c>
      <c r="E54" s="133">
        <f>SUM(E32:E34)</f>
        <v>100.01</v>
      </c>
    </row>
    <row r="55" spans="2:33" s="133" customFormat="1" x14ac:dyDescent="0.3">
      <c r="B55" s="133" t="s">
        <v>293</v>
      </c>
      <c r="C55" s="133" t="s">
        <v>338</v>
      </c>
      <c r="D55" s="10">
        <f>D35*24/1000</f>
        <v>2.4719999999999999E-2</v>
      </c>
      <c r="E55" s="10">
        <f>E35*24/1000</f>
        <v>4.0320000000000002E-2</v>
      </c>
    </row>
    <row r="56" spans="2:33" s="133" customFormat="1" x14ac:dyDescent="0.3">
      <c r="B56" s="133" t="s">
        <v>40</v>
      </c>
      <c r="C56" s="133" t="s">
        <v>338</v>
      </c>
      <c r="D56" s="10">
        <f>D44/(1000*$D10)</f>
        <v>2.4581724581724584E-2</v>
      </c>
      <c r="E56" s="10">
        <f>E44/(1000*$D10)</f>
        <v>4.0334620334620333E-2</v>
      </c>
      <c r="G56" s="133" t="s">
        <v>197</v>
      </c>
    </row>
    <row r="57" spans="2:33" s="133" customFormat="1" x14ac:dyDescent="0.3">
      <c r="B57" s="133" t="s">
        <v>1082</v>
      </c>
      <c r="C57" s="133" t="s">
        <v>338</v>
      </c>
      <c r="D57" s="10">
        <f>D55*D33/D32</f>
        <v>1.2341469265367314E-2</v>
      </c>
      <c r="E57" s="10">
        <f>E55*E33/E32</f>
        <v>1.3188186725944745E-3</v>
      </c>
    </row>
    <row r="58" spans="2:33" s="133" customFormat="1" x14ac:dyDescent="0.3">
      <c r="B58" s="133" t="s">
        <v>308</v>
      </c>
      <c r="C58" s="133" t="s">
        <v>338</v>
      </c>
      <c r="D58" s="10">
        <f>D56+D57</f>
        <v>3.6923193847091897E-2</v>
      </c>
      <c r="E58" s="10">
        <f>E56+E57</f>
        <v>4.1653439007214806E-2</v>
      </c>
    </row>
    <row r="59" spans="2:33" s="133" customFormat="1" x14ac:dyDescent="0.3">
      <c r="B59" s="133" t="s">
        <v>321</v>
      </c>
      <c r="C59" s="133" t="s">
        <v>338</v>
      </c>
      <c r="E59" s="10">
        <f>E37*24/1000</f>
        <v>5.688E-2</v>
      </c>
    </row>
    <row r="60" spans="2:33" s="133" customFormat="1" x14ac:dyDescent="0.3">
      <c r="B60" s="133" t="s">
        <v>323</v>
      </c>
      <c r="C60" s="133" t="s">
        <v>338</v>
      </c>
      <c r="E60" s="10">
        <f>E55*E34/E32</f>
        <v>1.0456652905684346E-3</v>
      </c>
    </row>
    <row r="61" spans="2:33" s="133" customFormat="1" x14ac:dyDescent="0.3">
      <c r="B61" s="133" t="s">
        <v>433</v>
      </c>
      <c r="C61" s="133" t="s">
        <v>338</v>
      </c>
      <c r="E61" s="10">
        <f>E59-E60</f>
        <v>5.5834334709431568E-2</v>
      </c>
    </row>
    <row r="62" spans="2:33" s="133" customFormat="1" x14ac:dyDescent="0.3">
      <c r="B62" s="148" t="s">
        <v>460</v>
      </c>
      <c r="C62" s="133" t="s">
        <v>338</v>
      </c>
      <c r="E62" s="10">
        <f>E61/4</f>
        <v>1.3958583677357892E-2</v>
      </c>
    </row>
    <row r="63" spans="2:33" s="133" customFormat="1" x14ac:dyDescent="0.3">
      <c r="B63" s="148" t="s">
        <v>402</v>
      </c>
      <c r="C63" s="133" t="s">
        <v>338</v>
      </c>
      <c r="E63" s="10">
        <f>E55-D55</f>
        <v>1.5600000000000003E-2</v>
      </c>
    </row>
    <row r="64" spans="2:33" s="133" customFormat="1" x14ac:dyDescent="0.3">
      <c r="B64" s="148" t="s">
        <v>2086</v>
      </c>
      <c r="C64" s="133" t="s">
        <v>338</v>
      </c>
      <c r="E64" s="10">
        <f>D57-E57</f>
        <v>1.102265059277284E-2</v>
      </c>
    </row>
    <row r="65" spans="2:9" s="133" customFormat="1" x14ac:dyDescent="0.3">
      <c r="B65" s="148" t="s">
        <v>93</v>
      </c>
      <c r="E65" s="134">
        <f>E59/D57</f>
        <v>4.6088515700166193</v>
      </c>
    </row>
    <row r="66" spans="2:9" s="133" customFormat="1" x14ac:dyDescent="0.3">
      <c r="B66" s="148" t="s">
        <v>462</v>
      </c>
      <c r="C66" s="133" t="s">
        <v>92</v>
      </c>
      <c r="E66" s="10">
        <f>E61/E59</f>
        <v>0.98161629235990799</v>
      </c>
      <c r="G66" s="133" t="s">
        <v>197</v>
      </c>
    </row>
    <row r="67" spans="2:9" s="133" customFormat="1" x14ac:dyDescent="0.3">
      <c r="B67" s="148" t="s">
        <v>2085</v>
      </c>
      <c r="C67" s="133" t="s">
        <v>92</v>
      </c>
      <c r="E67" s="10">
        <f>E63/E62</f>
        <v>1.1175918961824642</v>
      </c>
    </row>
    <row r="68" spans="2:9" s="133" customFormat="1" x14ac:dyDescent="0.3">
      <c r="B68" s="148" t="s">
        <v>2087</v>
      </c>
      <c r="C68" s="133" t="s">
        <v>92</v>
      </c>
      <c r="E68" s="10">
        <f>E64/E62</f>
        <v>0.78966826775216414</v>
      </c>
    </row>
    <row r="69" spans="2:9" s="133" customFormat="1" x14ac:dyDescent="0.3">
      <c r="B69" s="148" t="s">
        <v>2088</v>
      </c>
      <c r="C69" s="133" t="s">
        <v>92</v>
      </c>
      <c r="E69" s="134">
        <f>E63/E64</f>
        <v>1.4152675773128804</v>
      </c>
    </row>
    <row r="70" spans="2:9" s="133" customFormat="1" x14ac:dyDescent="0.3">
      <c r="B70" s="148" t="s">
        <v>2096</v>
      </c>
      <c r="C70" s="133" t="s">
        <v>92</v>
      </c>
      <c r="D70" s="37"/>
      <c r="E70" s="37">
        <f>E63/D57</f>
        <v>1.2640310213125752</v>
      </c>
      <c r="F70" s="37"/>
      <c r="G70" s="148"/>
      <c r="H70" s="37"/>
      <c r="I70" s="148"/>
    </row>
    <row r="71" spans="2:9" s="133" customFormat="1" x14ac:dyDescent="0.3">
      <c r="B71" s="148" t="s">
        <v>2097</v>
      </c>
      <c r="C71" s="133" t="s">
        <v>92</v>
      </c>
      <c r="D71" s="37"/>
      <c r="E71" s="37">
        <f>E58/D58</f>
        <v>1.128110400733805</v>
      </c>
      <c r="F71" s="37"/>
      <c r="G71" s="148"/>
      <c r="H71" s="37"/>
      <c r="I71" s="148"/>
    </row>
    <row r="72" spans="2:9" s="133" customFormat="1" x14ac:dyDescent="0.3">
      <c r="B72" s="148" t="s">
        <v>2081</v>
      </c>
      <c r="E72" s="134">
        <f>E61/E63</f>
        <v>3.5791240198353562</v>
      </c>
    </row>
    <row r="73" spans="2:9" s="133" customFormat="1" x14ac:dyDescent="0.3">
      <c r="B73" s="148" t="s">
        <v>2137</v>
      </c>
      <c r="E73" s="134">
        <f>E61/E64</f>
        <v>5.0654181804547225</v>
      </c>
    </row>
    <row r="74" spans="2:9" s="133" customFormat="1" x14ac:dyDescent="0.3"/>
    <row r="75" spans="2:9" x14ac:dyDescent="0.3">
      <c r="B75" s="6" t="s">
        <v>359</v>
      </c>
    </row>
    <row r="76" spans="2:9" x14ac:dyDescent="0.3">
      <c r="C76" t="s">
        <v>270</v>
      </c>
      <c r="D76" s="13">
        <f>D79/$C19</f>
        <v>6.5860432234480695E-2</v>
      </c>
      <c r="E76" s="13">
        <f>E79/$C19</f>
        <v>6.5860432234480695E-2</v>
      </c>
    </row>
    <row r="77" spans="2:9" s="133" customFormat="1" x14ac:dyDescent="0.3">
      <c r="B77" s="133" t="s">
        <v>1795</v>
      </c>
      <c r="D77" s="474" t="s">
        <v>1686</v>
      </c>
      <c r="E77" s="474" t="s">
        <v>1686</v>
      </c>
    </row>
    <row r="78" spans="2:9" s="133" customFormat="1" x14ac:dyDescent="0.3">
      <c r="B78" s="133" t="s">
        <v>1791</v>
      </c>
      <c r="D78" s="13" t="s">
        <v>1104</v>
      </c>
      <c r="E78" s="13" t="s">
        <v>1105</v>
      </c>
    </row>
    <row r="79" spans="2:9" x14ac:dyDescent="0.3">
      <c r="B79" t="s">
        <v>33</v>
      </c>
      <c r="C79" t="s">
        <v>361</v>
      </c>
      <c r="D79" s="30">
        <f>D52</f>
        <v>7.0187009479186255E-2</v>
      </c>
      <c r="E79" s="30">
        <f>D79</f>
        <v>7.0187009479186255E-2</v>
      </c>
      <c r="G79" t="s">
        <v>1663</v>
      </c>
    </row>
    <row r="80" spans="2:9" x14ac:dyDescent="0.3">
      <c r="B80" t="s">
        <v>26</v>
      </c>
      <c r="C80" t="s">
        <v>25</v>
      </c>
      <c r="D80">
        <v>21</v>
      </c>
      <c r="E80">
        <v>21</v>
      </c>
    </row>
    <row r="81" spans="2:12" s="133" customFormat="1" x14ac:dyDescent="0.3">
      <c r="B81" s="148" t="s">
        <v>1544</v>
      </c>
      <c r="C81" s="133" t="s">
        <v>338</v>
      </c>
      <c r="E81" s="10">
        <f>E59</f>
        <v>5.688E-2</v>
      </c>
    </row>
    <row r="82" spans="2:12" x14ac:dyDescent="0.3">
      <c r="B82" t="s">
        <v>351</v>
      </c>
      <c r="C82" t="s">
        <v>701</v>
      </c>
      <c r="D82" s="10">
        <f>D55/D79</f>
        <v>0.35220192715762649</v>
      </c>
      <c r="E82" s="10">
        <f>E55/E79</f>
        <v>0.57446527924739088</v>
      </c>
      <c r="G82" t="s">
        <v>1662</v>
      </c>
    </row>
    <row r="83" spans="2:12" x14ac:dyDescent="0.3">
      <c r="B83" t="s">
        <v>352</v>
      </c>
      <c r="C83" t="s">
        <v>701</v>
      </c>
      <c r="E83" s="10">
        <f>E82-D82</f>
        <v>0.22226335208976439</v>
      </c>
    </row>
    <row r="84" spans="2:12" x14ac:dyDescent="0.3">
      <c r="B84" t="s">
        <v>353</v>
      </c>
      <c r="C84" t="s">
        <v>92</v>
      </c>
      <c r="E84" s="52">
        <f>E83/D82</f>
        <v>0.63106796116504882</v>
      </c>
      <c r="G84" t="s">
        <v>1664</v>
      </c>
    </row>
    <row r="85" spans="2:12" x14ac:dyDescent="0.3">
      <c r="B85" t="s">
        <v>293</v>
      </c>
      <c r="C85" t="s">
        <v>338</v>
      </c>
      <c r="E85" s="10">
        <f>E55</f>
        <v>4.0320000000000002E-2</v>
      </c>
    </row>
    <row r="86" spans="2:12" x14ac:dyDescent="0.3">
      <c r="B86" t="s">
        <v>402</v>
      </c>
      <c r="C86" t="s">
        <v>338</v>
      </c>
      <c r="E86" s="10">
        <f>E55-D55</f>
        <v>1.5600000000000003E-2</v>
      </c>
    </row>
    <row r="87" spans="2:12" x14ac:dyDescent="0.3">
      <c r="B87" t="s">
        <v>3</v>
      </c>
      <c r="C87" t="s">
        <v>302</v>
      </c>
      <c r="D87">
        <f t="shared" ref="D87:E89" si="0">D32</f>
        <v>66.7</v>
      </c>
      <c r="E87">
        <f t="shared" si="0"/>
        <v>94.47</v>
      </c>
    </row>
    <row r="88" spans="2:12" x14ac:dyDescent="0.3">
      <c r="B88" t="s">
        <v>277</v>
      </c>
      <c r="C88" t="s">
        <v>302</v>
      </c>
      <c r="D88">
        <f t="shared" si="0"/>
        <v>33.299999999999997</v>
      </c>
      <c r="E88">
        <f t="shared" si="0"/>
        <v>3.09</v>
      </c>
    </row>
    <row r="89" spans="2:12" x14ac:dyDescent="0.3">
      <c r="B89" t="s">
        <v>13</v>
      </c>
      <c r="C89" t="s">
        <v>302</v>
      </c>
      <c r="D89">
        <f t="shared" si="0"/>
        <v>0</v>
      </c>
      <c r="E89">
        <f t="shared" si="0"/>
        <v>2.4500000000000002</v>
      </c>
    </row>
    <row r="90" spans="2:12" x14ac:dyDescent="0.3">
      <c r="B90" t="s">
        <v>35</v>
      </c>
      <c r="D90">
        <f>D41</f>
        <v>7.07</v>
      </c>
      <c r="E90">
        <f>E41</f>
        <v>7.64</v>
      </c>
    </row>
    <row r="91" spans="2:12" x14ac:dyDescent="0.3">
      <c r="B91" t="s">
        <v>52</v>
      </c>
      <c r="C91" t="s">
        <v>621</v>
      </c>
      <c r="D91" t="s">
        <v>301</v>
      </c>
      <c r="E91" s="133" t="s">
        <v>301</v>
      </c>
    </row>
    <row r="92" spans="2:12" x14ac:dyDescent="0.3">
      <c r="B92" t="s">
        <v>558</v>
      </c>
      <c r="C92" t="s">
        <v>621</v>
      </c>
      <c r="D92" t="s">
        <v>1644</v>
      </c>
      <c r="E92" t="s">
        <v>1645</v>
      </c>
      <c r="G92" t="s">
        <v>19</v>
      </c>
    </row>
    <row r="93" spans="2:12" x14ac:dyDescent="0.3">
      <c r="B93" s="12" t="s">
        <v>757</v>
      </c>
      <c r="C93" s="12" t="s">
        <v>758</v>
      </c>
      <c r="G93" t="s">
        <v>761</v>
      </c>
    </row>
    <row r="94" spans="2:12" s="133" customFormat="1" x14ac:dyDescent="0.3">
      <c r="B94" s="103"/>
      <c r="C94" s="103"/>
    </row>
    <row r="96" spans="2:12" x14ac:dyDescent="0.3">
      <c r="G96" s="133"/>
      <c r="H96" s="133"/>
      <c r="I96" s="133"/>
      <c r="J96" s="133"/>
      <c r="K96" s="133"/>
      <c r="L96" s="133"/>
    </row>
    <row r="97" spans="2:12" x14ac:dyDescent="0.3">
      <c r="B97" s="176" t="s">
        <v>1753</v>
      </c>
      <c r="C97" s="12"/>
      <c r="D97" s="12"/>
      <c r="E97" s="12"/>
      <c r="G97" s="133"/>
      <c r="H97" s="133"/>
      <c r="I97" s="133"/>
      <c r="J97" s="133"/>
      <c r="K97" s="133"/>
      <c r="L97" s="133"/>
    </row>
    <row r="98" spans="2:12" x14ac:dyDescent="0.3">
      <c r="B98" t="s">
        <v>763</v>
      </c>
    </row>
    <row r="99" spans="2:12" x14ac:dyDescent="0.3">
      <c r="B99" t="s">
        <v>764</v>
      </c>
    </row>
    <row r="101" spans="2:12" s="101" customFormat="1" x14ac:dyDescent="0.3">
      <c r="B101" s="148" t="s">
        <v>114</v>
      </c>
      <c r="D101" s="101" t="s">
        <v>209</v>
      </c>
    </row>
    <row r="102" spans="2:12" s="101" customFormat="1" x14ac:dyDescent="0.3">
      <c r="B102" s="101" t="s">
        <v>667</v>
      </c>
      <c r="C102" s="101" t="s">
        <v>503</v>
      </c>
      <c r="D102" s="101">
        <v>55</v>
      </c>
    </row>
    <row r="103" spans="2:12" s="101" customFormat="1" x14ac:dyDescent="0.3">
      <c r="B103" s="101" t="s">
        <v>1324</v>
      </c>
      <c r="D103" s="101" t="s">
        <v>1325</v>
      </c>
    </row>
    <row r="104" spans="2:12" s="101" customFormat="1" x14ac:dyDescent="0.3">
      <c r="B104" s="101" t="s">
        <v>956</v>
      </c>
      <c r="C104" s="101" t="s">
        <v>22</v>
      </c>
      <c r="D104" s="101" t="s">
        <v>1523</v>
      </c>
    </row>
    <row r="105" spans="2:12" s="101" customFormat="1" x14ac:dyDescent="0.3">
      <c r="B105" s="101" t="s">
        <v>32</v>
      </c>
      <c r="C105" s="101" t="s">
        <v>22</v>
      </c>
      <c r="D105" s="101" t="s">
        <v>1524</v>
      </c>
    </row>
    <row r="106" spans="2:12" s="101" customFormat="1" x14ac:dyDescent="0.3">
      <c r="B106" s="101" t="s">
        <v>326</v>
      </c>
      <c r="D106" s="101" t="s">
        <v>1341</v>
      </c>
    </row>
    <row r="107" spans="2:12" s="101" customFormat="1" x14ac:dyDescent="0.3">
      <c r="B107" s="101" t="s">
        <v>344</v>
      </c>
      <c r="D107" s="101" t="s">
        <v>665</v>
      </c>
    </row>
    <row r="108" spans="2:12" s="101" customFormat="1" x14ac:dyDescent="0.3">
      <c r="B108" s="101" t="s">
        <v>1332</v>
      </c>
      <c r="D108" s="101" t="s">
        <v>328</v>
      </c>
      <c r="E108" s="133" t="s">
        <v>1331</v>
      </c>
    </row>
    <row r="109" spans="2:12" s="101" customFormat="1" x14ac:dyDescent="0.3">
      <c r="B109" s="101" t="s">
        <v>1330</v>
      </c>
      <c r="D109" s="101" t="s">
        <v>1333</v>
      </c>
    </row>
    <row r="110" spans="2:12" s="133" customFormat="1" x14ac:dyDescent="0.3">
      <c r="B110" s="133" t="s">
        <v>1968</v>
      </c>
      <c r="D110" s="133" t="s">
        <v>1969</v>
      </c>
      <c r="E110" s="133" t="s">
        <v>1981</v>
      </c>
    </row>
    <row r="111" spans="2:12" s="133" customFormat="1" x14ac:dyDescent="0.3">
      <c r="B111" s="133" t="s">
        <v>1541</v>
      </c>
      <c r="D111" s="133" t="s">
        <v>1550</v>
      </c>
    </row>
    <row r="112" spans="2:12" s="133" customFormat="1" x14ac:dyDescent="0.3">
      <c r="B112" s="133" t="s">
        <v>1599</v>
      </c>
      <c r="D112" s="133" t="s">
        <v>2128</v>
      </c>
    </row>
    <row r="113" spans="2:6" s="101" customFormat="1" x14ac:dyDescent="0.3"/>
    <row r="114" spans="2:6" s="101" customFormat="1" x14ac:dyDescent="0.3">
      <c r="B114" s="101" t="s">
        <v>26</v>
      </c>
      <c r="C114" s="101" t="s">
        <v>566</v>
      </c>
      <c r="D114" s="101" t="s">
        <v>1520</v>
      </c>
    </row>
    <row r="115" spans="2:6" s="133" customFormat="1" x14ac:dyDescent="0.3"/>
    <row r="116" spans="2:6" x14ac:dyDescent="0.3">
      <c r="B116" t="s">
        <v>783</v>
      </c>
      <c r="C116" t="s">
        <v>22</v>
      </c>
      <c r="D116">
        <v>6</v>
      </c>
    </row>
    <row r="117" spans="2:6" x14ac:dyDescent="0.3">
      <c r="B117" t="s">
        <v>784</v>
      </c>
      <c r="C117" t="s">
        <v>22</v>
      </c>
      <c r="D117">
        <v>0.3</v>
      </c>
    </row>
    <row r="118" spans="2:6" x14ac:dyDescent="0.3">
      <c r="B118" t="s">
        <v>785</v>
      </c>
      <c r="C118" t="s">
        <v>22</v>
      </c>
      <c r="D118">
        <v>0.4</v>
      </c>
    </row>
    <row r="119" spans="2:6" x14ac:dyDescent="0.3">
      <c r="B119" t="s">
        <v>786</v>
      </c>
      <c r="C119" t="s">
        <v>25</v>
      </c>
      <c r="D119">
        <f>D116/D117</f>
        <v>20</v>
      </c>
    </row>
    <row r="120" spans="2:6" x14ac:dyDescent="0.3">
      <c r="B120" t="s">
        <v>787</v>
      </c>
      <c r="C120" t="s">
        <v>25</v>
      </c>
      <c r="D120">
        <f>D116/D118</f>
        <v>15</v>
      </c>
    </row>
    <row r="121" spans="2:6" x14ac:dyDescent="0.3">
      <c r="B121" t="s">
        <v>788</v>
      </c>
      <c r="C121" t="s">
        <v>302</v>
      </c>
      <c r="D121">
        <v>4.88</v>
      </c>
    </row>
    <row r="122" spans="2:6" x14ac:dyDescent="0.3">
      <c r="B122" t="s">
        <v>789</v>
      </c>
      <c r="C122" t="s">
        <v>270</v>
      </c>
      <c r="D122">
        <f>D121*10/D119</f>
        <v>2.44</v>
      </c>
      <c r="F122" t="s">
        <v>2216</v>
      </c>
    </row>
    <row r="123" spans="2:6" x14ac:dyDescent="0.3">
      <c r="B123" t="s">
        <v>790</v>
      </c>
      <c r="C123" t="s">
        <v>270</v>
      </c>
      <c r="D123" s="3">
        <f>D121*10/D120</f>
        <v>3.253333333333333</v>
      </c>
    </row>
    <row r="124" spans="2:6" x14ac:dyDescent="0.3">
      <c r="B124" t="s">
        <v>791</v>
      </c>
      <c r="C124" t="s">
        <v>270</v>
      </c>
      <c r="D124" s="3">
        <v>1.1499999999999999</v>
      </c>
      <c r="F124" t="s">
        <v>794</v>
      </c>
    </row>
    <row r="125" spans="2:6" x14ac:dyDescent="0.3">
      <c r="B125" t="s">
        <v>792</v>
      </c>
      <c r="C125" t="s">
        <v>270</v>
      </c>
      <c r="D125" s="3">
        <v>0.51</v>
      </c>
    </row>
    <row r="126" spans="2:6" x14ac:dyDescent="0.3">
      <c r="B126" t="s">
        <v>793</v>
      </c>
      <c r="C126" t="s">
        <v>270</v>
      </c>
      <c r="D126" s="3">
        <f>SUM(D124:D125)</f>
        <v>1.66</v>
      </c>
      <c r="F126" t="s">
        <v>2215</v>
      </c>
    </row>
    <row r="127" spans="2:6" x14ac:dyDescent="0.3">
      <c r="C127" s="3"/>
    </row>
    <row r="128" spans="2:6" x14ac:dyDescent="0.3">
      <c r="B128" t="s">
        <v>1350</v>
      </c>
      <c r="C128" s="3" t="s">
        <v>347</v>
      </c>
      <c r="D128" s="8">
        <f>D129*$D116*1000/(60*24)</f>
        <v>3.4583333333333326</v>
      </c>
      <c r="E128">
        <v>6.1</v>
      </c>
      <c r="F128">
        <v>6.6</v>
      </c>
    </row>
    <row r="129" spans="2:10" x14ac:dyDescent="0.3">
      <c r="C129" s="3" t="s">
        <v>338</v>
      </c>
      <c r="D129">
        <v>0.83</v>
      </c>
      <c r="E129">
        <f>E128*60*25/(1000*$D116)</f>
        <v>1.5249999999999999</v>
      </c>
      <c r="F129">
        <f>F128*60*25/(1000*$D116)</f>
        <v>1.65</v>
      </c>
    </row>
    <row r="130" spans="2:10" s="101" customFormat="1" x14ac:dyDescent="0.3">
      <c r="D130" s="3"/>
      <c r="E130" s="3"/>
      <c r="F130" s="3"/>
      <c r="G130" s="3"/>
      <c r="H130" s="3"/>
      <c r="I130" s="3"/>
      <c r="J130" s="3"/>
    </row>
    <row r="131" spans="2:10" x14ac:dyDescent="0.3">
      <c r="B131" t="s">
        <v>287</v>
      </c>
      <c r="C131" t="s">
        <v>798</v>
      </c>
      <c r="D131">
        <v>1</v>
      </c>
      <c r="E131">
        <v>120</v>
      </c>
      <c r="F131">
        <v>155</v>
      </c>
      <c r="G131">
        <v>169</v>
      </c>
      <c r="H131">
        <v>213</v>
      </c>
      <c r="I131">
        <v>231</v>
      </c>
      <c r="J131">
        <v>260</v>
      </c>
    </row>
    <row r="132" spans="2:10" x14ac:dyDescent="0.3">
      <c r="B132" t="s">
        <v>738</v>
      </c>
      <c r="D132">
        <v>1</v>
      </c>
      <c r="E132">
        <v>2</v>
      </c>
      <c r="F132" t="s">
        <v>776</v>
      </c>
      <c r="G132" t="s">
        <v>777</v>
      </c>
      <c r="H132" t="s">
        <v>778</v>
      </c>
      <c r="I132" t="s">
        <v>779</v>
      </c>
      <c r="J132" t="s">
        <v>780</v>
      </c>
    </row>
    <row r="133" spans="2:10" x14ac:dyDescent="0.3">
      <c r="B133" t="s">
        <v>13</v>
      </c>
      <c r="D133" t="s">
        <v>694</v>
      </c>
      <c r="E133" t="s">
        <v>665</v>
      </c>
      <c r="F133" t="s">
        <v>665</v>
      </c>
      <c r="G133" t="s">
        <v>665</v>
      </c>
      <c r="H133" t="s">
        <v>665</v>
      </c>
      <c r="I133" t="s">
        <v>665</v>
      </c>
      <c r="J133" t="s">
        <v>665</v>
      </c>
    </row>
    <row r="134" spans="2:10" x14ac:dyDescent="0.3">
      <c r="B134" t="s">
        <v>93</v>
      </c>
      <c r="E134">
        <v>2</v>
      </c>
      <c r="F134">
        <v>4</v>
      </c>
      <c r="G134">
        <v>4</v>
      </c>
      <c r="H134">
        <v>4</v>
      </c>
      <c r="I134">
        <v>4</v>
      </c>
      <c r="J134">
        <v>4</v>
      </c>
    </row>
    <row r="135" spans="2:10" x14ac:dyDescent="0.3">
      <c r="B135" t="s">
        <v>326</v>
      </c>
      <c r="C135" t="s">
        <v>327</v>
      </c>
      <c r="D135">
        <v>80</v>
      </c>
      <c r="E135">
        <v>80</v>
      </c>
      <c r="F135">
        <v>80</v>
      </c>
      <c r="G135">
        <v>120</v>
      </c>
      <c r="H135">
        <v>140</v>
      </c>
      <c r="I135">
        <v>170</v>
      </c>
      <c r="J135">
        <v>200</v>
      </c>
    </row>
    <row r="136" spans="2:10" x14ac:dyDescent="0.3">
      <c r="B136" s="6" t="s">
        <v>765</v>
      </c>
    </row>
    <row r="137" spans="2:10" x14ac:dyDescent="0.3">
      <c r="B137" t="s">
        <v>3</v>
      </c>
      <c r="C137" t="s">
        <v>302</v>
      </c>
      <c r="D137" s="3">
        <v>62.78</v>
      </c>
      <c r="E137" s="3">
        <v>60.24</v>
      </c>
      <c r="F137" s="3">
        <v>63.36</v>
      </c>
      <c r="G137" s="3">
        <v>63.3</v>
      </c>
      <c r="H137" s="3">
        <v>62.73</v>
      </c>
      <c r="I137" s="3">
        <v>62.99</v>
      </c>
      <c r="J137" s="3">
        <v>61.31</v>
      </c>
    </row>
    <row r="138" spans="2:10" x14ac:dyDescent="0.3">
      <c r="B138" t="s">
        <v>277</v>
      </c>
      <c r="C138" t="s">
        <v>302</v>
      </c>
      <c r="D138" s="3">
        <v>37.22</v>
      </c>
      <c r="E138">
        <v>39.76</v>
      </c>
      <c r="F138">
        <v>36.64</v>
      </c>
      <c r="G138">
        <v>36.700000000000003</v>
      </c>
      <c r="H138">
        <v>37.270000000000003</v>
      </c>
      <c r="I138" s="3">
        <v>37.01</v>
      </c>
      <c r="J138" s="3">
        <v>38.69</v>
      </c>
    </row>
    <row r="139" spans="2:10" x14ac:dyDescent="0.3">
      <c r="B139" t="s">
        <v>3</v>
      </c>
      <c r="C139" t="s">
        <v>338</v>
      </c>
      <c r="D139" s="3">
        <v>0.63</v>
      </c>
      <c r="E139" s="3">
        <v>0.56000000000000005</v>
      </c>
      <c r="F139" s="3">
        <v>0.51</v>
      </c>
      <c r="G139" s="3">
        <v>0.53</v>
      </c>
      <c r="H139" s="3">
        <v>0.52</v>
      </c>
      <c r="I139" s="3">
        <v>0.52</v>
      </c>
      <c r="J139" s="3">
        <v>0.5</v>
      </c>
    </row>
    <row r="140" spans="2:10" x14ac:dyDescent="0.3">
      <c r="B140" t="s">
        <v>3</v>
      </c>
      <c r="C140" t="s">
        <v>775</v>
      </c>
      <c r="D140" s="3">
        <v>196.66</v>
      </c>
      <c r="E140" s="3">
        <v>202.2</v>
      </c>
      <c r="F140" s="3">
        <v>197.64</v>
      </c>
      <c r="G140" s="3">
        <v>201.49</v>
      </c>
      <c r="H140" s="3">
        <v>200.65</v>
      </c>
      <c r="I140" s="3">
        <v>200.86</v>
      </c>
      <c r="J140" s="3">
        <v>199.65</v>
      </c>
    </row>
    <row r="141" spans="2:10" x14ac:dyDescent="0.3">
      <c r="B141" t="s">
        <v>35</v>
      </c>
      <c r="D141" s="3">
        <v>7.93</v>
      </c>
      <c r="E141" s="3">
        <v>7.93</v>
      </c>
      <c r="F141" s="3">
        <v>7.94</v>
      </c>
      <c r="G141" s="3">
        <v>8</v>
      </c>
      <c r="H141" s="3">
        <v>8</v>
      </c>
      <c r="I141" s="3">
        <v>7.99</v>
      </c>
      <c r="J141" s="3">
        <v>8.02</v>
      </c>
    </row>
    <row r="142" spans="2:10" x14ac:dyDescent="0.3">
      <c r="B142" s="6" t="s">
        <v>766</v>
      </c>
      <c r="D142" s="3"/>
      <c r="E142" s="3"/>
      <c r="F142" s="3"/>
      <c r="G142" s="3"/>
      <c r="H142" s="3"/>
      <c r="I142" s="3"/>
      <c r="J142" s="3"/>
    </row>
    <row r="143" spans="2:10" x14ac:dyDescent="0.3">
      <c r="B143" t="s">
        <v>767</v>
      </c>
      <c r="C143" t="s">
        <v>302</v>
      </c>
      <c r="D143" s="3">
        <v>62.78</v>
      </c>
      <c r="E143" s="3">
        <v>35.93</v>
      </c>
      <c r="F143" s="3">
        <v>24.27</v>
      </c>
      <c r="G143" s="3">
        <v>25.89</v>
      </c>
      <c r="H143" s="3">
        <v>26.1</v>
      </c>
      <c r="I143" s="3">
        <v>26.1</v>
      </c>
      <c r="J143" s="3">
        <v>26.23</v>
      </c>
    </row>
    <row r="144" spans="2:10" x14ac:dyDescent="0.3">
      <c r="B144" t="s">
        <v>768</v>
      </c>
      <c r="C144" t="s">
        <v>302</v>
      </c>
      <c r="D144" s="3">
        <v>37.22</v>
      </c>
      <c r="E144" s="3">
        <v>21.54</v>
      </c>
      <c r="F144" s="3">
        <v>13.78</v>
      </c>
      <c r="G144" s="3">
        <v>15.89</v>
      </c>
      <c r="H144" s="3">
        <v>15.48</v>
      </c>
      <c r="I144" s="3">
        <v>15.26</v>
      </c>
      <c r="J144" s="3">
        <v>15.43</v>
      </c>
    </row>
    <row r="145" spans="2:12" x14ac:dyDescent="0.3">
      <c r="B145" t="s">
        <v>769</v>
      </c>
      <c r="C145" t="s">
        <v>302</v>
      </c>
      <c r="D145" s="3"/>
      <c r="E145" s="3">
        <v>42.53</v>
      </c>
      <c r="F145" s="3">
        <v>61.94</v>
      </c>
      <c r="G145" s="3">
        <v>58.22</v>
      </c>
      <c r="H145" s="3">
        <v>58.41</v>
      </c>
      <c r="I145" s="3">
        <v>58.64</v>
      </c>
      <c r="J145" s="3">
        <v>58.43</v>
      </c>
    </row>
    <row r="146" spans="2:12" x14ac:dyDescent="0.3">
      <c r="B146" t="s">
        <v>770</v>
      </c>
      <c r="C146" t="s">
        <v>302</v>
      </c>
      <c r="D146" s="3">
        <v>62.22</v>
      </c>
      <c r="E146" s="3">
        <v>37.83</v>
      </c>
      <c r="F146" s="3">
        <v>31.55</v>
      </c>
      <c r="G146" s="3">
        <v>38.26</v>
      </c>
      <c r="H146" s="3">
        <v>40.26</v>
      </c>
      <c r="I146" s="3">
        <v>41.86</v>
      </c>
      <c r="J146" s="3">
        <v>40.15</v>
      </c>
    </row>
    <row r="147" spans="2:12" x14ac:dyDescent="0.3">
      <c r="B147" t="s">
        <v>771</v>
      </c>
      <c r="C147" t="s">
        <v>302</v>
      </c>
      <c r="D147" s="3">
        <v>37.78</v>
      </c>
      <c r="E147" s="3">
        <v>20.72</v>
      </c>
      <c r="F147" s="3">
        <v>13.69</v>
      </c>
      <c r="G147" s="3">
        <v>12.35</v>
      </c>
      <c r="H147" s="3">
        <v>11.92</v>
      </c>
      <c r="I147" s="3">
        <v>11.63</v>
      </c>
      <c r="J147" s="3">
        <v>11.97</v>
      </c>
    </row>
    <row r="148" spans="2:12" x14ac:dyDescent="0.3">
      <c r="B148" t="s">
        <v>772</v>
      </c>
      <c r="C148" t="s">
        <v>302</v>
      </c>
      <c r="D148" s="3"/>
      <c r="E148" s="3">
        <v>41.45</v>
      </c>
      <c r="F148" s="3">
        <v>54.76</v>
      </c>
      <c r="G148" s="3">
        <v>49.39</v>
      </c>
      <c r="H148" s="3">
        <v>47.69</v>
      </c>
      <c r="I148" s="3">
        <v>46.51</v>
      </c>
      <c r="J148" s="3">
        <v>47.88</v>
      </c>
    </row>
    <row r="149" spans="2:12" x14ac:dyDescent="0.3">
      <c r="B149" t="s">
        <v>293</v>
      </c>
      <c r="C149" t="s">
        <v>338</v>
      </c>
      <c r="D149" s="3">
        <v>0.67</v>
      </c>
      <c r="E149" s="3">
        <v>0.66</v>
      </c>
      <c r="F149" s="3">
        <v>0.7</v>
      </c>
      <c r="G149" s="3">
        <v>0.78</v>
      </c>
      <c r="H149" s="3">
        <v>0.9</v>
      </c>
      <c r="I149" s="3">
        <v>0.76</v>
      </c>
      <c r="J149" s="3">
        <v>0.73</v>
      </c>
    </row>
    <row r="150" spans="2:12" x14ac:dyDescent="0.3">
      <c r="B150" t="s">
        <v>814</v>
      </c>
      <c r="C150" t="s">
        <v>338</v>
      </c>
      <c r="D150" s="3"/>
      <c r="E150" s="3">
        <v>0.03</v>
      </c>
      <c r="F150" s="3">
        <v>0.08</v>
      </c>
      <c r="G150" s="3">
        <v>0.1</v>
      </c>
      <c r="H150" s="3">
        <v>0.11</v>
      </c>
      <c r="I150" s="3">
        <v>0.14000000000000001</v>
      </c>
      <c r="J150" s="3">
        <v>0.13</v>
      </c>
      <c r="L150" s="103" t="s">
        <v>2217</v>
      </c>
    </row>
    <row r="151" spans="2:12" x14ac:dyDescent="0.3">
      <c r="B151" t="s">
        <v>351</v>
      </c>
      <c r="C151" t="s">
        <v>775</v>
      </c>
      <c r="D151" s="3">
        <v>216.84</v>
      </c>
      <c r="E151" s="3">
        <v>245.79</v>
      </c>
      <c r="F151" s="3">
        <v>304.82</v>
      </c>
      <c r="G151" s="3">
        <v>330.58</v>
      </c>
      <c r="H151" s="3">
        <v>411.09</v>
      </c>
      <c r="I151" s="3">
        <v>321.22000000000003</v>
      </c>
      <c r="J151" s="3">
        <v>314.60000000000002</v>
      </c>
    </row>
    <row r="152" spans="2:12" x14ac:dyDescent="0.3">
      <c r="B152" t="s">
        <v>35</v>
      </c>
      <c r="D152" s="3">
        <v>7.86</v>
      </c>
      <c r="E152" s="3">
        <v>8.07</v>
      </c>
      <c r="F152" s="3">
        <v>8.25</v>
      </c>
      <c r="G152" s="3">
        <v>8.3699999999999992</v>
      </c>
      <c r="H152" s="3">
        <v>8.41</v>
      </c>
      <c r="I152" s="3">
        <v>8.43</v>
      </c>
      <c r="J152" s="3">
        <v>8.41</v>
      </c>
    </row>
    <row r="153" spans="2:12" x14ac:dyDescent="0.3">
      <c r="B153" t="s">
        <v>773</v>
      </c>
      <c r="C153" t="s">
        <v>302</v>
      </c>
      <c r="D153" s="3">
        <v>62.22</v>
      </c>
      <c r="E153" s="3">
        <v>65.78</v>
      </c>
      <c r="F153" s="3">
        <v>69.239999999999995</v>
      </c>
      <c r="G153" s="3">
        <v>75.540000000000006</v>
      </c>
      <c r="H153" s="3">
        <v>77.13</v>
      </c>
      <c r="I153" s="3">
        <v>78.040000000000006</v>
      </c>
      <c r="J153" s="3">
        <v>77.03</v>
      </c>
    </row>
    <row r="154" spans="2:12" x14ac:dyDescent="0.3">
      <c r="B154" t="s">
        <v>774</v>
      </c>
      <c r="C154" t="s">
        <v>302</v>
      </c>
      <c r="D154" s="3"/>
      <c r="E154" s="3">
        <v>13.04</v>
      </c>
      <c r="F154" s="3">
        <v>20.91</v>
      </c>
      <c r="G154" s="3">
        <v>28.76</v>
      </c>
      <c r="H154" s="3">
        <v>31.21</v>
      </c>
      <c r="I154" s="3">
        <v>39.25</v>
      </c>
      <c r="J154" s="3">
        <v>38.229999999999997</v>
      </c>
    </row>
    <row r="156" spans="2:12" x14ac:dyDescent="0.3">
      <c r="B156" t="s">
        <v>781</v>
      </c>
      <c r="C156" t="s">
        <v>270</v>
      </c>
      <c r="D156" s="3">
        <v>1.1499999999999999</v>
      </c>
      <c r="E156" s="3">
        <v>1.1499999999999999</v>
      </c>
      <c r="F156" s="3">
        <v>1.1499999999999999</v>
      </c>
      <c r="G156" s="3">
        <v>1.1499999999999999</v>
      </c>
      <c r="H156" s="3">
        <v>1.1499999999999999</v>
      </c>
      <c r="I156" s="3">
        <v>1.1499999999999999</v>
      </c>
      <c r="J156" s="3">
        <v>1.1499999999999999</v>
      </c>
      <c r="L156" t="s">
        <v>2218</v>
      </c>
    </row>
    <row r="157" spans="2:12" x14ac:dyDescent="0.3">
      <c r="B157" t="s">
        <v>782</v>
      </c>
      <c r="C157" t="s">
        <v>270</v>
      </c>
      <c r="D157" s="3">
        <v>0.51</v>
      </c>
      <c r="E157" s="3">
        <v>0.51</v>
      </c>
      <c r="F157" s="3">
        <v>0.51</v>
      </c>
      <c r="G157" s="3">
        <v>0.51</v>
      </c>
      <c r="H157" s="3">
        <v>0.51</v>
      </c>
      <c r="I157" s="3">
        <v>0.51</v>
      </c>
      <c r="J157" s="3">
        <v>0.51</v>
      </c>
    </row>
    <row r="158" spans="2:12" x14ac:dyDescent="0.3">
      <c r="B158" t="s">
        <v>800</v>
      </c>
      <c r="C158" t="s">
        <v>47</v>
      </c>
      <c r="D158" s="3">
        <v>1.35</v>
      </c>
      <c r="E158" s="3">
        <v>1.5</v>
      </c>
      <c r="F158" s="3">
        <v>2.2000000000000002</v>
      </c>
      <c r="G158" s="3">
        <v>2.1</v>
      </c>
      <c r="H158" s="3">
        <v>2</v>
      </c>
      <c r="I158" s="3">
        <v>1.9</v>
      </c>
      <c r="J158" s="3">
        <v>1.8</v>
      </c>
      <c r="L158" t="s">
        <v>2219</v>
      </c>
    </row>
    <row r="159" spans="2:12" x14ac:dyDescent="0.3">
      <c r="B159" t="s">
        <v>278</v>
      </c>
      <c r="C159" t="s">
        <v>17</v>
      </c>
      <c r="D159" s="16">
        <v>170</v>
      </c>
      <c r="E159" s="16">
        <f>E162*E163/(1+E161)</f>
        <v>207.89473684210526</v>
      </c>
      <c r="F159" s="16">
        <v>344</v>
      </c>
      <c r="G159" s="16">
        <v>505</v>
      </c>
      <c r="H159" s="16">
        <v>576</v>
      </c>
      <c r="I159" s="16">
        <v>785</v>
      </c>
      <c r="J159" s="16">
        <v>765</v>
      </c>
      <c r="L159" t="s">
        <v>809</v>
      </c>
    </row>
    <row r="160" spans="2:12" x14ac:dyDescent="0.3">
      <c r="B160" t="s">
        <v>668</v>
      </c>
      <c r="C160" t="s">
        <v>17</v>
      </c>
      <c r="D160" s="16">
        <f>(183+198)/2</f>
        <v>190.5</v>
      </c>
      <c r="E160" s="16">
        <f>E159*E161</f>
        <v>187.10526315789474</v>
      </c>
      <c r="F160" s="16">
        <v>190</v>
      </c>
      <c r="G160" s="16">
        <v>190</v>
      </c>
      <c r="H160" s="16">
        <v>190</v>
      </c>
      <c r="I160" s="16">
        <v>190</v>
      </c>
      <c r="J160" s="16">
        <v>190</v>
      </c>
      <c r="L160" t="s">
        <v>809</v>
      </c>
    </row>
    <row r="161" spans="2:13" x14ac:dyDescent="0.3">
      <c r="B161" t="s">
        <v>812</v>
      </c>
      <c r="D161" s="8" t="s">
        <v>749</v>
      </c>
      <c r="E161" s="3">
        <v>0.9</v>
      </c>
      <c r="F161" s="3"/>
      <c r="G161" s="3"/>
      <c r="H161" s="3"/>
      <c r="I161" s="3"/>
      <c r="J161" s="3"/>
    </row>
    <row r="162" spans="2:13" x14ac:dyDescent="0.3">
      <c r="B162" t="s">
        <v>811</v>
      </c>
      <c r="D162" s="8"/>
      <c r="E162" s="3">
        <v>0.79</v>
      </c>
      <c r="F162" s="3"/>
      <c r="G162" s="3"/>
      <c r="H162" s="3"/>
      <c r="I162" s="3"/>
      <c r="J162" s="3"/>
    </row>
    <row r="163" spans="2:13" x14ac:dyDescent="0.3">
      <c r="B163" t="s">
        <v>171</v>
      </c>
      <c r="C163" t="s">
        <v>17</v>
      </c>
      <c r="D163" s="8" t="s">
        <v>808</v>
      </c>
      <c r="E163" s="8">
        <v>500</v>
      </c>
      <c r="F163" s="3"/>
      <c r="G163" s="3"/>
      <c r="H163" s="3"/>
      <c r="I163" s="3"/>
      <c r="J163" s="3"/>
      <c r="L163" t="s">
        <v>809</v>
      </c>
    </row>
    <row r="164" spans="2:13" x14ac:dyDescent="0.3">
      <c r="B164" t="s">
        <v>321</v>
      </c>
      <c r="C164" t="s">
        <v>338</v>
      </c>
      <c r="D164" s="3">
        <v>0</v>
      </c>
      <c r="E164" s="3">
        <f>D129</f>
        <v>0.83</v>
      </c>
      <c r="F164" s="3">
        <v>1.61</v>
      </c>
      <c r="G164" s="3">
        <f>$E164*2</f>
        <v>1.66</v>
      </c>
      <c r="H164" s="3">
        <f>$E164*2</f>
        <v>1.66</v>
      </c>
      <c r="I164" s="3">
        <f>$E164*2</f>
        <v>1.66</v>
      </c>
      <c r="J164" s="3">
        <f>$E164*2</f>
        <v>1.66</v>
      </c>
      <c r="L164" t="s">
        <v>813</v>
      </c>
    </row>
    <row r="165" spans="2:13" x14ac:dyDescent="0.3">
      <c r="B165" t="s">
        <v>807</v>
      </c>
      <c r="C165" t="s">
        <v>775</v>
      </c>
      <c r="D165" s="3"/>
      <c r="E165" s="8">
        <v>235.53</v>
      </c>
      <c r="F165" s="3"/>
      <c r="G165" s="3"/>
      <c r="H165" s="3"/>
      <c r="I165" s="3"/>
      <c r="J165" s="3"/>
      <c r="L165" t="s">
        <v>806</v>
      </c>
    </row>
    <row r="166" spans="2:13" s="101" customFormat="1" x14ac:dyDescent="0.3">
      <c r="D166" s="3"/>
      <c r="E166" s="3"/>
      <c r="F166" s="3"/>
      <c r="G166" s="3"/>
      <c r="H166" s="3"/>
      <c r="I166" s="3"/>
      <c r="J166" s="3"/>
      <c r="L166" s="101" t="s">
        <v>1342</v>
      </c>
    </row>
    <row r="168" spans="2:13" x14ac:dyDescent="0.3">
      <c r="B168" s="6" t="s">
        <v>877</v>
      </c>
    </row>
    <row r="169" spans="2:13" s="101" customFormat="1" x14ac:dyDescent="0.3">
      <c r="B169" s="27" t="s">
        <v>33</v>
      </c>
      <c r="C169" s="101" t="s">
        <v>270</v>
      </c>
      <c r="D169" s="3">
        <f t="shared" ref="D169:J170" si="1">$D123</f>
        <v>3.253333333333333</v>
      </c>
      <c r="E169" s="3">
        <f t="shared" si="1"/>
        <v>3.253333333333333</v>
      </c>
      <c r="F169" s="3">
        <f t="shared" si="1"/>
        <v>3.253333333333333</v>
      </c>
      <c r="G169" s="3">
        <f t="shared" si="1"/>
        <v>3.253333333333333</v>
      </c>
      <c r="H169" s="3">
        <f t="shared" si="1"/>
        <v>3.253333333333333</v>
      </c>
      <c r="I169" s="3">
        <f t="shared" si="1"/>
        <v>3.253333333333333</v>
      </c>
      <c r="J169" s="3">
        <f t="shared" si="1"/>
        <v>3.253333333333333</v>
      </c>
      <c r="K169"/>
      <c r="L169" t="s">
        <v>1553</v>
      </c>
      <c r="M169"/>
    </row>
    <row r="170" spans="2:13" s="101" customFormat="1" x14ac:dyDescent="0.3">
      <c r="B170" s="27"/>
      <c r="C170" s="101" t="s">
        <v>270</v>
      </c>
      <c r="D170" s="3">
        <f t="shared" si="1"/>
        <v>1.1499999999999999</v>
      </c>
      <c r="E170" s="3">
        <f t="shared" si="1"/>
        <v>1.1499999999999999</v>
      </c>
      <c r="F170" s="3">
        <f t="shared" si="1"/>
        <v>1.1499999999999999</v>
      </c>
      <c r="G170" s="3">
        <f t="shared" si="1"/>
        <v>1.1499999999999999</v>
      </c>
      <c r="H170" s="3">
        <f t="shared" si="1"/>
        <v>1.1499999999999999</v>
      </c>
      <c r="I170" s="3">
        <f t="shared" si="1"/>
        <v>1.1499999999999999</v>
      </c>
      <c r="J170" s="3">
        <f t="shared" si="1"/>
        <v>1.1499999999999999</v>
      </c>
      <c r="K170"/>
      <c r="L170" t="s">
        <v>139</v>
      </c>
      <c r="M170"/>
    </row>
    <row r="171" spans="2:13" x14ac:dyDescent="0.3">
      <c r="B171" s="27"/>
      <c r="C171" t="s">
        <v>270</v>
      </c>
      <c r="D171" s="3">
        <f t="shared" ref="D171:J171" si="2">1000*D149/D151</f>
        <v>3.0898358236487731</v>
      </c>
      <c r="E171" s="3">
        <f t="shared" si="2"/>
        <v>2.6852190894666181</v>
      </c>
      <c r="F171" s="3">
        <f t="shared" si="2"/>
        <v>2.2964372416508105</v>
      </c>
      <c r="G171" s="3">
        <f t="shared" si="2"/>
        <v>2.3594893822977796</v>
      </c>
      <c r="H171" s="3">
        <f t="shared" si="2"/>
        <v>2.1893016127855214</v>
      </c>
      <c r="I171" s="3">
        <f t="shared" si="2"/>
        <v>2.3659797023846583</v>
      </c>
      <c r="J171" s="3">
        <f t="shared" si="2"/>
        <v>2.3204068658614112</v>
      </c>
      <c r="L171" t="s">
        <v>810</v>
      </c>
    </row>
    <row r="172" spans="2:13" x14ac:dyDescent="0.3">
      <c r="B172" t="s">
        <v>795</v>
      </c>
      <c r="C172" s="27" t="s">
        <v>302</v>
      </c>
      <c r="D172" s="8">
        <f t="shared" ref="D172:J172" si="3">SUM(D143:D145)</f>
        <v>100</v>
      </c>
      <c r="E172" s="8">
        <f t="shared" si="3"/>
        <v>100</v>
      </c>
      <c r="F172" s="8">
        <f t="shared" si="3"/>
        <v>99.99</v>
      </c>
      <c r="G172" s="8">
        <f t="shared" si="3"/>
        <v>100</v>
      </c>
      <c r="H172" s="8">
        <f t="shared" si="3"/>
        <v>99.99</v>
      </c>
      <c r="I172" s="8">
        <f t="shared" si="3"/>
        <v>100</v>
      </c>
      <c r="J172" s="8">
        <f t="shared" si="3"/>
        <v>100.09</v>
      </c>
    </row>
    <row r="173" spans="2:13" x14ac:dyDescent="0.3">
      <c r="B173" t="s">
        <v>796</v>
      </c>
      <c r="C173" t="s">
        <v>302</v>
      </c>
      <c r="D173" s="8">
        <f t="shared" ref="D173:J173" si="4">SUM(D146:D148)</f>
        <v>100</v>
      </c>
      <c r="E173" s="8">
        <f t="shared" si="4"/>
        <v>100</v>
      </c>
      <c r="F173" s="8">
        <f t="shared" si="4"/>
        <v>100</v>
      </c>
      <c r="G173" s="8">
        <f t="shared" si="4"/>
        <v>100</v>
      </c>
      <c r="H173" s="8">
        <f t="shared" si="4"/>
        <v>99.87</v>
      </c>
      <c r="I173" s="8">
        <f t="shared" si="4"/>
        <v>100</v>
      </c>
      <c r="J173" s="8">
        <f t="shared" si="4"/>
        <v>100</v>
      </c>
    </row>
    <row r="174" spans="2:13" x14ac:dyDescent="0.3">
      <c r="B174" t="s">
        <v>802</v>
      </c>
      <c r="C174" t="s">
        <v>302</v>
      </c>
      <c r="D174" s="10">
        <f t="shared" ref="D174:J174" si="5">D143/(D143+D144)</f>
        <v>0.62780000000000002</v>
      </c>
      <c r="E174" s="10">
        <f t="shared" si="5"/>
        <v>0.6251957543065948</v>
      </c>
      <c r="F174" s="10">
        <f t="shared" si="5"/>
        <v>0.63784494086727994</v>
      </c>
      <c r="G174" s="10">
        <f t="shared" si="5"/>
        <v>0.61967448539971282</v>
      </c>
      <c r="H174" s="10">
        <f t="shared" si="5"/>
        <v>0.62770562770562777</v>
      </c>
      <c r="I174" s="10">
        <f t="shared" si="5"/>
        <v>0.63104448742746622</v>
      </c>
      <c r="J174" s="10">
        <f t="shared" si="5"/>
        <v>0.62962073931829099</v>
      </c>
      <c r="L174" t="s">
        <v>1349</v>
      </c>
    </row>
    <row r="175" spans="2:13" x14ac:dyDescent="0.3">
      <c r="B175" t="s">
        <v>803</v>
      </c>
      <c r="C175" t="s">
        <v>302</v>
      </c>
      <c r="D175" s="10">
        <f t="shared" ref="D175:J175" si="6">D144/(D143+D144)</f>
        <v>0.37219999999999998</v>
      </c>
      <c r="E175" s="10">
        <f t="shared" si="6"/>
        <v>0.37480424569340526</v>
      </c>
      <c r="F175" s="10">
        <f t="shared" si="6"/>
        <v>0.36215505913272011</v>
      </c>
      <c r="G175" s="10">
        <f t="shared" si="6"/>
        <v>0.38032551460028724</v>
      </c>
      <c r="H175" s="10">
        <f t="shared" si="6"/>
        <v>0.37229437229437234</v>
      </c>
      <c r="I175" s="10">
        <f t="shared" si="6"/>
        <v>0.36895551257253384</v>
      </c>
      <c r="J175" s="10">
        <f t="shared" si="6"/>
        <v>0.37037926068170912</v>
      </c>
    </row>
    <row r="176" spans="2:13" x14ac:dyDescent="0.3">
      <c r="B176" t="s">
        <v>797</v>
      </c>
      <c r="C176" t="s">
        <v>302</v>
      </c>
      <c r="D176" s="10">
        <f t="shared" ref="D176:J176" si="7">D146/(D146+D147)</f>
        <v>0.62219999999999998</v>
      </c>
      <c r="E176" s="10">
        <f t="shared" si="7"/>
        <v>0.6461144321093083</v>
      </c>
      <c r="F176" s="10">
        <f t="shared" si="7"/>
        <v>0.69739168877099911</v>
      </c>
      <c r="G176" s="10">
        <f t="shared" si="7"/>
        <v>0.75597707962853189</v>
      </c>
      <c r="H176" s="10">
        <f t="shared" si="7"/>
        <v>0.77155998466845532</v>
      </c>
      <c r="I176" s="10">
        <f t="shared" si="7"/>
        <v>0.78257618246401195</v>
      </c>
      <c r="J176" s="10">
        <f t="shared" si="7"/>
        <v>0.77033768227168076</v>
      </c>
      <c r="L176" t="s">
        <v>1354</v>
      </c>
    </row>
    <row r="177" spans="1:13" x14ac:dyDescent="0.3">
      <c r="B177" t="s">
        <v>804</v>
      </c>
      <c r="C177" t="s">
        <v>338</v>
      </c>
      <c r="D177" s="10">
        <f t="shared" ref="D177:J177" si="8">D149/D176</f>
        <v>1.0768241722918677</v>
      </c>
      <c r="E177" s="10">
        <f t="shared" si="8"/>
        <v>1.0214908802537668</v>
      </c>
      <c r="F177" s="10">
        <f t="shared" si="8"/>
        <v>1.0037400950871631</v>
      </c>
      <c r="G177" s="10">
        <f t="shared" si="8"/>
        <v>1.0317773131207528</v>
      </c>
      <c r="H177" s="10">
        <f t="shared" si="8"/>
        <v>1.1664679582712369</v>
      </c>
      <c r="I177" s="10">
        <f t="shared" si="8"/>
        <v>0.97115145723841378</v>
      </c>
      <c r="J177" s="10">
        <f t="shared" si="8"/>
        <v>0.94763636363636361</v>
      </c>
    </row>
    <row r="178" spans="1:13" s="101" customFormat="1" x14ac:dyDescent="0.3">
      <c r="B178" s="101" t="s">
        <v>293</v>
      </c>
      <c r="C178" s="101" t="s">
        <v>338</v>
      </c>
      <c r="D178" s="10">
        <f t="shared" ref="D178:J178" si="9">D149</f>
        <v>0.67</v>
      </c>
      <c r="E178" s="10">
        <f t="shared" si="9"/>
        <v>0.66</v>
      </c>
      <c r="F178" s="10">
        <f t="shared" si="9"/>
        <v>0.7</v>
      </c>
      <c r="G178" s="10">
        <f t="shared" si="9"/>
        <v>0.78</v>
      </c>
      <c r="H178" s="10">
        <f t="shared" si="9"/>
        <v>0.9</v>
      </c>
      <c r="I178" s="10">
        <f t="shared" si="9"/>
        <v>0.76</v>
      </c>
      <c r="J178" s="10">
        <f t="shared" si="9"/>
        <v>0.73</v>
      </c>
      <c r="L178" s="101" t="s">
        <v>99</v>
      </c>
    </row>
    <row r="179" spans="1:13" s="133" customFormat="1" x14ac:dyDescent="0.3">
      <c r="B179" s="133" t="s">
        <v>1082</v>
      </c>
      <c r="C179" s="133" t="s">
        <v>338</v>
      </c>
      <c r="D179" s="10">
        <f>D177*D175</f>
        <v>0.40079395692703312</v>
      </c>
      <c r="E179" s="10">
        <f t="shared" ref="E179:J179" si="10">E177*E175</f>
        <v>0.3828591188562056</v>
      </c>
      <c r="F179" s="10">
        <f t="shared" si="10"/>
        <v>0.36350955349017366</v>
      </c>
      <c r="G179" s="10">
        <f t="shared" si="10"/>
        <v>0.39241123756555202</v>
      </c>
      <c r="H179" s="10">
        <f t="shared" si="10"/>
        <v>0.43426945632608827</v>
      </c>
      <c r="I179" s="10">
        <f t="shared" si="10"/>
        <v>0.35831168369096211</v>
      </c>
      <c r="J179" s="10">
        <f t="shared" si="10"/>
        <v>0.35098485575873961</v>
      </c>
      <c r="L179" s="133" t="s">
        <v>1554</v>
      </c>
    </row>
    <row r="180" spans="1:13" s="133" customFormat="1" x14ac:dyDescent="0.3">
      <c r="B180" s="6" t="s">
        <v>40</v>
      </c>
      <c r="C180" s="133" t="s">
        <v>338</v>
      </c>
      <c r="D180" s="10">
        <f>D149*D147/D146</f>
        <v>0.40682417229186763</v>
      </c>
      <c r="E180" s="10">
        <f t="shared" ref="E180:J180" si="11">E149*E147/E146</f>
        <v>0.36149088025376686</v>
      </c>
      <c r="F180" s="10">
        <f t="shared" si="11"/>
        <v>0.30374009508716315</v>
      </c>
      <c r="G180" s="10">
        <f t="shared" si="11"/>
        <v>0.2517773131207528</v>
      </c>
      <c r="H180" s="10">
        <f t="shared" si="11"/>
        <v>0.26646795827123698</v>
      </c>
      <c r="I180" s="10">
        <f t="shared" si="11"/>
        <v>0.21115145723841378</v>
      </c>
      <c r="J180" s="10">
        <f t="shared" si="11"/>
        <v>0.21763636363636368</v>
      </c>
      <c r="L180" s="133" t="s">
        <v>1555</v>
      </c>
    </row>
    <row r="181" spans="1:13" s="101" customFormat="1" x14ac:dyDescent="0.3">
      <c r="A181" s="27"/>
      <c r="B181" s="101" t="s">
        <v>1622</v>
      </c>
      <c r="C181" s="133" t="s">
        <v>92</v>
      </c>
      <c r="E181" s="10">
        <f t="shared" ref="E181:J181" si="12">E154/100</f>
        <v>0.13039999999999999</v>
      </c>
      <c r="F181" s="10">
        <f t="shared" si="12"/>
        <v>0.20910000000000001</v>
      </c>
      <c r="G181" s="10">
        <f t="shared" si="12"/>
        <v>0.28760000000000002</v>
      </c>
      <c r="H181" s="10">
        <f t="shared" si="12"/>
        <v>0.31209999999999999</v>
      </c>
      <c r="I181" s="10">
        <f t="shared" si="12"/>
        <v>0.39250000000000002</v>
      </c>
      <c r="J181" s="10">
        <f t="shared" si="12"/>
        <v>0.38229999999999997</v>
      </c>
      <c r="L181" s="101" t="s">
        <v>1623</v>
      </c>
    </row>
    <row r="182" spans="1:13" s="101" customFormat="1" x14ac:dyDescent="0.3">
      <c r="A182" s="133"/>
      <c r="B182" s="101" t="s">
        <v>321</v>
      </c>
      <c r="C182" s="101" t="s">
        <v>338</v>
      </c>
      <c r="D182" s="10">
        <f t="shared" ref="D182:J182" si="13">D164</f>
        <v>0</v>
      </c>
      <c r="E182" s="10">
        <f t="shared" si="13"/>
        <v>0.83</v>
      </c>
      <c r="F182" s="10">
        <f t="shared" si="13"/>
        <v>1.61</v>
      </c>
      <c r="G182" s="10">
        <f t="shared" si="13"/>
        <v>1.66</v>
      </c>
      <c r="H182" s="10">
        <f t="shared" si="13"/>
        <v>1.66</v>
      </c>
      <c r="I182" s="10">
        <f t="shared" si="13"/>
        <v>1.66</v>
      </c>
      <c r="J182" s="10">
        <f t="shared" si="13"/>
        <v>1.66</v>
      </c>
      <c r="L182" s="133" t="s">
        <v>813</v>
      </c>
    </row>
    <row r="183" spans="1:13" x14ac:dyDescent="0.3">
      <c r="A183" s="133"/>
      <c r="B183" t="s">
        <v>805</v>
      </c>
      <c r="C183" t="s">
        <v>338</v>
      </c>
      <c r="D183" s="10"/>
      <c r="E183" s="10">
        <f t="shared" ref="E183:J183" si="14">E177*E148/(100-E148)</f>
        <v>0.72315622521808087</v>
      </c>
      <c r="F183" s="10">
        <f t="shared" si="14"/>
        <v>1.2149603803486526</v>
      </c>
      <c r="G183" s="10">
        <f t="shared" si="14"/>
        <v>1.0069053842132778</v>
      </c>
      <c r="H183" s="10">
        <f t="shared" si="14"/>
        <v>1.0634459363401891</v>
      </c>
      <c r="I183" s="10">
        <f t="shared" si="14"/>
        <v>0.84442427138079301</v>
      </c>
      <c r="J183" s="10">
        <f t="shared" si="14"/>
        <v>0.87054545454545462</v>
      </c>
    </row>
    <row r="184" spans="1:13" x14ac:dyDescent="0.3">
      <c r="A184" s="133"/>
      <c r="B184" s="133" t="s">
        <v>433</v>
      </c>
      <c r="C184" t="s">
        <v>338</v>
      </c>
      <c r="E184" s="10">
        <f t="shared" ref="E184:J184" si="15">E164-E183</f>
        <v>0.10684377478191909</v>
      </c>
      <c r="F184" s="10">
        <f t="shared" si="15"/>
        <v>0.39503961965134748</v>
      </c>
      <c r="G184" s="10">
        <f t="shared" si="15"/>
        <v>0.65309461578672212</v>
      </c>
      <c r="H184" s="10">
        <f t="shared" si="15"/>
        <v>0.59655406365981078</v>
      </c>
      <c r="I184" s="10">
        <f t="shared" si="15"/>
        <v>0.81557572861920691</v>
      </c>
      <c r="J184" s="10">
        <f t="shared" si="15"/>
        <v>0.7894545454545453</v>
      </c>
    </row>
    <row r="185" spans="1:13" x14ac:dyDescent="0.3">
      <c r="A185" s="148"/>
      <c r="B185" s="148" t="s">
        <v>460</v>
      </c>
      <c r="C185" t="s">
        <v>338</v>
      </c>
      <c r="E185" s="10">
        <f t="shared" ref="E185:J185" si="16">E189/4</f>
        <v>3.2181859874072016E-2</v>
      </c>
      <c r="F185" s="10">
        <f t="shared" si="16"/>
        <v>6.1341555846482522E-2</v>
      </c>
      <c r="G185" s="10">
        <f t="shared" si="16"/>
        <v>9.8357622859446103E-2</v>
      </c>
      <c r="H185" s="10">
        <f t="shared" si="16"/>
        <v>8.9842479466838973E-2</v>
      </c>
      <c r="I185" s="10">
        <f t="shared" si="16"/>
        <v>0.12282766997277213</v>
      </c>
      <c r="J185" s="10">
        <f t="shared" si="16"/>
        <v>0.11889375684556405</v>
      </c>
    </row>
    <row r="186" spans="1:13" s="101" customFormat="1" x14ac:dyDescent="0.3">
      <c r="A186" s="148"/>
      <c r="B186" s="148" t="s">
        <v>402</v>
      </c>
      <c r="E186" s="10">
        <f t="shared" ref="E186:J186" si="17">E178-$D178</f>
        <v>-1.0000000000000009E-2</v>
      </c>
      <c r="F186" s="10">
        <f t="shared" si="17"/>
        <v>2.9999999999999916E-2</v>
      </c>
      <c r="G186" s="10">
        <f t="shared" si="17"/>
        <v>0.10999999999999999</v>
      </c>
      <c r="H186" s="10">
        <f t="shared" si="17"/>
        <v>0.22999999999999998</v>
      </c>
      <c r="I186" s="10">
        <f t="shared" si="17"/>
        <v>8.9999999999999969E-2</v>
      </c>
      <c r="J186" s="10">
        <f t="shared" si="17"/>
        <v>5.9999999999999942E-2</v>
      </c>
    </row>
    <row r="187" spans="1:13" s="101" customFormat="1" x14ac:dyDescent="0.3">
      <c r="A187" s="148"/>
      <c r="B187" s="148" t="s">
        <v>2086</v>
      </c>
      <c r="E187" s="10">
        <f t="shared" ref="E187:J187" si="18">$D179-E179</f>
        <v>1.7934838070827519E-2</v>
      </c>
      <c r="F187" s="10">
        <f t="shared" si="18"/>
        <v>3.7284403436859459E-2</v>
      </c>
      <c r="G187" s="10">
        <f t="shared" si="18"/>
        <v>8.3827193614811057E-3</v>
      </c>
      <c r="H187" s="10">
        <f t="shared" si="18"/>
        <v>-3.3475499399055142E-2</v>
      </c>
      <c r="I187" s="10">
        <f t="shared" si="18"/>
        <v>4.2482273236071011E-2</v>
      </c>
      <c r="J187" s="10">
        <f t="shared" si="18"/>
        <v>4.9809101168293513E-2</v>
      </c>
      <c r="L187" s="133"/>
    </row>
    <row r="188" spans="1:13" s="133" customFormat="1" x14ac:dyDescent="0.3">
      <c r="A188" s="148"/>
      <c r="B188" s="148" t="s">
        <v>93</v>
      </c>
      <c r="C188" s="133" t="s">
        <v>203</v>
      </c>
      <c r="D188" s="10"/>
      <c r="E188" s="16">
        <f t="shared" ref="E188:J188" si="19">E134</f>
        <v>2</v>
      </c>
      <c r="F188" s="16">
        <f t="shared" si="19"/>
        <v>4</v>
      </c>
      <c r="G188" s="16">
        <f t="shared" si="19"/>
        <v>4</v>
      </c>
      <c r="H188" s="16">
        <f t="shared" si="19"/>
        <v>4</v>
      </c>
      <c r="I188" s="16">
        <f t="shared" si="19"/>
        <v>4</v>
      </c>
      <c r="J188" s="16">
        <f t="shared" si="19"/>
        <v>4</v>
      </c>
      <c r="L188" s="133" t="s">
        <v>1552</v>
      </c>
    </row>
    <row r="189" spans="1:13" x14ac:dyDescent="0.3">
      <c r="A189" s="148"/>
      <c r="B189" s="148" t="s">
        <v>462</v>
      </c>
      <c r="C189" t="s">
        <v>92</v>
      </c>
      <c r="E189" s="10">
        <f t="shared" ref="E189" si="20">E184/E182</f>
        <v>0.12872743949628807</v>
      </c>
      <c r="F189" s="10">
        <f t="shared" ref="F189:J189" si="21">F184/F182</f>
        <v>0.24536622338593009</v>
      </c>
      <c r="G189" s="10">
        <f t="shared" si="21"/>
        <v>0.39343049143778441</v>
      </c>
      <c r="H189" s="10">
        <f t="shared" si="21"/>
        <v>0.35936991786735589</v>
      </c>
      <c r="I189" s="10">
        <f t="shared" si="21"/>
        <v>0.49131067989108851</v>
      </c>
      <c r="J189" s="10">
        <f t="shared" si="21"/>
        <v>0.47557502738225621</v>
      </c>
      <c r="L189" t="s">
        <v>1348</v>
      </c>
    </row>
    <row r="190" spans="1:13" s="101" customFormat="1" x14ac:dyDescent="0.3">
      <c r="A190" s="148"/>
      <c r="B190" s="148" t="s">
        <v>2085</v>
      </c>
      <c r="E190" s="10">
        <f t="shared" ref="E190" si="22">E186/E185</f>
        <v>-0.31073406071402099</v>
      </c>
      <c r="F190" s="10">
        <f t="shared" ref="F190:J190" si="23">F186/F185</f>
        <v>0.48906486941870075</v>
      </c>
      <c r="G190" s="10">
        <f t="shared" si="23"/>
        <v>1.1183678173799598</v>
      </c>
      <c r="H190" s="10">
        <f t="shared" si="23"/>
        <v>2.5600362029733765</v>
      </c>
      <c r="I190" s="10">
        <f t="shared" si="23"/>
        <v>0.7327339191564145</v>
      </c>
      <c r="J190" s="10">
        <f t="shared" si="23"/>
        <v>0.50465223399355097</v>
      </c>
      <c r="L190" s="133"/>
      <c r="M190" s="133"/>
    </row>
    <row r="191" spans="1:13" s="101" customFormat="1" x14ac:dyDescent="0.3">
      <c r="A191" s="148"/>
      <c r="B191" s="148" t="s">
        <v>2087</v>
      </c>
      <c r="E191" s="10">
        <f t="shared" ref="E191" si="24">E187/E185</f>
        <v>0.55729650619966475</v>
      </c>
      <c r="F191" s="10">
        <f t="shared" ref="F191:J191" si="25">F187/F185</f>
        <v>0.60781639660672937</v>
      </c>
      <c r="G191" s="10">
        <f t="shared" si="25"/>
        <v>8.522694141825779E-2</v>
      </c>
      <c r="H191" s="10">
        <f t="shared" si="25"/>
        <v>-0.372602132061716</v>
      </c>
      <c r="I191" s="10">
        <f t="shared" si="25"/>
        <v>0.34586891736599973</v>
      </c>
      <c r="J191" s="10">
        <f t="shared" si="25"/>
        <v>0.41893790296316891</v>
      </c>
      <c r="K191" s="133"/>
      <c r="L191" s="133"/>
      <c r="M191" s="133"/>
    </row>
    <row r="192" spans="1:13" s="101" customFormat="1" x14ac:dyDescent="0.3">
      <c r="A192" s="148"/>
      <c r="B192" s="148" t="s">
        <v>2088</v>
      </c>
      <c r="E192" s="10">
        <f t="shared" ref="E192" si="26">E186/E187</f>
        <v>-0.55757403331484923</v>
      </c>
      <c r="F192" s="10">
        <f t="shared" ref="F192:J192" si="27">F186/F187</f>
        <v>0.80462598927737805</v>
      </c>
      <c r="G192" s="10">
        <f t="shared" si="27"/>
        <v>13.122233401425069</v>
      </c>
      <c r="H192" s="10">
        <f t="shared" si="27"/>
        <v>-6.8706966028561123</v>
      </c>
      <c r="I192" s="10">
        <f t="shared" si="27"/>
        <v>2.1185306986722741</v>
      </c>
      <c r="J192" s="10">
        <f t="shared" si="27"/>
        <v>1.2045991313369362</v>
      </c>
      <c r="K192" s="133"/>
      <c r="L192" s="133"/>
      <c r="M192" s="133"/>
    </row>
    <row r="193" spans="1:13" s="133" customFormat="1" x14ac:dyDescent="0.3">
      <c r="A193" s="148"/>
      <c r="B193" s="148" t="s">
        <v>2096</v>
      </c>
      <c r="C193" s="133" t="s">
        <v>92</v>
      </c>
      <c r="D193" s="37"/>
      <c r="E193" s="37">
        <f t="shared" ref="E193" si="28">E186/$D179</f>
        <v>-2.4950475991883696E-2</v>
      </c>
      <c r="F193" s="37">
        <f t="shared" ref="F193:J193" si="29">F186/$D179</f>
        <v>7.4851427975650822E-2</v>
      </c>
      <c r="G193" s="37">
        <f t="shared" si="29"/>
        <v>0.27445523591072041</v>
      </c>
      <c r="H193" s="37">
        <f t="shared" si="29"/>
        <v>0.57386094781332453</v>
      </c>
      <c r="I193" s="37">
        <f t="shared" si="29"/>
        <v>0.22455428392695301</v>
      </c>
      <c r="J193" s="37">
        <f t="shared" si="29"/>
        <v>0.14970285595130192</v>
      </c>
    </row>
    <row r="194" spans="1:13" s="133" customFormat="1" x14ac:dyDescent="0.3">
      <c r="A194" s="148"/>
      <c r="B194" s="148" t="s">
        <v>2097</v>
      </c>
      <c r="C194" s="133" t="s">
        <v>92</v>
      </c>
      <c r="D194" s="37"/>
      <c r="E194" s="91">
        <f t="shared" ref="E194" si="30">E177/$D177</f>
        <v>0.94861436670730392</v>
      </c>
      <c r="F194" s="91">
        <f t="shared" ref="F194:J194" si="31">F177/$D177</f>
        <v>0.93212998084064602</v>
      </c>
      <c r="G194" s="91">
        <f t="shared" si="31"/>
        <v>0.95816693167721245</v>
      </c>
      <c r="H194" s="91">
        <f t="shared" si="31"/>
        <v>1.083248303934871</v>
      </c>
      <c r="I194" s="91">
        <f t="shared" si="31"/>
        <v>0.90186632342349404</v>
      </c>
      <c r="J194" s="91">
        <f t="shared" si="31"/>
        <v>0.8800288738127543</v>
      </c>
    </row>
    <row r="195" spans="1:13" x14ac:dyDescent="0.3">
      <c r="A195" s="148"/>
      <c r="B195" s="148" t="s">
        <v>2081</v>
      </c>
      <c r="E195" s="10">
        <f t="shared" ref="E195" si="32">E184/E185</f>
        <v>3.32</v>
      </c>
      <c r="F195" s="10">
        <f t="shared" ref="F195:J195" si="33">F184/F185</f>
        <v>6.44</v>
      </c>
      <c r="G195" s="10">
        <f t="shared" si="33"/>
        <v>6.64</v>
      </c>
      <c r="H195" s="10">
        <f t="shared" si="33"/>
        <v>6.64</v>
      </c>
      <c r="I195" s="10">
        <f t="shared" si="33"/>
        <v>6.64</v>
      </c>
      <c r="J195" s="10">
        <f t="shared" si="33"/>
        <v>6.64</v>
      </c>
      <c r="K195" s="133"/>
      <c r="L195" s="133"/>
      <c r="M195" s="133"/>
    </row>
    <row r="196" spans="1:13" x14ac:dyDescent="0.3">
      <c r="A196" s="148"/>
      <c r="B196" s="148" t="s">
        <v>2137</v>
      </c>
      <c r="E196" s="134">
        <f t="shared" ref="E196" si="34">E184/E187</f>
        <v>5.9573314439737945</v>
      </c>
      <c r="F196" s="134">
        <f t="shared" ref="F196:J196" si="35">F184/F187</f>
        <v>10.595304825524183</v>
      </c>
      <c r="G196" s="134">
        <f t="shared" si="35"/>
        <v>77.909636196067254</v>
      </c>
      <c r="H196" s="134">
        <f t="shared" si="35"/>
        <v>-17.820617298293353</v>
      </c>
      <c r="I196" s="134">
        <f t="shared" si="35"/>
        <v>19.198024646353311</v>
      </c>
      <c r="J196" s="134">
        <f t="shared" si="35"/>
        <v>15.849604328075701</v>
      </c>
      <c r="K196" s="133"/>
      <c r="L196" s="133"/>
      <c r="M196" s="133"/>
    </row>
    <row r="197" spans="1:13" s="133" customFormat="1" x14ac:dyDescent="0.3">
      <c r="B197" s="148"/>
      <c r="E197" s="10"/>
      <c r="F197" s="10"/>
      <c r="G197" s="10"/>
      <c r="H197" s="10"/>
      <c r="I197" s="10"/>
      <c r="J197" s="10"/>
    </row>
    <row r="199" spans="1:13" x14ac:dyDescent="0.3">
      <c r="B199" s="6" t="s">
        <v>359</v>
      </c>
      <c r="H199" t="s">
        <v>1624</v>
      </c>
    </row>
    <row r="200" spans="1:13" s="133" customFormat="1" x14ac:dyDescent="0.3">
      <c r="B200" s="133" t="s">
        <v>1795</v>
      </c>
      <c r="D200" s="479" t="s">
        <v>1686</v>
      </c>
      <c r="E200" s="479" t="s">
        <v>1686</v>
      </c>
      <c r="F200" s="479" t="s">
        <v>1686</v>
      </c>
      <c r="G200" s="479" t="s">
        <v>1686</v>
      </c>
      <c r="H200" s="10" t="s">
        <v>1794</v>
      </c>
      <c r="I200" s="10"/>
      <c r="J200" s="479" t="s">
        <v>1686</v>
      </c>
    </row>
    <row r="201" spans="1:13" s="133" customFormat="1" x14ac:dyDescent="0.3">
      <c r="B201" s="148" t="s">
        <v>1791</v>
      </c>
      <c r="D201" s="133" t="s">
        <v>1793</v>
      </c>
      <c r="E201" s="133" t="s">
        <v>1105</v>
      </c>
      <c r="F201" s="133" t="s">
        <v>1105</v>
      </c>
      <c r="G201" s="133" t="s">
        <v>1793</v>
      </c>
      <c r="H201" s="133" t="s">
        <v>1105</v>
      </c>
      <c r="I201" s="133" t="s">
        <v>1105</v>
      </c>
      <c r="J201" s="133" t="s">
        <v>1105</v>
      </c>
    </row>
    <row r="202" spans="1:13" x14ac:dyDescent="0.3">
      <c r="B202" t="s">
        <v>33</v>
      </c>
      <c r="C202" t="s">
        <v>270</v>
      </c>
      <c r="D202" s="3">
        <f t="shared" ref="D202:J202" si="36">D171</f>
        <v>3.0898358236487731</v>
      </c>
      <c r="E202" s="3">
        <f t="shared" si="36"/>
        <v>2.6852190894666181</v>
      </c>
      <c r="F202" s="3">
        <f t="shared" si="36"/>
        <v>2.2964372416508105</v>
      </c>
      <c r="G202" s="3">
        <f t="shared" si="36"/>
        <v>2.3594893822977796</v>
      </c>
      <c r="H202" s="3">
        <f t="shared" si="36"/>
        <v>2.1893016127855214</v>
      </c>
      <c r="I202" s="3">
        <f t="shared" si="36"/>
        <v>2.3659797023846583</v>
      </c>
      <c r="J202" s="3">
        <f t="shared" si="36"/>
        <v>2.3204068658614112</v>
      </c>
      <c r="L202" t="s">
        <v>1351</v>
      </c>
    </row>
    <row r="203" spans="1:13" x14ac:dyDescent="0.3">
      <c r="B203" t="s">
        <v>26</v>
      </c>
      <c r="C203" t="s">
        <v>25</v>
      </c>
      <c r="D203" s="16" t="str">
        <f t="shared" ref="D203:J203" si="37">$D114</f>
        <v>15 and 20</v>
      </c>
      <c r="E203" s="16" t="str">
        <f t="shared" si="37"/>
        <v>15 and 20</v>
      </c>
      <c r="F203" s="16" t="str">
        <f t="shared" si="37"/>
        <v>15 and 20</v>
      </c>
      <c r="G203" s="16" t="str">
        <f t="shared" si="37"/>
        <v>15 and 20</v>
      </c>
      <c r="H203" s="16" t="str">
        <f t="shared" si="37"/>
        <v>15 and 20</v>
      </c>
      <c r="I203" s="16" t="str">
        <f t="shared" si="37"/>
        <v>15 and 20</v>
      </c>
      <c r="J203" s="16" t="str">
        <f t="shared" si="37"/>
        <v>15 and 20</v>
      </c>
    </row>
    <row r="204" spans="1:13" s="133" customFormat="1" x14ac:dyDescent="0.3">
      <c r="B204" s="133" t="s">
        <v>1551</v>
      </c>
      <c r="C204" s="133" t="s">
        <v>338</v>
      </c>
      <c r="D204" s="10"/>
      <c r="E204" s="10">
        <f t="shared" ref="E204:J204" si="38">E164</f>
        <v>0.83</v>
      </c>
      <c r="F204" s="10">
        <f t="shared" si="38"/>
        <v>1.61</v>
      </c>
      <c r="G204" s="10">
        <f t="shared" si="38"/>
        <v>1.66</v>
      </c>
      <c r="H204" s="10">
        <f t="shared" si="38"/>
        <v>1.66</v>
      </c>
      <c r="I204" s="10">
        <f t="shared" si="38"/>
        <v>1.66</v>
      </c>
      <c r="J204" s="10">
        <f t="shared" si="38"/>
        <v>1.66</v>
      </c>
      <c r="L204" s="133" t="s">
        <v>813</v>
      </c>
    </row>
    <row r="205" spans="1:13" x14ac:dyDescent="0.3">
      <c r="B205" t="s">
        <v>351</v>
      </c>
      <c r="C205" t="s">
        <v>377</v>
      </c>
      <c r="D205" s="10">
        <f t="shared" ref="D205:J205" si="39">D151/1000</f>
        <v>0.21684</v>
      </c>
      <c r="E205" s="10">
        <f t="shared" si="39"/>
        <v>0.24578999999999998</v>
      </c>
      <c r="F205" s="10">
        <f t="shared" si="39"/>
        <v>0.30481999999999998</v>
      </c>
      <c r="G205" s="10">
        <f t="shared" si="39"/>
        <v>0.33057999999999998</v>
      </c>
      <c r="H205" s="10">
        <f t="shared" si="39"/>
        <v>0.41108999999999996</v>
      </c>
      <c r="I205" s="10">
        <f t="shared" si="39"/>
        <v>0.32122000000000001</v>
      </c>
      <c r="J205" s="10">
        <f t="shared" si="39"/>
        <v>0.31460000000000005</v>
      </c>
      <c r="L205" t="s">
        <v>755</v>
      </c>
    </row>
    <row r="206" spans="1:13" x14ac:dyDescent="0.3">
      <c r="B206" t="s">
        <v>352</v>
      </c>
      <c r="C206" t="s">
        <v>377</v>
      </c>
      <c r="D206" s="10"/>
      <c r="E206" s="10">
        <f t="shared" ref="E206:J206" si="40">E205-$D205</f>
        <v>2.8949999999999976E-2</v>
      </c>
      <c r="F206" s="10">
        <f t="shared" si="40"/>
        <v>8.7979999999999975E-2</v>
      </c>
      <c r="G206" s="10">
        <f t="shared" si="40"/>
        <v>0.11373999999999998</v>
      </c>
      <c r="H206" s="10">
        <f t="shared" si="40"/>
        <v>0.19424999999999995</v>
      </c>
      <c r="I206" s="10">
        <f t="shared" si="40"/>
        <v>0.10438</v>
      </c>
      <c r="J206" s="10">
        <f t="shared" si="40"/>
        <v>9.7760000000000041E-2</v>
      </c>
      <c r="L206" t="s">
        <v>1352</v>
      </c>
    </row>
    <row r="207" spans="1:13" x14ac:dyDescent="0.3">
      <c r="B207" t="s">
        <v>353</v>
      </c>
      <c r="C207" t="s">
        <v>92</v>
      </c>
      <c r="D207" s="10"/>
      <c r="E207" s="10">
        <f t="shared" ref="E207:J207" si="41">E206/$D205</f>
        <v>0.13350857775318195</v>
      </c>
      <c r="F207" s="10">
        <f t="shared" si="41"/>
        <v>0.40573694890241641</v>
      </c>
      <c r="G207" s="10">
        <f t="shared" si="41"/>
        <v>0.524534218778823</v>
      </c>
      <c r="H207" s="10">
        <f t="shared" si="41"/>
        <v>0.89582180409518519</v>
      </c>
      <c r="I207" s="10">
        <f t="shared" si="41"/>
        <v>0.48136875115292382</v>
      </c>
      <c r="J207" s="10">
        <f t="shared" si="41"/>
        <v>0.45083932853717046</v>
      </c>
    </row>
    <row r="208" spans="1:13" x14ac:dyDescent="0.3">
      <c r="B208" t="s">
        <v>293</v>
      </c>
      <c r="C208" t="s">
        <v>338</v>
      </c>
      <c r="D208" s="10">
        <f t="shared" ref="D208:J208" si="42">D149</f>
        <v>0.67</v>
      </c>
      <c r="E208" s="10">
        <f t="shared" si="42"/>
        <v>0.66</v>
      </c>
      <c r="F208" s="10">
        <f t="shared" si="42"/>
        <v>0.7</v>
      </c>
      <c r="G208" s="10">
        <f t="shared" si="42"/>
        <v>0.78</v>
      </c>
      <c r="H208" s="10">
        <f t="shared" si="42"/>
        <v>0.9</v>
      </c>
      <c r="I208" s="10">
        <f t="shared" si="42"/>
        <v>0.76</v>
      </c>
      <c r="J208" s="10">
        <f t="shared" si="42"/>
        <v>0.73</v>
      </c>
      <c r="L208" t="s">
        <v>755</v>
      </c>
    </row>
    <row r="209" spans="2:12" x14ac:dyDescent="0.3">
      <c r="B209" t="s">
        <v>402</v>
      </c>
      <c r="C209" t="s">
        <v>338</v>
      </c>
      <c r="D209" s="10"/>
      <c r="E209" s="10">
        <f t="shared" ref="E209:J209" si="43">E208-$D208</f>
        <v>-1.0000000000000009E-2</v>
      </c>
      <c r="F209" s="10">
        <f t="shared" si="43"/>
        <v>2.9999999999999916E-2</v>
      </c>
      <c r="G209" s="10">
        <f t="shared" si="43"/>
        <v>0.10999999999999999</v>
      </c>
      <c r="H209" s="10">
        <f t="shared" si="43"/>
        <v>0.22999999999999998</v>
      </c>
      <c r="I209" s="10">
        <f t="shared" si="43"/>
        <v>8.9999999999999969E-2</v>
      </c>
      <c r="J209" s="10">
        <f t="shared" si="43"/>
        <v>5.9999999999999942E-2</v>
      </c>
      <c r="L209" t="s">
        <v>1353</v>
      </c>
    </row>
    <row r="210" spans="2:12" x14ac:dyDescent="0.3">
      <c r="B210" t="s">
        <v>3</v>
      </c>
      <c r="C210" t="s">
        <v>302</v>
      </c>
      <c r="D210" s="8">
        <f t="shared" ref="D210:J212" si="44">D146</f>
        <v>62.22</v>
      </c>
      <c r="E210" s="8">
        <f t="shared" si="44"/>
        <v>37.83</v>
      </c>
      <c r="F210" s="8">
        <f t="shared" si="44"/>
        <v>31.55</v>
      </c>
      <c r="G210" s="8">
        <f t="shared" si="44"/>
        <v>38.26</v>
      </c>
      <c r="H210" s="8">
        <f t="shared" si="44"/>
        <v>40.26</v>
      </c>
      <c r="I210" s="8">
        <f t="shared" si="44"/>
        <v>41.86</v>
      </c>
      <c r="J210" s="8">
        <f t="shared" si="44"/>
        <v>40.15</v>
      </c>
    </row>
    <row r="211" spans="2:12" x14ac:dyDescent="0.3">
      <c r="B211" t="s">
        <v>277</v>
      </c>
      <c r="C211" t="s">
        <v>302</v>
      </c>
      <c r="D211" s="8">
        <f t="shared" si="44"/>
        <v>37.78</v>
      </c>
      <c r="E211" s="8">
        <f t="shared" si="44"/>
        <v>20.72</v>
      </c>
      <c r="F211" s="8">
        <f t="shared" si="44"/>
        <v>13.69</v>
      </c>
      <c r="G211" s="8">
        <f t="shared" si="44"/>
        <v>12.35</v>
      </c>
      <c r="H211" s="8">
        <f t="shared" si="44"/>
        <v>11.92</v>
      </c>
      <c r="I211" s="8">
        <f t="shared" si="44"/>
        <v>11.63</v>
      </c>
      <c r="J211" s="8">
        <f t="shared" si="44"/>
        <v>11.97</v>
      </c>
    </row>
    <row r="212" spans="2:12" x14ac:dyDescent="0.3">
      <c r="B212" t="s">
        <v>13</v>
      </c>
      <c r="C212" t="s">
        <v>302</v>
      </c>
      <c r="D212" s="8">
        <f t="shared" si="44"/>
        <v>0</v>
      </c>
      <c r="E212" s="8">
        <f t="shared" si="44"/>
        <v>41.45</v>
      </c>
      <c r="F212" s="8">
        <f t="shared" si="44"/>
        <v>54.76</v>
      </c>
      <c r="G212" s="8">
        <f t="shared" si="44"/>
        <v>49.39</v>
      </c>
      <c r="H212" s="8">
        <f t="shared" si="44"/>
        <v>47.69</v>
      </c>
      <c r="I212" s="8">
        <f t="shared" si="44"/>
        <v>46.51</v>
      </c>
      <c r="J212" s="8">
        <f t="shared" si="44"/>
        <v>47.88</v>
      </c>
    </row>
    <row r="213" spans="2:12" x14ac:dyDescent="0.3">
      <c r="B213" t="s">
        <v>35</v>
      </c>
      <c r="D213" s="3">
        <f t="shared" ref="D213:J213" si="45">D152</f>
        <v>7.86</v>
      </c>
      <c r="E213" s="3">
        <f t="shared" si="45"/>
        <v>8.07</v>
      </c>
      <c r="F213" s="3">
        <f t="shared" si="45"/>
        <v>8.25</v>
      </c>
      <c r="G213" s="3">
        <f t="shared" si="45"/>
        <v>8.3699999999999992</v>
      </c>
      <c r="H213" s="3">
        <f t="shared" si="45"/>
        <v>8.41</v>
      </c>
      <c r="I213" s="3">
        <f t="shared" si="45"/>
        <v>8.43</v>
      </c>
      <c r="J213" s="3">
        <f t="shared" si="45"/>
        <v>8.41</v>
      </c>
    </row>
    <row r="214" spans="2:12" x14ac:dyDescent="0.3">
      <c r="B214" t="s">
        <v>52</v>
      </c>
      <c r="C214" t="s">
        <v>621</v>
      </c>
      <c r="D214" s="3">
        <f>D158/Data!$C34</f>
        <v>9.6382445543918269E-2</v>
      </c>
      <c r="E214" s="3">
        <f>E158/Data!$C34</f>
        <v>0.10709160615990919</v>
      </c>
      <c r="F214" s="3">
        <f>F158/Data!$C34</f>
        <v>0.15706768903453347</v>
      </c>
      <c r="G214" s="3">
        <f>G158/Data!$C34</f>
        <v>0.14992824862387286</v>
      </c>
      <c r="H214" s="3">
        <f>H158/Data!$C34</f>
        <v>0.14278880821321224</v>
      </c>
      <c r="I214" s="3">
        <f>I158/Data!$C34</f>
        <v>0.13564936780255163</v>
      </c>
      <c r="J214" s="3">
        <f>J158/Data!$C34</f>
        <v>0.12850992739189102</v>
      </c>
      <c r="L214" t="s">
        <v>799</v>
      </c>
    </row>
    <row r="215" spans="2:12" x14ac:dyDescent="0.3">
      <c r="B215" t="s">
        <v>558</v>
      </c>
      <c r="C215" t="s">
        <v>621</v>
      </c>
      <c r="D215" s="10">
        <f>D159/(1000*Data!$D18)+D160/(1000*Data!$E18)</f>
        <v>5.4024330952323965E-3</v>
      </c>
      <c r="E215" s="10">
        <f>E159/(1000*Data!$D18)+E160/(1000*Data!$E18)</f>
        <v>5.9876351687206952E-3</v>
      </c>
      <c r="F215" s="10">
        <f>F159/(1000*Data!$D18)+F160/(1000*Data!$E18)</f>
        <v>8.293153105565625E-3</v>
      </c>
      <c r="G215" s="10">
        <f>G159/(1000*Data!$D18)+G160/(1000*Data!$E18)</f>
        <v>1.097414503927685E-2</v>
      </c>
      <c r="H215" s="10">
        <f>H159/(1000*Data!$D18)+H160/(1000*Data!$E18)</f>
        <v>1.2156445829919689E-2</v>
      </c>
      <c r="I215" s="10">
        <f>I159/(1000*Data!$D18)+I160/(1000*Data!$E18)</f>
        <v>1.5636739706600719E-2</v>
      </c>
      <c r="J215" s="10">
        <f>J159/(1000*Data!$D18)+J160/(1000*Data!$E18)</f>
        <v>1.5303697230363301E-2</v>
      </c>
      <c r="L215" t="s">
        <v>815</v>
      </c>
    </row>
    <row r="216" spans="2:12" x14ac:dyDescent="0.3">
      <c r="B216" s="12" t="s">
        <v>757</v>
      </c>
      <c r="C216" s="12" t="s">
        <v>758</v>
      </c>
      <c r="D216" s="8"/>
      <c r="E216" s="8"/>
      <c r="L216" t="s">
        <v>801</v>
      </c>
    </row>
    <row r="220" spans="2:12" x14ac:dyDescent="0.3">
      <c r="B220" s="14" t="s">
        <v>1754</v>
      </c>
    </row>
    <row r="221" spans="2:12" x14ac:dyDescent="0.3">
      <c r="B221" t="s">
        <v>709</v>
      </c>
    </row>
    <row r="222" spans="2:12" x14ac:dyDescent="0.3">
      <c r="B222" t="s">
        <v>710</v>
      </c>
    </row>
    <row r="224" spans="2:12" s="101" customFormat="1" x14ac:dyDescent="0.3">
      <c r="B224" s="148" t="s">
        <v>114</v>
      </c>
      <c r="D224" s="101" t="s">
        <v>1411</v>
      </c>
    </row>
    <row r="225" spans="2:7" s="101" customFormat="1" x14ac:dyDescent="0.3">
      <c r="B225" s="101" t="s">
        <v>667</v>
      </c>
      <c r="C225" s="101" t="s">
        <v>503</v>
      </c>
      <c r="D225" s="101">
        <v>55</v>
      </c>
    </row>
    <row r="226" spans="2:7" s="101" customFormat="1" x14ac:dyDescent="0.3">
      <c r="B226" s="101" t="s">
        <v>1324</v>
      </c>
      <c r="D226" s="101" t="s">
        <v>1325</v>
      </c>
    </row>
    <row r="227" spans="2:7" s="101" customFormat="1" x14ac:dyDescent="0.3">
      <c r="B227" s="101" t="s">
        <v>956</v>
      </c>
      <c r="C227" s="101" t="s">
        <v>22</v>
      </c>
      <c r="D227" s="101" t="s">
        <v>1523</v>
      </c>
    </row>
    <row r="228" spans="2:7" s="101" customFormat="1" x14ac:dyDescent="0.3">
      <c r="B228" s="101" t="s">
        <v>32</v>
      </c>
      <c r="C228" s="101" t="s">
        <v>22</v>
      </c>
      <c r="D228" s="101" t="s">
        <v>1524</v>
      </c>
    </row>
    <row r="229" spans="2:7" s="101" customFormat="1" x14ac:dyDescent="0.3">
      <c r="B229" s="101" t="s">
        <v>326</v>
      </c>
      <c r="D229" s="101" t="s">
        <v>1341</v>
      </c>
    </row>
    <row r="230" spans="2:7" s="101" customFormat="1" x14ac:dyDescent="0.3">
      <c r="B230" s="101" t="s">
        <v>344</v>
      </c>
      <c r="D230" s="101" t="s">
        <v>665</v>
      </c>
    </row>
    <row r="231" spans="2:7" s="101" customFormat="1" x14ac:dyDescent="0.3">
      <c r="B231" s="101" t="s">
        <v>1332</v>
      </c>
      <c r="D231" s="101" t="s">
        <v>328</v>
      </c>
    </row>
    <row r="232" spans="2:7" s="101" customFormat="1" x14ac:dyDescent="0.3">
      <c r="B232" s="101" t="s">
        <v>1330</v>
      </c>
      <c r="D232" s="101" t="s">
        <v>1333</v>
      </c>
    </row>
    <row r="233" spans="2:7" s="133" customFormat="1" x14ac:dyDescent="0.3">
      <c r="B233" s="133" t="s">
        <v>1968</v>
      </c>
      <c r="D233" s="133" t="s">
        <v>1969</v>
      </c>
      <c r="E233" s="133" t="s">
        <v>1981</v>
      </c>
    </row>
    <row r="234" spans="2:7" s="133" customFormat="1" x14ac:dyDescent="0.3">
      <c r="B234" s="133" t="s">
        <v>1541</v>
      </c>
      <c r="D234" s="133" t="s">
        <v>2104</v>
      </c>
      <c r="E234" s="133" t="s">
        <v>2098</v>
      </c>
    </row>
    <row r="235" spans="2:7" s="133" customFormat="1" x14ac:dyDescent="0.3">
      <c r="B235" s="133" t="s">
        <v>1599</v>
      </c>
      <c r="D235" s="133" t="s">
        <v>2128</v>
      </c>
    </row>
    <row r="236" spans="2:7" s="101" customFormat="1" x14ac:dyDescent="0.3"/>
    <row r="237" spans="2:7" s="101" customFormat="1" x14ac:dyDescent="0.3">
      <c r="B237" s="101" t="s">
        <v>26</v>
      </c>
      <c r="C237" s="101" t="s">
        <v>566</v>
      </c>
      <c r="D237" s="101" t="s">
        <v>1520</v>
      </c>
    </row>
    <row r="239" spans="2:7" x14ac:dyDescent="0.3">
      <c r="B239" t="s">
        <v>287</v>
      </c>
      <c r="C239" t="s">
        <v>711</v>
      </c>
    </row>
    <row r="240" spans="2:7" x14ac:dyDescent="0.3">
      <c r="C240" t="s">
        <v>714</v>
      </c>
      <c r="D240" t="s">
        <v>715</v>
      </c>
      <c r="E240" t="s">
        <v>35</v>
      </c>
      <c r="F240" t="s">
        <v>716</v>
      </c>
      <c r="G240" t="s">
        <v>171</v>
      </c>
    </row>
    <row r="241" spans="2:10" x14ac:dyDescent="0.3">
      <c r="B241" t="s">
        <v>54</v>
      </c>
      <c r="C241">
        <v>3.04</v>
      </c>
      <c r="D241">
        <v>1.83</v>
      </c>
      <c r="E241">
        <v>8.07</v>
      </c>
      <c r="F241">
        <v>1.54</v>
      </c>
      <c r="G241">
        <v>7.83</v>
      </c>
    </row>
    <row r="242" spans="2:10" x14ac:dyDescent="0.3">
      <c r="B242" t="s">
        <v>210</v>
      </c>
      <c r="C242">
        <v>9.35</v>
      </c>
      <c r="D242">
        <v>7.66</v>
      </c>
      <c r="E242">
        <v>7.34</v>
      </c>
      <c r="F242">
        <v>1.24</v>
      </c>
      <c r="G242">
        <v>64.06</v>
      </c>
    </row>
    <row r="243" spans="2:10" x14ac:dyDescent="0.3">
      <c r="B243" t="s">
        <v>712</v>
      </c>
      <c r="C243">
        <v>12.64</v>
      </c>
      <c r="D243">
        <v>11.64</v>
      </c>
      <c r="E243">
        <v>4.78</v>
      </c>
      <c r="F243">
        <v>0.14000000000000001</v>
      </c>
      <c r="G243">
        <v>7.58</v>
      </c>
    </row>
    <row r="244" spans="2:10" x14ac:dyDescent="0.3">
      <c r="B244" t="s">
        <v>713</v>
      </c>
      <c r="C244">
        <v>9.92</v>
      </c>
      <c r="D244">
        <v>8.26</v>
      </c>
      <c r="E244">
        <v>7.05</v>
      </c>
      <c r="F244">
        <v>1.2</v>
      </c>
      <c r="G244">
        <v>60.09</v>
      </c>
    </row>
    <row r="246" spans="2:10" x14ac:dyDescent="0.3">
      <c r="B246" t="s">
        <v>209</v>
      </c>
      <c r="C246">
        <v>9</v>
      </c>
      <c r="D246">
        <v>8</v>
      </c>
      <c r="E246" t="s">
        <v>1400</v>
      </c>
    </row>
    <row r="247" spans="2:10" x14ac:dyDescent="0.3">
      <c r="B247" t="s">
        <v>717</v>
      </c>
      <c r="C247">
        <v>1</v>
      </c>
      <c r="D247">
        <v>2</v>
      </c>
    </row>
    <row r="248" spans="2:10" x14ac:dyDescent="0.3">
      <c r="B248" t="s">
        <v>750</v>
      </c>
      <c r="C248" s="3">
        <f>($C246*C242+$C247*C243)/($C246+$C247)</f>
        <v>9.6789999999999985</v>
      </c>
      <c r="D248" s="3">
        <f>($C246*D242+$C247*D243)/($C246+$C247)</f>
        <v>8.0579999999999998</v>
      </c>
      <c r="E248" s="3">
        <f>($C246*E242+$C247*E243)/($C246+$C247)</f>
        <v>7.0840000000000005</v>
      </c>
      <c r="F248" s="3">
        <f>($C246*F242+$C247*F243)/($C246+$C247)</f>
        <v>1.1300000000000001</v>
      </c>
      <c r="G248" s="3">
        <f>($C246*G242+$C247*G243)/($C246+$C247)</f>
        <v>58.411999999999999</v>
      </c>
      <c r="I248" t="s">
        <v>524</v>
      </c>
    </row>
    <row r="249" spans="2:10" x14ac:dyDescent="0.3">
      <c r="B249" t="s">
        <v>751</v>
      </c>
      <c r="C249" s="3">
        <f>($D246*C242+$D247*C243)/($D246+$D247)</f>
        <v>10.007999999999999</v>
      </c>
      <c r="D249" s="3">
        <f>($D246*D242+$D247*D243)/($D246+$D247)</f>
        <v>8.4559999999999995</v>
      </c>
      <c r="E249" s="3">
        <f>($D246*E242+$D247*E243)/($D246+$D247)</f>
        <v>6.8280000000000003</v>
      </c>
      <c r="F249" s="3">
        <f>($D246*F242+$D247*F243)/($D246+$D247)</f>
        <v>1.02</v>
      </c>
      <c r="G249" s="3">
        <f>($D246*G242+$D247*G243)/($D246+$D247)</f>
        <v>52.763999999999996</v>
      </c>
    </row>
    <row r="251" spans="2:10" x14ac:dyDescent="0.3">
      <c r="B251" t="s">
        <v>32</v>
      </c>
      <c r="C251">
        <v>6</v>
      </c>
      <c r="D251">
        <v>6</v>
      </c>
      <c r="E251">
        <v>6</v>
      </c>
      <c r="F251" t="s">
        <v>22</v>
      </c>
    </row>
    <row r="252" spans="2:10" x14ac:dyDescent="0.3">
      <c r="B252" t="s">
        <v>114</v>
      </c>
      <c r="C252">
        <v>0.3</v>
      </c>
      <c r="D252">
        <v>0.3</v>
      </c>
      <c r="E252">
        <v>0.3</v>
      </c>
      <c r="F252" t="s">
        <v>458</v>
      </c>
    </row>
    <row r="253" spans="2:10" x14ac:dyDescent="0.3">
      <c r="B253" t="s">
        <v>26</v>
      </c>
      <c r="C253">
        <f>C251/C252</f>
        <v>20</v>
      </c>
      <c r="D253">
        <f>D251/D252</f>
        <v>20</v>
      </c>
      <c r="E253">
        <f>E251/E252</f>
        <v>20</v>
      </c>
      <c r="F253" t="s">
        <v>25</v>
      </c>
    </row>
    <row r="254" spans="2:10" x14ac:dyDescent="0.3">
      <c r="B254" t="s">
        <v>14</v>
      </c>
      <c r="C254">
        <f>D244*1000/100</f>
        <v>82.6</v>
      </c>
      <c r="D254">
        <f>D248*1000/100</f>
        <v>80.58</v>
      </c>
      <c r="E254">
        <f>D249*1000/100</f>
        <v>84.56</v>
      </c>
      <c r="F254" t="s">
        <v>47</v>
      </c>
    </row>
    <row r="255" spans="2:10" x14ac:dyDescent="0.3">
      <c r="B255" t="s">
        <v>33</v>
      </c>
      <c r="C255" s="26">
        <f>C254*C252/C251</f>
        <v>4.13</v>
      </c>
      <c r="D255" s="30">
        <f>D254*D252/D251</f>
        <v>4.0289999999999999</v>
      </c>
      <c r="E255" s="30">
        <f>E254*E252/E251</f>
        <v>4.2279999999999998</v>
      </c>
      <c r="F255" t="s">
        <v>270</v>
      </c>
      <c r="H255" t="s">
        <v>746</v>
      </c>
      <c r="I255">
        <v>0.83</v>
      </c>
      <c r="J255" t="s">
        <v>270</v>
      </c>
    </row>
    <row r="256" spans="2:10" x14ac:dyDescent="0.3">
      <c r="C256" s="26">
        <f>C254/C253</f>
        <v>4.13</v>
      </c>
      <c r="D256" s="30">
        <f>D254/D253</f>
        <v>4.0289999999999999</v>
      </c>
      <c r="E256" s="30">
        <f>E254/E253</f>
        <v>4.2279999999999998</v>
      </c>
      <c r="F256" t="s">
        <v>270</v>
      </c>
    </row>
    <row r="258" spans="2:17" x14ac:dyDescent="0.3">
      <c r="B258" t="s">
        <v>307</v>
      </c>
      <c r="C258" t="s">
        <v>718</v>
      </c>
      <c r="F258" t="s">
        <v>730</v>
      </c>
    </row>
    <row r="259" spans="2:17" x14ac:dyDescent="0.3">
      <c r="C259" t="s">
        <v>738</v>
      </c>
      <c r="D259" t="s">
        <v>719</v>
      </c>
      <c r="F259" t="s">
        <v>720</v>
      </c>
      <c r="H259" t="s">
        <v>721</v>
      </c>
      <c r="J259" t="s">
        <v>722</v>
      </c>
      <c r="L259" t="s">
        <v>723</v>
      </c>
      <c r="N259" t="s">
        <v>724</v>
      </c>
    </row>
    <row r="260" spans="2:17" x14ac:dyDescent="0.3">
      <c r="D260" t="s">
        <v>731</v>
      </c>
      <c r="E260" t="s">
        <v>739</v>
      </c>
      <c r="F260" t="s">
        <v>731</v>
      </c>
      <c r="G260" t="s">
        <v>739</v>
      </c>
      <c r="H260" t="s">
        <v>731</v>
      </c>
      <c r="I260" t="s">
        <v>739</v>
      </c>
      <c r="J260" t="s">
        <v>731</v>
      </c>
      <c r="K260" t="s">
        <v>739</v>
      </c>
      <c r="L260" t="s">
        <v>731</v>
      </c>
      <c r="M260" t="s">
        <v>739</v>
      </c>
      <c r="N260" t="s">
        <v>731</v>
      </c>
      <c r="O260" t="s">
        <v>739</v>
      </c>
      <c r="Q260" t="s">
        <v>729</v>
      </c>
    </row>
    <row r="261" spans="2:17" x14ac:dyDescent="0.3">
      <c r="B261" t="s">
        <v>389</v>
      </c>
      <c r="C261" t="s">
        <v>327</v>
      </c>
      <c r="D261">
        <v>80</v>
      </c>
      <c r="E261">
        <v>80</v>
      </c>
      <c r="F261">
        <v>80</v>
      </c>
      <c r="G261">
        <v>80</v>
      </c>
      <c r="H261">
        <v>140</v>
      </c>
      <c r="I261">
        <v>140</v>
      </c>
      <c r="J261">
        <v>80</v>
      </c>
      <c r="K261">
        <v>80</v>
      </c>
      <c r="L261">
        <v>80</v>
      </c>
      <c r="M261">
        <v>80</v>
      </c>
      <c r="N261">
        <v>80</v>
      </c>
      <c r="O261">
        <v>80</v>
      </c>
    </row>
    <row r="262" spans="2:17" x14ac:dyDescent="0.3">
      <c r="B262" t="s">
        <v>726</v>
      </c>
      <c r="C262" t="s">
        <v>1917</v>
      </c>
      <c r="D262">
        <v>9</v>
      </c>
      <c r="E262">
        <v>9</v>
      </c>
      <c r="F262">
        <v>9</v>
      </c>
      <c r="G262">
        <v>9</v>
      </c>
      <c r="H262">
        <v>9</v>
      </c>
      <c r="I262">
        <v>9</v>
      </c>
      <c r="J262">
        <v>8</v>
      </c>
      <c r="K262">
        <v>8</v>
      </c>
      <c r="L262">
        <v>9</v>
      </c>
      <c r="M262">
        <v>9</v>
      </c>
      <c r="N262">
        <v>9</v>
      </c>
      <c r="O262">
        <v>9</v>
      </c>
    </row>
    <row r="263" spans="2:17" x14ac:dyDescent="0.3">
      <c r="B263" t="s">
        <v>727</v>
      </c>
      <c r="C263" t="s">
        <v>725</v>
      </c>
      <c r="D263">
        <v>24</v>
      </c>
      <c r="E263">
        <v>24</v>
      </c>
      <c r="F263">
        <v>24</v>
      </c>
      <c r="G263">
        <v>24</v>
      </c>
      <c r="H263">
        <v>24</v>
      </c>
      <c r="I263">
        <v>24</v>
      </c>
      <c r="J263">
        <v>24</v>
      </c>
      <c r="K263">
        <v>24</v>
      </c>
      <c r="L263">
        <v>48</v>
      </c>
      <c r="M263">
        <v>48</v>
      </c>
      <c r="N263">
        <v>24</v>
      </c>
      <c r="O263">
        <v>24</v>
      </c>
    </row>
    <row r="264" spans="2:17" x14ac:dyDescent="0.3">
      <c r="B264" t="s">
        <v>728</v>
      </c>
      <c r="G264">
        <v>2</v>
      </c>
      <c r="I264">
        <v>2</v>
      </c>
      <c r="K264">
        <v>2</v>
      </c>
      <c r="M264">
        <v>2</v>
      </c>
      <c r="O264">
        <v>4</v>
      </c>
    </row>
    <row r="265" spans="2:17" x14ac:dyDescent="0.3">
      <c r="C265" t="s">
        <v>732</v>
      </c>
    </row>
    <row r="267" spans="2:17" x14ac:dyDescent="0.3">
      <c r="B267" t="s">
        <v>733</v>
      </c>
      <c r="C267" t="s">
        <v>734</v>
      </c>
    </row>
    <row r="268" spans="2:17" x14ac:dyDescent="0.3">
      <c r="C268" t="s">
        <v>738</v>
      </c>
      <c r="D268" t="s">
        <v>719</v>
      </c>
      <c r="F268" t="s">
        <v>753</v>
      </c>
      <c r="H268" t="s">
        <v>752</v>
      </c>
      <c r="J268" t="s">
        <v>722</v>
      </c>
      <c r="L268" t="s">
        <v>723</v>
      </c>
      <c r="N268" t="s">
        <v>724</v>
      </c>
    </row>
    <row r="269" spans="2:17" x14ac:dyDescent="0.3">
      <c r="D269" t="s">
        <v>731</v>
      </c>
      <c r="E269" t="s">
        <v>739</v>
      </c>
      <c r="F269" t="s">
        <v>731</v>
      </c>
      <c r="G269" t="s">
        <v>739</v>
      </c>
      <c r="H269" t="s">
        <v>731</v>
      </c>
      <c r="I269" t="s">
        <v>739</v>
      </c>
      <c r="J269" t="s">
        <v>731</v>
      </c>
      <c r="K269" t="s">
        <v>739</v>
      </c>
      <c r="L269" t="s">
        <v>731</v>
      </c>
      <c r="M269" t="s">
        <v>739</v>
      </c>
      <c r="N269" t="s">
        <v>731</v>
      </c>
      <c r="O269" t="s">
        <v>739</v>
      </c>
    </row>
    <row r="270" spans="2:17" x14ac:dyDescent="0.3">
      <c r="B270" t="s">
        <v>735</v>
      </c>
      <c r="C270" t="s">
        <v>303</v>
      </c>
      <c r="D270" s="3">
        <v>244.72</v>
      </c>
      <c r="E270" s="3">
        <v>241.15</v>
      </c>
      <c r="F270" s="3">
        <v>245.59</v>
      </c>
      <c r="G270" s="3">
        <v>298.11</v>
      </c>
      <c r="H270" s="3">
        <v>232.47</v>
      </c>
      <c r="I270" s="3">
        <v>218.43</v>
      </c>
      <c r="J270" s="3">
        <v>263.18</v>
      </c>
      <c r="K270" s="3">
        <v>349.9</v>
      </c>
      <c r="L270" s="3">
        <v>231</v>
      </c>
      <c r="M270" s="3">
        <v>305.43</v>
      </c>
      <c r="N270" s="3">
        <v>205.68</v>
      </c>
      <c r="O270" s="3">
        <v>246</v>
      </c>
    </row>
    <row r="271" spans="2:17" x14ac:dyDescent="0.3">
      <c r="B271" t="s">
        <v>351</v>
      </c>
      <c r="C271" t="s">
        <v>303</v>
      </c>
      <c r="D271" s="3">
        <v>144.77000000000001</v>
      </c>
      <c r="E271" s="3">
        <v>143.5</v>
      </c>
      <c r="F271" s="3">
        <v>146.34</v>
      </c>
      <c r="G271" s="3">
        <v>185.44</v>
      </c>
      <c r="H271" s="3">
        <v>133.52000000000001</v>
      </c>
      <c r="I271" s="3">
        <v>132.96</v>
      </c>
      <c r="J271" s="3">
        <v>142.19</v>
      </c>
      <c r="K271" s="3">
        <v>204.15</v>
      </c>
      <c r="L271" s="3">
        <v>141.69999999999999</v>
      </c>
      <c r="M271" s="3">
        <v>193.79</v>
      </c>
      <c r="N271" s="3">
        <v>134.03</v>
      </c>
      <c r="O271" s="3">
        <v>164.6</v>
      </c>
      <c r="Q271" t="s">
        <v>754</v>
      </c>
    </row>
    <row r="272" spans="2:17" x14ac:dyDescent="0.3">
      <c r="B272" t="s">
        <v>3</v>
      </c>
      <c r="C272" t="s">
        <v>302</v>
      </c>
      <c r="D272" s="3">
        <v>58.24</v>
      </c>
      <c r="E272" s="3">
        <v>59.14</v>
      </c>
      <c r="F272" s="3">
        <v>59.88</v>
      </c>
      <c r="G272" s="3">
        <v>39.97</v>
      </c>
      <c r="H272" s="3">
        <v>57.57</v>
      </c>
      <c r="I272" s="3">
        <v>40.76</v>
      </c>
      <c r="J272" s="3">
        <v>53.7</v>
      </c>
      <c r="K272" s="3">
        <v>38.69</v>
      </c>
      <c r="L272" s="3">
        <v>58.55</v>
      </c>
      <c r="M272" s="3">
        <v>42.58</v>
      </c>
      <c r="N272" s="3">
        <v>56.1</v>
      </c>
      <c r="O272" s="3">
        <v>38.65</v>
      </c>
    </row>
    <row r="273" spans="2:15" x14ac:dyDescent="0.3">
      <c r="B273" t="s">
        <v>277</v>
      </c>
      <c r="C273" t="s">
        <v>302</v>
      </c>
      <c r="D273" s="3">
        <v>41.76</v>
      </c>
      <c r="E273" s="3">
        <v>40.86</v>
      </c>
      <c r="F273" s="3">
        <v>40.409999999999997</v>
      </c>
      <c r="G273" s="3">
        <v>28.59</v>
      </c>
      <c r="H273" s="3">
        <v>42.43</v>
      </c>
      <c r="I273" s="3">
        <v>26.19</v>
      </c>
      <c r="J273" s="3">
        <v>46.3</v>
      </c>
      <c r="K273" s="3">
        <v>28.04</v>
      </c>
      <c r="L273" s="3">
        <v>41.45</v>
      </c>
      <c r="M273" s="3">
        <v>23.13</v>
      </c>
      <c r="N273" s="3">
        <v>43.9</v>
      </c>
      <c r="O273" s="3">
        <v>19.11</v>
      </c>
    </row>
    <row r="274" spans="2:15" x14ac:dyDescent="0.3">
      <c r="B274" t="s">
        <v>13</v>
      </c>
      <c r="C274" t="s">
        <v>302</v>
      </c>
      <c r="D274" s="3"/>
      <c r="E274" s="3"/>
      <c r="F274" s="3"/>
      <c r="G274" s="3">
        <v>31.44</v>
      </c>
      <c r="I274" s="3">
        <v>33.049999999999997</v>
      </c>
      <c r="K274" s="3">
        <v>33.270000000000003</v>
      </c>
      <c r="M274" s="3">
        <v>34.29</v>
      </c>
      <c r="O274" s="3">
        <v>42.24</v>
      </c>
    </row>
    <row r="275" spans="2:15" x14ac:dyDescent="0.3">
      <c r="B275" t="s">
        <v>736</v>
      </c>
      <c r="C275" t="s">
        <v>302</v>
      </c>
      <c r="D275" s="3"/>
      <c r="E275" s="3"/>
      <c r="F275" s="3"/>
      <c r="G275" s="3">
        <v>24.96</v>
      </c>
      <c r="H275" s="3"/>
      <c r="I275" s="3">
        <v>45.99</v>
      </c>
      <c r="J275" s="3"/>
      <c r="K275" s="3">
        <v>17.350000000000001</v>
      </c>
      <c r="L275" s="3"/>
      <c r="M275" s="3">
        <v>31.8</v>
      </c>
      <c r="N275" s="3"/>
      <c r="O275" s="3">
        <v>53.85</v>
      </c>
    </row>
    <row r="276" spans="2:15" x14ac:dyDescent="0.3">
      <c r="B276" t="s">
        <v>35</v>
      </c>
      <c r="D276" s="3">
        <v>7.92</v>
      </c>
      <c r="E276" s="3">
        <v>7.94</v>
      </c>
      <c r="F276" s="3">
        <v>7.94</v>
      </c>
      <c r="G276" s="3">
        <v>8.1</v>
      </c>
      <c r="H276" s="3">
        <v>8.15</v>
      </c>
      <c r="I276" s="3">
        <v>8.2799999999999994</v>
      </c>
      <c r="J276" s="3">
        <v>7.91</v>
      </c>
      <c r="K276" s="3">
        <v>8.11</v>
      </c>
      <c r="L276" s="3">
        <v>7.82</v>
      </c>
      <c r="M276" s="3">
        <v>8.0399999999999991</v>
      </c>
      <c r="N276" s="3">
        <v>7.77</v>
      </c>
      <c r="O276" s="3">
        <v>7.95</v>
      </c>
    </row>
    <row r="277" spans="2:15" x14ac:dyDescent="0.3">
      <c r="B277" t="s">
        <v>171</v>
      </c>
      <c r="C277" t="s">
        <v>316</v>
      </c>
      <c r="D277" s="3">
        <v>18.989999999999998</v>
      </c>
      <c r="E277" s="3">
        <v>17.12</v>
      </c>
      <c r="F277" s="3">
        <v>30.73</v>
      </c>
      <c r="G277" s="3">
        <v>44.55</v>
      </c>
      <c r="H277" s="3">
        <v>30.56</v>
      </c>
      <c r="I277" s="3">
        <v>66.63</v>
      </c>
      <c r="J277" s="3">
        <v>37.67</v>
      </c>
      <c r="K277" s="3">
        <v>62.18</v>
      </c>
      <c r="L277" s="3">
        <v>40.18</v>
      </c>
      <c r="M277" s="3">
        <v>65.08</v>
      </c>
      <c r="N277" s="3">
        <v>36.659999999999997</v>
      </c>
      <c r="O277" s="3">
        <v>98.14</v>
      </c>
    </row>
    <row r="278" spans="2:15" x14ac:dyDescent="0.3">
      <c r="B278" t="s">
        <v>278</v>
      </c>
      <c r="C278" t="s">
        <v>316</v>
      </c>
      <c r="D278" s="3">
        <v>12.04</v>
      </c>
      <c r="E278" s="3">
        <v>12.07</v>
      </c>
      <c r="F278" s="3">
        <v>20.58</v>
      </c>
      <c r="G278" s="3">
        <v>35.68</v>
      </c>
      <c r="H278" s="3">
        <v>18.32</v>
      </c>
      <c r="I278" s="3">
        <v>53.5</v>
      </c>
      <c r="J278" s="3">
        <v>20.57</v>
      </c>
      <c r="K278" s="3">
        <v>45.83</v>
      </c>
      <c r="L278" s="3">
        <v>25.59</v>
      </c>
      <c r="M278" s="3">
        <v>50.01</v>
      </c>
      <c r="N278" s="3">
        <v>24.87</v>
      </c>
      <c r="O278" s="3">
        <v>80.63</v>
      </c>
    </row>
    <row r="279" spans="2:15" x14ac:dyDescent="0.3">
      <c r="B279" t="s">
        <v>737</v>
      </c>
      <c r="C279" t="s">
        <v>316</v>
      </c>
      <c r="D279" s="3">
        <v>6.95</v>
      </c>
      <c r="E279" s="3">
        <v>5.05</v>
      </c>
      <c r="F279" s="3">
        <v>10.15</v>
      </c>
      <c r="G279" s="3">
        <v>8.8699999999999992</v>
      </c>
      <c r="H279" s="3">
        <v>12.24</v>
      </c>
      <c r="I279" s="3">
        <v>13.13</v>
      </c>
      <c r="J279" s="3">
        <v>17.100000000000001</v>
      </c>
      <c r="K279" s="3">
        <v>16.36</v>
      </c>
      <c r="L279" s="3">
        <v>14.58</v>
      </c>
      <c r="M279" s="3">
        <v>15.07</v>
      </c>
      <c r="N279" s="3">
        <v>11.79</v>
      </c>
      <c r="O279" s="3">
        <v>17.510000000000002</v>
      </c>
    </row>
    <row r="280" spans="2:15" x14ac:dyDescent="0.3">
      <c r="B280" t="s">
        <v>52</v>
      </c>
      <c r="C280" t="s">
        <v>47</v>
      </c>
      <c r="D280" s="3">
        <v>2.48</v>
      </c>
      <c r="E280" s="3">
        <v>2.52</v>
      </c>
      <c r="F280" s="3">
        <v>2.57</v>
      </c>
      <c r="G280" s="3">
        <v>2.77</v>
      </c>
      <c r="H280" s="3">
        <v>3.32</v>
      </c>
      <c r="I280" s="3">
        <v>2.88</v>
      </c>
      <c r="J280" s="3">
        <v>3.12</v>
      </c>
      <c r="K280" s="3">
        <v>3.17</v>
      </c>
      <c r="L280" s="3">
        <v>2.8</v>
      </c>
      <c r="M280" s="3">
        <v>2.89</v>
      </c>
      <c r="N280" s="3">
        <v>2.65</v>
      </c>
      <c r="O280" s="3">
        <v>2.8</v>
      </c>
    </row>
    <row r="281" spans="2:15" s="101" customFormat="1" x14ac:dyDescent="0.3">
      <c r="D281" s="3"/>
      <c r="E281" s="3"/>
      <c r="F281" s="3"/>
      <c r="G281" s="3"/>
      <c r="H281" s="3"/>
      <c r="I281" s="3"/>
      <c r="J281" s="3"/>
      <c r="K281" s="3"/>
      <c r="L281" s="3"/>
      <c r="M281" s="3"/>
      <c r="N281" s="3"/>
      <c r="O281" s="3"/>
    </row>
    <row r="282" spans="2:15" s="101" customFormat="1" x14ac:dyDescent="0.3">
      <c r="B282" s="101" t="s">
        <v>1404</v>
      </c>
      <c r="D282" s="3"/>
      <c r="E282" s="3"/>
      <c r="F282" s="3"/>
      <c r="G282" s="3"/>
      <c r="H282" s="3"/>
      <c r="I282" s="3"/>
      <c r="J282" s="3"/>
      <c r="K282" s="3"/>
      <c r="L282" s="3"/>
      <c r="M282" s="3"/>
      <c r="N282" s="3"/>
      <c r="O282" s="3"/>
    </row>
    <row r="283" spans="2:15" x14ac:dyDescent="0.3">
      <c r="D283" s="3"/>
      <c r="E283" s="3"/>
      <c r="F283" s="3"/>
      <c r="G283" s="3"/>
      <c r="H283" s="3"/>
      <c r="I283" s="3"/>
      <c r="J283" s="3"/>
      <c r="K283" s="3"/>
      <c r="L283" s="3"/>
      <c r="M283" s="3"/>
      <c r="N283" s="3"/>
      <c r="O283" s="3"/>
    </row>
    <row r="284" spans="2:15" s="133" customFormat="1" x14ac:dyDescent="0.3">
      <c r="B284" s="133" t="s">
        <v>26</v>
      </c>
      <c r="C284" s="133" t="s">
        <v>566</v>
      </c>
      <c r="D284" s="16">
        <v>15</v>
      </c>
      <c r="E284" s="16">
        <v>20</v>
      </c>
      <c r="F284" s="16">
        <v>15</v>
      </c>
      <c r="G284" s="16">
        <v>20</v>
      </c>
      <c r="H284" s="16">
        <v>15</v>
      </c>
      <c r="I284" s="16">
        <v>20</v>
      </c>
      <c r="J284" s="16">
        <v>15</v>
      </c>
      <c r="K284" s="16">
        <v>20</v>
      </c>
      <c r="L284" s="16">
        <v>15</v>
      </c>
      <c r="M284" s="16">
        <v>20</v>
      </c>
      <c r="N284" s="16">
        <v>15</v>
      </c>
      <c r="O284" s="16">
        <v>20</v>
      </c>
    </row>
    <row r="285" spans="2:15" x14ac:dyDescent="0.3">
      <c r="B285" t="s">
        <v>321</v>
      </c>
      <c r="C285" t="s">
        <v>347</v>
      </c>
      <c r="D285" s="8"/>
      <c r="E285" s="3"/>
      <c r="F285" s="3"/>
      <c r="G285" s="3">
        <v>3</v>
      </c>
      <c r="H285" s="3"/>
      <c r="I285" s="3">
        <v>3</v>
      </c>
      <c r="J285" s="3"/>
      <c r="K285" s="3">
        <v>3</v>
      </c>
      <c r="L285" s="3"/>
      <c r="M285" s="3">
        <v>3</v>
      </c>
      <c r="N285" s="3"/>
      <c r="O285" s="3">
        <v>6</v>
      </c>
    </row>
    <row r="286" spans="2:15" x14ac:dyDescent="0.3">
      <c r="C286" t="s">
        <v>338</v>
      </c>
      <c r="D286" s="8"/>
      <c r="E286" s="3"/>
      <c r="F286" s="3"/>
      <c r="G286" s="3">
        <f>G285*60*24/(1000*$C$251)</f>
        <v>0.72</v>
      </c>
      <c r="H286" s="3"/>
      <c r="I286" s="3">
        <f>I285*60*24/(1000*$C$251)</f>
        <v>0.72</v>
      </c>
      <c r="J286" s="3"/>
      <c r="K286" s="3">
        <f>K285*60*24/(1000*$C$251)</f>
        <v>0.72</v>
      </c>
      <c r="L286" s="3"/>
      <c r="M286" s="3">
        <f>M285*60*24/(1000*$C$251)</f>
        <v>0.72</v>
      </c>
      <c r="N286" s="3"/>
      <c r="O286" s="3">
        <f>O285*60*24/(1000*$C$251)</f>
        <v>1.44</v>
      </c>
    </row>
    <row r="287" spans="2:15" x14ac:dyDescent="0.3">
      <c r="B287" t="s">
        <v>748</v>
      </c>
      <c r="D287" s="3" t="s">
        <v>749</v>
      </c>
      <c r="E287" s="3"/>
      <c r="F287" s="3"/>
      <c r="G287" s="3"/>
      <c r="H287" s="3"/>
      <c r="I287" s="3"/>
      <c r="J287" s="3"/>
      <c r="K287" s="3"/>
      <c r="L287" s="3"/>
      <c r="M287" s="3"/>
      <c r="N287" s="3"/>
      <c r="O287" s="3"/>
    </row>
    <row r="288" spans="2:15" x14ac:dyDescent="0.3">
      <c r="D288" s="3"/>
      <c r="E288" s="3"/>
      <c r="F288" s="3"/>
      <c r="G288" s="3"/>
      <c r="H288" s="3"/>
      <c r="I288" s="3"/>
      <c r="J288" s="3"/>
      <c r="K288" s="3" t="s">
        <v>1365</v>
      </c>
      <c r="L288" s="3"/>
      <c r="M288" s="3" t="s">
        <v>1366</v>
      </c>
      <c r="N288" s="3"/>
      <c r="O288" s="3"/>
    </row>
    <row r="289" spans="2:24" x14ac:dyDescent="0.3">
      <c r="C289" t="s">
        <v>738</v>
      </c>
      <c r="D289" t="s">
        <v>719</v>
      </c>
      <c r="F289" t="s">
        <v>720</v>
      </c>
      <c r="H289" t="s">
        <v>721</v>
      </c>
      <c r="J289" t="s">
        <v>722</v>
      </c>
      <c r="L289" t="s">
        <v>723</v>
      </c>
      <c r="N289" t="s">
        <v>724</v>
      </c>
    </row>
    <row r="290" spans="2:24" x14ac:dyDescent="0.3">
      <c r="B290" s="6" t="s">
        <v>877</v>
      </c>
      <c r="D290" t="s">
        <v>731</v>
      </c>
      <c r="E290" t="s">
        <v>739</v>
      </c>
      <c r="F290" t="s">
        <v>731</v>
      </c>
      <c r="G290" t="s">
        <v>739</v>
      </c>
      <c r="H290" t="s">
        <v>731</v>
      </c>
      <c r="I290" t="s">
        <v>739</v>
      </c>
      <c r="J290" t="s">
        <v>731</v>
      </c>
      <c r="K290" t="s">
        <v>739</v>
      </c>
      <c r="L290" t="s">
        <v>731</v>
      </c>
      <c r="M290" t="s">
        <v>739</v>
      </c>
      <c r="N290" t="s">
        <v>731</v>
      </c>
      <c r="O290" t="s">
        <v>739</v>
      </c>
    </row>
    <row r="291" spans="2:24" s="101" customFormat="1" x14ac:dyDescent="0.3">
      <c r="B291" s="112" t="s">
        <v>1402</v>
      </c>
      <c r="C291" s="101" t="s">
        <v>377</v>
      </c>
      <c r="D291" s="10">
        <f t="shared" ref="D291:O291" si="46">D270/1000</f>
        <v>0.24471999999999999</v>
      </c>
      <c r="E291" s="10">
        <f t="shared" si="46"/>
        <v>0.24115</v>
      </c>
      <c r="F291" s="10">
        <f t="shared" si="46"/>
        <v>0.24559</v>
      </c>
      <c r="G291" s="10">
        <f t="shared" si="46"/>
        <v>0.29810999999999999</v>
      </c>
      <c r="H291" s="10">
        <f t="shared" si="46"/>
        <v>0.23247000000000001</v>
      </c>
      <c r="I291" s="10">
        <f t="shared" si="46"/>
        <v>0.21843000000000001</v>
      </c>
      <c r="J291" s="10">
        <f t="shared" si="46"/>
        <v>0.26318000000000003</v>
      </c>
      <c r="K291" s="10">
        <f t="shared" si="46"/>
        <v>0.34989999999999999</v>
      </c>
      <c r="L291" s="10">
        <f t="shared" si="46"/>
        <v>0.23100000000000001</v>
      </c>
      <c r="M291" s="10">
        <f t="shared" si="46"/>
        <v>0.30542999999999998</v>
      </c>
      <c r="N291" s="10">
        <f t="shared" si="46"/>
        <v>0.20568</v>
      </c>
      <c r="O291" s="10">
        <f t="shared" si="46"/>
        <v>0.246</v>
      </c>
      <c r="Q291" s="101" t="s">
        <v>1405</v>
      </c>
    </row>
    <row r="292" spans="2:24" s="101" customFormat="1" x14ac:dyDescent="0.3">
      <c r="B292" s="6" t="s">
        <v>1371</v>
      </c>
      <c r="D292" s="10">
        <f t="shared" ref="D292:O292" si="47">D294*100/D296</f>
        <v>0.24857486263736264</v>
      </c>
      <c r="E292" s="10">
        <f t="shared" si="47"/>
        <v>0.24264457220155564</v>
      </c>
      <c r="F292" s="10">
        <f t="shared" si="47"/>
        <v>0.24438877755511021</v>
      </c>
      <c r="G292" s="52">
        <f t="shared" si="47"/>
        <v>0.46394796097072805</v>
      </c>
      <c r="H292" s="10">
        <f t="shared" si="47"/>
        <v>0.23192635052978983</v>
      </c>
      <c r="I292" s="52">
        <f t="shared" si="47"/>
        <v>0.32620215897939159</v>
      </c>
      <c r="J292" s="10">
        <f t="shared" si="47"/>
        <v>0.2647858472998138</v>
      </c>
      <c r="K292" s="52">
        <f t="shared" si="47"/>
        <v>0.52765572499353841</v>
      </c>
      <c r="L292" s="10">
        <f t="shared" si="47"/>
        <v>0.24201537147736979</v>
      </c>
      <c r="M292" s="52">
        <f t="shared" si="47"/>
        <v>0.4551197745420385</v>
      </c>
      <c r="N292" s="10">
        <f t="shared" si="47"/>
        <v>0.23891265597147951</v>
      </c>
      <c r="O292" s="52">
        <f t="shared" si="47"/>
        <v>0.42587322121604143</v>
      </c>
      <c r="Q292" s="101" t="s">
        <v>1370</v>
      </c>
    </row>
    <row r="293" spans="2:24" s="101" customFormat="1" x14ac:dyDescent="0.3">
      <c r="B293" s="6" t="s">
        <v>1377</v>
      </c>
      <c r="D293" s="10">
        <f t="shared" ref="D293:O293" si="48">D294*100/D298</f>
        <v>0.24857486263736264</v>
      </c>
      <c r="E293" s="10">
        <f t="shared" si="48"/>
        <v>0.24264457220155564</v>
      </c>
      <c r="F293" s="10">
        <f t="shared" si="48"/>
        <v>0.24509750501002003</v>
      </c>
      <c r="G293" s="10">
        <f t="shared" si="48"/>
        <v>0.31808272204153115</v>
      </c>
      <c r="H293" s="10">
        <f t="shared" si="48"/>
        <v>0.23192635052978983</v>
      </c>
      <c r="I293" s="10">
        <f t="shared" si="48"/>
        <v>0.21839234543670266</v>
      </c>
      <c r="J293" s="10">
        <f t="shared" si="48"/>
        <v>0.2647858472998138</v>
      </c>
      <c r="K293" s="10">
        <f t="shared" si="48"/>
        <v>0.35210466528818812</v>
      </c>
      <c r="L293" s="10">
        <f t="shared" si="48"/>
        <v>0.24201537147736979</v>
      </c>
      <c r="M293" s="10">
        <f t="shared" si="48"/>
        <v>0.29905920385157342</v>
      </c>
      <c r="N293" s="10">
        <f t="shared" si="48"/>
        <v>0.23891265597147951</v>
      </c>
      <c r="O293" s="10">
        <f t="shared" si="48"/>
        <v>0.24598437257438555</v>
      </c>
      <c r="Q293" s="101" t="s">
        <v>1375</v>
      </c>
    </row>
    <row r="294" spans="2:24" s="101" customFormat="1" x14ac:dyDescent="0.3">
      <c r="B294" s="112" t="s">
        <v>1403</v>
      </c>
      <c r="C294" s="101" t="s">
        <v>377</v>
      </c>
      <c r="D294" s="10">
        <f t="shared" ref="D294:O294" si="49">D271/1000</f>
        <v>0.14477000000000001</v>
      </c>
      <c r="E294" s="10">
        <f t="shared" si="49"/>
        <v>0.14349999999999999</v>
      </c>
      <c r="F294" s="10">
        <f t="shared" si="49"/>
        <v>0.14634</v>
      </c>
      <c r="G294" s="10">
        <f t="shared" si="49"/>
        <v>0.18543999999999999</v>
      </c>
      <c r="H294" s="10">
        <f t="shared" si="49"/>
        <v>0.13352</v>
      </c>
      <c r="I294" s="10">
        <f t="shared" si="49"/>
        <v>0.13295999999999999</v>
      </c>
      <c r="J294" s="10">
        <f t="shared" si="49"/>
        <v>0.14219000000000001</v>
      </c>
      <c r="K294" s="10">
        <f t="shared" si="49"/>
        <v>0.20415</v>
      </c>
      <c r="L294" s="10">
        <f t="shared" si="49"/>
        <v>0.14169999999999999</v>
      </c>
      <c r="M294" s="10">
        <f t="shared" si="49"/>
        <v>0.19378999999999999</v>
      </c>
      <c r="N294" s="10">
        <f t="shared" si="49"/>
        <v>0.13403000000000001</v>
      </c>
      <c r="O294" s="10">
        <f t="shared" si="49"/>
        <v>0.1646</v>
      </c>
      <c r="Q294" s="101" t="s">
        <v>1405</v>
      </c>
    </row>
    <row r="295" spans="2:24" s="103" customFormat="1" x14ac:dyDescent="0.3">
      <c r="B295" s="40" t="s">
        <v>1401</v>
      </c>
      <c r="C295" s="101" t="s">
        <v>377</v>
      </c>
      <c r="D295" s="31">
        <f t="shared" ref="D295:O295" si="50">D291*D298/100</f>
        <v>0.142524928</v>
      </c>
      <c r="E295" s="31">
        <f t="shared" si="50"/>
        <v>0.14261610999999999</v>
      </c>
      <c r="F295" s="31">
        <f t="shared" si="50"/>
        <v>0.14663405324558781</v>
      </c>
      <c r="G295" s="31">
        <f t="shared" si="50"/>
        <v>0.17379604288214701</v>
      </c>
      <c r="H295" s="31">
        <f t="shared" si="50"/>
        <v>0.13383297900000002</v>
      </c>
      <c r="I295" s="31">
        <f t="shared" si="50"/>
        <v>0.13298292457057506</v>
      </c>
      <c r="J295" s="31">
        <f t="shared" si="50"/>
        <v>0.14132766000000002</v>
      </c>
      <c r="K295" s="31">
        <f t="shared" si="50"/>
        <v>0.20287173684999252</v>
      </c>
      <c r="L295" s="31">
        <f t="shared" si="50"/>
        <v>0.1352505</v>
      </c>
      <c r="M295" s="31">
        <f t="shared" si="50"/>
        <v>0.19791826814792268</v>
      </c>
      <c r="N295" s="31">
        <f t="shared" si="50"/>
        <v>0.11538648</v>
      </c>
      <c r="O295" s="31">
        <f t="shared" si="50"/>
        <v>0.16461045706371191</v>
      </c>
    </row>
    <row r="296" spans="2:24" s="101" customFormat="1" x14ac:dyDescent="0.3">
      <c r="B296" s="112" t="s">
        <v>1368</v>
      </c>
      <c r="C296" s="101" t="s">
        <v>302</v>
      </c>
      <c r="D296" s="3">
        <f t="shared" ref="D296:O296" si="51">D272</f>
        <v>58.24</v>
      </c>
      <c r="E296" s="3">
        <f t="shared" si="51"/>
        <v>59.14</v>
      </c>
      <c r="F296" s="13">
        <f t="shared" si="51"/>
        <v>59.88</v>
      </c>
      <c r="G296" s="13">
        <f t="shared" si="51"/>
        <v>39.97</v>
      </c>
      <c r="H296" s="13">
        <f t="shared" si="51"/>
        <v>57.57</v>
      </c>
      <c r="I296" s="13">
        <f t="shared" si="51"/>
        <v>40.76</v>
      </c>
      <c r="J296" s="13">
        <f t="shared" si="51"/>
        <v>53.7</v>
      </c>
      <c r="K296" s="13">
        <f t="shared" si="51"/>
        <v>38.69</v>
      </c>
      <c r="L296" s="13">
        <f t="shared" si="51"/>
        <v>58.55</v>
      </c>
      <c r="M296" s="13">
        <f t="shared" si="51"/>
        <v>42.58</v>
      </c>
      <c r="N296" s="13">
        <f t="shared" si="51"/>
        <v>56.1</v>
      </c>
      <c r="O296" s="13">
        <f t="shared" si="51"/>
        <v>38.65</v>
      </c>
      <c r="Q296" s="103" t="s">
        <v>1407</v>
      </c>
    </row>
    <row r="297" spans="2:24" s="101" customFormat="1" x14ac:dyDescent="0.3">
      <c r="B297" s="6" t="s">
        <v>1369</v>
      </c>
      <c r="C297" s="101" t="s">
        <v>302</v>
      </c>
      <c r="D297" s="13">
        <f t="shared" ref="D297:O297" si="52">100*D294/D291</f>
        <v>59.15740438051651</v>
      </c>
      <c r="E297" s="13">
        <f t="shared" si="52"/>
        <v>59.506531204644411</v>
      </c>
      <c r="F297" s="13">
        <f t="shared" si="52"/>
        <v>59.587116739280916</v>
      </c>
      <c r="G297" s="13">
        <f t="shared" si="52"/>
        <v>62.205226258763545</v>
      </c>
      <c r="H297" s="13">
        <f t="shared" si="52"/>
        <v>57.435368004473695</v>
      </c>
      <c r="I297" s="13">
        <f t="shared" si="52"/>
        <v>60.870759511056164</v>
      </c>
      <c r="J297" s="13">
        <f t="shared" si="52"/>
        <v>54.027661676419179</v>
      </c>
      <c r="K297" s="13">
        <f t="shared" si="52"/>
        <v>58.345241497570733</v>
      </c>
      <c r="L297" s="13">
        <f t="shared" si="52"/>
        <v>61.341991341991339</v>
      </c>
      <c r="M297" s="13">
        <f t="shared" si="52"/>
        <v>63.448253282257795</v>
      </c>
      <c r="N297" s="30">
        <f t="shared" si="52"/>
        <v>65.164332944379623</v>
      </c>
      <c r="O297" s="13">
        <f t="shared" si="52"/>
        <v>66.910569105691067</v>
      </c>
      <c r="Q297" s="101" t="s">
        <v>1381</v>
      </c>
      <c r="U297" s="101" t="s">
        <v>735</v>
      </c>
      <c r="V297" s="10">
        <f>100*N294/N296</f>
        <v>0.23891265597147951</v>
      </c>
      <c r="W297" s="101" t="s">
        <v>351</v>
      </c>
      <c r="X297" s="10">
        <f>N296*N291/100</f>
        <v>0.11538648</v>
      </c>
    </row>
    <row r="298" spans="2:24" s="101" customFormat="1" x14ac:dyDescent="0.3">
      <c r="B298" s="6" t="s">
        <v>1372</v>
      </c>
      <c r="C298" s="101" t="s">
        <v>302</v>
      </c>
      <c r="D298" s="13">
        <f t="shared" ref="D298:O298" si="53">100*D296/D305</f>
        <v>58.24</v>
      </c>
      <c r="E298" s="13">
        <f t="shared" si="53"/>
        <v>59.14</v>
      </c>
      <c r="F298" s="13">
        <f t="shared" si="53"/>
        <v>59.706850134609638</v>
      </c>
      <c r="G298" s="13">
        <f t="shared" si="53"/>
        <v>58.299299883313886</v>
      </c>
      <c r="H298" s="13">
        <f t="shared" si="53"/>
        <v>57.57</v>
      </c>
      <c r="I298" s="13">
        <f t="shared" si="53"/>
        <v>60.881254667662432</v>
      </c>
      <c r="J298" s="13">
        <f t="shared" si="53"/>
        <v>53.7</v>
      </c>
      <c r="K298" s="13">
        <f t="shared" si="53"/>
        <v>57.979919076876975</v>
      </c>
      <c r="L298" s="13">
        <f t="shared" si="53"/>
        <v>58.55</v>
      </c>
      <c r="M298" s="13">
        <f t="shared" si="53"/>
        <v>64.799878252929545</v>
      </c>
      <c r="N298" s="13">
        <f t="shared" si="53"/>
        <v>56.1</v>
      </c>
      <c r="O298" s="13">
        <f t="shared" si="53"/>
        <v>66.914819944598335</v>
      </c>
      <c r="Q298" s="101" t="s">
        <v>1406</v>
      </c>
    </row>
    <row r="299" spans="2:24" s="101" customFormat="1" x14ac:dyDescent="0.3">
      <c r="B299" s="112" t="s">
        <v>1373</v>
      </c>
      <c r="C299" s="101" t="s">
        <v>302</v>
      </c>
      <c r="D299" s="3">
        <f t="shared" ref="D299:O299" si="54">D273</f>
        <v>41.76</v>
      </c>
      <c r="E299" s="3">
        <f t="shared" si="54"/>
        <v>40.86</v>
      </c>
      <c r="F299" s="3">
        <f t="shared" si="54"/>
        <v>40.409999999999997</v>
      </c>
      <c r="G299" s="3">
        <f t="shared" si="54"/>
        <v>28.59</v>
      </c>
      <c r="H299" s="3">
        <f t="shared" si="54"/>
        <v>42.43</v>
      </c>
      <c r="I299" s="3">
        <f t="shared" si="54"/>
        <v>26.19</v>
      </c>
      <c r="J299" s="3">
        <f t="shared" si="54"/>
        <v>46.3</v>
      </c>
      <c r="K299" s="3">
        <f t="shared" si="54"/>
        <v>28.04</v>
      </c>
      <c r="L299" s="3">
        <f t="shared" si="54"/>
        <v>41.45</v>
      </c>
      <c r="M299" s="3">
        <f t="shared" si="54"/>
        <v>23.13</v>
      </c>
      <c r="N299" s="3">
        <f t="shared" si="54"/>
        <v>43.9</v>
      </c>
      <c r="O299" s="3">
        <f t="shared" si="54"/>
        <v>19.11</v>
      </c>
      <c r="Q299" s="3" t="s">
        <v>1379</v>
      </c>
    </row>
    <row r="300" spans="2:24" s="101" customFormat="1" x14ac:dyDescent="0.3">
      <c r="B300" s="6" t="s">
        <v>40</v>
      </c>
      <c r="C300" s="101" t="s">
        <v>302</v>
      </c>
      <c r="D300" s="3">
        <f t="shared" ref="D300:O300" si="55">100*D302/(D294+D302+D307)</f>
        <v>41.380374630465958</v>
      </c>
      <c r="E300" s="3">
        <f t="shared" si="55"/>
        <v>40.71078227929155</v>
      </c>
      <c r="F300" s="3">
        <f t="shared" si="55"/>
        <v>40.34145205566152</v>
      </c>
      <c r="G300" s="3">
        <f t="shared" si="55"/>
        <v>27.844355144016856</v>
      </c>
      <c r="H300" s="3">
        <f t="shared" si="55"/>
        <v>42.487201367043731</v>
      </c>
      <c r="I300" s="3">
        <f t="shared" si="55"/>
        <v>26.191840371588256</v>
      </c>
      <c r="J300" s="3">
        <f t="shared" si="55"/>
        <v>46.148788107240676</v>
      </c>
      <c r="K300" s="3">
        <f t="shared" si="55"/>
        <v>27.971810418092378</v>
      </c>
      <c r="L300" s="3">
        <f t="shared" si="55"/>
        <v>40.324153135719385</v>
      </c>
      <c r="M300" s="3">
        <f t="shared" si="55"/>
        <v>23.337270614996036</v>
      </c>
      <c r="N300" s="3">
        <f t="shared" si="55"/>
        <v>40.251472516123137</v>
      </c>
      <c r="O300" s="3">
        <f t="shared" si="55"/>
        <v>19.110469216398648</v>
      </c>
      <c r="Q300" s="3" t="s">
        <v>524</v>
      </c>
    </row>
    <row r="301" spans="2:24" s="101" customFormat="1" x14ac:dyDescent="0.3">
      <c r="B301" s="6" t="s">
        <v>1376</v>
      </c>
      <c r="C301" s="101" t="s">
        <v>302</v>
      </c>
      <c r="D301" s="3">
        <f t="shared" ref="D301:O301" si="56">100*D299/D305</f>
        <v>41.76</v>
      </c>
      <c r="E301" s="3">
        <f t="shared" si="56"/>
        <v>40.86</v>
      </c>
      <c r="F301" s="3">
        <f t="shared" si="56"/>
        <v>40.293149865390369</v>
      </c>
      <c r="G301" s="3">
        <f t="shared" si="56"/>
        <v>41.700700116686114</v>
      </c>
      <c r="H301" s="3">
        <f t="shared" si="56"/>
        <v>42.43</v>
      </c>
      <c r="I301" s="3">
        <f t="shared" si="56"/>
        <v>39.118745332337561</v>
      </c>
      <c r="J301" s="3">
        <f t="shared" si="56"/>
        <v>46.3</v>
      </c>
      <c r="K301" s="3">
        <f t="shared" si="56"/>
        <v>42.020080923123039</v>
      </c>
      <c r="L301" s="3">
        <f t="shared" si="56"/>
        <v>41.45</v>
      </c>
      <c r="M301" s="3">
        <f t="shared" si="56"/>
        <v>35.200121747070462</v>
      </c>
      <c r="N301" s="3">
        <f t="shared" si="56"/>
        <v>43.9</v>
      </c>
      <c r="O301" s="3">
        <f t="shared" si="56"/>
        <v>33.085180055401665</v>
      </c>
      <c r="Q301" s="101" t="s">
        <v>1406</v>
      </c>
    </row>
    <row r="302" spans="2:24" s="101" customFormat="1" x14ac:dyDescent="0.3">
      <c r="B302" s="6" t="s">
        <v>1378</v>
      </c>
      <c r="C302" s="101" t="s">
        <v>377</v>
      </c>
      <c r="D302" s="10">
        <f t="shared" ref="D302:O302" si="57">D291*D301/100</f>
        <v>0.10219507199999998</v>
      </c>
      <c r="E302" s="10">
        <f t="shared" si="57"/>
        <v>9.8533889999999999E-2</v>
      </c>
      <c r="F302" s="10">
        <f t="shared" si="57"/>
        <v>9.8955946754412202E-2</v>
      </c>
      <c r="G302" s="10">
        <f t="shared" si="57"/>
        <v>0.12431395711785298</v>
      </c>
      <c r="H302" s="10">
        <f t="shared" si="57"/>
        <v>9.8637021000000005E-2</v>
      </c>
      <c r="I302" s="10">
        <f t="shared" si="57"/>
        <v>8.5447075429424937E-2</v>
      </c>
      <c r="J302" s="10">
        <f t="shared" si="57"/>
        <v>0.12185234000000002</v>
      </c>
      <c r="K302" s="10">
        <f t="shared" si="57"/>
        <v>0.1470282631500075</v>
      </c>
      <c r="L302" s="10">
        <f t="shared" si="57"/>
        <v>9.5749500000000015E-2</v>
      </c>
      <c r="M302" s="10">
        <f t="shared" si="57"/>
        <v>0.1075117318520773</v>
      </c>
      <c r="N302" s="10">
        <f t="shared" si="57"/>
        <v>9.0293519999999988E-2</v>
      </c>
      <c r="O302" s="10">
        <f t="shared" si="57"/>
        <v>8.1389542936288098E-2</v>
      </c>
    </row>
    <row r="303" spans="2:24" s="101" customFormat="1" x14ac:dyDescent="0.3">
      <c r="B303" s="112" t="s">
        <v>1374</v>
      </c>
      <c r="C303" s="101" t="s">
        <v>302</v>
      </c>
      <c r="D303" s="3"/>
      <c r="E303" s="3"/>
      <c r="F303" s="3"/>
      <c r="G303" s="3">
        <f>G274</f>
        <v>31.44</v>
      </c>
      <c r="I303" s="3">
        <f>I274</f>
        <v>33.049999999999997</v>
      </c>
      <c r="K303" s="3">
        <f>K274</f>
        <v>33.270000000000003</v>
      </c>
      <c r="M303" s="3">
        <f>M274</f>
        <v>34.29</v>
      </c>
      <c r="O303" s="3">
        <f>O274</f>
        <v>42.24</v>
      </c>
      <c r="Q303" s="101" t="s">
        <v>1379</v>
      </c>
    </row>
    <row r="304" spans="2:24" s="101" customFormat="1" x14ac:dyDescent="0.3">
      <c r="B304" s="6" t="s">
        <v>1383</v>
      </c>
      <c r="C304" s="101" t="s">
        <v>302</v>
      </c>
      <c r="D304" s="3"/>
      <c r="E304" s="3"/>
      <c r="F304" s="3"/>
      <c r="G304" s="30">
        <f>100*G307/(G294+G302+G307)</f>
        <v>30.620025383976557</v>
      </c>
      <c r="I304" s="3">
        <f>100*I307/(I294+I302+I307)</f>
        <v>33.052322423863757</v>
      </c>
      <c r="K304" s="3">
        <f>100*K307/(K294+K302+K307)</f>
        <v>33.189091747857837</v>
      </c>
      <c r="M304" s="3">
        <f>100*M307/(M294+M302+M307)</f>
        <v>34.597276670480504</v>
      </c>
      <c r="O304" s="3">
        <f>100*O307/(O294+O302+O307)</f>
        <v>42.241037137659802</v>
      </c>
      <c r="Q304" s="101" t="s">
        <v>1408</v>
      </c>
    </row>
    <row r="305" spans="2:17" s="101" customFormat="1" x14ac:dyDescent="0.3">
      <c r="B305" s="6" t="s">
        <v>1380</v>
      </c>
      <c r="C305" s="101" t="s">
        <v>302</v>
      </c>
      <c r="D305" s="8">
        <f t="shared" ref="D305:O305" si="58">D296+D299</f>
        <v>100</v>
      </c>
      <c r="E305" s="8">
        <f t="shared" si="58"/>
        <v>100</v>
      </c>
      <c r="F305" s="8">
        <f t="shared" si="58"/>
        <v>100.28999999999999</v>
      </c>
      <c r="G305" s="8">
        <f t="shared" si="58"/>
        <v>68.56</v>
      </c>
      <c r="H305" s="8">
        <f t="shared" si="58"/>
        <v>100</v>
      </c>
      <c r="I305" s="8">
        <f t="shared" si="58"/>
        <v>66.95</v>
      </c>
      <c r="J305" s="8">
        <f t="shared" si="58"/>
        <v>100</v>
      </c>
      <c r="K305" s="8">
        <f t="shared" si="58"/>
        <v>66.72999999999999</v>
      </c>
      <c r="L305" s="8">
        <f t="shared" si="58"/>
        <v>100</v>
      </c>
      <c r="M305" s="8">
        <f t="shared" si="58"/>
        <v>65.709999999999994</v>
      </c>
      <c r="N305" s="8">
        <f t="shared" si="58"/>
        <v>100</v>
      </c>
      <c r="O305" s="8">
        <f t="shared" si="58"/>
        <v>57.76</v>
      </c>
    </row>
    <row r="306" spans="2:17" s="101" customFormat="1" x14ac:dyDescent="0.3">
      <c r="B306" s="6" t="s">
        <v>747</v>
      </c>
      <c r="C306" s="101" t="s">
        <v>302</v>
      </c>
      <c r="D306" s="8">
        <f t="shared" ref="D306:O306" si="59">D296+D299+D303</f>
        <v>100</v>
      </c>
      <c r="E306" s="8">
        <f t="shared" si="59"/>
        <v>100</v>
      </c>
      <c r="F306" s="8">
        <f t="shared" si="59"/>
        <v>100.28999999999999</v>
      </c>
      <c r="G306" s="8">
        <f t="shared" si="59"/>
        <v>100</v>
      </c>
      <c r="H306" s="8">
        <f t="shared" si="59"/>
        <v>100</v>
      </c>
      <c r="I306" s="8">
        <f t="shared" si="59"/>
        <v>100</v>
      </c>
      <c r="J306" s="8">
        <f t="shared" si="59"/>
        <v>100</v>
      </c>
      <c r="K306" s="8">
        <f t="shared" si="59"/>
        <v>100</v>
      </c>
      <c r="L306" s="8">
        <f t="shared" si="59"/>
        <v>100</v>
      </c>
      <c r="M306" s="8">
        <f t="shared" si="59"/>
        <v>100</v>
      </c>
      <c r="N306" s="8">
        <f t="shared" si="59"/>
        <v>100</v>
      </c>
      <c r="O306" s="8">
        <f t="shared" si="59"/>
        <v>100</v>
      </c>
    </row>
    <row r="307" spans="2:17" s="101" customFormat="1" x14ac:dyDescent="0.3">
      <c r="B307" s="480" t="s">
        <v>323</v>
      </c>
      <c r="C307" s="58" t="s">
        <v>377</v>
      </c>
      <c r="D307" s="43"/>
      <c r="E307" s="43"/>
      <c r="F307" s="43"/>
      <c r="G307" s="87">
        <f>G303*G291/(100-G303)</f>
        <v>0.13670621936989497</v>
      </c>
      <c r="H307" s="58"/>
      <c r="I307" s="87">
        <f>I303*I291/(100-I303)</f>
        <v>0.10782840179238236</v>
      </c>
      <c r="J307" s="58"/>
      <c r="K307" s="87">
        <f>K303*K291/(100-K303)</f>
        <v>0.17445186572755886</v>
      </c>
      <c r="L307" s="58"/>
      <c r="M307" s="87">
        <f>M303*M291/(100-M303)</f>
        <v>0.15938509663673714</v>
      </c>
      <c r="N307" s="58"/>
      <c r="O307" s="87">
        <f>O303*O291/(100-O303)</f>
        <v>0.17990027700831027</v>
      </c>
    </row>
    <row r="308" spans="2:17" s="101" customFormat="1" x14ac:dyDescent="0.3">
      <c r="B308" s="480" t="s">
        <v>1386</v>
      </c>
      <c r="C308" s="58" t="s">
        <v>377</v>
      </c>
      <c r="D308" s="43"/>
      <c r="E308" s="43"/>
      <c r="F308" s="43"/>
      <c r="G308" s="87">
        <f>G324/G344</f>
        <v>0.17433414043583534</v>
      </c>
      <c r="H308" s="58"/>
      <c r="I308" s="87">
        <f>I324/I344</f>
        <v>0.17433414043583534</v>
      </c>
      <c r="J308" s="58"/>
      <c r="K308" s="87">
        <f>K324/K344</f>
        <v>0.17029328287606435</v>
      </c>
      <c r="L308" s="58"/>
      <c r="M308" s="87">
        <f>M324/M344</f>
        <v>0.17433414043583534</v>
      </c>
      <c r="N308" s="58"/>
      <c r="O308" s="87">
        <f>O324/O344</f>
        <v>0.34866828087167068</v>
      </c>
    </row>
    <row r="309" spans="2:17" s="101" customFormat="1" x14ac:dyDescent="0.3">
      <c r="B309" s="480" t="s">
        <v>1385</v>
      </c>
      <c r="C309" s="58" t="s">
        <v>377</v>
      </c>
      <c r="D309" s="43"/>
      <c r="E309" s="43"/>
      <c r="F309" s="43"/>
      <c r="G309" s="87">
        <f>G308-G307</f>
        <v>3.7627921065940373E-2</v>
      </c>
      <c r="H309" s="87"/>
      <c r="I309" s="87">
        <f t="shared" ref="I309:O309" si="60">I308-I307</f>
        <v>6.650573864345298E-2</v>
      </c>
      <c r="J309" s="87"/>
      <c r="K309" s="87">
        <f t="shared" si="60"/>
        <v>-4.1585828514945078E-3</v>
      </c>
      <c r="L309" s="87"/>
      <c r="M309" s="87">
        <f t="shared" si="60"/>
        <v>1.4949043799098199E-2</v>
      </c>
      <c r="N309" s="87"/>
      <c r="O309" s="87">
        <f t="shared" si="60"/>
        <v>0.16876800386336041</v>
      </c>
    </row>
    <row r="310" spans="2:17" s="101" customFormat="1" x14ac:dyDescent="0.3">
      <c r="B310" s="480" t="s">
        <v>1387</v>
      </c>
      <c r="C310" s="58"/>
      <c r="D310" s="43"/>
      <c r="E310" s="43"/>
      <c r="F310" s="43"/>
      <c r="G310" s="87">
        <f>G309/G308</f>
        <v>0.21583793611435242</v>
      </c>
      <c r="H310" s="87"/>
      <c r="I310" s="87">
        <f>I309/I308</f>
        <v>0.38148430638536224</v>
      </c>
      <c r="J310" s="87"/>
      <c r="K310" s="87">
        <f>K309/K308</f>
        <v>-2.4420122633498301E-2</v>
      </c>
      <c r="L310" s="87"/>
      <c r="M310" s="87">
        <f>M309/M308</f>
        <v>8.5749376236493841E-2</v>
      </c>
      <c r="N310" s="87"/>
      <c r="O310" s="87">
        <f>O309/O308</f>
        <v>0.48403601108033234</v>
      </c>
      <c r="Q310" s="101" t="s">
        <v>1409</v>
      </c>
    </row>
    <row r="311" spans="2:17" s="101" customFormat="1" x14ac:dyDescent="0.3">
      <c r="B311" s="480" t="s">
        <v>460</v>
      </c>
      <c r="C311" s="58" t="s">
        <v>377</v>
      </c>
      <c r="D311" s="58"/>
      <c r="E311" s="58"/>
      <c r="F311" s="58"/>
      <c r="G311" s="87">
        <f>G309/4</f>
        <v>9.4069802664850932E-3</v>
      </c>
      <c r="H311" s="58"/>
      <c r="I311" s="87">
        <f>I309/4</f>
        <v>1.6626434660863245E-2</v>
      </c>
      <c r="J311" s="58"/>
      <c r="K311" s="87">
        <f>K309/4</f>
        <v>-1.0396457128736269E-3</v>
      </c>
      <c r="L311" s="58"/>
      <c r="M311" s="87">
        <f>M309/4</f>
        <v>3.7372609497745499E-3</v>
      </c>
      <c r="N311" s="58"/>
      <c r="O311" s="87">
        <f>O309/4</f>
        <v>4.2192000965840103E-2</v>
      </c>
    </row>
    <row r="312" spans="2:17" s="101" customFormat="1" x14ac:dyDescent="0.3">
      <c r="B312" s="480" t="s">
        <v>461</v>
      </c>
      <c r="C312" s="58" t="s">
        <v>377</v>
      </c>
      <c r="D312" s="58"/>
      <c r="E312" s="58"/>
      <c r="F312" s="58"/>
      <c r="G312" s="87">
        <f>G294-$E294</f>
        <v>4.1940000000000005E-2</v>
      </c>
      <c r="H312" s="58"/>
      <c r="I312" s="87">
        <f>I294-$E294</f>
        <v>-1.0539999999999994E-2</v>
      </c>
      <c r="J312" s="58"/>
      <c r="K312" s="87">
        <f>K294-$E294</f>
        <v>6.0650000000000009E-2</v>
      </c>
      <c r="L312" s="58"/>
      <c r="M312" s="87">
        <f>M294-$E294</f>
        <v>5.0290000000000001E-2</v>
      </c>
      <c r="N312" s="58"/>
      <c r="O312" s="87">
        <f>O294-$E294</f>
        <v>2.1100000000000008E-2</v>
      </c>
    </row>
    <row r="313" spans="2:17" s="101" customFormat="1" x14ac:dyDescent="0.3">
      <c r="B313" s="480" t="s">
        <v>463</v>
      </c>
      <c r="C313" s="58"/>
      <c r="D313" s="58"/>
      <c r="E313" s="58"/>
      <c r="F313" s="58"/>
      <c r="G313" s="43">
        <f>G312/G311</f>
        <v>4.4583914084972172</v>
      </c>
      <c r="H313" s="58"/>
      <c r="I313" s="43">
        <f>I312/I311</f>
        <v>-0.63393025714706996</v>
      </c>
      <c r="J313" s="58"/>
      <c r="K313" s="43">
        <f>K312/K311</f>
        <v>-58.337180877090056</v>
      </c>
      <c r="L313" s="58"/>
      <c r="M313" s="43">
        <f>M312/M311</f>
        <v>13.456379063665262</v>
      </c>
      <c r="N313" s="58"/>
      <c r="O313" s="43">
        <f>O312/O311</f>
        <v>0.50009479325437056</v>
      </c>
    </row>
    <row r="314" spans="2:17" s="101" customFormat="1" x14ac:dyDescent="0.3">
      <c r="B314" s="480" t="s">
        <v>465</v>
      </c>
      <c r="C314" s="58" t="s">
        <v>377</v>
      </c>
      <c r="D314" s="58"/>
      <c r="E314" s="58"/>
      <c r="F314" s="58"/>
      <c r="G314" s="87">
        <f>$E302-G302</f>
        <v>-2.5780067117852981E-2</v>
      </c>
      <c r="H314" s="58"/>
      <c r="I314" s="87">
        <f>$E302-I302</f>
        <v>1.3086814570575062E-2</v>
      </c>
      <c r="J314" s="58"/>
      <c r="K314" s="87">
        <f>$E302-K302</f>
        <v>-4.84943731500075E-2</v>
      </c>
      <c r="L314" s="58"/>
      <c r="M314" s="87">
        <f>$E302-M302</f>
        <v>-8.9778418520772979E-3</v>
      </c>
      <c r="N314" s="58"/>
      <c r="O314" s="87">
        <f>$E302-O302</f>
        <v>1.7144347063711901E-2</v>
      </c>
    </row>
    <row r="315" spans="2:17" s="101" customFormat="1" x14ac:dyDescent="0.3">
      <c r="B315" s="480" t="s">
        <v>466</v>
      </c>
      <c r="C315" s="58"/>
      <c r="D315" s="58"/>
      <c r="E315" s="58"/>
      <c r="F315" s="58"/>
      <c r="G315" s="87">
        <f>G314/G311</f>
        <v>-2.7405252682097601</v>
      </c>
      <c r="H315" s="58"/>
      <c r="I315" s="87">
        <f>I314/I311</f>
        <v>0.78710889240613624</v>
      </c>
      <c r="J315" s="58"/>
      <c r="K315" s="87">
        <f>K314/K311</f>
        <v>46.64509510260654</v>
      </c>
      <c r="L315" s="58"/>
      <c r="M315" s="87">
        <f>M314/M311</f>
        <v>-2.4022518022507597</v>
      </c>
      <c r="N315" s="58"/>
      <c r="O315" s="87">
        <f>O314/O311</f>
        <v>0.40634117063071917</v>
      </c>
    </row>
    <row r="316" spans="2:17" s="101" customFormat="1" x14ac:dyDescent="0.3">
      <c r="B316" s="480" t="s">
        <v>464</v>
      </c>
      <c r="C316" s="58"/>
      <c r="D316" s="58"/>
      <c r="E316" s="58"/>
      <c r="F316" s="58"/>
      <c r="G316" s="87">
        <f>G312/G314</f>
        <v>-1.6268382781267505</v>
      </c>
      <c r="H316" s="58"/>
      <c r="I316" s="87">
        <f>I312/I314</f>
        <v>-0.80539079568671879</v>
      </c>
      <c r="J316" s="58"/>
      <c r="K316" s="87">
        <f>K312/K314</f>
        <v>-1.2506605624613714</v>
      </c>
      <c r="L316" s="58"/>
      <c r="M316" s="87">
        <f>M312/M314</f>
        <v>-5.6015689325563107</v>
      </c>
      <c r="N316" s="58"/>
      <c r="O316" s="87">
        <f>O312/O314</f>
        <v>1.2307263683818399</v>
      </c>
    </row>
    <row r="317" spans="2:17" s="101" customFormat="1" x14ac:dyDescent="0.3">
      <c r="B317" s="480" t="s">
        <v>850</v>
      </c>
      <c r="C317" s="58"/>
      <c r="D317" s="58"/>
      <c r="E317" s="58"/>
      <c r="F317" s="58"/>
      <c r="G317" s="87">
        <f>G309/G312</f>
        <v>0.89718457477206415</v>
      </c>
      <c r="H317" s="58"/>
      <c r="I317" s="87">
        <f>I309/I312</f>
        <v>-6.3098423760391862</v>
      </c>
      <c r="J317" s="58"/>
      <c r="K317" s="87">
        <f>K309/K312</f>
        <v>-6.8566906042778347E-2</v>
      </c>
      <c r="L317" s="58"/>
      <c r="M317" s="87">
        <f>M309/M312</f>
        <v>0.29725678661957045</v>
      </c>
      <c r="N317" s="58"/>
      <c r="O317" s="87">
        <f>O309/O312</f>
        <v>7.9984835954199216</v>
      </c>
    </row>
    <row r="318" spans="2:17" s="101" customFormat="1" x14ac:dyDescent="0.3">
      <c r="B318" s="480" t="s">
        <v>851</v>
      </c>
      <c r="C318" s="58"/>
      <c r="D318" s="58"/>
      <c r="E318" s="58"/>
      <c r="F318" s="58"/>
      <c r="G318" s="87">
        <f>G309/G314</f>
        <v>-1.4595742087840657</v>
      </c>
      <c r="H318" s="58"/>
      <c r="I318" s="87">
        <f>I309/I314</f>
        <v>5.0818889718959763</v>
      </c>
      <c r="J318" s="58"/>
      <c r="K318" s="87">
        <f>K309/K314</f>
        <v>8.5753925277697179E-2</v>
      </c>
      <c r="L318" s="58"/>
      <c r="M318" s="87">
        <f>M309/M314</f>
        <v>-1.6651043809197064</v>
      </c>
      <c r="N318" s="58"/>
      <c r="O318" s="87">
        <f>O309/O314</f>
        <v>9.843944667952881</v>
      </c>
      <c r="Q318" s="133" t="s">
        <v>1409</v>
      </c>
    </row>
    <row r="319" spans="2:17" s="101" customFormat="1" x14ac:dyDescent="0.3">
      <c r="B319" s="6" t="s">
        <v>308</v>
      </c>
      <c r="C319" s="101" t="s">
        <v>338</v>
      </c>
      <c r="D319" s="10">
        <f t="shared" ref="D319:O319" si="61">D291*D344</f>
        <v>1.0106936</v>
      </c>
      <c r="E319" s="10">
        <f t="shared" si="61"/>
        <v>0.99594950000000004</v>
      </c>
      <c r="F319" s="10">
        <f t="shared" si="61"/>
        <v>1.0142867</v>
      </c>
      <c r="G319" s="10">
        <f t="shared" si="61"/>
        <v>1.2311942999999999</v>
      </c>
      <c r="H319" s="10">
        <f t="shared" si="61"/>
        <v>0.96010110000000004</v>
      </c>
      <c r="I319" s="10">
        <f t="shared" si="61"/>
        <v>0.90211590000000008</v>
      </c>
      <c r="J319" s="10">
        <f t="shared" si="61"/>
        <v>1.1127250399999999</v>
      </c>
      <c r="K319" s="10">
        <f t="shared" si="61"/>
        <v>1.4793771999999998</v>
      </c>
      <c r="L319" s="10">
        <f t="shared" si="61"/>
        <v>0.95403000000000004</v>
      </c>
      <c r="M319" s="10">
        <f t="shared" si="61"/>
        <v>1.2614258999999999</v>
      </c>
      <c r="N319" s="10">
        <f t="shared" si="61"/>
        <v>0.84945839999999995</v>
      </c>
      <c r="O319" s="10">
        <f t="shared" si="61"/>
        <v>1.0159799999999999</v>
      </c>
      <c r="Q319" s="101" t="s">
        <v>1384</v>
      </c>
    </row>
    <row r="320" spans="2:17" s="101" customFormat="1" x14ac:dyDescent="0.3">
      <c r="B320" s="6" t="s">
        <v>293</v>
      </c>
      <c r="C320" s="101" t="s">
        <v>338</v>
      </c>
      <c r="D320" s="10">
        <f t="shared" ref="D320:O320" si="62">D298*D319/100</f>
        <v>0.58862795264000001</v>
      </c>
      <c r="E320" s="10">
        <f t="shared" si="62"/>
        <v>0.5890045343000001</v>
      </c>
      <c r="F320" s="10">
        <f t="shared" si="62"/>
        <v>0.60559863990427765</v>
      </c>
      <c r="G320" s="10">
        <f t="shared" si="62"/>
        <v>0.71777765710326724</v>
      </c>
      <c r="H320" s="10">
        <f t="shared" si="62"/>
        <v>0.55273020327</v>
      </c>
      <c r="I320" s="10">
        <f t="shared" si="62"/>
        <v>0.54921947847647501</v>
      </c>
      <c r="J320" s="10">
        <f t="shared" si="62"/>
        <v>0.59753334648</v>
      </c>
      <c r="K320" s="10">
        <f t="shared" si="62"/>
        <v>0.85774170340176836</v>
      </c>
      <c r="L320" s="10">
        <f t="shared" si="62"/>
        <v>0.55858456499999998</v>
      </c>
      <c r="M320" s="10">
        <f t="shared" si="62"/>
        <v>0.81740244745092072</v>
      </c>
      <c r="N320" s="10">
        <f t="shared" si="62"/>
        <v>0.47654616239999997</v>
      </c>
      <c r="O320" s="10">
        <f t="shared" si="62"/>
        <v>0.67984118767313007</v>
      </c>
    </row>
    <row r="321" spans="1:17" s="101" customFormat="1" x14ac:dyDescent="0.3">
      <c r="B321" s="6" t="s">
        <v>350</v>
      </c>
      <c r="C321" s="101" t="s">
        <v>338</v>
      </c>
      <c r="D321" s="10">
        <f t="shared" ref="D321:O321" si="63">D301*D319/100</f>
        <v>0.42206564735999996</v>
      </c>
      <c r="E321" s="10">
        <f t="shared" si="63"/>
        <v>0.40694496569999999</v>
      </c>
      <c r="F321" s="10">
        <f t="shared" si="63"/>
        <v>0.40868806009572239</v>
      </c>
      <c r="G321" s="10">
        <f t="shared" si="63"/>
        <v>0.51341664289673272</v>
      </c>
      <c r="H321" s="10">
        <f t="shared" si="63"/>
        <v>0.40737089672999999</v>
      </c>
      <c r="I321" s="10">
        <f t="shared" si="63"/>
        <v>0.35289642152352502</v>
      </c>
      <c r="J321" s="10">
        <f t="shared" si="63"/>
        <v>0.51519169351999994</v>
      </c>
      <c r="K321" s="10">
        <f t="shared" si="63"/>
        <v>0.6216354965982317</v>
      </c>
      <c r="L321" s="10">
        <f t="shared" si="63"/>
        <v>0.39544543500000001</v>
      </c>
      <c r="M321" s="10">
        <f t="shared" si="63"/>
        <v>0.44402345254907927</v>
      </c>
      <c r="N321" s="10">
        <f t="shared" si="63"/>
        <v>0.37291223759999992</v>
      </c>
      <c r="O321" s="10">
        <f t="shared" si="63"/>
        <v>0.33613881232686976</v>
      </c>
    </row>
    <row r="322" spans="1:17" s="101" customFormat="1" x14ac:dyDescent="0.3">
      <c r="B322" s="6" t="s">
        <v>323</v>
      </c>
      <c r="C322" s="101" t="s">
        <v>338</v>
      </c>
      <c r="D322" s="10"/>
      <c r="E322" s="10"/>
      <c r="F322" s="10"/>
      <c r="G322" s="10">
        <f>G303*G319/(100-G303)</f>
        <v>0.56459668599766621</v>
      </c>
      <c r="H322" s="10"/>
      <c r="I322" s="10">
        <f>I303*I319/(100-I303)</f>
        <v>0.44533129940253918</v>
      </c>
      <c r="J322" s="10"/>
      <c r="K322" s="10">
        <f>K303*K319/(100-K303)</f>
        <v>0.73758248829611883</v>
      </c>
      <c r="L322" s="10"/>
      <c r="M322" s="10">
        <f>M303*M319/(100-M303)</f>
        <v>0.65826044910972437</v>
      </c>
      <c r="N322" s="10"/>
      <c r="O322" s="10">
        <f>O303*O319/(100-O303)</f>
        <v>0.74298814404432134</v>
      </c>
    </row>
    <row r="323" spans="1:17" s="101" customFormat="1" x14ac:dyDescent="0.3">
      <c r="A323" s="133"/>
      <c r="B323" s="102" t="s">
        <v>736</v>
      </c>
      <c r="C323" s="101" t="s">
        <v>302</v>
      </c>
      <c r="D323" s="3"/>
      <c r="E323" s="3"/>
      <c r="F323" s="3"/>
      <c r="G323" s="30">
        <f>G275</f>
        <v>24.96</v>
      </c>
      <c r="H323" s="3"/>
      <c r="I323" s="30">
        <f>I275</f>
        <v>45.99</v>
      </c>
      <c r="J323" s="3"/>
      <c r="K323" s="30">
        <f>K275</f>
        <v>17.350000000000001</v>
      </c>
      <c r="L323" s="3"/>
      <c r="M323" s="30">
        <f>M275</f>
        <v>31.8</v>
      </c>
      <c r="N323" s="3"/>
      <c r="O323" s="30">
        <f>O275</f>
        <v>53.85</v>
      </c>
      <c r="Q323" s="101" t="s">
        <v>1382</v>
      </c>
    </row>
    <row r="324" spans="1:17" s="101" customFormat="1" x14ac:dyDescent="0.3">
      <c r="A324" s="133"/>
      <c r="B324" s="102" t="s">
        <v>321</v>
      </c>
      <c r="C324" s="101" t="s">
        <v>338</v>
      </c>
      <c r="D324" s="8"/>
      <c r="E324" s="8"/>
      <c r="F324" s="8"/>
      <c r="G324" s="10">
        <f>G286</f>
        <v>0.72</v>
      </c>
      <c r="H324" s="8"/>
      <c r="I324" s="10">
        <f>I286</f>
        <v>0.72</v>
      </c>
      <c r="J324" s="8"/>
      <c r="K324" s="10">
        <f>K286</f>
        <v>0.72</v>
      </c>
      <c r="L324" s="8"/>
      <c r="M324" s="10">
        <f>M286</f>
        <v>0.72</v>
      </c>
      <c r="N324" s="8"/>
      <c r="O324" s="10">
        <f>O286</f>
        <v>1.44</v>
      </c>
    </row>
    <row r="325" spans="1:17" s="101" customFormat="1" x14ac:dyDescent="0.3">
      <c r="A325" s="133"/>
      <c r="B325" s="133" t="s">
        <v>433</v>
      </c>
      <c r="C325" s="101" t="s">
        <v>338</v>
      </c>
      <c r="G325" s="10">
        <f>G324-G322</f>
        <v>0.15540331400233376</v>
      </c>
      <c r="I325" s="10">
        <f>I324-I322</f>
        <v>0.27466870059746079</v>
      </c>
      <c r="K325" s="10">
        <f>K324-K322</f>
        <v>-1.7582488296118859E-2</v>
      </c>
      <c r="M325" s="10">
        <f>M324-M322</f>
        <v>6.1739550890275607E-2</v>
      </c>
      <c r="O325" s="10">
        <f>O324-O322</f>
        <v>0.69701185595567861</v>
      </c>
    </row>
    <row r="326" spans="1:17" s="101" customFormat="1" x14ac:dyDescent="0.3">
      <c r="A326" s="148"/>
      <c r="B326" s="148" t="s">
        <v>460</v>
      </c>
      <c r="C326" s="101" t="s">
        <v>338</v>
      </c>
      <c r="G326" s="10">
        <f>G325/4</f>
        <v>3.885082850058344E-2</v>
      </c>
      <c r="I326" s="10">
        <f>I325/4</f>
        <v>6.8667175149365198E-2</v>
      </c>
      <c r="K326" s="10">
        <f>K325/4</f>
        <v>-4.3956220740297147E-3</v>
      </c>
      <c r="M326" s="10">
        <f>M325/4</f>
        <v>1.5434887722568902E-2</v>
      </c>
      <c r="O326" s="10">
        <f>O325/4</f>
        <v>0.17425296398891965</v>
      </c>
    </row>
    <row r="327" spans="1:17" s="101" customFormat="1" x14ac:dyDescent="0.3">
      <c r="A327" s="148"/>
      <c r="B327" s="148" t="s">
        <v>402</v>
      </c>
      <c r="C327" s="101" t="s">
        <v>338</v>
      </c>
      <c r="G327" s="10">
        <f>G320-$E320</f>
        <v>0.12877312280326714</v>
      </c>
      <c r="I327" s="10">
        <f>I320-$E320</f>
        <v>-3.9785055823525095E-2</v>
      </c>
      <c r="K327" s="10">
        <f>K320-$E320</f>
        <v>0.26873716910176826</v>
      </c>
      <c r="M327" s="10">
        <f>M320-$E320</f>
        <v>0.22839791315092062</v>
      </c>
      <c r="O327" s="10">
        <f>O320-$E320</f>
        <v>9.0836653373129961E-2</v>
      </c>
    </row>
    <row r="328" spans="1:17" s="101" customFormat="1" x14ac:dyDescent="0.3">
      <c r="A328" s="148"/>
      <c r="B328" s="148" t="s">
        <v>2086</v>
      </c>
      <c r="G328" s="10">
        <f>$E321-G321</f>
        <v>-0.10647167719673273</v>
      </c>
      <c r="I328" s="10">
        <f>$E321-I321</f>
        <v>5.4048544176474977E-2</v>
      </c>
      <c r="K328" s="10">
        <f>$E321-K321</f>
        <v>-0.2146905308982317</v>
      </c>
      <c r="M328" s="10">
        <f>$E321-M321</f>
        <v>-3.7078486849079273E-2</v>
      </c>
      <c r="O328" s="10">
        <f>$E321-O321</f>
        <v>7.0806153373130232E-2</v>
      </c>
    </row>
    <row r="329" spans="1:17" s="133" customFormat="1" x14ac:dyDescent="0.3">
      <c r="A329" s="148"/>
      <c r="B329" s="148" t="s">
        <v>93</v>
      </c>
      <c r="G329" s="10">
        <f>G324/$E321</f>
        <v>1.7692810101766545</v>
      </c>
      <c r="I329" s="10">
        <f>I324/$E321</f>
        <v>1.7692810101766545</v>
      </c>
      <c r="K329" s="10">
        <f>K324/$E321</f>
        <v>1.7692810101766545</v>
      </c>
      <c r="M329" s="10">
        <f>M324/$E321</f>
        <v>1.7692810101766545</v>
      </c>
      <c r="O329" s="10">
        <f>O324/$E321</f>
        <v>3.538562020353309</v>
      </c>
    </row>
    <row r="330" spans="1:17" s="101" customFormat="1" x14ac:dyDescent="0.3">
      <c r="A330" s="148"/>
      <c r="B330" s="148" t="s">
        <v>462</v>
      </c>
      <c r="G330" s="10">
        <f>G325/G324</f>
        <v>0.21583793611435245</v>
      </c>
      <c r="I330" s="10">
        <f>I325/I324</f>
        <v>0.38148430638536224</v>
      </c>
      <c r="K330" s="10">
        <f>K325/K324</f>
        <v>-2.4420122633498416E-2</v>
      </c>
      <c r="M330" s="10">
        <f>M325/M324</f>
        <v>8.5749376236493896E-2</v>
      </c>
      <c r="O330" s="10">
        <f>O325/O324</f>
        <v>0.4840360110803324</v>
      </c>
    </row>
    <row r="331" spans="1:17" s="101" customFormat="1" x14ac:dyDescent="0.3">
      <c r="A331" s="148"/>
      <c r="B331" s="148" t="s">
        <v>2085</v>
      </c>
      <c r="G331" s="3">
        <f>G327/G326</f>
        <v>3.3145528106648561</v>
      </c>
      <c r="I331" s="3">
        <f>I327/I326</f>
        <v>-0.57938972641563358</v>
      </c>
      <c r="K331" s="3">
        <f>K327/K326</f>
        <v>-61.137460085462202</v>
      </c>
      <c r="M331" s="3">
        <f>M327/M326</f>
        <v>14.797510500640511</v>
      </c>
      <c r="O331" s="3">
        <f>O327/O326</f>
        <v>0.52129186955411588</v>
      </c>
    </row>
    <row r="332" spans="1:17" s="101" customFormat="1" x14ac:dyDescent="0.3">
      <c r="A332" s="148"/>
      <c r="B332" s="148" t="s">
        <v>2087</v>
      </c>
      <c r="G332" s="10">
        <f>G328/G326</f>
        <v>-2.7405252682097578</v>
      </c>
      <c r="I332" s="10">
        <f>I328/I326</f>
        <v>0.78710889240613591</v>
      </c>
      <c r="K332" s="10">
        <f>K328/K326</f>
        <v>48.841899344957284</v>
      </c>
      <c r="M332" s="10">
        <f>M328/M326</f>
        <v>-2.4022518022507602</v>
      </c>
      <c r="O332" s="10">
        <f>O328/O326</f>
        <v>0.40634117063071956</v>
      </c>
      <c r="Q332" s="101" t="s">
        <v>1410</v>
      </c>
    </row>
    <row r="333" spans="1:17" s="101" customFormat="1" x14ac:dyDescent="0.3">
      <c r="A333" s="148"/>
      <c r="B333" s="148" t="s">
        <v>2088</v>
      </c>
      <c r="G333" s="10">
        <f>G327/G328</f>
        <v>-1.2094589490247907</v>
      </c>
      <c r="I333" s="10">
        <f>I327/I328</f>
        <v>-0.73609856527535911</v>
      </c>
      <c r="K333" s="10">
        <f>K327/K328</f>
        <v>-1.2517420678844746</v>
      </c>
      <c r="M333" s="10">
        <f>M327/M328</f>
        <v>-6.1598498903304666</v>
      </c>
      <c r="O333" s="10">
        <f>O327/O328</f>
        <v>1.2828920799361059</v>
      </c>
    </row>
    <row r="334" spans="1:17" s="133" customFormat="1" x14ac:dyDescent="0.3">
      <c r="A334" s="148"/>
      <c r="B334" s="148" t="s">
        <v>2096</v>
      </c>
      <c r="C334" s="133" t="s">
        <v>92</v>
      </c>
      <c r="D334" s="37"/>
      <c r="E334" s="148"/>
      <c r="F334" s="37"/>
      <c r="G334" s="91">
        <f>G327/$E321</f>
        <v>0.31643866777356511</v>
      </c>
      <c r="H334" s="37"/>
      <c r="I334" s="91">
        <f>I327/$E321</f>
        <v>-9.7765199663029267E-2</v>
      </c>
      <c r="K334" s="91">
        <f>K327/$E321</f>
        <v>0.66037718058387629</v>
      </c>
      <c r="M334" s="91">
        <f>M327/$E321</f>
        <v>0.56125012569708421</v>
      </c>
      <c r="O334" s="91">
        <f>O327/$E321</f>
        <v>0.22321606366816388</v>
      </c>
    </row>
    <row r="335" spans="1:17" s="133" customFormat="1" x14ac:dyDescent="0.3">
      <c r="A335" s="148"/>
      <c r="B335" s="148" t="s">
        <v>2097</v>
      </c>
      <c r="C335" s="133" t="s">
        <v>92</v>
      </c>
      <c r="D335" s="37"/>
      <c r="E335" s="148"/>
      <c r="F335" s="37"/>
      <c r="G335" s="91">
        <f>G319/$E319</f>
        <v>1.2362015343147417</v>
      </c>
      <c r="H335" s="37"/>
      <c r="I335" s="91">
        <f>I319/$E319</f>
        <v>0.90578478125647943</v>
      </c>
      <c r="K335" s="91">
        <f>K319/$E319</f>
        <v>1.485393787536416</v>
      </c>
      <c r="M335" s="91">
        <f>M319/$E319</f>
        <v>1.2665560854240099</v>
      </c>
      <c r="O335" s="91">
        <f>O319/$E319</f>
        <v>1.0201119635081897</v>
      </c>
    </row>
    <row r="336" spans="1:17" s="101" customFormat="1" x14ac:dyDescent="0.3">
      <c r="A336" s="148"/>
      <c r="B336" s="148" t="s">
        <v>2081</v>
      </c>
      <c r="G336" s="10">
        <f>G325/G327</f>
        <v>1.2067992964630581</v>
      </c>
      <c r="I336" s="10">
        <f>I325/I327</f>
        <v>-6.9038158904642746</v>
      </c>
      <c r="K336" s="10">
        <f>K325/K327</f>
        <v>-6.5426335906145286E-2</v>
      </c>
      <c r="M336" s="10">
        <f>M325/M327</f>
        <v>0.27031573992306746</v>
      </c>
      <c r="O336" s="10">
        <f>O325/O327</f>
        <v>7.6732445557253319</v>
      </c>
    </row>
    <row r="337" spans="1:17" s="101" customFormat="1" x14ac:dyDescent="0.3">
      <c r="A337" s="148"/>
      <c r="B337" s="148" t="s">
        <v>2137</v>
      </c>
      <c r="G337" s="10">
        <f>G325/G328</f>
        <v>-1.4595742087840671</v>
      </c>
      <c r="I337" s="10">
        <f>I325/I328</f>
        <v>5.0818889718959781</v>
      </c>
      <c r="K337" s="10">
        <f>K325/K328</f>
        <v>8.1896897001262556E-2</v>
      </c>
      <c r="M337" s="10">
        <f>M325/M328</f>
        <v>-1.6651043809197061</v>
      </c>
      <c r="O337" s="10">
        <f>O325/O328</f>
        <v>9.8439446679528722</v>
      </c>
    </row>
    <row r="338" spans="1:17" s="133" customFormat="1" x14ac:dyDescent="0.3">
      <c r="B338" s="148"/>
      <c r="G338" s="10"/>
      <c r="I338" s="10"/>
      <c r="K338" s="10"/>
      <c r="M338" s="10"/>
      <c r="O338" s="10"/>
    </row>
    <row r="339" spans="1:17" s="101" customFormat="1" x14ac:dyDescent="0.3">
      <c r="F339" s="101" t="s">
        <v>2027</v>
      </c>
      <c r="O339" s="101" t="s">
        <v>2028</v>
      </c>
    </row>
    <row r="340" spans="1:17" x14ac:dyDescent="0.3">
      <c r="C340" t="s">
        <v>738</v>
      </c>
      <c r="D340" t="s">
        <v>719</v>
      </c>
      <c r="F340" t="s">
        <v>720</v>
      </c>
      <c r="H340" t="s">
        <v>721</v>
      </c>
      <c r="J340" t="s">
        <v>722</v>
      </c>
      <c r="L340" t="s">
        <v>723</v>
      </c>
      <c r="N340" t="s">
        <v>724</v>
      </c>
    </row>
    <row r="341" spans="1:17" x14ac:dyDescent="0.3">
      <c r="B341" s="6" t="s">
        <v>359</v>
      </c>
      <c r="D341" t="s">
        <v>731</v>
      </c>
      <c r="E341" t="s">
        <v>739</v>
      </c>
      <c r="F341" t="s">
        <v>731</v>
      </c>
      <c r="G341" t="s">
        <v>739</v>
      </c>
      <c r="H341" t="s">
        <v>731</v>
      </c>
      <c r="I341" t="s">
        <v>739</v>
      </c>
      <c r="J341" t="s">
        <v>731</v>
      </c>
      <c r="K341" t="s">
        <v>739</v>
      </c>
      <c r="L341" t="s">
        <v>731</v>
      </c>
      <c r="M341" t="s">
        <v>739</v>
      </c>
      <c r="N341" t="s">
        <v>731</v>
      </c>
      <c r="O341" t="s">
        <v>739</v>
      </c>
    </row>
    <row r="342" spans="1:17" s="133" customFormat="1" x14ac:dyDescent="0.3">
      <c r="B342" s="148" t="s">
        <v>1795</v>
      </c>
      <c r="D342" s="66" t="s">
        <v>1686</v>
      </c>
      <c r="E342" s="133" t="s">
        <v>1918</v>
      </c>
      <c r="F342" s="66" t="s">
        <v>1686</v>
      </c>
      <c r="G342" s="133" t="s">
        <v>1918</v>
      </c>
      <c r="H342" s="66" t="s">
        <v>1686</v>
      </c>
      <c r="I342" s="133" t="s">
        <v>1919</v>
      </c>
      <c r="J342" s="66" t="s">
        <v>1686</v>
      </c>
      <c r="K342" s="133" t="s">
        <v>1920</v>
      </c>
      <c r="L342" s="66" t="s">
        <v>1686</v>
      </c>
      <c r="M342" s="133" t="s">
        <v>1921</v>
      </c>
      <c r="N342" s="66" t="s">
        <v>1686</v>
      </c>
      <c r="O342" s="133" t="s">
        <v>1918</v>
      </c>
    </row>
    <row r="343" spans="1:17" s="133" customFormat="1" x14ac:dyDescent="0.3">
      <c r="B343" s="148" t="s">
        <v>1791</v>
      </c>
      <c r="C343" s="8"/>
      <c r="D343" s="8" t="s">
        <v>1104</v>
      </c>
      <c r="E343" s="8" t="s">
        <v>1104</v>
      </c>
      <c r="F343" s="8" t="s">
        <v>1105</v>
      </c>
      <c r="G343" s="8" t="s">
        <v>1105</v>
      </c>
      <c r="H343" s="8" t="s">
        <v>1105</v>
      </c>
      <c r="I343" s="8" t="s">
        <v>1105</v>
      </c>
      <c r="J343" s="8" t="s">
        <v>1105</v>
      </c>
      <c r="K343" s="8" t="s">
        <v>1105</v>
      </c>
      <c r="L343" s="8" t="s">
        <v>1105</v>
      </c>
      <c r="M343" s="8" t="s">
        <v>1105</v>
      </c>
      <c r="N343" s="8" t="s">
        <v>1105</v>
      </c>
      <c r="O343" s="8" t="s">
        <v>1105</v>
      </c>
    </row>
    <row r="344" spans="1:17" x14ac:dyDescent="0.3">
      <c r="B344" t="s">
        <v>33</v>
      </c>
      <c r="C344" t="s">
        <v>270</v>
      </c>
      <c r="D344" s="13">
        <f t="shared" ref="D344:I344" si="64">$C$255</f>
        <v>4.13</v>
      </c>
      <c r="E344" s="13">
        <f t="shared" si="64"/>
        <v>4.13</v>
      </c>
      <c r="F344" s="13">
        <f t="shared" si="64"/>
        <v>4.13</v>
      </c>
      <c r="G344" s="13">
        <f t="shared" si="64"/>
        <v>4.13</v>
      </c>
      <c r="H344" s="13">
        <f t="shared" si="64"/>
        <v>4.13</v>
      </c>
      <c r="I344" s="13">
        <f t="shared" si="64"/>
        <v>4.13</v>
      </c>
      <c r="J344" s="13">
        <f>$E$255</f>
        <v>4.2279999999999998</v>
      </c>
      <c r="K344" s="13">
        <f>$E$255</f>
        <v>4.2279999999999998</v>
      </c>
      <c r="L344" s="13">
        <f>$C$255</f>
        <v>4.13</v>
      </c>
      <c r="M344" s="13">
        <f>$C$255</f>
        <v>4.13</v>
      </c>
      <c r="N344" s="13">
        <f>$C$255</f>
        <v>4.13</v>
      </c>
      <c r="O344" s="13">
        <f>$C$255</f>
        <v>4.13</v>
      </c>
      <c r="Q344" t="s">
        <v>1364</v>
      </c>
    </row>
    <row r="345" spans="1:17" x14ac:dyDescent="0.3">
      <c r="B345" t="s">
        <v>26</v>
      </c>
      <c r="C345" t="s">
        <v>25</v>
      </c>
      <c r="D345" s="16">
        <f t="shared" ref="D345:O345" si="65">D284</f>
        <v>15</v>
      </c>
      <c r="E345" s="16">
        <f t="shared" si="65"/>
        <v>20</v>
      </c>
      <c r="F345" s="16">
        <f t="shared" si="65"/>
        <v>15</v>
      </c>
      <c r="G345" s="16">
        <f t="shared" si="65"/>
        <v>20</v>
      </c>
      <c r="H345" s="16">
        <f t="shared" si="65"/>
        <v>15</v>
      </c>
      <c r="I345" s="16">
        <f t="shared" si="65"/>
        <v>20</v>
      </c>
      <c r="J345" s="16">
        <f t="shared" si="65"/>
        <v>15</v>
      </c>
      <c r="K345" s="16">
        <f t="shared" si="65"/>
        <v>20</v>
      </c>
      <c r="L345" s="16">
        <f t="shared" si="65"/>
        <v>15</v>
      </c>
      <c r="M345" s="16">
        <f t="shared" si="65"/>
        <v>20</v>
      </c>
      <c r="N345" s="16">
        <f t="shared" si="65"/>
        <v>15</v>
      </c>
      <c r="O345" s="16">
        <f t="shared" si="65"/>
        <v>20</v>
      </c>
    </row>
    <row r="346" spans="1:17" s="133" customFormat="1" x14ac:dyDescent="0.3">
      <c r="B346" s="133" t="s">
        <v>1544</v>
      </c>
      <c r="C346" s="133" t="s">
        <v>338</v>
      </c>
      <c r="D346" s="16"/>
      <c r="E346" s="16"/>
      <c r="F346" s="16"/>
      <c r="G346" s="134">
        <f>G324</f>
        <v>0.72</v>
      </c>
      <c r="H346" s="16"/>
      <c r="I346" s="134">
        <f>I324</f>
        <v>0.72</v>
      </c>
      <c r="J346" s="16"/>
      <c r="K346" s="134">
        <f>K324</f>
        <v>0.72</v>
      </c>
      <c r="L346" s="16"/>
      <c r="M346" s="134">
        <f>M324</f>
        <v>0.72</v>
      </c>
      <c r="N346" s="16"/>
      <c r="O346" s="134">
        <f>O324</f>
        <v>1.44</v>
      </c>
    </row>
    <row r="347" spans="1:17" x14ac:dyDescent="0.3">
      <c r="B347" t="s">
        <v>351</v>
      </c>
      <c r="C347" t="s">
        <v>377</v>
      </c>
      <c r="D347" s="10">
        <f t="shared" ref="D347:O347" si="66">D271/1000</f>
        <v>0.14477000000000001</v>
      </c>
      <c r="E347" s="10">
        <f t="shared" si="66"/>
        <v>0.14349999999999999</v>
      </c>
      <c r="F347" s="10">
        <f t="shared" si="66"/>
        <v>0.14634</v>
      </c>
      <c r="G347" s="31">
        <f t="shared" si="66"/>
        <v>0.18543999999999999</v>
      </c>
      <c r="H347" s="10">
        <f t="shared" si="66"/>
        <v>0.13352</v>
      </c>
      <c r="I347" s="10">
        <f t="shared" si="66"/>
        <v>0.13295999999999999</v>
      </c>
      <c r="J347" s="10">
        <f t="shared" si="66"/>
        <v>0.14219000000000001</v>
      </c>
      <c r="K347" s="111">
        <f t="shared" si="66"/>
        <v>0.20415</v>
      </c>
      <c r="L347" s="10">
        <f t="shared" si="66"/>
        <v>0.14169999999999999</v>
      </c>
      <c r="M347" s="10">
        <f t="shared" si="66"/>
        <v>0.19378999999999999</v>
      </c>
      <c r="N347" s="10">
        <f t="shared" si="66"/>
        <v>0.13403000000000001</v>
      </c>
      <c r="O347" s="10">
        <f t="shared" si="66"/>
        <v>0.1646</v>
      </c>
      <c r="Q347" t="s">
        <v>1367</v>
      </c>
    </row>
    <row r="348" spans="1:17" x14ac:dyDescent="0.3">
      <c r="B348" t="s">
        <v>352</v>
      </c>
      <c r="C348" t="s">
        <v>377</v>
      </c>
      <c r="G348" s="10">
        <f>G347-F347</f>
        <v>3.9099999999999996E-2</v>
      </c>
      <c r="I348" s="10">
        <f>I347-H347</f>
        <v>-5.6000000000000494E-4</v>
      </c>
      <c r="K348" s="10">
        <f>K347-J347</f>
        <v>6.1959999999999987E-2</v>
      </c>
      <c r="M348" s="10">
        <f>M347-L347</f>
        <v>5.2089999999999997E-2</v>
      </c>
      <c r="O348" s="10">
        <f>O347-N347</f>
        <v>3.0569999999999986E-2</v>
      </c>
    </row>
    <row r="349" spans="1:17" x14ac:dyDescent="0.3">
      <c r="B349" t="s">
        <v>353</v>
      </c>
      <c r="C349" t="s">
        <v>92</v>
      </c>
      <c r="G349" s="10">
        <f>G348/F347</f>
        <v>0.26718600519338526</v>
      </c>
      <c r="I349" s="10">
        <f>I348/H347</f>
        <v>-4.1941282204913492E-3</v>
      </c>
      <c r="K349" s="10">
        <f>K348/J347</f>
        <v>0.4357549757366902</v>
      </c>
      <c r="M349" s="10">
        <f>M348/L347</f>
        <v>0.3676076217360621</v>
      </c>
      <c r="O349" s="10">
        <f>O348/N347</f>
        <v>0.22808326494068479</v>
      </c>
    </row>
    <row r="350" spans="1:17" x14ac:dyDescent="0.3">
      <c r="B350" t="s">
        <v>293</v>
      </c>
      <c r="C350" t="s">
        <v>338</v>
      </c>
      <c r="D350" s="10">
        <f>D347*D344</f>
        <v>0.59790010000000005</v>
      </c>
      <c r="E350" s="10">
        <f t="shared" ref="E350:O350" si="67">E347*E344</f>
        <v>0.59265499999999993</v>
      </c>
      <c r="F350" s="10">
        <f t="shared" si="67"/>
        <v>0.60438419999999993</v>
      </c>
      <c r="G350" s="10">
        <f t="shared" si="67"/>
        <v>0.76586719999999997</v>
      </c>
      <c r="H350" s="10">
        <f t="shared" si="67"/>
        <v>0.55143759999999997</v>
      </c>
      <c r="I350" s="10">
        <f t="shared" si="67"/>
        <v>0.54912479999999997</v>
      </c>
      <c r="J350" s="10">
        <f t="shared" si="67"/>
        <v>0.60117931999999996</v>
      </c>
      <c r="K350" s="111">
        <f t="shared" si="67"/>
        <v>0.86314619999999997</v>
      </c>
      <c r="L350" s="10">
        <f t="shared" si="67"/>
        <v>0.58522099999999999</v>
      </c>
      <c r="M350" s="10">
        <f t="shared" si="67"/>
        <v>0.80035269999999992</v>
      </c>
      <c r="N350" s="10">
        <f t="shared" si="67"/>
        <v>0.55354389999999998</v>
      </c>
      <c r="O350" s="10">
        <f t="shared" si="67"/>
        <v>0.67979800000000001</v>
      </c>
    </row>
    <row r="351" spans="1:17" x14ac:dyDescent="0.3">
      <c r="B351" t="s">
        <v>402</v>
      </c>
      <c r="C351" t="s">
        <v>338</v>
      </c>
      <c r="G351" s="10">
        <f>G350-F350</f>
        <v>0.16148300000000004</v>
      </c>
      <c r="I351" s="10">
        <f>I350-H350</f>
        <v>-2.3128000000000037E-3</v>
      </c>
      <c r="K351" s="10">
        <f>K350-J350</f>
        <v>0.26196688000000001</v>
      </c>
      <c r="M351" s="10">
        <f>M350-L350</f>
        <v>0.21513169999999993</v>
      </c>
      <c r="O351" s="10">
        <f>O350-N350</f>
        <v>0.12625410000000004</v>
      </c>
    </row>
    <row r="352" spans="1:17" x14ac:dyDescent="0.3">
      <c r="B352" t="s">
        <v>3</v>
      </c>
      <c r="C352" t="s">
        <v>302</v>
      </c>
      <c r="D352" s="3">
        <f t="shared" ref="D352:O352" si="68">D272</f>
        <v>58.24</v>
      </c>
      <c r="E352" s="3">
        <f t="shared" si="68"/>
        <v>59.14</v>
      </c>
      <c r="F352" s="3">
        <f t="shared" si="68"/>
        <v>59.88</v>
      </c>
      <c r="G352" s="3">
        <f t="shared" si="68"/>
        <v>39.97</v>
      </c>
      <c r="H352" s="3">
        <f t="shared" si="68"/>
        <v>57.57</v>
      </c>
      <c r="I352" s="3">
        <f t="shared" si="68"/>
        <v>40.76</v>
      </c>
      <c r="J352" s="3">
        <f t="shared" si="68"/>
        <v>53.7</v>
      </c>
      <c r="K352" s="30">
        <f t="shared" si="68"/>
        <v>38.69</v>
      </c>
      <c r="L352" s="3">
        <f t="shared" si="68"/>
        <v>58.55</v>
      </c>
      <c r="M352" s="47">
        <f t="shared" si="68"/>
        <v>42.58</v>
      </c>
      <c r="N352" s="3">
        <f t="shared" si="68"/>
        <v>56.1</v>
      </c>
      <c r="O352" s="3">
        <f t="shared" si="68"/>
        <v>38.65</v>
      </c>
      <c r="Q352" t="s">
        <v>1922</v>
      </c>
    </row>
    <row r="353" spans="2:17" x14ac:dyDescent="0.3">
      <c r="B353" t="s">
        <v>277</v>
      </c>
      <c r="C353" t="s">
        <v>302</v>
      </c>
      <c r="D353" s="3">
        <f t="shared" ref="D353:O353" si="69">D273</f>
        <v>41.76</v>
      </c>
      <c r="E353" s="3">
        <f t="shared" si="69"/>
        <v>40.86</v>
      </c>
      <c r="F353" s="3">
        <f t="shared" si="69"/>
        <v>40.409999999999997</v>
      </c>
      <c r="G353" s="3">
        <f t="shared" si="69"/>
        <v>28.59</v>
      </c>
      <c r="H353" s="3">
        <f t="shared" si="69"/>
        <v>42.43</v>
      </c>
      <c r="I353" s="3">
        <f t="shared" si="69"/>
        <v>26.19</v>
      </c>
      <c r="J353" s="3">
        <f t="shared" si="69"/>
        <v>46.3</v>
      </c>
      <c r="K353" s="3">
        <f t="shared" si="69"/>
        <v>28.04</v>
      </c>
      <c r="L353" s="3">
        <f t="shared" si="69"/>
        <v>41.45</v>
      </c>
      <c r="M353" s="3">
        <f t="shared" si="69"/>
        <v>23.13</v>
      </c>
      <c r="N353" s="3">
        <f t="shared" si="69"/>
        <v>43.9</v>
      </c>
      <c r="O353" s="3">
        <f t="shared" si="69"/>
        <v>19.11</v>
      </c>
    </row>
    <row r="354" spans="2:17" x14ac:dyDescent="0.3">
      <c r="B354" t="s">
        <v>13</v>
      </c>
      <c r="C354" t="s">
        <v>302</v>
      </c>
      <c r="D354" s="3">
        <f t="shared" ref="D354:O354" si="70">D274</f>
        <v>0</v>
      </c>
      <c r="E354" s="3">
        <f t="shared" si="70"/>
        <v>0</v>
      </c>
      <c r="F354" s="3">
        <f t="shared" si="70"/>
        <v>0</v>
      </c>
      <c r="G354" s="3">
        <f t="shared" si="70"/>
        <v>31.44</v>
      </c>
      <c r="H354" s="3">
        <f t="shared" si="70"/>
        <v>0</v>
      </c>
      <c r="I354" s="3">
        <f t="shared" si="70"/>
        <v>33.049999999999997</v>
      </c>
      <c r="J354" s="3">
        <f t="shared" si="70"/>
        <v>0</v>
      </c>
      <c r="K354" s="3">
        <f t="shared" si="70"/>
        <v>33.270000000000003</v>
      </c>
      <c r="L354" s="3">
        <f t="shared" si="70"/>
        <v>0</v>
      </c>
      <c r="M354" s="3">
        <f t="shared" si="70"/>
        <v>34.29</v>
      </c>
      <c r="N354" s="3">
        <f t="shared" si="70"/>
        <v>0</v>
      </c>
      <c r="O354" s="3">
        <f t="shared" si="70"/>
        <v>42.24</v>
      </c>
    </row>
    <row r="355" spans="2:17" x14ac:dyDescent="0.3">
      <c r="B355" t="s">
        <v>35</v>
      </c>
      <c r="D355" s="3">
        <f t="shared" ref="D355:O355" si="71">D276</f>
        <v>7.92</v>
      </c>
      <c r="E355" s="3">
        <f t="shared" si="71"/>
        <v>7.94</v>
      </c>
      <c r="F355" s="3">
        <f t="shared" si="71"/>
        <v>7.94</v>
      </c>
      <c r="G355" s="3">
        <f t="shared" si="71"/>
        <v>8.1</v>
      </c>
      <c r="H355" s="3">
        <f t="shared" si="71"/>
        <v>8.15</v>
      </c>
      <c r="I355" s="3">
        <f t="shared" si="71"/>
        <v>8.2799999999999994</v>
      </c>
      <c r="J355" s="3">
        <f t="shared" si="71"/>
        <v>7.91</v>
      </c>
      <c r="K355" s="3">
        <f t="shared" si="71"/>
        <v>8.11</v>
      </c>
      <c r="L355" s="3">
        <f t="shared" si="71"/>
        <v>7.82</v>
      </c>
      <c r="M355" s="3">
        <f t="shared" si="71"/>
        <v>8.0399999999999991</v>
      </c>
      <c r="N355" s="3">
        <f t="shared" si="71"/>
        <v>7.77</v>
      </c>
      <c r="O355" s="3">
        <f t="shared" si="71"/>
        <v>7.95</v>
      </c>
    </row>
    <row r="356" spans="2:17" x14ac:dyDescent="0.3">
      <c r="B356" t="s">
        <v>52</v>
      </c>
      <c r="C356" t="s">
        <v>621</v>
      </c>
      <c r="D356" s="10">
        <f>D280/Data!$C$34</f>
        <v>0.17705812218438319</v>
      </c>
      <c r="E356" s="10">
        <f>E280/Data!$C$34</f>
        <v>0.17991389834864743</v>
      </c>
      <c r="F356" s="10">
        <f>F280/Data!$C$34</f>
        <v>0.18348361855397771</v>
      </c>
      <c r="G356" s="10">
        <f>G280/Data!$C$34</f>
        <v>0.19776249937529897</v>
      </c>
      <c r="H356" s="10">
        <f>H280/Data!$C$34</f>
        <v>0.23702942163393231</v>
      </c>
      <c r="I356" s="10">
        <f>I280/Data!$C$34</f>
        <v>0.20561588382702561</v>
      </c>
      <c r="J356" s="10">
        <f>J280/Data!$C$34</f>
        <v>0.22275054081261111</v>
      </c>
      <c r="K356" s="10">
        <f>K280/Data!$C$34</f>
        <v>0.22632026101794139</v>
      </c>
      <c r="L356" s="10">
        <f>L280/Data!$C$34</f>
        <v>0.19990433149849712</v>
      </c>
      <c r="M356" s="10">
        <f>M280/Data!$C$34</f>
        <v>0.2063298278680917</v>
      </c>
      <c r="N356" s="10">
        <f>N280/Data!$C$34</f>
        <v>0.18919517088250623</v>
      </c>
      <c r="O356" s="10">
        <f>O280/Data!$C$34</f>
        <v>0.19990433149849712</v>
      </c>
    </row>
    <row r="357" spans="2:17" x14ac:dyDescent="0.3">
      <c r="B357" t="s">
        <v>558</v>
      </c>
      <c r="C357" t="s">
        <v>621</v>
      </c>
      <c r="D357" s="10">
        <f t="shared" ref="D357:O357" si="72">D277/1000</f>
        <v>1.899E-2</v>
      </c>
      <c r="E357" s="10">
        <f t="shared" si="72"/>
        <v>1.712E-2</v>
      </c>
      <c r="F357" s="10">
        <f t="shared" si="72"/>
        <v>3.073E-2</v>
      </c>
      <c r="G357" s="10">
        <f t="shared" si="72"/>
        <v>4.4549999999999999E-2</v>
      </c>
      <c r="H357" s="10">
        <f t="shared" si="72"/>
        <v>3.056E-2</v>
      </c>
      <c r="I357" s="10">
        <f t="shared" si="72"/>
        <v>6.6629999999999995E-2</v>
      </c>
      <c r="J357" s="10">
        <f t="shared" si="72"/>
        <v>3.7670000000000002E-2</v>
      </c>
      <c r="K357" s="10">
        <f t="shared" si="72"/>
        <v>6.2179999999999999E-2</v>
      </c>
      <c r="L357" s="10">
        <f t="shared" si="72"/>
        <v>4.018E-2</v>
      </c>
      <c r="M357" s="10">
        <f t="shared" si="72"/>
        <v>6.5079999999999999E-2</v>
      </c>
      <c r="N357" s="10">
        <f t="shared" si="72"/>
        <v>3.6659999999999998E-2</v>
      </c>
      <c r="O357" s="10">
        <f t="shared" si="72"/>
        <v>9.8140000000000005E-2</v>
      </c>
      <c r="Q357" s="10"/>
    </row>
    <row r="358" spans="2:17" x14ac:dyDescent="0.3">
      <c r="B358" s="12"/>
      <c r="C358" s="12"/>
      <c r="D358" s="3"/>
      <c r="E358" s="3"/>
      <c r="F358" s="3"/>
      <c r="G358" s="3"/>
      <c r="H358" s="3"/>
      <c r="I358" s="3"/>
      <c r="J358" s="3"/>
      <c r="K358" s="3"/>
      <c r="L358" s="3"/>
      <c r="M358" s="3"/>
      <c r="N358" s="3"/>
      <c r="O358" s="3"/>
      <c r="Q358" t="s">
        <v>759</v>
      </c>
    </row>
    <row r="359" spans="2:17" s="101" customFormat="1" x14ac:dyDescent="0.3"/>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1E74-F77B-4323-B077-71742D791889}">
  <dimension ref="A2:O82"/>
  <sheetViews>
    <sheetView zoomScaleNormal="100" workbookViewId="0"/>
  </sheetViews>
  <sheetFormatPr defaultRowHeight="14.4" x14ac:dyDescent="0.3"/>
  <cols>
    <col min="2" max="2" width="18.5546875" customWidth="1"/>
    <col min="17" max="17" width="18.5546875" bestFit="1" customWidth="1"/>
  </cols>
  <sheetData>
    <row r="2" spans="2:5" x14ac:dyDescent="0.3">
      <c r="B2" s="14" t="s">
        <v>1742</v>
      </c>
    </row>
    <row r="3" spans="2:5" x14ac:dyDescent="0.3">
      <c r="B3" t="s">
        <v>597</v>
      </c>
    </row>
    <row r="4" spans="2:5" x14ac:dyDescent="0.3">
      <c r="B4" t="s">
        <v>598</v>
      </c>
    </row>
    <row r="6" spans="2:5" s="133" customFormat="1" x14ac:dyDescent="0.3">
      <c r="B6" s="148" t="s">
        <v>114</v>
      </c>
      <c r="D6" s="133" t="s">
        <v>2140</v>
      </c>
      <c r="E6" s="133" t="s">
        <v>1735</v>
      </c>
    </row>
    <row r="7" spans="2:5" s="133" customFormat="1" x14ac:dyDescent="0.3">
      <c r="B7" s="133" t="s">
        <v>667</v>
      </c>
      <c r="C7" s="133" t="s">
        <v>503</v>
      </c>
      <c r="D7" s="133">
        <v>37</v>
      </c>
    </row>
    <row r="8" spans="2:5" s="133" customFormat="1" x14ac:dyDescent="0.3">
      <c r="B8" s="133" t="s">
        <v>1324</v>
      </c>
      <c r="D8" s="133" t="s">
        <v>1091</v>
      </c>
    </row>
    <row r="9" spans="2:5" s="133" customFormat="1" x14ac:dyDescent="0.3">
      <c r="B9" s="133" t="s">
        <v>956</v>
      </c>
      <c r="C9" s="133" t="s">
        <v>22</v>
      </c>
      <c r="D9" s="133">
        <v>3</v>
      </c>
    </row>
    <row r="10" spans="2:5" s="133" customFormat="1" x14ac:dyDescent="0.3">
      <c r="B10" s="133" t="s">
        <v>32</v>
      </c>
      <c r="C10" s="133" t="s">
        <v>22</v>
      </c>
      <c r="D10" s="133">
        <v>2</v>
      </c>
    </row>
    <row r="11" spans="2:5" s="133" customFormat="1" x14ac:dyDescent="0.3">
      <c r="B11" s="133" t="s">
        <v>326</v>
      </c>
      <c r="D11" s="133" t="s">
        <v>1355</v>
      </c>
    </row>
    <row r="12" spans="2:5" s="133" customFormat="1" x14ac:dyDescent="0.3">
      <c r="B12" s="133" t="s">
        <v>344</v>
      </c>
      <c r="D12" s="133" t="s">
        <v>694</v>
      </c>
    </row>
    <row r="13" spans="2:5" s="133" customFormat="1" x14ac:dyDescent="0.3">
      <c r="B13" s="133" t="s">
        <v>1332</v>
      </c>
      <c r="D13" s="133" t="s">
        <v>1362</v>
      </c>
    </row>
    <row r="14" spans="2:5" s="133" customFormat="1" x14ac:dyDescent="0.3">
      <c r="B14" s="133" t="s">
        <v>1330</v>
      </c>
      <c r="D14" s="133" t="s">
        <v>1333</v>
      </c>
    </row>
    <row r="15" spans="2:5" s="133" customFormat="1" x14ac:dyDescent="0.3">
      <c r="B15" s="133" t="s">
        <v>1968</v>
      </c>
      <c r="D15" s="133" t="s">
        <v>1969</v>
      </c>
      <c r="E15" s="133" t="s">
        <v>1971</v>
      </c>
    </row>
    <row r="16" spans="2:5" s="133" customFormat="1" x14ac:dyDescent="0.3">
      <c r="B16" s="133" t="s">
        <v>1541</v>
      </c>
      <c r="D16" s="133" t="s">
        <v>1740</v>
      </c>
    </row>
    <row r="17" spans="2:6" s="133" customFormat="1" x14ac:dyDescent="0.3">
      <c r="B17" s="133" t="s">
        <v>1599</v>
      </c>
      <c r="D17" s="133" t="s">
        <v>1739</v>
      </c>
    </row>
    <row r="18" spans="2:6" s="133" customFormat="1" x14ac:dyDescent="0.3"/>
    <row r="19" spans="2:6" x14ac:dyDescent="0.3">
      <c r="B19" t="s">
        <v>599</v>
      </c>
      <c r="C19" t="s">
        <v>302</v>
      </c>
      <c r="D19">
        <v>92</v>
      </c>
    </row>
    <row r="20" spans="2:6" x14ac:dyDescent="0.3">
      <c r="B20" t="s">
        <v>600</v>
      </c>
      <c r="C20" t="s">
        <v>302</v>
      </c>
      <c r="D20">
        <v>8</v>
      </c>
    </row>
    <row r="22" spans="2:6" x14ac:dyDescent="0.3">
      <c r="B22" t="s">
        <v>601</v>
      </c>
      <c r="C22" t="s">
        <v>47</v>
      </c>
      <c r="D22">
        <v>15.4</v>
      </c>
    </row>
    <row r="23" spans="2:6" x14ac:dyDescent="0.3">
      <c r="B23" t="s">
        <v>602</v>
      </c>
      <c r="C23" t="s">
        <v>47</v>
      </c>
      <c r="D23">
        <v>10.8</v>
      </c>
      <c r="F23" t="s">
        <v>603</v>
      </c>
    </row>
    <row r="24" spans="2:6" x14ac:dyDescent="0.3">
      <c r="B24" t="s">
        <v>138</v>
      </c>
      <c r="D24" s="3">
        <f>D23/D22</f>
        <v>0.70129870129870131</v>
      </c>
    </row>
    <row r="25" spans="2:6" x14ac:dyDescent="0.3">
      <c r="B25" t="s">
        <v>26</v>
      </c>
      <c r="C25" t="s">
        <v>25</v>
      </c>
      <c r="D25">
        <v>10</v>
      </c>
    </row>
    <row r="26" spans="2:6" x14ac:dyDescent="0.3">
      <c r="B26" t="s">
        <v>33</v>
      </c>
      <c r="C26" t="s">
        <v>270</v>
      </c>
      <c r="D26">
        <f>D23/D25</f>
        <v>1.08</v>
      </c>
      <c r="F26" t="s">
        <v>397</v>
      </c>
    </row>
    <row r="27" spans="2:6" x14ac:dyDescent="0.3">
      <c r="B27" t="s">
        <v>32</v>
      </c>
      <c r="C27" t="s">
        <v>22</v>
      </c>
      <c r="D27">
        <v>2</v>
      </c>
    </row>
    <row r="28" spans="2:6" x14ac:dyDescent="0.3">
      <c r="F28" t="s">
        <v>615</v>
      </c>
    </row>
    <row r="29" spans="2:6" x14ac:dyDescent="0.3">
      <c r="B29" t="s">
        <v>287</v>
      </c>
      <c r="D29" s="66" t="s">
        <v>596</v>
      </c>
      <c r="E29" s="66" t="s">
        <v>595</v>
      </c>
      <c r="F29" s="66" t="s">
        <v>594</v>
      </c>
    </row>
    <row r="30" spans="2:6" x14ac:dyDescent="0.3">
      <c r="B30" t="s">
        <v>607</v>
      </c>
      <c r="C30" t="s">
        <v>31</v>
      </c>
      <c r="D30">
        <v>0</v>
      </c>
      <c r="E30">
        <v>1300</v>
      </c>
      <c r="F30">
        <v>2882</v>
      </c>
    </row>
    <row r="31" spans="2:6" x14ac:dyDescent="0.3">
      <c r="B31" t="s">
        <v>375</v>
      </c>
      <c r="C31" t="s">
        <v>31</v>
      </c>
      <c r="D31">
        <v>861</v>
      </c>
      <c r="E31">
        <v>970</v>
      </c>
      <c r="F31">
        <v>1322</v>
      </c>
    </row>
    <row r="32" spans="2:6" x14ac:dyDescent="0.3">
      <c r="B32" t="s">
        <v>3</v>
      </c>
      <c r="C32" t="s">
        <v>302</v>
      </c>
      <c r="D32">
        <v>64.400000000000006</v>
      </c>
      <c r="E32">
        <v>89.9</v>
      </c>
      <c r="F32">
        <v>98.8</v>
      </c>
    </row>
    <row r="33" spans="2:8" x14ac:dyDescent="0.3">
      <c r="B33" t="s">
        <v>277</v>
      </c>
      <c r="C33" t="s">
        <v>302</v>
      </c>
      <c r="D33">
        <v>34.200000000000003</v>
      </c>
      <c r="E33">
        <v>9.1</v>
      </c>
      <c r="F33">
        <v>0.3</v>
      </c>
    </row>
    <row r="34" spans="2:8" x14ac:dyDescent="0.3">
      <c r="B34" t="s">
        <v>3</v>
      </c>
      <c r="C34" t="s">
        <v>31</v>
      </c>
      <c r="D34">
        <v>554</v>
      </c>
      <c r="E34">
        <v>873</v>
      </c>
      <c r="F34">
        <v>1305</v>
      </c>
    </row>
    <row r="35" spans="2:8" x14ac:dyDescent="0.3">
      <c r="B35" t="s">
        <v>35</v>
      </c>
      <c r="D35" s="8">
        <v>7</v>
      </c>
      <c r="E35" s="8">
        <v>7.5</v>
      </c>
      <c r="F35" s="8">
        <v>8</v>
      </c>
      <c r="H35" t="s">
        <v>604</v>
      </c>
    </row>
    <row r="36" spans="2:8" x14ac:dyDescent="0.3">
      <c r="B36" t="s">
        <v>14</v>
      </c>
      <c r="C36" t="s">
        <v>47</v>
      </c>
      <c r="D36">
        <v>4.91</v>
      </c>
      <c r="E36" s="3">
        <v>4.8</v>
      </c>
      <c r="F36">
        <v>4.87</v>
      </c>
    </row>
    <row r="37" spans="2:8" x14ac:dyDescent="0.3">
      <c r="B37" t="s">
        <v>591</v>
      </c>
      <c r="C37" t="s">
        <v>17</v>
      </c>
      <c r="D37">
        <v>3043</v>
      </c>
      <c r="E37">
        <v>3120</v>
      </c>
      <c r="F37">
        <v>820</v>
      </c>
    </row>
    <row r="38" spans="2:8" x14ac:dyDescent="0.3">
      <c r="B38" t="s">
        <v>592</v>
      </c>
      <c r="C38" t="s">
        <v>316</v>
      </c>
      <c r="D38">
        <v>60</v>
      </c>
      <c r="E38">
        <v>51</v>
      </c>
      <c r="F38">
        <v>12</v>
      </c>
    </row>
    <row r="39" spans="2:8" x14ac:dyDescent="0.3">
      <c r="B39" t="s">
        <v>593</v>
      </c>
      <c r="C39" t="s">
        <v>302</v>
      </c>
      <c r="E39">
        <v>102</v>
      </c>
      <c r="F39">
        <v>96</v>
      </c>
    </row>
    <row r="41" spans="2:8" x14ac:dyDescent="0.3">
      <c r="B41" s="6" t="s">
        <v>877</v>
      </c>
      <c r="F41" t="s">
        <v>615</v>
      </c>
    </row>
    <row r="42" spans="2:8" x14ac:dyDescent="0.3">
      <c r="B42" s="27" t="s">
        <v>459</v>
      </c>
      <c r="C42" t="s">
        <v>302</v>
      </c>
      <c r="D42" s="8">
        <f>D32+D33</f>
        <v>98.600000000000009</v>
      </c>
      <c r="E42" s="8">
        <f>E32+E33</f>
        <v>99</v>
      </c>
      <c r="F42" s="8">
        <f>F32+F33</f>
        <v>99.1</v>
      </c>
      <c r="H42" t="s">
        <v>605</v>
      </c>
    </row>
    <row r="43" spans="2:8" x14ac:dyDescent="0.3">
      <c r="B43" t="s">
        <v>3</v>
      </c>
      <c r="C43" t="s">
        <v>31</v>
      </c>
      <c r="D43" s="16">
        <f>D31*D32/100</f>
        <v>554.48400000000004</v>
      </c>
      <c r="E43" s="16">
        <f>E31*E32/100</f>
        <v>872.03</v>
      </c>
      <c r="F43" s="16">
        <f>F31*F32/100</f>
        <v>1306.136</v>
      </c>
      <c r="H43" t="s">
        <v>197</v>
      </c>
    </row>
    <row r="44" spans="2:8" x14ac:dyDescent="0.3">
      <c r="B44" t="s">
        <v>277</v>
      </c>
      <c r="C44" t="s">
        <v>31</v>
      </c>
      <c r="D44" s="16">
        <f>D31*D33/100</f>
        <v>294.46199999999999</v>
      </c>
      <c r="E44" s="16">
        <f>E31*E33/100</f>
        <v>88.27</v>
      </c>
      <c r="F44" s="16">
        <f>F31*F33/100</f>
        <v>3.9659999999999997</v>
      </c>
    </row>
    <row r="45" spans="2:8" x14ac:dyDescent="0.3">
      <c r="B45" t="s">
        <v>3</v>
      </c>
      <c r="C45" t="s">
        <v>338</v>
      </c>
      <c r="D45" s="10">
        <f>D34/($D$27*1000)</f>
        <v>0.27700000000000002</v>
      </c>
      <c r="E45" s="10">
        <f>E34/($D$27*1000)</f>
        <v>0.4365</v>
      </c>
      <c r="F45" s="10">
        <f>F34/($D$27*1000)</f>
        <v>0.65249999999999997</v>
      </c>
    </row>
    <row r="46" spans="2:8" x14ac:dyDescent="0.3">
      <c r="B46" t="s">
        <v>277</v>
      </c>
      <c r="C46" t="s">
        <v>338</v>
      </c>
      <c r="D46" s="10">
        <f>D44/($D$27*1000)</f>
        <v>0.147231</v>
      </c>
      <c r="E46" s="10">
        <f>E44/($D$27*1000)</f>
        <v>4.4135000000000001E-2</v>
      </c>
      <c r="F46" s="10">
        <f>F44/($D$27*1000)</f>
        <v>1.983E-3</v>
      </c>
    </row>
    <row r="47" spans="2:8" s="133" customFormat="1" x14ac:dyDescent="0.3">
      <c r="B47" s="133" t="s">
        <v>308</v>
      </c>
      <c r="C47" s="133" t="s">
        <v>338</v>
      </c>
      <c r="D47" s="10">
        <f>SUM(D45:D46)</f>
        <v>0.42423100000000002</v>
      </c>
      <c r="E47" s="10">
        <f t="shared" ref="E47:F47" si="0">SUM(E45:E46)</f>
        <v>0.48063499999999998</v>
      </c>
      <c r="F47" s="10">
        <f t="shared" si="0"/>
        <v>0.65448299999999993</v>
      </c>
    </row>
    <row r="48" spans="2:8" x14ac:dyDescent="0.3">
      <c r="B48" t="s">
        <v>608</v>
      </c>
      <c r="C48" t="s">
        <v>338</v>
      </c>
      <c r="E48">
        <f>E30/($D$27*1000)</f>
        <v>0.65</v>
      </c>
      <c r="F48">
        <f>F30/($D$27*1000)</f>
        <v>1.4410000000000001</v>
      </c>
    </row>
    <row r="49" spans="1:15" x14ac:dyDescent="0.3">
      <c r="B49" s="27" t="s">
        <v>609</v>
      </c>
      <c r="C49" t="s">
        <v>338</v>
      </c>
      <c r="E49" s="10">
        <v>0</v>
      </c>
      <c r="F49" s="10">
        <v>0</v>
      </c>
      <c r="H49" t="s">
        <v>606</v>
      </c>
    </row>
    <row r="50" spans="1:15" x14ac:dyDescent="0.3">
      <c r="B50" s="27" t="s">
        <v>610</v>
      </c>
      <c r="C50" t="s">
        <v>338</v>
      </c>
      <c r="E50">
        <f>E48-E49</f>
        <v>0.65</v>
      </c>
      <c r="F50">
        <f>F48-F49</f>
        <v>1.4410000000000001</v>
      </c>
    </row>
    <row r="51" spans="1:15" x14ac:dyDescent="0.3">
      <c r="B51" s="27" t="s">
        <v>460</v>
      </c>
      <c r="C51" t="s">
        <v>338</v>
      </c>
      <c r="E51" s="10">
        <f>E48/4</f>
        <v>0.16250000000000001</v>
      </c>
      <c r="F51" s="10">
        <f>F48/4</f>
        <v>0.36025000000000001</v>
      </c>
      <c r="H51" t="s">
        <v>612</v>
      </c>
    </row>
    <row r="52" spans="1:15" x14ac:dyDescent="0.3">
      <c r="B52" s="27" t="s">
        <v>461</v>
      </c>
      <c r="C52" t="s">
        <v>338</v>
      </c>
      <c r="E52" s="10">
        <f>E45-$D45</f>
        <v>0.15949999999999998</v>
      </c>
      <c r="F52" s="10">
        <f>F45-$D45</f>
        <v>0.37549999999999994</v>
      </c>
    </row>
    <row r="53" spans="1:15" x14ac:dyDescent="0.3">
      <c r="B53" s="27" t="s">
        <v>613</v>
      </c>
      <c r="C53" t="s">
        <v>338</v>
      </c>
      <c r="E53" s="10">
        <f>E52*$D$19/100</f>
        <v>0.14673999999999998</v>
      </c>
      <c r="F53" s="10">
        <f>F52*$D$19/100</f>
        <v>0.34545999999999993</v>
      </c>
      <c r="H53" t="s">
        <v>614</v>
      </c>
    </row>
    <row r="54" spans="1:15" x14ac:dyDescent="0.3">
      <c r="B54" s="27" t="s">
        <v>465</v>
      </c>
      <c r="C54" t="s">
        <v>338</v>
      </c>
      <c r="E54" s="10">
        <f>$D46-E46</f>
        <v>0.10309599999999999</v>
      </c>
      <c r="F54" s="10">
        <f>$D46-F46</f>
        <v>0.14524799999999999</v>
      </c>
    </row>
    <row r="55" spans="1:15" x14ac:dyDescent="0.3">
      <c r="A55" s="148"/>
      <c r="B55" s="27" t="s">
        <v>611</v>
      </c>
      <c r="C55" t="s">
        <v>92</v>
      </c>
      <c r="E55" s="3">
        <f>E50/E48</f>
        <v>1</v>
      </c>
      <c r="F55" s="3">
        <f>F50/F48</f>
        <v>1</v>
      </c>
    </row>
    <row r="56" spans="1:15" x14ac:dyDescent="0.3">
      <c r="B56" s="148" t="s">
        <v>2085</v>
      </c>
      <c r="E56" s="3">
        <f>E51/E52</f>
        <v>1.0188087774294672</v>
      </c>
      <c r="F56" s="3">
        <f>F51/F52</f>
        <v>0.95938748335552615</v>
      </c>
    </row>
    <row r="57" spans="1:15" x14ac:dyDescent="0.3">
      <c r="B57" s="148" t="s">
        <v>2087</v>
      </c>
      <c r="E57" s="10">
        <f>E54/E53</f>
        <v>0.70257598473490535</v>
      </c>
      <c r="F57" s="10">
        <f>F54/F51</f>
        <v>0.4031866759195003</v>
      </c>
    </row>
    <row r="58" spans="1:15" x14ac:dyDescent="0.3">
      <c r="B58" s="148" t="s">
        <v>2088</v>
      </c>
      <c r="E58" s="3">
        <f>E52/E54</f>
        <v>1.5471017304260106</v>
      </c>
      <c r="F58" s="3">
        <f>F52/F54</f>
        <v>2.5852335316148931</v>
      </c>
    </row>
    <row r="59" spans="1:15" s="133" customFormat="1" x14ac:dyDescent="0.3">
      <c r="B59" s="148" t="s">
        <v>2096</v>
      </c>
      <c r="C59" s="133" t="s">
        <v>92</v>
      </c>
      <c r="D59" s="37"/>
      <c r="E59" s="37">
        <f>E52/$D46</f>
        <v>1.0833316353213656</v>
      </c>
      <c r="F59" s="37">
        <f>F52/$D46</f>
        <v>2.5504139753176975</v>
      </c>
      <c r="G59" s="37"/>
      <c r="H59" s="37"/>
      <c r="I59" s="37"/>
      <c r="J59" s="37"/>
      <c r="K59" s="37"/>
      <c r="L59" s="37"/>
      <c r="M59" s="37"/>
      <c r="N59" s="37"/>
      <c r="O59" s="37"/>
    </row>
    <row r="60" spans="1:15" s="133" customFormat="1" x14ac:dyDescent="0.3">
      <c r="B60" s="148" t="s">
        <v>2097</v>
      </c>
      <c r="C60" s="133" t="s">
        <v>92</v>
      </c>
      <c r="D60" s="37"/>
      <c r="E60" s="37">
        <f>E47/$D47</f>
        <v>1.1329558660258208</v>
      </c>
      <c r="F60" s="37">
        <f>F47/$D47</f>
        <v>1.5427514726646565</v>
      </c>
      <c r="G60" s="37"/>
      <c r="H60" s="37"/>
      <c r="I60" s="37"/>
      <c r="J60" s="37"/>
      <c r="K60" s="37"/>
      <c r="L60" s="37"/>
      <c r="M60" s="37"/>
      <c r="N60" s="37"/>
      <c r="O60" s="37"/>
    </row>
    <row r="61" spans="1:15" x14ac:dyDescent="0.3">
      <c r="B61" s="148" t="s">
        <v>2081</v>
      </c>
      <c r="E61" s="3" t="s">
        <v>301</v>
      </c>
      <c r="F61" s="134" t="s">
        <v>301</v>
      </c>
      <c r="H61" t="s">
        <v>852</v>
      </c>
    </row>
    <row r="62" spans="1:15" x14ac:dyDescent="0.3">
      <c r="B62" s="148" t="s">
        <v>2137</v>
      </c>
      <c r="E62" s="134" t="s">
        <v>301</v>
      </c>
      <c r="F62" s="134" t="s">
        <v>301</v>
      </c>
      <c r="H62" t="s">
        <v>852</v>
      </c>
    </row>
    <row r="63" spans="1:15" x14ac:dyDescent="0.3">
      <c r="A63" s="148"/>
      <c r="B63" s="27"/>
    </row>
    <row r="64" spans="1:15" x14ac:dyDescent="0.3">
      <c r="B64" s="6" t="s">
        <v>359</v>
      </c>
    </row>
    <row r="65" spans="2:8" s="133" customFormat="1" x14ac:dyDescent="0.3">
      <c r="B65" s="148" t="s">
        <v>1795</v>
      </c>
      <c r="D65" s="133" t="s">
        <v>2156</v>
      </c>
      <c r="E65" s="133" t="s">
        <v>1997</v>
      </c>
      <c r="F65" s="133" t="s">
        <v>1996</v>
      </c>
    </row>
    <row r="66" spans="2:8" s="133" customFormat="1" x14ac:dyDescent="0.3">
      <c r="B66" s="148" t="s">
        <v>1791</v>
      </c>
      <c r="D66" s="133" t="s">
        <v>1966</v>
      </c>
      <c r="E66" s="133" t="s">
        <v>1967</v>
      </c>
      <c r="F66" s="133" t="s">
        <v>1967</v>
      </c>
    </row>
    <row r="67" spans="2:8" x14ac:dyDescent="0.3">
      <c r="B67" t="s">
        <v>33</v>
      </c>
      <c r="C67" t="s">
        <v>270</v>
      </c>
      <c r="D67">
        <f>$D26</f>
        <v>1.08</v>
      </c>
      <c r="E67">
        <f>$D26</f>
        <v>1.08</v>
      </c>
      <c r="F67">
        <f>$D26</f>
        <v>1.08</v>
      </c>
    </row>
    <row r="68" spans="2:8" x14ac:dyDescent="0.3">
      <c r="B68" t="s">
        <v>26</v>
      </c>
      <c r="C68" t="s">
        <v>25</v>
      </c>
      <c r="D68">
        <f>$D25</f>
        <v>10</v>
      </c>
      <c r="E68">
        <f>$D25</f>
        <v>10</v>
      </c>
      <c r="F68">
        <f>$D25</f>
        <v>10</v>
      </c>
    </row>
    <row r="69" spans="2:8" s="133" customFormat="1" x14ac:dyDescent="0.3">
      <c r="B69" s="244" t="s">
        <v>2065</v>
      </c>
      <c r="C69" s="133" t="s">
        <v>338</v>
      </c>
      <c r="E69" s="133">
        <f>E48</f>
        <v>0.65</v>
      </c>
      <c r="F69" s="133">
        <f>F48</f>
        <v>1.4410000000000001</v>
      </c>
    </row>
    <row r="70" spans="2:8" x14ac:dyDescent="0.3">
      <c r="B70" t="s">
        <v>351</v>
      </c>
      <c r="C70" t="s">
        <v>377</v>
      </c>
      <c r="D70" s="10">
        <f>D45/D67</f>
        <v>0.25648148148148148</v>
      </c>
      <c r="E70" s="10">
        <f>E45/E67</f>
        <v>0.40416666666666662</v>
      </c>
      <c r="F70" s="10">
        <f>F45/F67</f>
        <v>0.60416666666666663</v>
      </c>
    </row>
    <row r="71" spans="2:8" x14ac:dyDescent="0.3">
      <c r="B71" t="s">
        <v>352</v>
      </c>
      <c r="C71" t="s">
        <v>377</v>
      </c>
      <c r="E71" s="10">
        <f>E70-D70</f>
        <v>0.14768518518518514</v>
      </c>
      <c r="F71" s="10">
        <f>F70-E70</f>
        <v>0.2</v>
      </c>
    </row>
    <row r="72" spans="2:8" x14ac:dyDescent="0.3">
      <c r="B72" t="s">
        <v>353</v>
      </c>
      <c r="C72" t="s">
        <v>92</v>
      </c>
      <c r="E72" s="10">
        <f>E71/$D70</f>
        <v>0.5758122743682309</v>
      </c>
      <c r="F72" s="10">
        <f>F71/$D70</f>
        <v>0.77978339350180514</v>
      </c>
    </row>
    <row r="73" spans="2:8" x14ac:dyDescent="0.3">
      <c r="B73" t="s">
        <v>293</v>
      </c>
      <c r="C73" t="s">
        <v>338</v>
      </c>
      <c r="D73" s="10">
        <f>D45</f>
        <v>0.27700000000000002</v>
      </c>
      <c r="E73" s="10">
        <f>E45</f>
        <v>0.4365</v>
      </c>
      <c r="F73" s="10">
        <f>F45</f>
        <v>0.65249999999999997</v>
      </c>
    </row>
    <row r="74" spans="2:8" x14ac:dyDescent="0.3">
      <c r="B74" t="s">
        <v>402</v>
      </c>
      <c r="C74" t="s">
        <v>338</v>
      </c>
      <c r="E74" s="10">
        <f>E73-D73</f>
        <v>0.15949999999999998</v>
      </c>
      <c r="F74" s="10">
        <f>F73-E73</f>
        <v>0.21599999999999997</v>
      </c>
    </row>
    <row r="75" spans="2:8" x14ac:dyDescent="0.3">
      <c r="B75" t="s">
        <v>3</v>
      </c>
      <c r="C75" t="s">
        <v>302</v>
      </c>
      <c r="D75">
        <f t="shared" ref="D75:F76" si="1">D32</f>
        <v>64.400000000000006</v>
      </c>
      <c r="E75">
        <f t="shared" si="1"/>
        <v>89.9</v>
      </c>
      <c r="F75">
        <f t="shared" si="1"/>
        <v>98.8</v>
      </c>
    </row>
    <row r="76" spans="2:8" x14ac:dyDescent="0.3">
      <c r="B76" t="s">
        <v>277</v>
      </c>
      <c r="C76" t="s">
        <v>302</v>
      </c>
      <c r="D76">
        <f t="shared" si="1"/>
        <v>34.200000000000003</v>
      </c>
      <c r="E76">
        <f t="shared" si="1"/>
        <v>9.1</v>
      </c>
      <c r="F76">
        <f t="shared" si="1"/>
        <v>0.3</v>
      </c>
    </row>
    <row r="77" spans="2:8" x14ac:dyDescent="0.3">
      <c r="B77" t="s">
        <v>616</v>
      </c>
      <c r="D77" s="8">
        <f>100-D75-D76</f>
        <v>1.3999999999999915</v>
      </c>
      <c r="E77" s="8">
        <f>100-E75-E76</f>
        <v>0.99999999999999467</v>
      </c>
      <c r="F77" s="8">
        <f>100-F75-F76</f>
        <v>0.9000000000000028</v>
      </c>
      <c r="H77" t="s">
        <v>662</v>
      </c>
    </row>
    <row r="78" spans="2:8" x14ac:dyDescent="0.3">
      <c r="B78" t="s">
        <v>35</v>
      </c>
      <c r="D78" s="8">
        <f>D35</f>
        <v>7</v>
      </c>
      <c r="E78" s="8">
        <f>E35</f>
        <v>7.5</v>
      </c>
      <c r="F78" s="8">
        <f>F35</f>
        <v>8</v>
      </c>
    </row>
    <row r="79" spans="2:8" x14ac:dyDescent="0.3">
      <c r="B79" t="s">
        <v>52</v>
      </c>
      <c r="C79" t="s">
        <v>621</v>
      </c>
      <c r="D79" s="8" t="s">
        <v>1671</v>
      </c>
      <c r="E79" s="8" t="s">
        <v>1671</v>
      </c>
      <c r="F79" s="8" t="s">
        <v>1671</v>
      </c>
      <c r="H79" t="s">
        <v>658</v>
      </c>
    </row>
    <row r="80" spans="2:8" x14ac:dyDescent="0.3">
      <c r="B80" t="s">
        <v>558</v>
      </c>
      <c r="C80" t="s">
        <v>621</v>
      </c>
      <c r="D80" s="8" t="s">
        <v>1741</v>
      </c>
      <c r="E80" s="8" t="s">
        <v>1741</v>
      </c>
      <c r="F80" s="8" t="s">
        <v>1741</v>
      </c>
      <c r="H80" t="s">
        <v>663</v>
      </c>
    </row>
    <row r="81" spans="2:6" s="133" customFormat="1" x14ac:dyDescent="0.3">
      <c r="B81" s="133" t="s">
        <v>1795</v>
      </c>
      <c r="D81" s="8"/>
      <c r="E81" s="8"/>
      <c r="F81" s="8"/>
    </row>
    <row r="82" spans="2:6" x14ac:dyDescent="0.3">
      <c r="B82" s="12" t="s">
        <v>757</v>
      </c>
      <c r="C82" s="12" t="s">
        <v>758</v>
      </c>
      <c r="D82" s="3">
        <f>D67/D36</f>
        <v>0.21995926680244399</v>
      </c>
      <c r="E82" s="3">
        <f>E67/E36</f>
        <v>0.22500000000000003</v>
      </c>
      <c r="F82" s="3">
        <f>F67/F36</f>
        <v>0.22176591375770022</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01FD-69D3-40BF-A6C8-CF54B8483927}">
  <dimension ref="A2:P114"/>
  <sheetViews>
    <sheetView zoomScaleNormal="100" workbookViewId="0"/>
  </sheetViews>
  <sheetFormatPr defaultRowHeight="14.4" x14ac:dyDescent="0.3"/>
  <cols>
    <col min="2" max="2" width="25" customWidth="1"/>
    <col min="5" max="5" width="9" bestFit="1" customWidth="1"/>
    <col min="6" max="8" width="9.5546875" bestFit="1" customWidth="1"/>
    <col min="10" max="10" width="9" bestFit="1" customWidth="1"/>
  </cols>
  <sheetData>
    <row r="2" spans="2:7" x14ac:dyDescent="0.3">
      <c r="B2" s="14" t="s">
        <v>1766</v>
      </c>
    </row>
    <row r="3" spans="2:7" x14ac:dyDescent="0.3">
      <c r="B3" t="s">
        <v>476</v>
      </c>
    </row>
    <row r="4" spans="2:7" x14ac:dyDescent="0.3">
      <c r="B4" t="s">
        <v>477</v>
      </c>
    </row>
    <row r="6" spans="2:7" s="133" customFormat="1" x14ac:dyDescent="0.3">
      <c r="B6" s="148" t="s">
        <v>114</v>
      </c>
      <c r="D6" s="133" t="s">
        <v>37</v>
      </c>
    </row>
    <row r="7" spans="2:7" s="133" customFormat="1" x14ac:dyDescent="0.3">
      <c r="B7" s="133" t="s">
        <v>667</v>
      </c>
      <c r="C7" s="133" t="s">
        <v>503</v>
      </c>
      <c r="D7" s="133">
        <v>37</v>
      </c>
      <c r="E7" s="133">
        <v>55</v>
      </c>
    </row>
    <row r="8" spans="2:7" s="133" customFormat="1" x14ac:dyDescent="0.3">
      <c r="B8" s="133" t="s">
        <v>1324</v>
      </c>
      <c r="D8" s="133" t="s">
        <v>1091</v>
      </c>
      <c r="E8" s="133" t="s">
        <v>1091</v>
      </c>
    </row>
    <row r="9" spans="2:7" s="133" customFormat="1" x14ac:dyDescent="0.3">
      <c r="B9" s="133" t="s">
        <v>956</v>
      </c>
      <c r="C9" s="133" t="s">
        <v>22</v>
      </c>
      <c r="D9" s="133">
        <v>5</v>
      </c>
      <c r="E9" s="133">
        <v>5</v>
      </c>
    </row>
    <row r="10" spans="2:7" s="133" customFormat="1" x14ac:dyDescent="0.3">
      <c r="B10" s="133" t="s">
        <v>32</v>
      </c>
      <c r="C10" s="133" t="s">
        <v>22</v>
      </c>
      <c r="D10" s="133">
        <v>4</v>
      </c>
      <c r="E10" s="133">
        <v>4</v>
      </c>
    </row>
    <row r="11" spans="2:7" s="133" customFormat="1" x14ac:dyDescent="0.3">
      <c r="B11" s="133" t="s">
        <v>326</v>
      </c>
      <c r="D11" s="133" t="s">
        <v>1355</v>
      </c>
      <c r="E11" s="133" t="s">
        <v>1355</v>
      </c>
      <c r="F11" s="133">
        <v>300</v>
      </c>
      <c r="G11" s="133" t="s">
        <v>327</v>
      </c>
    </row>
    <row r="12" spans="2:7" s="133" customFormat="1" x14ac:dyDescent="0.3">
      <c r="B12" s="133" t="s">
        <v>344</v>
      </c>
      <c r="D12" s="133" t="s">
        <v>694</v>
      </c>
    </row>
    <row r="13" spans="2:7" s="133" customFormat="1" x14ac:dyDescent="0.3">
      <c r="B13" s="133" t="s">
        <v>1332</v>
      </c>
      <c r="D13" s="133" t="s">
        <v>1606</v>
      </c>
    </row>
    <row r="14" spans="2:7" s="133" customFormat="1" x14ac:dyDescent="0.3">
      <c r="B14" s="133" t="s">
        <v>1330</v>
      </c>
      <c r="D14" s="133" t="s">
        <v>1333</v>
      </c>
    </row>
    <row r="15" spans="2:7" s="133" customFormat="1" x14ac:dyDescent="0.3">
      <c r="B15" s="133" t="s">
        <v>1968</v>
      </c>
      <c r="D15" s="133" t="s">
        <v>1969</v>
      </c>
      <c r="E15" s="133" t="s">
        <v>1975</v>
      </c>
    </row>
    <row r="16" spans="2:7" s="133" customFormat="1" x14ac:dyDescent="0.3">
      <c r="B16" s="133" t="s">
        <v>1541</v>
      </c>
      <c r="D16" s="133" t="s">
        <v>1607</v>
      </c>
    </row>
    <row r="17" spans="2:8" s="133" customFormat="1" x14ac:dyDescent="0.3">
      <c r="B17" s="133" t="s">
        <v>1599</v>
      </c>
      <c r="D17" s="133" t="s">
        <v>1605</v>
      </c>
    </row>
    <row r="18" spans="2:8" s="133" customFormat="1" x14ac:dyDescent="0.3"/>
    <row r="19" spans="2:8" x14ac:dyDescent="0.3">
      <c r="B19" t="s">
        <v>37</v>
      </c>
      <c r="C19" t="s">
        <v>378</v>
      </c>
      <c r="D19" t="s">
        <v>494</v>
      </c>
      <c r="E19" t="s">
        <v>495</v>
      </c>
    </row>
    <row r="20" spans="2:8" x14ac:dyDescent="0.3">
      <c r="B20" t="s">
        <v>27</v>
      </c>
      <c r="C20">
        <v>27.3</v>
      </c>
      <c r="D20">
        <v>273</v>
      </c>
      <c r="E20" s="8">
        <f>E21/E22</f>
        <v>76.570517928286861</v>
      </c>
      <c r="F20" t="s">
        <v>47</v>
      </c>
      <c r="G20" t="s">
        <v>478</v>
      </c>
    </row>
    <row r="21" spans="2:8" x14ac:dyDescent="0.3">
      <c r="B21" t="s">
        <v>14</v>
      </c>
      <c r="C21">
        <v>25.1</v>
      </c>
      <c r="D21">
        <v>251</v>
      </c>
      <c r="E21" s="20">
        <f>E24*20</f>
        <v>70.400000000000006</v>
      </c>
      <c r="F21" t="s">
        <v>47</v>
      </c>
      <c r="G21" t="s">
        <v>497</v>
      </c>
      <c r="H21" s="8">
        <f>D21/E21</f>
        <v>3.5653409090909087</v>
      </c>
    </row>
    <row r="22" spans="2:8" x14ac:dyDescent="0.3">
      <c r="B22" t="s">
        <v>138</v>
      </c>
      <c r="C22" s="10">
        <f>C21/C20</f>
        <v>0.91941391941391948</v>
      </c>
      <c r="D22" s="10">
        <f>D21/D20</f>
        <v>0.91941391941391937</v>
      </c>
      <c r="E22" s="10">
        <f>D22</f>
        <v>0.91941391941391937</v>
      </c>
    </row>
    <row r="24" spans="2:8" x14ac:dyDescent="0.3">
      <c r="B24" t="s">
        <v>33</v>
      </c>
      <c r="C24">
        <v>3.52</v>
      </c>
      <c r="D24">
        <v>3.52</v>
      </c>
      <c r="E24">
        <v>3.52</v>
      </c>
      <c r="F24" t="s">
        <v>270</v>
      </c>
    </row>
    <row r="25" spans="2:8" x14ac:dyDescent="0.3">
      <c r="B25" t="s">
        <v>26</v>
      </c>
      <c r="C25">
        <v>20</v>
      </c>
      <c r="D25">
        <v>20</v>
      </c>
      <c r="E25">
        <v>20</v>
      </c>
      <c r="F25" t="s">
        <v>25</v>
      </c>
    </row>
    <row r="26" spans="2:8" x14ac:dyDescent="0.3">
      <c r="B26" s="6" t="s">
        <v>40</v>
      </c>
      <c r="C26" s="55">
        <f>C21/C24</f>
        <v>7.1306818181818183</v>
      </c>
      <c r="D26" s="41">
        <f>D21/D24</f>
        <v>71.306818181818187</v>
      </c>
      <c r="E26" s="41">
        <f>E21/E24</f>
        <v>20</v>
      </c>
      <c r="F26" t="s">
        <v>25</v>
      </c>
      <c r="H26" t="s">
        <v>2195</v>
      </c>
    </row>
    <row r="28" spans="2:8" x14ac:dyDescent="0.3">
      <c r="B28" t="s">
        <v>493</v>
      </c>
      <c r="C28">
        <v>0.4</v>
      </c>
      <c r="D28">
        <v>4</v>
      </c>
      <c r="E28">
        <v>0.4</v>
      </c>
      <c r="F28" t="s">
        <v>302</v>
      </c>
    </row>
    <row r="29" spans="2:8" x14ac:dyDescent="0.3">
      <c r="C29" s="60">
        <f>C28*1000/100</f>
        <v>4</v>
      </c>
      <c r="D29" s="60">
        <f>D28*1000/100</f>
        <v>40</v>
      </c>
      <c r="E29" s="60">
        <f>E28*1000/100</f>
        <v>4</v>
      </c>
      <c r="F29" t="s">
        <v>47</v>
      </c>
    </row>
    <row r="30" spans="2:8" x14ac:dyDescent="0.3">
      <c r="B30" t="s">
        <v>492</v>
      </c>
      <c r="C30" s="59">
        <f>(C21-C29)/C21</f>
        <v>0.84063745019920322</v>
      </c>
      <c r="D30" s="59">
        <f>(D21-D29)/D21</f>
        <v>0.84063745019920322</v>
      </c>
      <c r="E30" s="59">
        <f>(E21-E29)/E21</f>
        <v>0.94318181818181823</v>
      </c>
      <c r="F30" t="s">
        <v>498</v>
      </c>
    </row>
    <row r="31" spans="2:8" x14ac:dyDescent="0.3">
      <c r="B31" t="s">
        <v>496</v>
      </c>
      <c r="C31" s="60">
        <v>11</v>
      </c>
      <c r="D31" s="60">
        <v>11</v>
      </c>
      <c r="E31" s="60">
        <v>11</v>
      </c>
      <c r="F31" t="s">
        <v>47</v>
      </c>
    </row>
    <row r="32" spans="2:8" x14ac:dyDescent="0.3">
      <c r="B32" t="s">
        <v>499</v>
      </c>
      <c r="C32" s="62">
        <f>C31/C29</f>
        <v>2.75</v>
      </c>
      <c r="D32" s="62">
        <f>D31/D29</f>
        <v>0.27500000000000002</v>
      </c>
      <c r="E32" s="62">
        <f>E31/E29</f>
        <v>2.75</v>
      </c>
    </row>
    <row r="33" spans="2:15" x14ac:dyDescent="0.3">
      <c r="B33" t="s">
        <v>500</v>
      </c>
      <c r="C33" s="63">
        <v>0.438</v>
      </c>
      <c r="D33" s="63">
        <v>0.438</v>
      </c>
      <c r="E33" s="63">
        <v>0.438</v>
      </c>
      <c r="F33" t="s">
        <v>47</v>
      </c>
    </row>
    <row r="34" spans="2:15" x14ac:dyDescent="0.3">
      <c r="B34" t="s">
        <v>501</v>
      </c>
      <c r="C34" s="63">
        <v>0.70099999999999996</v>
      </c>
      <c r="D34" s="63">
        <v>0.70099999999999996</v>
      </c>
      <c r="E34" s="63">
        <v>0.70099999999999996</v>
      </c>
      <c r="F34" t="s">
        <v>47</v>
      </c>
      <c r="H34" t="s">
        <v>2196</v>
      </c>
    </row>
    <row r="35" spans="2:15" x14ac:dyDescent="0.3">
      <c r="C35" s="60"/>
      <c r="D35" s="60"/>
      <c r="E35" s="60"/>
    </row>
    <row r="37" spans="2:15" x14ac:dyDescent="0.3">
      <c r="B37" t="s">
        <v>32</v>
      </c>
      <c r="C37">
        <v>4</v>
      </c>
      <c r="D37" t="s">
        <v>22</v>
      </c>
    </row>
    <row r="38" spans="2:15" x14ac:dyDescent="0.3">
      <c r="B38" t="s">
        <v>482</v>
      </c>
      <c r="C38" s="56" t="s">
        <v>483</v>
      </c>
    </row>
    <row r="39" spans="2:15" x14ac:dyDescent="0.3">
      <c r="B39" t="s">
        <v>13</v>
      </c>
      <c r="C39" s="10">
        <f>5/9</f>
        <v>0.55555555555555558</v>
      </c>
      <c r="D39" t="s">
        <v>203</v>
      </c>
    </row>
    <row r="40" spans="2:15" x14ac:dyDescent="0.3">
      <c r="B40" t="s">
        <v>484</v>
      </c>
      <c r="C40" s="10">
        <f>4/9</f>
        <v>0.44444444444444442</v>
      </c>
      <c r="D40" t="s">
        <v>203</v>
      </c>
    </row>
    <row r="42" spans="2:15" x14ac:dyDescent="0.3">
      <c r="D42" t="s">
        <v>485</v>
      </c>
      <c r="I42" t="s">
        <v>486</v>
      </c>
    </row>
    <row r="43" spans="2:15" x14ac:dyDescent="0.3">
      <c r="D43" t="s">
        <v>424</v>
      </c>
      <c r="E43" t="s">
        <v>425</v>
      </c>
      <c r="F43" t="s">
        <v>426</v>
      </c>
      <c r="G43" t="s">
        <v>479</v>
      </c>
      <c r="H43" t="s">
        <v>480</v>
      </c>
      <c r="I43" t="s">
        <v>424</v>
      </c>
      <c r="J43" t="s">
        <v>425</v>
      </c>
      <c r="K43" t="s">
        <v>426</v>
      </c>
      <c r="L43" t="s">
        <v>479</v>
      </c>
      <c r="M43" t="s">
        <v>480</v>
      </c>
    </row>
    <row r="44" spans="2:15" x14ac:dyDescent="0.3">
      <c r="B44" t="s">
        <v>37</v>
      </c>
      <c r="D44" t="s">
        <v>314</v>
      </c>
      <c r="E44" t="s">
        <v>314</v>
      </c>
      <c r="F44" t="s">
        <v>314</v>
      </c>
      <c r="G44" t="s">
        <v>314</v>
      </c>
      <c r="H44" t="s">
        <v>314</v>
      </c>
      <c r="I44" t="s">
        <v>314</v>
      </c>
      <c r="J44" t="s">
        <v>314</v>
      </c>
      <c r="K44" t="s">
        <v>314</v>
      </c>
      <c r="L44" t="s">
        <v>314</v>
      </c>
      <c r="M44" t="s">
        <v>314</v>
      </c>
    </row>
    <row r="45" spans="2:15" x14ac:dyDescent="0.3">
      <c r="B45" t="s">
        <v>481</v>
      </c>
      <c r="C45" t="s">
        <v>31</v>
      </c>
      <c r="D45" s="58">
        <v>0</v>
      </c>
      <c r="E45" s="58">
        <v>560</v>
      </c>
      <c r="F45" s="58">
        <v>1100</v>
      </c>
      <c r="G45" s="58">
        <v>2500</v>
      </c>
      <c r="H45" s="58">
        <v>5300</v>
      </c>
      <c r="I45" s="58">
        <v>0</v>
      </c>
      <c r="J45" s="58">
        <v>560</v>
      </c>
      <c r="K45" s="58">
        <v>1100</v>
      </c>
      <c r="L45" s="58">
        <v>2500</v>
      </c>
      <c r="M45" s="58">
        <v>5300</v>
      </c>
      <c r="O45" t="s">
        <v>490</v>
      </c>
    </row>
    <row r="46" spans="2:15" x14ac:dyDescent="0.3">
      <c r="C46" t="s">
        <v>31</v>
      </c>
      <c r="E46">
        <v>560</v>
      </c>
      <c r="F46">
        <v>1040</v>
      </c>
      <c r="G46">
        <v>2600</v>
      </c>
      <c r="H46">
        <v>5300</v>
      </c>
      <c r="J46">
        <v>560</v>
      </c>
      <c r="K46">
        <v>1040</v>
      </c>
      <c r="L46">
        <v>2600</v>
      </c>
      <c r="M46">
        <v>5300</v>
      </c>
      <c r="O46" t="s">
        <v>491</v>
      </c>
    </row>
    <row r="47" spans="2:15" x14ac:dyDescent="0.3">
      <c r="B47" t="s">
        <v>13</v>
      </c>
      <c r="C47" t="s">
        <v>31</v>
      </c>
      <c r="E47" s="16">
        <f>E46*$C39</f>
        <v>311.11111111111114</v>
      </c>
      <c r="F47" s="16">
        <f t="shared" ref="F47:M47" si="0">F46*$C39</f>
        <v>577.77777777777783</v>
      </c>
      <c r="G47" s="16">
        <f t="shared" si="0"/>
        <v>1444.4444444444446</v>
      </c>
      <c r="H47" s="16">
        <f t="shared" si="0"/>
        <v>2944.4444444444448</v>
      </c>
      <c r="I47" s="16"/>
      <c r="J47" s="16">
        <f t="shared" si="0"/>
        <v>311.11111111111114</v>
      </c>
      <c r="K47" s="16">
        <f t="shared" si="0"/>
        <v>577.77777777777783</v>
      </c>
      <c r="L47" s="16">
        <f t="shared" si="0"/>
        <v>1444.4444444444446</v>
      </c>
      <c r="M47" s="16">
        <f t="shared" si="0"/>
        <v>2944.4444444444448</v>
      </c>
      <c r="O47" t="s">
        <v>489</v>
      </c>
    </row>
    <row r="48" spans="2:15" x14ac:dyDescent="0.3">
      <c r="B48" t="s">
        <v>484</v>
      </c>
      <c r="C48" t="s">
        <v>31</v>
      </c>
      <c r="E48" s="16">
        <f>E46*$C40</f>
        <v>248.88888888888889</v>
      </c>
      <c r="F48" s="16">
        <f t="shared" ref="F48:M48" si="1">F46*$C40</f>
        <v>462.22222222222217</v>
      </c>
      <c r="G48" s="16">
        <f t="shared" si="1"/>
        <v>1155.5555555555554</v>
      </c>
      <c r="H48" s="16">
        <f t="shared" si="1"/>
        <v>2355.5555555555552</v>
      </c>
      <c r="I48" s="16"/>
      <c r="J48" s="16">
        <f t="shared" si="1"/>
        <v>248.88888888888889</v>
      </c>
      <c r="K48" s="16">
        <f t="shared" si="1"/>
        <v>462.22222222222217</v>
      </c>
      <c r="L48" s="16">
        <f t="shared" si="1"/>
        <v>1155.5555555555554</v>
      </c>
      <c r="M48" s="16">
        <f t="shared" si="1"/>
        <v>2355.5555555555552</v>
      </c>
    </row>
    <row r="49" spans="1:15" x14ac:dyDescent="0.3">
      <c r="B49" t="s">
        <v>487</v>
      </c>
      <c r="C49" t="s">
        <v>31</v>
      </c>
      <c r="D49">
        <v>4520</v>
      </c>
      <c r="E49">
        <v>4800</v>
      </c>
      <c r="F49" s="57">
        <v>5148</v>
      </c>
      <c r="G49" s="57">
        <v>5348</v>
      </c>
      <c r="H49">
        <v>5943</v>
      </c>
      <c r="I49">
        <v>5404</v>
      </c>
      <c r="J49">
        <v>5845</v>
      </c>
      <c r="K49" s="57">
        <v>6080</v>
      </c>
      <c r="L49" s="40">
        <v>6604</v>
      </c>
      <c r="M49">
        <v>7166</v>
      </c>
      <c r="O49" t="s">
        <v>515</v>
      </c>
    </row>
    <row r="50" spans="1:15" x14ac:dyDescent="0.3">
      <c r="B50" t="s">
        <v>350</v>
      </c>
      <c r="C50" t="s">
        <v>31</v>
      </c>
      <c r="D50" s="57">
        <v>2750</v>
      </c>
      <c r="E50" s="57">
        <v>3000</v>
      </c>
      <c r="F50" s="57">
        <v>3100</v>
      </c>
      <c r="G50" s="57">
        <v>3250</v>
      </c>
      <c r="H50" s="57">
        <v>3600</v>
      </c>
      <c r="I50" s="57">
        <v>3100</v>
      </c>
      <c r="J50" s="57">
        <v>3250</v>
      </c>
      <c r="K50" s="57">
        <v>3500</v>
      </c>
      <c r="L50" s="57">
        <v>3750</v>
      </c>
      <c r="M50" s="57">
        <v>4000</v>
      </c>
      <c r="O50" t="s">
        <v>2197</v>
      </c>
    </row>
    <row r="51" spans="1:15" x14ac:dyDescent="0.3">
      <c r="B51" t="s">
        <v>14</v>
      </c>
      <c r="C51" t="s">
        <v>302</v>
      </c>
      <c r="D51">
        <v>1.76</v>
      </c>
      <c r="E51">
        <v>0.91</v>
      </c>
      <c r="F51">
        <v>0.55000000000000004</v>
      </c>
      <c r="G51">
        <v>0.5</v>
      </c>
      <c r="H51">
        <v>0.43</v>
      </c>
      <c r="I51">
        <v>1.1100000000000001</v>
      </c>
      <c r="J51">
        <v>0.61</v>
      </c>
      <c r="K51">
        <v>0.53</v>
      </c>
      <c r="L51">
        <v>0.47</v>
      </c>
      <c r="M51">
        <v>0.4</v>
      </c>
    </row>
    <row r="52" spans="1:15" x14ac:dyDescent="0.3">
      <c r="B52" t="s">
        <v>510</v>
      </c>
      <c r="C52" t="s">
        <v>31</v>
      </c>
      <c r="E52">
        <v>138</v>
      </c>
      <c r="F52">
        <v>266</v>
      </c>
      <c r="G52">
        <v>617</v>
      </c>
      <c r="H52">
        <v>1271</v>
      </c>
      <c r="J52">
        <v>140</v>
      </c>
      <c r="K52">
        <v>263</v>
      </c>
      <c r="L52">
        <v>615</v>
      </c>
      <c r="M52">
        <v>1318</v>
      </c>
      <c r="O52" t="s">
        <v>307</v>
      </c>
    </row>
    <row r="53" spans="1:15" x14ac:dyDescent="0.3">
      <c r="B53" t="s">
        <v>511</v>
      </c>
      <c r="C53" t="s">
        <v>31</v>
      </c>
      <c r="E53">
        <v>281</v>
      </c>
      <c r="F53">
        <v>629</v>
      </c>
      <c r="G53">
        <v>827</v>
      </c>
      <c r="H53">
        <v>1423</v>
      </c>
      <c r="J53">
        <v>441</v>
      </c>
      <c r="K53">
        <v>674</v>
      </c>
      <c r="L53">
        <v>1199</v>
      </c>
      <c r="M53">
        <v>1762</v>
      </c>
      <c r="O53" t="s">
        <v>307</v>
      </c>
    </row>
    <row r="54" spans="1:15" x14ac:dyDescent="0.3">
      <c r="A54" s="27"/>
      <c r="B54" t="s">
        <v>35</v>
      </c>
      <c r="D54">
        <v>7.12</v>
      </c>
      <c r="E54">
        <v>7.07</v>
      </c>
      <c r="F54">
        <v>7.2</v>
      </c>
      <c r="G54">
        <v>7.21</v>
      </c>
      <c r="H54">
        <v>7.19</v>
      </c>
      <c r="I54">
        <v>7.22</v>
      </c>
      <c r="J54">
        <v>7.18</v>
      </c>
      <c r="K54">
        <v>7.35</v>
      </c>
      <c r="L54">
        <v>7.31</v>
      </c>
      <c r="M54">
        <v>7.22</v>
      </c>
    </row>
    <row r="55" spans="1:15" x14ac:dyDescent="0.3">
      <c r="A55" s="27"/>
      <c r="B55" t="s">
        <v>171</v>
      </c>
      <c r="C55" t="s">
        <v>17</v>
      </c>
      <c r="D55" t="s">
        <v>488</v>
      </c>
      <c r="J55" t="s">
        <v>488</v>
      </c>
    </row>
    <row r="57" spans="1:15" x14ac:dyDescent="0.3">
      <c r="A57" s="27"/>
    </row>
    <row r="58" spans="1:15" x14ac:dyDescent="0.3">
      <c r="B58" s="6" t="s">
        <v>877</v>
      </c>
      <c r="O58" t="s">
        <v>506</v>
      </c>
    </row>
    <row r="59" spans="1:15" x14ac:dyDescent="0.3">
      <c r="B59" t="s">
        <v>505</v>
      </c>
      <c r="C59" t="s">
        <v>338</v>
      </c>
      <c r="E59" s="10">
        <f>E46/(1000*$C$37)</f>
        <v>0.14000000000000001</v>
      </c>
      <c r="F59" s="10">
        <f t="shared" ref="F59:M59" si="2">F46/(1000*$C$37)</f>
        <v>0.26</v>
      </c>
      <c r="G59" s="10">
        <f t="shared" si="2"/>
        <v>0.65</v>
      </c>
      <c r="H59" s="10">
        <f t="shared" si="2"/>
        <v>1.325</v>
      </c>
      <c r="I59" s="10"/>
      <c r="J59" s="10">
        <f t="shared" si="2"/>
        <v>0.14000000000000001</v>
      </c>
      <c r="K59" s="10">
        <f t="shared" si="2"/>
        <v>0.26</v>
      </c>
      <c r="L59" s="10">
        <f t="shared" si="2"/>
        <v>0.65</v>
      </c>
      <c r="M59" s="10">
        <f t="shared" si="2"/>
        <v>1.325</v>
      </c>
    </row>
    <row r="60" spans="1:15" x14ac:dyDescent="0.3">
      <c r="B60" t="s">
        <v>321</v>
      </c>
      <c r="C60" t="s">
        <v>338</v>
      </c>
      <c r="E60" s="10">
        <f>E59*$C39</f>
        <v>7.7777777777777793E-2</v>
      </c>
      <c r="F60" s="10">
        <f>F59*$C39</f>
        <v>0.14444444444444446</v>
      </c>
      <c r="G60" s="10">
        <f>G59*$C39</f>
        <v>0.36111111111111116</v>
      </c>
      <c r="H60" s="10">
        <f>H59*$C39</f>
        <v>0.73611111111111116</v>
      </c>
      <c r="I60" s="10"/>
      <c r="J60" s="10">
        <f>J59*$C39</f>
        <v>7.7777777777777793E-2</v>
      </c>
      <c r="K60" s="10">
        <f>K59*$C39</f>
        <v>0.14444444444444446</v>
      </c>
      <c r="L60" s="10">
        <f>L59*$C39</f>
        <v>0.36111111111111116</v>
      </c>
      <c r="M60" s="10">
        <f>M59*$C39</f>
        <v>0.73611111111111116</v>
      </c>
    </row>
    <row r="61" spans="1:15" x14ac:dyDescent="0.3">
      <c r="B61" t="s">
        <v>617</v>
      </c>
      <c r="C61" t="s">
        <v>338</v>
      </c>
      <c r="E61" s="10">
        <f>E59*$C40</f>
        <v>6.2222222222222227E-2</v>
      </c>
      <c r="F61" s="10">
        <f>F59*$C40</f>
        <v>0.11555555555555555</v>
      </c>
      <c r="G61" s="10">
        <f>G59*$C40</f>
        <v>0.28888888888888886</v>
      </c>
      <c r="H61" s="10">
        <f>H59*$C40</f>
        <v>0.5888888888888888</v>
      </c>
      <c r="I61" s="10"/>
      <c r="J61" s="10">
        <f>J59*$C40</f>
        <v>6.2222222222222227E-2</v>
      </c>
      <c r="K61" s="10">
        <f>K59*$C40</f>
        <v>0.11555555555555555</v>
      </c>
      <c r="L61" s="10">
        <f>L59*$C40</f>
        <v>0.28888888888888886</v>
      </c>
      <c r="M61" s="10">
        <f>M59*$C40</f>
        <v>0.5888888888888888</v>
      </c>
    </row>
    <row r="62" spans="1:15" x14ac:dyDescent="0.3">
      <c r="B62" t="s">
        <v>293</v>
      </c>
      <c r="C62" t="s">
        <v>338</v>
      </c>
      <c r="D62" s="10">
        <f>D49/(1000*$C$37)</f>
        <v>1.1299999999999999</v>
      </c>
      <c r="E62" s="10">
        <f t="shared" ref="E62:M62" si="3">E49/(1000*$C$37)</f>
        <v>1.2</v>
      </c>
      <c r="F62" s="10">
        <f t="shared" si="3"/>
        <v>1.2869999999999999</v>
      </c>
      <c r="G62" s="10">
        <f t="shared" si="3"/>
        <v>1.337</v>
      </c>
      <c r="H62" s="10">
        <f t="shared" si="3"/>
        <v>1.4857499999999999</v>
      </c>
      <c r="I62" s="10">
        <f t="shared" si="3"/>
        <v>1.351</v>
      </c>
      <c r="J62" s="10">
        <f t="shared" si="3"/>
        <v>1.4612499999999999</v>
      </c>
      <c r="K62" s="10">
        <f t="shared" si="3"/>
        <v>1.52</v>
      </c>
      <c r="L62" s="10">
        <f t="shared" si="3"/>
        <v>1.651</v>
      </c>
      <c r="M62" s="10">
        <f t="shared" si="3"/>
        <v>1.7915000000000001</v>
      </c>
      <c r="O62" s="3"/>
    </row>
    <row r="63" spans="1:15" x14ac:dyDescent="0.3">
      <c r="B63" t="s">
        <v>350</v>
      </c>
      <c r="C63" t="s">
        <v>338</v>
      </c>
      <c r="D63" s="10">
        <f>D50/(1000*$C$37)</f>
        <v>0.6875</v>
      </c>
      <c r="E63" s="10">
        <f t="shared" ref="E63:M63" si="4">E50/(1000*$C$37)</f>
        <v>0.75</v>
      </c>
      <c r="F63" s="10">
        <f t="shared" si="4"/>
        <v>0.77500000000000002</v>
      </c>
      <c r="G63" s="10">
        <f t="shared" si="4"/>
        <v>0.8125</v>
      </c>
      <c r="H63" s="10">
        <f t="shared" si="4"/>
        <v>0.9</v>
      </c>
      <c r="I63" s="10">
        <f t="shared" si="4"/>
        <v>0.77500000000000002</v>
      </c>
      <c r="J63" s="10">
        <f t="shared" si="4"/>
        <v>0.8125</v>
      </c>
      <c r="K63" s="10">
        <f t="shared" si="4"/>
        <v>0.875</v>
      </c>
      <c r="L63" s="10">
        <f t="shared" si="4"/>
        <v>0.9375</v>
      </c>
      <c r="M63" s="10">
        <f t="shared" si="4"/>
        <v>1</v>
      </c>
    </row>
    <row r="64" spans="1:15" s="133" customFormat="1" x14ac:dyDescent="0.3">
      <c r="B64" s="133" t="s">
        <v>308</v>
      </c>
      <c r="C64" s="133" t="s">
        <v>338</v>
      </c>
      <c r="D64" s="10">
        <f>SUM(D62:D63)</f>
        <v>1.8174999999999999</v>
      </c>
      <c r="E64" s="10">
        <f t="shared" ref="E64:M64" si="5">SUM(E62:E63)</f>
        <v>1.95</v>
      </c>
      <c r="F64" s="10">
        <f t="shared" si="5"/>
        <v>2.0619999999999998</v>
      </c>
      <c r="G64" s="10">
        <f t="shared" si="5"/>
        <v>2.1494999999999997</v>
      </c>
      <c r="H64" s="10">
        <f t="shared" si="5"/>
        <v>2.3857499999999998</v>
      </c>
      <c r="I64" s="10">
        <f t="shared" si="5"/>
        <v>2.1259999999999999</v>
      </c>
      <c r="J64" s="10">
        <f t="shared" si="5"/>
        <v>2.2737499999999997</v>
      </c>
      <c r="K64" s="10">
        <f t="shared" si="5"/>
        <v>2.395</v>
      </c>
      <c r="L64" s="10">
        <f t="shared" si="5"/>
        <v>2.5884999999999998</v>
      </c>
      <c r="M64" s="10">
        <f t="shared" si="5"/>
        <v>2.7915000000000001</v>
      </c>
    </row>
    <row r="65" spans="1:15" x14ac:dyDescent="0.3">
      <c r="B65" t="s">
        <v>507</v>
      </c>
      <c r="C65" t="s">
        <v>338</v>
      </c>
      <c r="D65" s="16"/>
      <c r="E65" s="64"/>
      <c r="F65" s="64"/>
      <c r="G65" s="64"/>
      <c r="H65" s="98">
        <f>(H62+H63)*H70/100</f>
        <v>4.7714999999999994E-2</v>
      </c>
      <c r="I65" s="64"/>
      <c r="J65" s="64"/>
      <c r="K65" s="64"/>
      <c r="L65" s="64"/>
      <c r="M65" s="98">
        <f>(M62+M63)*M70/100</f>
        <v>5.5830000000000003E-3</v>
      </c>
      <c r="O65" t="s">
        <v>2198</v>
      </c>
    </row>
    <row r="66" spans="1:15" x14ac:dyDescent="0.3">
      <c r="B66" s="27" t="s">
        <v>509</v>
      </c>
      <c r="C66" t="s">
        <v>338</v>
      </c>
      <c r="D66" s="16"/>
      <c r="E66" s="10">
        <f>(E59-E65)/4</f>
        <v>3.5000000000000003E-2</v>
      </c>
      <c r="F66" s="10">
        <f>(F59-F65)/4</f>
        <v>6.5000000000000002E-2</v>
      </c>
      <c r="G66" s="10">
        <f>(G59-G65)/4</f>
        <v>0.16250000000000001</v>
      </c>
      <c r="H66" s="10">
        <f>(H59-H65)/4</f>
        <v>0.31932125</v>
      </c>
      <c r="I66" s="10"/>
      <c r="J66" s="10">
        <f>(J59-J65)/4</f>
        <v>3.5000000000000003E-2</v>
      </c>
      <c r="K66" s="10">
        <f>(K59-K65)/4</f>
        <v>6.5000000000000002E-2</v>
      </c>
      <c r="L66" s="10">
        <f>(L59-L65)/4</f>
        <v>0.16250000000000001</v>
      </c>
      <c r="M66" s="10">
        <f>(M59-M65)/4</f>
        <v>0.32985425000000002</v>
      </c>
      <c r="O66" t="s">
        <v>517</v>
      </c>
    </row>
    <row r="67" spans="1:15" x14ac:dyDescent="0.3">
      <c r="B67" s="27" t="s">
        <v>461</v>
      </c>
      <c r="C67" t="s">
        <v>338</v>
      </c>
      <c r="D67" s="16"/>
      <c r="E67" s="10">
        <f>E62-$D62</f>
        <v>7.0000000000000062E-2</v>
      </c>
      <c r="F67" s="10">
        <f>F62-$D62</f>
        <v>0.15700000000000003</v>
      </c>
      <c r="G67" s="10">
        <f>G62-$D62</f>
        <v>0.20700000000000007</v>
      </c>
      <c r="H67" s="10">
        <f>H62-$D62</f>
        <v>0.35575000000000001</v>
      </c>
      <c r="I67" s="10"/>
      <c r="J67" s="10">
        <f>J62-$I62</f>
        <v>0.11024999999999996</v>
      </c>
      <c r="K67" s="10">
        <f>K62-$I62</f>
        <v>0.16900000000000004</v>
      </c>
      <c r="L67" s="31">
        <f>L62-$I62</f>
        <v>0.30000000000000004</v>
      </c>
      <c r="M67" s="10">
        <f>M62-$I62</f>
        <v>0.44050000000000011</v>
      </c>
      <c r="O67" t="s">
        <v>516</v>
      </c>
    </row>
    <row r="68" spans="1:15" x14ac:dyDescent="0.3">
      <c r="B68" s="12" t="s">
        <v>3</v>
      </c>
      <c r="C68" s="12" t="s">
        <v>302</v>
      </c>
      <c r="D68" s="8">
        <f t="shared" ref="D68:M68" si="6">100*D62/(D$62+D$63+D$65)</f>
        <v>62.173314993122418</v>
      </c>
      <c r="E68" s="8">
        <f t="shared" si="6"/>
        <v>61.53846153846154</v>
      </c>
      <c r="F68" s="8">
        <f t="shared" si="6"/>
        <v>62.415130940834139</v>
      </c>
      <c r="G68" s="8">
        <f t="shared" si="6"/>
        <v>62.20051174691789</v>
      </c>
      <c r="H68" s="8">
        <f t="shared" si="6"/>
        <v>61.054915521694369</v>
      </c>
      <c r="I68" s="8">
        <f t="shared" si="6"/>
        <v>63.54656632173095</v>
      </c>
      <c r="J68" s="8">
        <f t="shared" si="6"/>
        <v>64.266080263881264</v>
      </c>
      <c r="K68" s="8">
        <f t="shared" si="6"/>
        <v>63.465553235908139</v>
      </c>
      <c r="L68" s="8">
        <f t="shared" si="6"/>
        <v>63.7821131929689</v>
      </c>
      <c r="M68" s="8">
        <f t="shared" si="6"/>
        <v>64.048868052896538</v>
      </c>
    </row>
    <row r="69" spans="1:15" x14ac:dyDescent="0.3">
      <c r="B69" s="12" t="s">
        <v>277</v>
      </c>
      <c r="C69" s="12" t="s">
        <v>302</v>
      </c>
      <c r="D69" s="8">
        <f t="shared" ref="D69:M69" si="7">100*D63/(D$62+D$63+D$65)</f>
        <v>37.826685006877582</v>
      </c>
      <c r="E69" s="8">
        <f t="shared" si="7"/>
        <v>38.46153846153846</v>
      </c>
      <c r="F69" s="8">
        <f t="shared" si="7"/>
        <v>37.584869059165861</v>
      </c>
      <c r="G69" s="8">
        <f t="shared" si="7"/>
        <v>37.799488253082117</v>
      </c>
      <c r="H69" s="8">
        <f t="shared" si="7"/>
        <v>36.984300164580134</v>
      </c>
      <c r="I69" s="8">
        <f t="shared" si="7"/>
        <v>36.45343367826905</v>
      </c>
      <c r="J69" s="8">
        <f t="shared" si="7"/>
        <v>35.73391973611875</v>
      </c>
      <c r="K69" s="8">
        <f t="shared" si="7"/>
        <v>36.534446764091861</v>
      </c>
      <c r="L69" s="8">
        <f t="shared" si="7"/>
        <v>36.2178868070311</v>
      </c>
      <c r="M69" s="8">
        <f t="shared" si="7"/>
        <v>35.751531148700266</v>
      </c>
    </row>
    <row r="70" spans="1:15" x14ac:dyDescent="0.3">
      <c r="A70" s="133"/>
      <c r="B70" s="12" t="s">
        <v>481</v>
      </c>
      <c r="C70" s="12" t="s">
        <v>302</v>
      </c>
      <c r="D70" s="8"/>
      <c r="E70" s="8"/>
      <c r="F70" s="8"/>
      <c r="G70" s="8"/>
      <c r="H70" s="8">
        <v>2</v>
      </c>
      <c r="I70" s="8"/>
      <c r="J70" s="8"/>
      <c r="K70" s="8"/>
      <c r="L70" s="8"/>
      <c r="M70" s="8">
        <v>0.2</v>
      </c>
      <c r="O70" t="s">
        <v>519</v>
      </c>
    </row>
    <row r="71" spans="1:15" x14ac:dyDescent="0.3">
      <c r="A71" s="133"/>
      <c r="B71" s="12" t="s">
        <v>513</v>
      </c>
      <c r="C71" t="s">
        <v>338</v>
      </c>
      <c r="D71" s="8"/>
      <c r="E71" s="10">
        <f>E59-E65</f>
        <v>0.14000000000000001</v>
      </c>
      <c r="F71" s="10">
        <f>F59-F65</f>
        <v>0.26</v>
      </c>
      <c r="G71" s="10">
        <f>G59-G65</f>
        <v>0.65</v>
      </c>
      <c r="H71" s="10">
        <f>H59-H65</f>
        <v>1.277285</v>
      </c>
      <c r="I71" s="10"/>
      <c r="J71" s="10">
        <f>J59-J65</f>
        <v>0.14000000000000001</v>
      </c>
      <c r="K71" s="10">
        <f>K59-K65</f>
        <v>0.26</v>
      </c>
      <c r="L71" s="10">
        <f>L59-L65</f>
        <v>0.65</v>
      </c>
      <c r="M71" s="10">
        <f>M59-M65</f>
        <v>1.3194170000000001</v>
      </c>
    </row>
    <row r="72" spans="1:15" x14ac:dyDescent="0.3">
      <c r="A72" s="133"/>
      <c r="B72" s="27" t="s">
        <v>1611</v>
      </c>
      <c r="C72" t="s">
        <v>1418</v>
      </c>
      <c r="D72" s="16"/>
      <c r="E72" s="10">
        <f t="shared" ref="E72:H73" si="8">E52/(1000*$C$37)</f>
        <v>3.4500000000000003E-2</v>
      </c>
      <c r="F72" s="10">
        <f t="shared" si="8"/>
        <v>6.6500000000000004E-2</v>
      </c>
      <c r="G72" s="10">
        <f t="shared" si="8"/>
        <v>0.15425</v>
      </c>
      <c r="H72" s="10">
        <f t="shared" si="8"/>
        <v>0.31774999999999998</v>
      </c>
      <c r="I72" s="10"/>
      <c r="J72" s="10">
        <f t="shared" ref="J72:M73" si="9">J52/(1000*$C$37)</f>
        <v>3.5000000000000003E-2</v>
      </c>
      <c r="K72" s="10">
        <f t="shared" si="9"/>
        <v>6.5750000000000003E-2</v>
      </c>
      <c r="L72" s="10">
        <f t="shared" si="9"/>
        <v>0.15375</v>
      </c>
      <c r="M72" s="10">
        <f t="shared" si="9"/>
        <v>0.32950000000000002</v>
      </c>
      <c r="O72" t="s">
        <v>307</v>
      </c>
    </row>
    <row r="73" spans="1:15" x14ac:dyDescent="0.3">
      <c r="A73" s="148"/>
      <c r="B73" s="27" t="s">
        <v>1610</v>
      </c>
      <c r="C73" t="s">
        <v>338</v>
      </c>
      <c r="D73" s="16"/>
      <c r="E73" s="10">
        <f t="shared" si="8"/>
        <v>7.0250000000000007E-2</v>
      </c>
      <c r="F73" s="10">
        <f t="shared" si="8"/>
        <v>0.15725</v>
      </c>
      <c r="G73" s="10">
        <f t="shared" si="8"/>
        <v>0.20674999999999999</v>
      </c>
      <c r="H73" s="10">
        <f t="shared" si="8"/>
        <v>0.35575000000000001</v>
      </c>
      <c r="I73" s="10"/>
      <c r="J73" s="10">
        <f t="shared" si="9"/>
        <v>0.11025</v>
      </c>
      <c r="K73" s="10">
        <f t="shared" si="9"/>
        <v>0.16850000000000001</v>
      </c>
      <c r="L73" s="10">
        <f t="shared" si="9"/>
        <v>0.29975000000000002</v>
      </c>
      <c r="M73" s="10">
        <f t="shared" si="9"/>
        <v>0.4405</v>
      </c>
      <c r="O73" t="s">
        <v>307</v>
      </c>
    </row>
    <row r="74" spans="1:15" x14ac:dyDescent="0.3">
      <c r="A74" s="148"/>
      <c r="B74" s="27" t="s">
        <v>468</v>
      </c>
      <c r="C74" s="12" t="s">
        <v>338</v>
      </c>
      <c r="D74" s="16"/>
      <c r="E74" s="10">
        <f>E63-$D63</f>
        <v>6.25E-2</v>
      </c>
      <c r="F74" s="10">
        <f>F63-$D63</f>
        <v>8.7500000000000022E-2</v>
      </c>
      <c r="G74" s="10">
        <f>G63-$D63</f>
        <v>0.125</v>
      </c>
      <c r="H74" s="10">
        <f>H63-$D63</f>
        <v>0.21250000000000002</v>
      </c>
      <c r="I74" s="10"/>
      <c r="J74" s="10">
        <f>J63-$I63</f>
        <v>3.7499999999999978E-2</v>
      </c>
      <c r="K74" s="10">
        <f>K63-$D63</f>
        <v>0.1875</v>
      </c>
      <c r="L74" s="10">
        <f>L63-$D63</f>
        <v>0.25</v>
      </c>
      <c r="M74" s="10">
        <f>M63-$D63</f>
        <v>0.3125</v>
      </c>
    </row>
    <row r="75" spans="1:15" s="133" customFormat="1" x14ac:dyDescent="0.3">
      <c r="A75" s="148"/>
      <c r="B75" s="148" t="s">
        <v>93</v>
      </c>
      <c r="D75" s="16"/>
      <c r="E75" s="134" t="s">
        <v>301</v>
      </c>
      <c r="F75" s="134" t="s">
        <v>301</v>
      </c>
      <c r="G75" s="134" t="s">
        <v>301</v>
      </c>
      <c r="H75" s="134" t="s">
        <v>301</v>
      </c>
      <c r="I75" s="134" t="s">
        <v>301</v>
      </c>
      <c r="J75" s="134" t="s">
        <v>301</v>
      </c>
      <c r="K75" s="134" t="s">
        <v>301</v>
      </c>
      <c r="L75" s="134" t="s">
        <v>301</v>
      </c>
      <c r="M75" s="134" t="s">
        <v>301</v>
      </c>
      <c r="O75" s="133" t="s">
        <v>853</v>
      </c>
    </row>
    <row r="76" spans="1:15" x14ac:dyDescent="0.3">
      <c r="A76" s="148"/>
      <c r="B76" s="12" t="s">
        <v>512</v>
      </c>
      <c r="C76" s="12" t="s">
        <v>92</v>
      </c>
      <c r="D76" s="16"/>
      <c r="E76" s="3"/>
      <c r="F76" s="3"/>
      <c r="G76" s="3"/>
      <c r="H76" s="10">
        <f>H71/H59</f>
        <v>0.96398867924528309</v>
      </c>
      <c r="I76" s="10"/>
      <c r="J76" s="16"/>
      <c r="K76" s="16"/>
      <c r="L76" s="16"/>
      <c r="M76" s="10">
        <f>M71/M59</f>
        <v>0.99578641509433974</v>
      </c>
      <c r="N76" s="3"/>
      <c r="O76" t="s">
        <v>508</v>
      </c>
    </row>
    <row r="77" spans="1:15" x14ac:dyDescent="0.3">
      <c r="A77" s="148"/>
      <c r="B77" s="148" t="s">
        <v>2085</v>
      </c>
      <c r="C77" t="s">
        <v>92</v>
      </c>
      <c r="D77" s="16"/>
      <c r="E77" s="3">
        <f>E73/E72</f>
        <v>2.0362318840579712</v>
      </c>
      <c r="F77" s="134">
        <f>F73/F72</f>
        <v>2.3646616541353382</v>
      </c>
      <c r="G77" s="134">
        <f>G73/G72</f>
        <v>1.3403565640194488</v>
      </c>
      <c r="H77" s="134">
        <f>H73/H72</f>
        <v>1.1195908733280882</v>
      </c>
      <c r="I77" s="3"/>
      <c r="J77" s="134">
        <f>J73/J72</f>
        <v>3.15</v>
      </c>
      <c r="K77" s="134">
        <f>K73/K72</f>
        <v>2.5627376425855513</v>
      </c>
      <c r="L77" s="134">
        <f>L73/L72</f>
        <v>1.9495934959349595</v>
      </c>
      <c r="M77" s="134">
        <f>M73/M72</f>
        <v>1.3368740515933231</v>
      </c>
    </row>
    <row r="78" spans="1:15" x14ac:dyDescent="0.3">
      <c r="A78" s="148"/>
      <c r="B78" s="148" t="s">
        <v>2087</v>
      </c>
      <c r="C78" t="s">
        <v>92</v>
      </c>
      <c r="D78" s="16"/>
      <c r="E78" s="30">
        <f>E74/E66</f>
        <v>1.7857142857142856</v>
      </c>
      <c r="F78" s="30">
        <f>F74/F66</f>
        <v>1.3461538461538465</v>
      </c>
      <c r="G78" s="30">
        <f>G74/G66</f>
        <v>0.76923076923076916</v>
      </c>
      <c r="H78" s="30">
        <f>H74/H66</f>
        <v>0.66547403281178441</v>
      </c>
      <c r="I78" s="30"/>
      <c r="J78" s="30">
        <f>J74/J66</f>
        <v>1.0714285714285707</v>
      </c>
      <c r="K78" s="30">
        <f>K74/K66</f>
        <v>2.8846153846153846</v>
      </c>
      <c r="L78" s="30">
        <f>L74/L66</f>
        <v>1.5384615384615383</v>
      </c>
      <c r="M78" s="30">
        <f>M74/M66</f>
        <v>0.94738812672566741</v>
      </c>
      <c r="O78" t="s">
        <v>518</v>
      </c>
    </row>
    <row r="79" spans="1:15" x14ac:dyDescent="0.3">
      <c r="A79" s="148"/>
      <c r="B79" s="148" t="s">
        <v>2088</v>
      </c>
      <c r="C79" t="s">
        <v>92</v>
      </c>
      <c r="D79" s="16"/>
      <c r="E79" s="30">
        <f>E67/E74</f>
        <v>1.120000000000001</v>
      </c>
      <c r="F79" s="30">
        <f>F67/F74</f>
        <v>1.7942857142857143</v>
      </c>
      <c r="G79" s="30">
        <f>G67/G74</f>
        <v>1.6560000000000006</v>
      </c>
      <c r="H79" s="30">
        <f>H67/H74</f>
        <v>1.6741176470588235</v>
      </c>
      <c r="I79" s="29"/>
      <c r="J79" s="30">
        <f>J67/J74</f>
        <v>2.9400000000000008</v>
      </c>
      <c r="K79" s="30">
        <f>K67/K74</f>
        <v>0.90133333333333354</v>
      </c>
      <c r="L79" s="30">
        <f>L67/L74</f>
        <v>1.2000000000000002</v>
      </c>
      <c r="M79" s="30">
        <f>M67/M74</f>
        <v>1.4096000000000004</v>
      </c>
    </row>
    <row r="80" spans="1:15" s="133" customFormat="1" x14ac:dyDescent="0.3">
      <c r="A80" s="148"/>
      <c r="B80" s="148" t="s">
        <v>2096</v>
      </c>
      <c r="C80" s="133" t="s">
        <v>92</v>
      </c>
      <c r="D80" s="37"/>
      <c r="E80" s="37">
        <f>E73/$D63</f>
        <v>0.10218181818181819</v>
      </c>
      <c r="F80" s="37">
        <f>F73/$D63</f>
        <v>0.22872727272727272</v>
      </c>
      <c r="G80" s="37">
        <f>G73/$D63</f>
        <v>0.30072727272727273</v>
      </c>
      <c r="H80" s="37">
        <f>H73/$D63</f>
        <v>0.5174545454545455</v>
      </c>
      <c r="I80" s="37"/>
      <c r="J80" s="37">
        <f>J73/$I63</f>
        <v>0.14225806451612902</v>
      </c>
      <c r="K80" s="37">
        <f>K73/$I63</f>
        <v>0.21741935483870969</v>
      </c>
      <c r="L80" s="37">
        <f>L73/$I63</f>
        <v>0.3867741935483871</v>
      </c>
      <c r="M80" s="37">
        <f>M73/$I63</f>
        <v>0.56838709677419352</v>
      </c>
      <c r="N80" s="37"/>
      <c r="O80" s="37"/>
    </row>
    <row r="81" spans="1:16" s="133" customFormat="1" x14ac:dyDescent="0.3">
      <c r="A81" s="148"/>
      <c r="B81" s="148" t="s">
        <v>2097</v>
      </c>
      <c r="C81" s="133" t="s">
        <v>92</v>
      </c>
      <c r="D81" s="37"/>
      <c r="E81" s="37">
        <f>E64/$D64</f>
        <v>1.0729023383768914</v>
      </c>
      <c r="F81" s="37">
        <f>F64/$D64</f>
        <v>1.1345254470426409</v>
      </c>
      <c r="G81" s="37">
        <f>G64/$D64</f>
        <v>1.1826685006877578</v>
      </c>
      <c r="H81" s="37">
        <f>H64/$D64</f>
        <v>1.3126547455295736</v>
      </c>
      <c r="I81" s="37"/>
      <c r="J81" s="37">
        <f>J64/$I64</f>
        <v>1.0694967074317967</v>
      </c>
      <c r="K81" s="37">
        <f>K64/$I64</f>
        <v>1.1265286923800566</v>
      </c>
      <c r="L81" s="37">
        <f>L64/$I64</f>
        <v>1.2175446848541862</v>
      </c>
      <c r="M81" s="37">
        <f>M64/$I64</f>
        <v>1.3130291627469428</v>
      </c>
      <c r="N81" s="37"/>
      <c r="O81" s="37"/>
    </row>
    <row r="82" spans="1:16" x14ac:dyDescent="0.3">
      <c r="A82" s="148"/>
      <c r="B82" s="148" t="s">
        <v>2081</v>
      </c>
      <c r="D82" s="16"/>
      <c r="E82" s="3" t="s">
        <v>301</v>
      </c>
      <c r="F82" s="134" t="s">
        <v>301</v>
      </c>
      <c r="G82" s="134" t="s">
        <v>301</v>
      </c>
      <c r="H82" s="134" t="s">
        <v>301</v>
      </c>
      <c r="I82" s="134" t="s">
        <v>301</v>
      </c>
      <c r="J82" s="134" t="s">
        <v>301</v>
      </c>
      <c r="K82" s="134" t="s">
        <v>301</v>
      </c>
      <c r="L82" s="134" t="s">
        <v>301</v>
      </c>
      <c r="M82" s="134" t="s">
        <v>301</v>
      </c>
      <c r="O82" t="s">
        <v>853</v>
      </c>
    </row>
    <row r="83" spans="1:16" x14ac:dyDescent="0.3">
      <c r="A83" s="148"/>
      <c r="B83" s="148" t="s">
        <v>2137</v>
      </c>
      <c r="D83" s="16"/>
      <c r="E83" s="134" t="s">
        <v>301</v>
      </c>
      <c r="F83" s="134" t="s">
        <v>301</v>
      </c>
      <c r="G83" s="134" t="s">
        <v>301</v>
      </c>
      <c r="H83" s="134" t="s">
        <v>301</v>
      </c>
      <c r="I83" s="134" t="s">
        <v>301</v>
      </c>
      <c r="J83" s="134" t="s">
        <v>301</v>
      </c>
      <c r="K83" s="134" t="s">
        <v>301</v>
      </c>
      <c r="L83" s="134" t="s">
        <v>301</v>
      </c>
      <c r="M83" s="134" t="s">
        <v>301</v>
      </c>
      <c r="O83" t="s">
        <v>853</v>
      </c>
    </row>
    <row r="84" spans="1:16" s="133" customFormat="1" x14ac:dyDescent="0.3">
      <c r="B84" s="148"/>
      <c r="D84" s="16"/>
      <c r="E84" s="134"/>
      <c r="F84" s="134"/>
      <c r="G84" s="134"/>
      <c r="H84" s="134"/>
      <c r="I84" s="16"/>
      <c r="J84" s="134"/>
      <c r="K84" s="134"/>
      <c r="L84" s="134"/>
      <c r="M84" s="134"/>
    </row>
    <row r="85" spans="1:16" x14ac:dyDescent="0.3">
      <c r="B85" s="27"/>
      <c r="D85" s="16" t="s">
        <v>1598</v>
      </c>
      <c r="E85" s="3"/>
      <c r="F85" s="3"/>
      <c r="G85" s="3"/>
      <c r="H85" s="3" t="s">
        <v>1608</v>
      </c>
      <c r="I85" s="16" t="s">
        <v>1609</v>
      </c>
      <c r="J85" s="16"/>
      <c r="K85" s="16"/>
      <c r="L85" s="16"/>
      <c r="M85" s="3" t="s">
        <v>1608</v>
      </c>
    </row>
    <row r="86" spans="1:16" x14ac:dyDescent="0.3">
      <c r="A86" s="27"/>
      <c r="B86" s="40" t="s">
        <v>359</v>
      </c>
      <c r="C86" s="12"/>
      <c r="D86" t="s">
        <v>485</v>
      </c>
      <c r="I86" t="s">
        <v>486</v>
      </c>
    </row>
    <row r="87" spans="1:16" x14ac:dyDescent="0.3">
      <c r="A87" s="27"/>
      <c r="B87" s="95" t="s">
        <v>1795</v>
      </c>
      <c r="C87" s="12"/>
      <c r="D87" t="s">
        <v>485</v>
      </c>
      <c r="H87" s="472" t="s">
        <v>1686</v>
      </c>
      <c r="I87" s="16" t="s">
        <v>486</v>
      </c>
      <c r="M87" s="472" t="s">
        <v>1686</v>
      </c>
    </row>
    <row r="88" spans="1:16" s="133" customFormat="1" x14ac:dyDescent="0.3">
      <c r="A88" s="148"/>
      <c r="B88" s="95" t="s">
        <v>1791</v>
      </c>
      <c r="C88" s="103"/>
      <c r="D88" t="s">
        <v>1952</v>
      </c>
      <c r="E88" t="s">
        <v>1953</v>
      </c>
      <c r="F88" s="133" t="s">
        <v>1953</v>
      </c>
      <c r="G88" s="133" t="s">
        <v>1953</v>
      </c>
      <c r="H88" s="133" t="s">
        <v>1953</v>
      </c>
      <c r="I88" s="133" t="s">
        <v>1952</v>
      </c>
      <c r="J88" s="133" t="s">
        <v>1953</v>
      </c>
      <c r="K88" s="133" t="s">
        <v>1953</v>
      </c>
      <c r="L88" s="133" t="s">
        <v>1953</v>
      </c>
      <c r="M88" s="133" t="s">
        <v>1953</v>
      </c>
      <c r="N88"/>
    </row>
    <row r="89" spans="1:16" x14ac:dyDescent="0.3">
      <c r="A89" s="27"/>
      <c r="B89" s="12" t="s">
        <v>33</v>
      </c>
      <c r="C89" s="12" t="s">
        <v>270</v>
      </c>
      <c r="D89">
        <f>$C$24</f>
        <v>3.52</v>
      </c>
      <c r="E89">
        <f t="shared" ref="E89:M89" si="10">$C$24</f>
        <v>3.52</v>
      </c>
      <c r="F89">
        <f t="shared" si="10"/>
        <v>3.52</v>
      </c>
      <c r="G89">
        <f t="shared" si="10"/>
        <v>3.52</v>
      </c>
      <c r="H89">
        <f t="shared" si="10"/>
        <v>3.52</v>
      </c>
      <c r="I89">
        <f t="shared" si="10"/>
        <v>3.52</v>
      </c>
      <c r="J89">
        <f t="shared" si="10"/>
        <v>3.52</v>
      </c>
      <c r="K89">
        <f t="shared" si="10"/>
        <v>3.52</v>
      </c>
      <c r="L89">
        <f t="shared" si="10"/>
        <v>3.52</v>
      </c>
      <c r="M89">
        <f t="shared" si="10"/>
        <v>3.52</v>
      </c>
    </row>
    <row r="90" spans="1:16" x14ac:dyDescent="0.3">
      <c r="A90" s="27"/>
      <c r="B90" s="12" t="s">
        <v>26</v>
      </c>
      <c r="C90" s="12" t="s">
        <v>25</v>
      </c>
      <c r="D90">
        <f>$C$25</f>
        <v>20</v>
      </c>
      <c r="E90">
        <f t="shared" ref="E90:M90" si="11">$C$25</f>
        <v>20</v>
      </c>
      <c r="F90">
        <f t="shared" si="11"/>
        <v>20</v>
      </c>
      <c r="G90">
        <f t="shared" si="11"/>
        <v>20</v>
      </c>
      <c r="H90">
        <f t="shared" si="11"/>
        <v>20</v>
      </c>
      <c r="I90">
        <f t="shared" si="11"/>
        <v>20</v>
      </c>
      <c r="J90">
        <f t="shared" si="11"/>
        <v>20</v>
      </c>
      <c r="K90">
        <f t="shared" si="11"/>
        <v>20</v>
      </c>
      <c r="L90">
        <f t="shared" si="11"/>
        <v>20</v>
      </c>
      <c r="M90">
        <f t="shared" si="11"/>
        <v>20</v>
      </c>
      <c r="P90">
        <f>(1-0.84)*251</f>
        <v>40.160000000000011</v>
      </c>
    </row>
    <row r="91" spans="1:16" s="133" customFormat="1" x14ac:dyDescent="0.3">
      <c r="A91" s="148"/>
      <c r="B91" s="194" t="s">
        <v>2060</v>
      </c>
      <c r="C91" s="103" t="s">
        <v>338</v>
      </c>
      <c r="D91" s="133">
        <f t="shared" ref="D91:M91" si="12">D59</f>
        <v>0</v>
      </c>
      <c r="E91" s="133">
        <f t="shared" si="12"/>
        <v>0.14000000000000001</v>
      </c>
      <c r="F91" s="133">
        <f t="shared" si="12"/>
        <v>0.26</v>
      </c>
      <c r="G91" s="133">
        <f t="shared" si="12"/>
        <v>0.65</v>
      </c>
      <c r="H91" s="133">
        <f t="shared" si="12"/>
        <v>1.325</v>
      </c>
      <c r="I91" s="133">
        <f t="shared" si="12"/>
        <v>0</v>
      </c>
      <c r="J91" s="133">
        <f t="shared" si="12"/>
        <v>0.14000000000000001</v>
      </c>
      <c r="K91" s="133">
        <f t="shared" si="12"/>
        <v>0.26</v>
      </c>
      <c r="L91" s="133">
        <f t="shared" si="12"/>
        <v>0.65</v>
      </c>
      <c r="M91" s="133">
        <f t="shared" si="12"/>
        <v>1.325</v>
      </c>
    </row>
    <row r="92" spans="1:16" x14ac:dyDescent="0.3">
      <c r="B92" s="12" t="s">
        <v>351</v>
      </c>
      <c r="C92" s="12" t="s">
        <v>377</v>
      </c>
      <c r="D92" s="10">
        <f t="shared" ref="D92:M92" si="13">D62/D89</f>
        <v>0.32102272727272724</v>
      </c>
      <c r="E92" s="10">
        <f t="shared" si="13"/>
        <v>0.34090909090909088</v>
      </c>
      <c r="F92" s="10">
        <f t="shared" si="13"/>
        <v>0.36562499999999998</v>
      </c>
      <c r="G92" s="10">
        <f t="shared" si="13"/>
        <v>0.37982954545454545</v>
      </c>
      <c r="H92" s="10">
        <f t="shared" si="13"/>
        <v>0.42208806818181815</v>
      </c>
      <c r="I92" s="10">
        <f t="shared" si="13"/>
        <v>0.38380681818181817</v>
      </c>
      <c r="J92" s="10">
        <f t="shared" si="13"/>
        <v>0.41512784090909088</v>
      </c>
      <c r="K92" s="10">
        <f t="shared" si="13"/>
        <v>0.43181818181818182</v>
      </c>
      <c r="L92" s="10">
        <f t="shared" si="13"/>
        <v>0.46903409090909093</v>
      </c>
      <c r="M92" s="10">
        <f t="shared" si="13"/>
        <v>0.50894886363636371</v>
      </c>
    </row>
    <row r="93" spans="1:16" x14ac:dyDescent="0.3">
      <c r="B93" s="12" t="s">
        <v>352</v>
      </c>
      <c r="C93" s="12" t="s">
        <v>377</v>
      </c>
      <c r="E93" s="10">
        <f>E92-$D92</f>
        <v>1.9886363636363646E-2</v>
      </c>
      <c r="F93" s="10">
        <f>F92-$D92</f>
        <v>4.460227272727274E-2</v>
      </c>
      <c r="G93" s="10">
        <f>G92-$D92</f>
        <v>5.880681818181821E-2</v>
      </c>
      <c r="H93" s="10">
        <f>H92-$D92</f>
        <v>0.10106534090909092</v>
      </c>
      <c r="I93" s="10"/>
      <c r="J93" s="10">
        <f>J92-$I92</f>
        <v>3.1321022727272718E-2</v>
      </c>
      <c r="K93" s="10">
        <f>K92-$I92</f>
        <v>4.8011363636363658E-2</v>
      </c>
      <c r="L93" s="10">
        <f>L92-$I92</f>
        <v>8.5227272727272763E-2</v>
      </c>
      <c r="M93" s="10">
        <f>M92-$I92</f>
        <v>0.12514204545454555</v>
      </c>
    </row>
    <row r="94" spans="1:16" x14ac:dyDescent="0.3">
      <c r="B94" s="12" t="s">
        <v>383</v>
      </c>
      <c r="C94" s="12" t="s">
        <v>92</v>
      </c>
      <c r="E94" s="3">
        <f>E93/$D92</f>
        <v>6.1946902654867297E-2</v>
      </c>
      <c r="F94" s="3">
        <f>F93/$D92</f>
        <v>0.13893805309734519</v>
      </c>
      <c r="G94" s="3">
        <f>G93/$D92</f>
        <v>0.1831858407079647</v>
      </c>
      <c r="H94" s="3">
        <f>H93/$D92</f>
        <v>0.31482300884955761</v>
      </c>
      <c r="I94" s="3"/>
      <c r="J94" s="3">
        <f>J93/$I92</f>
        <v>8.1606217616580295E-2</v>
      </c>
      <c r="K94" s="3">
        <f>K93/$I92</f>
        <v>0.12509252405625468</v>
      </c>
      <c r="L94" s="3">
        <f>L93/$I92</f>
        <v>0.22205773501110299</v>
      </c>
      <c r="M94" s="3">
        <f>M93/$I92</f>
        <v>0.32605477424130297</v>
      </c>
    </row>
    <row r="95" spans="1:16" x14ac:dyDescent="0.3">
      <c r="B95" s="12" t="s">
        <v>293</v>
      </c>
      <c r="C95" s="12" t="s">
        <v>338</v>
      </c>
      <c r="D95" s="3">
        <f t="shared" ref="D95:M95" si="14">D62</f>
        <v>1.1299999999999999</v>
      </c>
      <c r="E95" s="134">
        <f t="shared" si="14"/>
        <v>1.2</v>
      </c>
      <c r="F95" s="134">
        <f t="shared" si="14"/>
        <v>1.2869999999999999</v>
      </c>
      <c r="G95" s="134">
        <f t="shared" si="14"/>
        <v>1.337</v>
      </c>
      <c r="H95" s="134">
        <f t="shared" si="14"/>
        <v>1.4857499999999999</v>
      </c>
      <c r="I95" s="134">
        <f t="shared" si="14"/>
        <v>1.351</v>
      </c>
      <c r="J95" s="134">
        <f t="shared" si="14"/>
        <v>1.4612499999999999</v>
      </c>
      <c r="K95" s="134">
        <f t="shared" si="14"/>
        <v>1.52</v>
      </c>
      <c r="L95" s="134">
        <f t="shared" si="14"/>
        <v>1.651</v>
      </c>
      <c r="M95" s="134">
        <f t="shared" si="14"/>
        <v>1.7915000000000001</v>
      </c>
    </row>
    <row r="96" spans="1:16" x14ac:dyDescent="0.3">
      <c r="B96" s="12" t="s">
        <v>402</v>
      </c>
      <c r="C96" s="12" t="s">
        <v>338</v>
      </c>
      <c r="D96" s="16"/>
      <c r="E96" s="134">
        <f t="shared" ref="E96:H98" si="15">E67</f>
        <v>7.0000000000000062E-2</v>
      </c>
      <c r="F96" s="134">
        <f t="shared" si="15"/>
        <v>0.15700000000000003</v>
      </c>
      <c r="G96" s="134">
        <f t="shared" si="15"/>
        <v>0.20700000000000007</v>
      </c>
      <c r="H96" s="134">
        <f t="shared" si="15"/>
        <v>0.35575000000000001</v>
      </c>
      <c r="I96" s="134"/>
      <c r="J96" s="134">
        <f t="shared" ref="J96:M98" si="16">J67</f>
        <v>0.11024999999999996</v>
      </c>
      <c r="K96" s="134">
        <f t="shared" si="16"/>
        <v>0.16900000000000004</v>
      </c>
      <c r="L96" s="134">
        <f t="shared" si="16"/>
        <v>0.30000000000000004</v>
      </c>
      <c r="M96" s="134">
        <f t="shared" si="16"/>
        <v>0.44050000000000011</v>
      </c>
    </row>
    <row r="97" spans="2:15" x14ac:dyDescent="0.3">
      <c r="B97" t="s">
        <v>3</v>
      </c>
      <c r="C97" t="s">
        <v>302</v>
      </c>
      <c r="D97" s="8">
        <f>D68</f>
        <v>62.173314993122418</v>
      </c>
      <c r="E97" s="8">
        <f t="shared" si="15"/>
        <v>61.53846153846154</v>
      </c>
      <c r="F97" s="8">
        <f t="shared" si="15"/>
        <v>62.415130940834139</v>
      </c>
      <c r="G97" s="8">
        <f t="shared" si="15"/>
        <v>62.20051174691789</v>
      </c>
      <c r="H97" s="8">
        <f t="shared" si="15"/>
        <v>61.054915521694369</v>
      </c>
      <c r="I97" s="8">
        <f>I68</f>
        <v>63.54656632173095</v>
      </c>
      <c r="J97" s="8">
        <f t="shared" si="16"/>
        <v>64.266080263881264</v>
      </c>
      <c r="K97" s="8">
        <f t="shared" si="16"/>
        <v>63.465553235908139</v>
      </c>
      <c r="L97" s="8">
        <f t="shared" si="16"/>
        <v>63.7821131929689</v>
      </c>
      <c r="M97" s="8">
        <f t="shared" si="16"/>
        <v>64.048868052896538</v>
      </c>
    </row>
    <row r="98" spans="2:15" x14ac:dyDescent="0.3">
      <c r="B98" t="s">
        <v>277</v>
      </c>
      <c r="C98" t="s">
        <v>302</v>
      </c>
      <c r="D98" s="8">
        <f>D69</f>
        <v>37.826685006877582</v>
      </c>
      <c r="E98" s="8">
        <f t="shared" si="15"/>
        <v>38.46153846153846</v>
      </c>
      <c r="F98" s="8">
        <f t="shared" si="15"/>
        <v>37.584869059165861</v>
      </c>
      <c r="G98" s="8">
        <f t="shared" si="15"/>
        <v>37.799488253082117</v>
      </c>
      <c r="H98" s="8">
        <f t="shared" si="15"/>
        <v>36.984300164580134</v>
      </c>
      <c r="I98" s="8">
        <f>I69</f>
        <v>36.45343367826905</v>
      </c>
      <c r="J98" s="8">
        <f t="shared" si="16"/>
        <v>35.73391973611875</v>
      </c>
      <c r="K98" s="8">
        <f t="shared" si="16"/>
        <v>36.534446764091861</v>
      </c>
      <c r="L98" s="8">
        <f t="shared" si="16"/>
        <v>36.2178868070311</v>
      </c>
      <c r="M98" s="8">
        <f t="shared" si="16"/>
        <v>35.751531148700266</v>
      </c>
    </row>
    <row r="99" spans="2:15" x14ac:dyDescent="0.3">
      <c r="B99" t="s">
        <v>481</v>
      </c>
      <c r="C99" t="s">
        <v>302</v>
      </c>
      <c r="D99" s="8"/>
      <c r="E99" s="8"/>
      <c r="F99" s="8"/>
      <c r="G99" s="8"/>
      <c r="H99" s="8">
        <f>H70</f>
        <v>2</v>
      </c>
      <c r="I99" s="8"/>
      <c r="J99" s="8"/>
      <c r="K99" s="8"/>
      <c r="L99" s="8"/>
      <c r="M99" s="8">
        <f>M70</f>
        <v>0.2</v>
      </c>
    </row>
    <row r="100" spans="2:15" x14ac:dyDescent="0.3">
      <c r="B100" s="12" t="s">
        <v>35</v>
      </c>
      <c r="C100" s="12"/>
      <c r="D100" s="3">
        <f t="shared" ref="D100:M100" si="17">D54</f>
        <v>7.12</v>
      </c>
      <c r="E100" s="3">
        <f t="shared" si="17"/>
        <v>7.07</v>
      </c>
      <c r="F100" s="3">
        <f t="shared" si="17"/>
        <v>7.2</v>
      </c>
      <c r="G100" s="3">
        <f t="shared" si="17"/>
        <v>7.21</v>
      </c>
      <c r="H100" s="3">
        <f t="shared" si="17"/>
        <v>7.19</v>
      </c>
      <c r="I100" s="3">
        <f t="shared" si="17"/>
        <v>7.22</v>
      </c>
      <c r="J100" s="3">
        <f t="shared" si="17"/>
        <v>7.18</v>
      </c>
      <c r="K100" s="3">
        <f t="shared" si="17"/>
        <v>7.35</v>
      </c>
      <c r="L100" s="3">
        <f t="shared" si="17"/>
        <v>7.31</v>
      </c>
      <c r="M100" s="3">
        <f t="shared" si="17"/>
        <v>7.22</v>
      </c>
    </row>
    <row r="101" spans="2:15" x14ac:dyDescent="0.3">
      <c r="B101" s="12" t="s">
        <v>52</v>
      </c>
      <c r="C101" s="12" t="s">
        <v>621</v>
      </c>
      <c r="D101" s="8" t="s">
        <v>1671</v>
      </c>
      <c r="E101" s="8" t="s">
        <v>1671</v>
      </c>
      <c r="F101" s="8" t="s">
        <v>1671</v>
      </c>
      <c r="G101" s="8" t="s">
        <v>1671</v>
      </c>
      <c r="H101" s="8" t="s">
        <v>1671</v>
      </c>
      <c r="I101" s="8" t="s">
        <v>1671</v>
      </c>
      <c r="J101" s="8" t="s">
        <v>1671</v>
      </c>
      <c r="K101" s="8" t="s">
        <v>1671</v>
      </c>
      <c r="L101" s="8" t="s">
        <v>1671</v>
      </c>
      <c r="M101" s="8" t="s">
        <v>1671</v>
      </c>
      <c r="O101" t="s">
        <v>742</v>
      </c>
    </row>
    <row r="102" spans="2:15" x14ac:dyDescent="0.3">
      <c r="B102" s="12" t="s">
        <v>558</v>
      </c>
      <c r="C102" s="12" t="s">
        <v>621</v>
      </c>
      <c r="D102" s="8" t="s">
        <v>1675</v>
      </c>
      <c r="E102" s="8" t="s">
        <v>1675</v>
      </c>
      <c r="F102" s="8" t="s">
        <v>1675</v>
      </c>
      <c r="G102" s="8" t="s">
        <v>1675</v>
      </c>
      <c r="H102" s="8" t="s">
        <v>1675</v>
      </c>
      <c r="I102" s="8" t="s">
        <v>1675</v>
      </c>
      <c r="J102" s="8" t="s">
        <v>1675</v>
      </c>
      <c r="K102" s="8" t="s">
        <v>1675</v>
      </c>
      <c r="L102" s="8" t="s">
        <v>1675</v>
      </c>
      <c r="M102" s="8" t="s">
        <v>1675</v>
      </c>
      <c r="O102" t="s">
        <v>745</v>
      </c>
    </row>
    <row r="103" spans="2:15" x14ac:dyDescent="0.3">
      <c r="B103" s="12" t="s">
        <v>757</v>
      </c>
      <c r="C103" s="12" t="s">
        <v>758</v>
      </c>
      <c r="D103" s="3">
        <f t="shared" ref="D103:M103" si="18">D89/(D51*10)</f>
        <v>0.19999999999999998</v>
      </c>
      <c r="E103" s="3">
        <f t="shared" si="18"/>
        <v>0.38681318681318683</v>
      </c>
      <c r="F103" s="3">
        <f t="shared" si="18"/>
        <v>0.64</v>
      </c>
      <c r="G103" s="3">
        <f t="shared" si="18"/>
        <v>0.70399999999999996</v>
      </c>
      <c r="H103" s="3">
        <f t="shared" si="18"/>
        <v>0.81860465116279069</v>
      </c>
      <c r="I103" s="3">
        <f t="shared" si="18"/>
        <v>0.3171171171171171</v>
      </c>
      <c r="J103" s="3">
        <f t="shared" si="18"/>
        <v>0.57704918032786889</v>
      </c>
      <c r="K103" s="3">
        <f t="shared" si="18"/>
        <v>0.66415094339622638</v>
      </c>
      <c r="L103" s="3">
        <f t="shared" si="18"/>
        <v>0.74893617021276604</v>
      </c>
      <c r="M103" s="3">
        <f t="shared" si="18"/>
        <v>0.88</v>
      </c>
    </row>
    <row r="105" spans="2:15" x14ac:dyDescent="0.3">
      <c r="B105" s="6" t="s">
        <v>357</v>
      </c>
    </row>
    <row r="106" spans="2:15" x14ac:dyDescent="0.3">
      <c r="B106" s="6"/>
      <c r="D106" t="s">
        <v>503</v>
      </c>
    </row>
    <row r="107" spans="2:15" x14ac:dyDescent="0.3">
      <c r="B107" s="27" t="s">
        <v>504</v>
      </c>
      <c r="D107">
        <v>37</v>
      </c>
      <c r="E107" s="3">
        <f>0.09018+2729.92/(273.15+D107)</f>
        <v>8.8921145477994532</v>
      </c>
      <c r="I107">
        <v>55</v>
      </c>
      <c r="J107" s="3">
        <f>0.09018+2729.92/(273.15+I107)</f>
        <v>8.409302352582662</v>
      </c>
      <c r="O107" t="s">
        <v>520</v>
      </c>
    </row>
    <row r="108" spans="2:15" x14ac:dyDescent="0.3">
      <c r="D108" t="s">
        <v>424</v>
      </c>
      <c r="E108" t="s">
        <v>425</v>
      </c>
      <c r="F108" t="s">
        <v>426</v>
      </c>
      <c r="G108" t="s">
        <v>479</v>
      </c>
      <c r="H108" t="s">
        <v>480</v>
      </c>
      <c r="I108" t="s">
        <v>424</v>
      </c>
      <c r="J108" t="s">
        <v>425</v>
      </c>
      <c r="K108" t="s">
        <v>426</v>
      </c>
      <c r="L108" t="s">
        <v>479</v>
      </c>
      <c r="M108" t="s">
        <v>480</v>
      </c>
    </row>
    <row r="109" spans="2:15" x14ac:dyDescent="0.3">
      <c r="B109" t="s">
        <v>35</v>
      </c>
      <c r="D109" s="13">
        <f t="shared" ref="D109:M109" si="19">D54</f>
        <v>7.12</v>
      </c>
      <c r="E109" s="13">
        <f t="shared" si="19"/>
        <v>7.07</v>
      </c>
      <c r="F109" s="13">
        <f t="shared" si="19"/>
        <v>7.2</v>
      </c>
      <c r="G109" s="13">
        <f t="shared" si="19"/>
        <v>7.21</v>
      </c>
      <c r="H109" s="13">
        <f t="shared" si="19"/>
        <v>7.19</v>
      </c>
      <c r="I109" s="13">
        <f t="shared" si="19"/>
        <v>7.22</v>
      </c>
      <c r="J109" s="13">
        <f t="shared" si="19"/>
        <v>7.18</v>
      </c>
      <c r="K109" s="13">
        <f t="shared" si="19"/>
        <v>7.35</v>
      </c>
      <c r="L109" s="13">
        <f t="shared" si="19"/>
        <v>7.31</v>
      </c>
      <c r="M109" s="13">
        <f t="shared" si="19"/>
        <v>7.22</v>
      </c>
    </row>
    <row r="110" spans="2:15" x14ac:dyDescent="0.3">
      <c r="B110" t="s">
        <v>36</v>
      </c>
      <c r="D110" s="31">
        <f t="shared" ref="D110:M110" si="20">D69/100</f>
        <v>0.37826685006877581</v>
      </c>
      <c r="E110" s="31">
        <f t="shared" si="20"/>
        <v>0.38461538461538458</v>
      </c>
      <c r="F110" s="31">
        <f t="shared" si="20"/>
        <v>0.3758486905916586</v>
      </c>
      <c r="G110" s="31">
        <f t="shared" si="20"/>
        <v>0.3779948825308212</v>
      </c>
      <c r="H110" s="31">
        <f t="shared" si="20"/>
        <v>0.36984300164580136</v>
      </c>
      <c r="I110" s="31">
        <f t="shared" si="20"/>
        <v>0.36453433678269048</v>
      </c>
      <c r="J110" s="31">
        <f t="shared" si="20"/>
        <v>0.35733919736118752</v>
      </c>
      <c r="K110" s="31">
        <f t="shared" si="20"/>
        <v>0.3653444676409186</v>
      </c>
      <c r="L110" s="31">
        <f t="shared" si="20"/>
        <v>0.36217886807031102</v>
      </c>
      <c r="M110" s="31">
        <f t="shared" si="20"/>
        <v>0.35751531148700266</v>
      </c>
    </row>
    <row r="111" spans="2:15" x14ac:dyDescent="0.3">
      <c r="B111" s="6" t="s">
        <v>42</v>
      </c>
      <c r="D111" s="7">
        <f>(POWER(10,-D109))^2/((POWER(10,-$E107)+POWER(10,-D109))*D110)</f>
        <v>1.9720752857677111E-7</v>
      </c>
      <c r="E111" s="5">
        <f>(POWER(10,-E109))^2/((POWER(10,-$E107)+POWER(10,-E109))*E110)</f>
        <v>2.1801216939871409E-7</v>
      </c>
      <c r="F111" s="5">
        <f>(POWER(10,-F109))^2/((POWER(10,-$E107)+POWER(10,-F109))*F110)</f>
        <v>1.6453235750770457E-7</v>
      </c>
      <c r="G111" s="5">
        <f>(POWER(10,-G109))^2/((POWER(10,-$E107)+POWER(10,-G109))*G110)</f>
        <v>1.5980009835034961E-7</v>
      </c>
      <c r="H111" s="5">
        <f>(POWER(10,-H109))^2/((POWER(10,-$E107)+POWER(10,-H109))*H110)</f>
        <v>1.7117638972152305E-7</v>
      </c>
      <c r="I111" s="65">
        <f>(POWER(10,-I109))^2/((POWER(10,-$J107)+POWER(10,-I109))*I110)</f>
        <v>1.5525545114848693E-7</v>
      </c>
      <c r="J111" s="5">
        <f>(POWER(10,-J109))^2/((POWER(10,-$J107)+POWER(10,-J109))*J110)</f>
        <v>1.7459507180224823E-7</v>
      </c>
      <c r="K111" s="5">
        <f>(POWER(10,-K109))^2/((POWER(10,-$J107)+POWER(10,-K109))*K110)</f>
        <v>1.1245363229934906E-7</v>
      </c>
      <c r="L111" s="5">
        <f>(POWER(10,-L109))^2/((POWER(10,-$J107)+POWER(10,-L109))*L110)</f>
        <v>1.2526504436198059E-7</v>
      </c>
      <c r="M111" s="5">
        <f>(POWER(10,-M109))^2/((POWER(10,-$J107)+POWER(10,-M109))*M110)</f>
        <v>1.5830354980018418E-7</v>
      </c>
    </row>
    <row r="112" spans="2:15" x14ac:dyDescent="0.3">
      <c r="B112" t="s">
        <v>39</v>
      </c>
      <c r="D112" s="31">
        <f t="shared" ref="D112:M112" si="21">D110</f>
        <v>0.37826685006877581</v>
      </c>
      <c r="E112" s="31">
        <f t="shared" si="21"/>
        <v>0.38461538461538458</v>
      </c>
      <c r="F112" s="31">
        <f t="shared" si="21"/>
        <v>0.3758486905916586</v>
      </c>
      <c r="G112" s="31">
        <f t="shared" si="21"/>
        <v>0.3779948825308212</v>
      </c>
      <c r="H112" s="31">
        <f t="shared" si="21"/>
        <v>0.36984300164580136</v>
      </c>
      <c r="I112" s="31">
        <f t="shared" si="21"/>
        <v>0.36453433678269048</v>
      </c>
      <c r="J112" s="31">
        <f t="shared" si="21"/>
        <v>0.35733919736118752</v>
      </c>
      <c r="K112" s="31">
        <f t="shared" si="21"/>
        <v>0.3653444676409186</v>
      </c>
      <c r="L112" s="31">
        <f t="shared" si="21"/>
        <v>0.36217886807031102</v>
      </c>
      <c r="M112" s="31">
        <f t="shared" si="21"/>
        <v>0.35751531148700266</v>
      </c>
    </row>
    <row r="113" spans="2:15" x14ac:dyDescent="0.3">
      <c r="B113" t="s">
        <v>38</v>
      </c>
      <c r="D113" s="11">
        <f>-LOG((D111*D112+SQRT((D111*D112)^2+4*POWER(10,-$E107)*D111*D112))/2)</f>
        <v>7.120000000000001</v>
      </c>
      <c r="E113" s="11">
        <f>-LOG((D111*E112+SQRT((D111*E112)^2+4*POWER(10,-$E107)*D111*E112))/2)</f>
        <v>7.1128888650666671</v>
      </c>
      <c r="F113" s="11">
        <f>-LOG((D111*F112+SQRT((D111*F112)^2+4*POWER(10,-$E107)*D111*F112))/2)</f>
        <v>7.1227395707390855</v>
      </c>
      <c r="G113" s="11">
        <f>-LOG((D111*G112+SQRT((D111*G112)^2+4*POWER(10,-$E107)*D111*G112))/2)</f>
        <v>7.1203072547032527</v>
      </c>
      <c r="H113" s="11">
        <f>-LOG((D111*H112+SQRT((D111*H112)^2+4*POWER(10,-$E107)*D111*H112))/2)</f>
        <v>7.1296192609462468</v>
      </c>
      <c r="I113" s="42">
        <f>-LOG((I111*I112+SQRT((I111*I112)^2+4*POWER(10,-$J107)*I111*I112))/2)</f>
        <v>7.2200000000000006</v>
      </c>
      <c r="J113" s="42">
        <f>-LOG((I111*J112+SQRT((I111*J112)^2+4*POWER(10,-$J107)*I111*J112))/2)</f>
        <v>7.2281578709486958</v>
      </c>
      <c r="K113" s="42">
        <f>-LOG((I111*K112+SQRT((I111*K112)^2+4*POWER(10,-$J107)*I111*K112))/2)</f>
        <v>7.2190910627039591</v>
      </c>
      <c r="L113" s="42">
        <f>-LOG((I111*L112+SQRT((I111*L112)^2+4*POWER(10,-$J107)*I111*L112))/2)</f>
        <v>7.222653684066632</v>
      </c>
      <c r="M113" s="42">
        <f>-LOG((I111*M112+SQRT((I111*M112)^2+4*POWER(10,-$J107)*I111*M112))/2)</f>
        <v>7.2279563386050132</v>
      </c>
    </row>
    <row r="114" spans="2:15" x14ac:dyDescent="0.3">
      <c r="B114" t="s">
        <v>474</v>
      </c>
      <c r="D114" s="3">
        <f>D109-D113</f>
        <v>0</v>
      </c>
      <c r="E114" s="3">
        <f t="shared" ref="E114:M114" si="22">E109-E113</f>
        <v>-4.2888865066666781E-2</v>
      </c>
      <c r="F114" s="3">
        <f t="shared" si="22"/>
        <v>7.7260429260914698E-2</v>
      </c>
      <c r="G114" s="3">
        <f t="shared" si="22"/>
        <v>8.9692745296747312E-2</v>
      </c>
      <c r="H114" s="3">
        <f t="shared" si="22"/>
        <v>6.0380739053753629E-2</v>
      </c>
      <c r="I114" s="3">
        <f t="shared" si="22"/>
        <v>0</v>
      </c>
      <c r="J114" s="3">
        <f t="shared" si="22"/>
        <v>-4.8157870948696058E-2</v>
      </c>
      <c r="K114" s="3">
        <f t="shared" si="22"/>
        <v>0.13090893729604058</v>
      </c>
      <c r="L114" s="3">
        <f t="shared" si="22"/>
        <v>8.7346315933367613E-2</v>
      </c>
      <c r="M114" s="3">
        <f t="shared" si="22"/>
        <v>-7.9563386050134355E-3</v>
      </c>
      <c r="O114" t="s">
        <v>521</v>
      </c>
    </row>
  </sheetData>
  <phoneticPr fontId="4"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02A5-049C-4652-A268-93930DE8CB5D}">
  <dimension ref="A1:AF142"/>
  <sheetViews>
    <sheetView zoomScaleNormal="100" workbookViewId="0"/>
  </sheetViews>
  <sheetFormatPr defaultRowHeight="14.4" x14ac:dyDescent="0.3"/>
  <cols>
    <col min="2" max="2" width="14.109375" customWidth="1"/>
    <col min="3" max="3" width="11" customWidth="1"/>
  </cols>
  <sheetData>
    <row r="1" spans="2:5" s="133" customFormat="1" x14ac:dyDescent="0.3"/>
    <row r="2" spans="2:5" s="103" customFormat="1" x14ac:dyDescent="0.3">
      <c r="B2" s="176" t="s">
        <v>2239</v>
      </c>
      <c r="D2" s="31"/>
    </row>
    <row r="3" spans="2:5" s="103" customFormat="1" x14ac:dyDescent="0.3">
      <c r="B3" s="103" t="s">
        <v>2318</v>
      </c>
      <c r="D3" s="31"/>
    </row>
    <row r="4" spans="2:5" s="103" customFormat="1" x14ac:dyDescent="0.3">
      <c r="D4" s="31"/>
    </row>
    <row r="5" spans="2:5" s="103" customFormat="1" x14ac:dyDescent="0.3">
      <c r="D5" s="5"/>
      <c r="E5" s="5"/>
    </row>
    <row r="6" spans="2:5" s="133" customFormat="1" x14ac:dyDescent="0.3">
      <c r="B6" s="148" t="s">
        <v>114</v>
      </c>
      <c r="D6" s="133" t="s">
        <v>1887</v>
      </c>
    </row>
    <row r="7" spans="2:5" s="133" customFormat="1" x14ac:dyDescent="0.3">
      <c r="B7" s="133" t="s">
        <v>667</v>
      </c>
      <c r="C7" s="133" t="s">
        <v>503</v>
      </c>
      <c r="D7" s="133">
        <v>37</v>
      </c>
    </row>
    <row r="8" spans="2:5" s="133" customFormat="1" x14ac:dyDescent="0.3">
      <c r="B8" s="133" t="s">
        <v>1324</v>
      </c>
      <c r="D8" s="133" t="s">
        <v>1091</v>
      </c>
    </row>
    <row r="9" spans="2:5" s="133" customFormat="1" x14ac:dyDescent="0.3">
      <c r="B9" s="133" t="s">
        <v>956</v>
      </c>
      <c r="C9" s="133" t="s">
        <v>22</v>
      </c>
      <c r="D9" s="133">
        <v>5</v>
      </c>
    </row>
    <row r="10" spans="2:5" s="133" customFormat="1" x14ac:dyDescent="0.3">
      <c r="B10" s="133" t="s">
        <v>32</v>
      </c>
      <c r="C10" s="133" t="s">
        <v>22</v>
      </c>
      <c r="D10" s="133">
        <v>4</v>
      </c>
    </row>
    <row r="11" spans="2:5" s="133" customFormat="1" x14ac:dyDescent="0.3">
      <c r="B11" s="133" t="s">
        <v>326</v>
      </c>
      <c r="D11" s="133" t="s">
        <v>1355</v>
      </c>
    </row>
    <row r="12" spans="2:5" s="133" customFormat="1" x14ac:dyDescent="0.3">
      <c r="B12" s="133" t="s">
        <v>344</v>
      </c>
      <c r="D12" s="133" t="s">
        <v>665</v>
      </c>
    </row>
    <row r="13" spans="2:5" s="133" customFormat="1" x14ac:dyDescent="0.3">
      <c r="B13" s="133" t="s">
        <v>1332</v>
      </c>
      <c r="D13" s="133" t="s">
        <v>1809</v>
      </c>
    </row>
    <row r="14" spans="2:5" s="133" customFormat="1" x14ac:dyDescent="0.3">
      <c r="B14" s="133" t="s">
        <v>1330</v>
      </c>
      <c r="D14" s="133" t="s">
        <v>1810</v>
      </c>
    </row>
    <row r="15" spans="2:5" s="133" customFormat="1" x14ac:dyDescent="0.3">
      <c r="B15" s="133" t="s">
        <v>1968</v>
      </c>
      <c r="D15" s="133" t="s">
        <v>2090</v>
      </c>
      <c r="E15" s="133" t="s">
        <v>1970</v>
      </c>
    </row>
    <row r="16" spans="2:5" s="133" customFormat="1" x14ac:dyDescent="0.3">
      <c r="B16" s="133" t="s">
        <v>1541</v>
      </c>
      <c r="D16" s="133" t="s">
        <v>1545</v>
      </c>
    </row>
    <row r="17" spans="2:32" s="133" customFormat="1" x14ac:dyDescent="0.3">
      <c r="B17" s="133" t="s">
        <v>1599</v>
      </c>
      <c r="D17" s="133" t="s">
        <v>2134</v>
      </c>
    </row>
    <row r="18" spans="2:32" s="133" customFormat="1" x14ac:dyDescent="0.3"/>
    <row r="19" spans="2:32" s="103" customFormat="1" x14ac:dyDescent="0.3">
      <c r="D19" s="31"/>
      <c r="E19" s="31"/>
    </row>
    <row r="20" spans="2:32" s="103" customFormat="1" x14ac:dyDescent="0.3">
      <c r="B20" s="95" t="s">
        <v>1883</v>
      </c>
      <c r="D20" s="103" t="s">
        <v>1939</v>
      </c>
      <c r="F20" s="133"/>
      <c r="G20" s="198" t="s">
        <v>2340</v>
      </c>
      <c r="H20" s="133"/>
      <c r="I20" s="133"/>
      <c r="J20" s="133"/>
      <c r="K20" s="133"/>
      <c r="L20" s="133"/>
    </row>
    <row r="21" spans="2:32" s="103" customFormat="1" x14ac:dyDescent="0.3">
      <c r="B21" s="133"/>
      <c r="C21" s="133"/>
      <c r="D21" s="133" t="s">
        <v>1884</v>
      </c>
      <c r="E21" s="133" t="s">
        <v>1885</v>
      </c>
      <c r="F21" s="133"/>
      <c r="G21" s="133"/>
      <c r="H21" s="133"/>
      <c r="I21" s="133"/>
      <c r="J21" s="133"/>
      <c r="K21" s="133"/>
      <c r="L21" s="133"/>
    </row>
    <row r="22" spans="2:32" s="103" customFormat="1" x14ac:dyDescent="0.3">
      <c r="B22" s="133"/>
      <c r="C22" s="133"/>
      <c r="D22" s="133" t="s">
        <v>1105</v>
      </c>
      <c r="E22" s="133" t="s">
        <v>1104</v>
      </c>
      <c r="F22" s="133"/>
      <c r="G22" s="133"/>
      <c r="H22" s="133"/>
      <c r="I22" s="133"/>
      <c r="J22" s="133"/>
      <c r="K22" s="133"/>
      <c r="L22" s="133"/>
    </row>
    <row r="23" spans="2:32" ht="15" thickBot="1" x14ac:dyDescent="0.35">
      <c r="B23" s="133"/>
      <c r="C23" s="133"/>
      <c r="D23" s="133" t="s">
        <v>2040</v>
      </c>
      <c r="E23" s="133"/>
      <c r="F23" s="133"/>
      <c r="G23" s="133"/>
      <c r="H23" s="133"/>
      <c r="I23" s="133"/>
      <c r="J23" s="133"/>
      <c r="K23" s="133"/>
      <c r="L23" s="133"/>
      <c r="M23" s="103"/>
      <c r="N23" s="103"/>
      <c r="O23" s="103"/>
      <c r="P23" s="103"/>
    </row>
    <row r="24" spans="2:32" x14ac:dyDescent="0.3">
      <c r="B24" s="202" t="s">
        <v>33</v>
      </c>
      <c r="C24" s="203" t="s">
        <v>270</v>
      </c>
      <c r="D24" s="533">
        <v>3</v>
      </c>
      <c r="E24" s="534">
        <v>3</v>
      </c>
      <c r="F24" s="198"/>
      <c r="G24" s="198"/>
      <c r="H24" s="133"/>
      <c r="I24" s="133"/>
      <c r="J24" s="133"/>
      <c r="K24" s="133"/>
      <c r="L24" s="133"/>
      <c r="M24" s="103"/>
      <c r="N24" s="103"/>
      <c r="O24" s="103"/>
      <c r="P24" s="103"/>
    </row>
    <row r="25" spans="2:32" x14ac:dyDescent="0.3">
      <c r="B25" s="205" t="s">
        <v>26</v>
      </c>
      <c r="C25" s="80" t="s">
        <v>25</v>
      </c>
      <c r="D25" s="217">
        <v>80.566666666666649</v>
      </c>
      <c r="E25" s="218">
        <v>80.566666666666649</v>
      </c>
      <c r="F25" s="198"/>
      <c r="G25" s="198"/>
      <c r="H25" s="133"/>
      <c r="I25" s="133"/>
      <c r="J25" s="133"/>
      <c r="K25" s="133"/>
      <c r="L25" s="133"/>
      <c r="M25" s="103"/>
      <c r="N25" s="103"/>
      <c r="O25" s="103"/>
      <c r="P25" s="103"/>
    </row>
    <row r="26" spans="2:32" x14ac:dyDescent="0.3">
      <c r="B26" s="205" t="s">
        <v>558</v>
      </c>
      <c r="C26" s="80" t="s">
        <v>47</v>
      </c>
      <c r="D26" s="215">
        <v>0.28177078769069974</v>
      </c>
      <c r="E26" s="216">
        <v>0.12042881399660597</v>
      </c>
      <c r="F26" s="134"/>
      <c r="G26" s="134"/>
      <c r="H26" s="133"/>
      <c r="I26" s="133"/>
      <c r="J26" s="133"/>
      <c r="K26" s="133"/>
      <c r="L26" s="133"/>
      <c r="M26" s="103"/>
      <c r="N26" s="103"/>
      <c r="O26" s="103"/>
      <c r="P26" s="103"/>
    </row>
    <row r="27" spans="2:32" x14ac:dyDescent="0.3">
      <c r="B27" s="205" t="s">
        <v>52</v>
      </c>
      <c r="C27" s="80" t="s">
        <v>693</v>
      </c>
      <c r="D27" s="215">
        <v>5.4273203419354834</v>
      </c>
      <c r="E27" s="216">
        <v>5.8825777894736833</v>
      </c>
      <c r="F27" s="134"/>
      <c r="G27" s="134"/>
      <c r="H27" s="133"/>
      <c r="I27" s="133"/>
      <c r="J27" s="133"/>
      <c r="K27" s="133"/>
      <c r="L27" s="133"/>
      <c r="M27" s="103"/>
      <c r="N27" s="103"/>
      <c r="O27" s="103"/>
      <c r="P27" s="103"/>
    </row>
    <row r="28" spans="2:32" x14ac:dyDescent="0.3">
      <c r="B28" s="205" t="s">
        <v>35</v>
      </c>
      <c r="C28" s="80"/>
      <c r="D28" s="215">
        <v>8.1366666666666685</v>
      </c>
      <c r="E28" s="216">
        <v>8.0666666666666682</v>
      </c>
      <c r="F28" s="134"/>
      <c r="G28" s="134"/>
      <c r="H28" s="133"/>
      <c r="I28" s="133"/>
      <c r="J28" s="133"/>
      <c r="K28" s="133"/>
      <c r="L28" s="133"/>
      <c r="M28" s="103"/>
      <c r="N28" s="103"/>
      <c r="O28" s="103"/>
      <c r="P28" s="103"/>
    </row>
    <row r="29" spans="2:32" x14ac:dyDescent="0.3">
      <c r="B29" s="205" t="s">
        <v>351</v>
      </c>
      <c r="C29" s="80" t="s">
        <v>377</v>
      </c>
      <c r="D29" s="215">
        <v>0.71877462461332353</v>
      </c>
      <c r="E29" s="216">
        <v>0.44639286934011152</v>
      </c>
      <c r="F29" s="134"/>
      <c r="G29" s="134"/>
      <c r="H29" s="133"/>
      <c r="I29" s="133"/>
      <c r="J29" s="133"/>
      <c r="K29" s="133"/>
      <c r="L29" s="133"/>
      <c r="M29" s="103"/>
      <c r="N29" s="103"/>
      <c r="O29" s="103"/>
      <c r="P29" s="103"/>
      <c r="R29" s="133"/>
      <c r="S29" s="133"/>
      <c r="T29" s="133"/>
      <c r="U29" s="133"/>
      <c r="V29" s="133"/>
      <c r="W29" s="133"/>
      <c r="X29" s="133"/>
      <c r="Y29" s="133"/>
      <c r="Z29" s="133"/>
      <c r="AA29" s="133"/>
      <c r="AB29" s="133"/>
      <c r="AC29" s="133"/>
      <c r="AD29" s="133"/>
      <c r="AE29" s="133"/>
      <c r="AF29" s="133"/>
    </row>
    <row r="30" spans="2:32" x14ac:dyDescent="0.3">
      <c r="B30" s="205" t="s">
        <v>3</v>
      </c>
      <c r="C30" s="80" t="s">
        <v>302</v>
      </c>
      <c r="D30" s="217">
        <v>74.41</v>
      </c>
      <c r="E30" s="216">
        <v>61.820833333333333</v>
      </c>
      <c r="F30" s="198"/>
      <c r="G30" s="134"/>
      <c r="H30" s="133"/>
      <c r="I30" s="133"/>
      <c r="J30" s="133"/>
      <c r="K30" s="133"/>
      <c r="L30" s="133"/>
      <c r="M30" s="103"/>
      <c r="N30" s="103"/>
      <c r="O30" s="103"/>
      <c r="P30" s="103"/>
      <c r="Q30" s="133"/>
      <c r="R30" s="133"/>
      <c r="S30" s="133"/>
      <c r="T30" s="133"/>
      <c r="U30" s="133"/>
      <c r="V30" s="133"/>
      <c r="W30" s="133"/>
      <c r="X30" s="133"/>
      <c r="Y30" s="133"/>
      <c r="Z30" s="133"/>
      <c r="AA30" s="133"/>
      <c r="AB30" s="133"/>
      <c r="AC30" s="133"/>
      <c r="AD30" s="133"/>
      <c r="AE30" s="133"/>
      <c r="AF30" s="133"/>
    </row>
    <row r="31" spans="2:32" x14ac:dyDescent="0.3">
      <c r="B31" s="205" t="s">
        <v>277</v>
      </c>
      <c r="C31" s="80" t="s">
        <v>302</v>
      </c>
      <c r="D31" s="217">
        <v>17.908333333333335</v>
      </c>
      <c r="E31" s="216">
        <v>36.340000000000003</v>
      </c>
      <c r="F31" s="198"/>
      <c r="G31" s="134"/>
      <c r="H31" s="133"/>
      <c r="I31" s="133"/>
      <c r="J31" s="133"/>
      <c r="K31" s="133"/>
      <c r="L31" s="133"/>
      <c r="M31" s="103"/>
      <c r="N31" s="103"/>
      <c r="O31" s="103"/>
      <c r="P31" s="103"/>
      <c r="Q31" s="133"/>
      <c r="R31" s="133"/>
      <c r="S31" s="133"/>
      <c r="T31" s="133"/>
      <c r="U31" s="133"/>
      <c r="V31" s="133"/>
      <c r="W31" s="133"/>
      <c r="X31" s="133"/>
      <c r="Y31" s="133"/>
      <c r="Z31" s="133"/>
      <c r="AA31" s="133"/>
      <c r="AB31" s="133"/>
      <c r="AC31" s="133"/>
      <c r="AD31" s="133"/>
      <c r="AE31" s="133"/>
      <c r="AF31" s="133"/>
    </row>
    <row r="32" spans="2:32" x14ac:dyDescent="0.3">
      <c r="B32" s="205" t="s">
        <v>13</v>
      </c>
      <c r="C32" s="80" t="s">
        <v>302</v>
      </c>
      <c r="D32" s="217">
        <v>9.6444444444444457</v>
      </c>
      <c r="E32" s="206"/>
      <c r="F32" s="198"/>
      <c r="G32" s="133"/>
      <c r="H32" s="133"/>
      <c r="I32" s="133"/>
      <c r="J32" s="133"/>
      <c r="K32" s="133"/>
      <c r="L32" s="133"/>
      <c r="M32" s="103"/>
      <c r="N32" s="103"/>
      <c r="O32" s="103"/>
      <c r="P32" s="103"/>
      <c r="Q32" s="133"/>
      <c r="R32" s="133"/>
      <c r="S32" s="133"/>
      <c r="T32" s="133"/>
      <c r="U32" s="133"/>
      <c r="V32" s="133"/>
      <c r="W32" s="133"/>
      <c r="X32" s="133"/>
      <c r="Y32" s="133"/>
      <c r="Z32" s="133"/>
      <c r="AA32" s="133"/>
      <c r="AB32" s="133"/>
      <c r="AC32" s="133"/>
      <c r="AD32" s="133"/>
      <c r="AE32" s="133"/>
      <c r="AF32" s="133"/>
    </row>
    <row r="33" spans="1:32" x14ac:dyDescent="0.3">
      <c r="B33" s="205" t="s">
        <v>321</v>
      </c>
      <c r="C33" s="80" t="s">
        <v>338</v>
      </c>
      <c r="D33" s="215">
        <v>2.4181818181818175</v>
      </c>
      <c r="E33" s="206"/>
      <c r="F33" s="134"/>
      <c r="G33" s="133" t="s">
        <v>2341</v>
      </c>
      <c r="H33" s="133"/>
      <c r="I33" s="133"/>
      <c r="J33" s="133"/>
      <c r="K33" s="133"/>
      <c r="L33" s="133"/>
      <c r="M33" s="103"/>
      <c r="N33" s="103"/>
      <c r="O33" s="103"/>
      <c r="P33" s="103"/>
      <c r="Q33" s="133"/>
      <c r="R33" s="133"/>
      <c r="S33" s="133"/>
      <c r="T33" s="133"/>
      <c r="U33" s="133"/>
      <c r="V33" s="133"/>
      <c r="W33" s="133"/>
      <c r="X33" s="133"/>
      <c r="Y33" s="133"/>
      <c r="Z33" s="133"/>
      <c r="AA33" s="133"/>
      <c r="AB33" s="133"/>
      <c r="AC33" s="133"/>
      <c r="AD33" s="133"/>
      <c r="AE33" s="133"/>
      <c r="AF33" s="133"/>
    </row>
    <row r="34" spans="1:32" ht="15" thickBot="1" x14ac:dyDescent="0.35">
      <c r="B34" s="209" t="s">
        <v>293</v>
      </c>
      <c r="C34" s="210" t="s">
        <v>338</v>
      </c>
      <c r="D34" s="221">
        <v>1.9404215008193262</v>
      </c>
      <c r="E34" s="239">
        <v>1.316780266295138</v>
      </c>
      <c r="F34" s="134"/>
      <c r="G34" s="133" t="s">
        <v>71</v>
      </c>
      <c r="H34" s="133"/>
      <c r="I34" s="133"/>
      <c r="J34" s="133"/>
      <c r="K34" s="133"/>
      <c r="L34" s="133"/>
      <c r="M34" s="103"/>
      <c r="N34" s="103"/>
      <c r="O34" s="103"/>
      <c r="P34" s="103"/>
      <c r="Q34" s="133"/>
      <c r="R34" s="133"/>
      <c r="S34" s="133"/>
      <c r="T34" s="133"/>
      <c r="U34" s="133"/>
      <c r="V34" s="133"/>
      <c r="W34" s="133"/>
      <c r="X34" s="133"/>
      <c r="Y34" s="133"/>
      <c r="Z34" s="133"/>
      <c r="AA34" s="133"/>
      <c r="AB34" s="133"/>
      <c r="AC34" s="133"/>
      <c r="AD34" s="133"/>
      <c r="AE34" s="133"/>
      <c r="AF34" s="133"/>
    </row>
    <row r="35" spans="1:32" x14ac:dyDescent="0.3">
      <c r="B35" s="133" t="s">
        <v>40</v>
      </c>
      <c r="C35" s="133" t="s">
        <v>338</v>
      </c>
      <c r="D35" s="134">
        <f t="shared" ref="D35:E35" si="0">D24*D29</f>
        <v>2.1563238738399706</v>
      </c>
      <c r="E35" s="134">
        <f t="shared" si="0"/>
        <v>1.3391786080203345</v>
      </c>
      <c r="F35" s="134"/>
      <c r="G35" s="26" t="s">
        <v>2041</v>
      </c>
      <c r="H35" s="133"/>
      <c r="I35" s="133"/>
      <c r="J35" s="133"/>
      <c r="K35" s="133"/>
      <c r="L35" s="133"/>
      <c r="M35" s="103"/>
      <c r="N35" s="103"/>
      <c r="O35" s="103"/>
      <c r="P35" s="103"/>
      <c r="Q35" s="133"/>
      <c r="R35" s="133"/>
      <c r="S35" s="133"/>
      <c r="T35" s="133"/>
      <c r="U35" s="133"/>
      <c r="V35" s="133"/>
      <c r="W35" s="133"/>
      <c r="X35" s="133"/>
      <c r="Y35" s="133"/>
      <c r="Z35" s="133"/>
      <c r="AA35" s="133"/>
      <c r="AB35" s="133"/>
      <c r="AC35" s="133"/>
      <c r="AD35" s="133"/>
      <c r="AE35" s="133"/>
      <c r="AF35" s="133"/>
    </row>
    <row r="36" spans="1:32" x14ac:dyDescent="0.3">
      <c r="B36" s="133" t="s">
        <v>1082</v>
      </c>
      <c r="C36" s="133" t="s">
        <v>338</v>
      </c>
      <c r="D36" s="134">
        <f>D34*D31/D30</f>
        <v>0.46700329315736377</v>
      </c>
      <c r="E36" s="134">
        <f>E34*E31/E30</f>
        <v>0.77403995218168609</v>
      </c>
      <c r="F36" s="134"/>
      <c r="G36" s="134"/>
      <c r="H36" s="133"/>
      <c r="I36" s="133"/>
      <c r="J36" s="133"/>
      <c r="K36" s="133"/>
      <c r="L36" s="133"/>
      <c r="M36" s="103"/>
      <c r="N36" s="103"/>
      <c r="O36" s="103"/>
      <c r="P36" s="103"/>
      <c r="Q36" s="133"/>
      <c r="R36" s="133"/>
      <c r="S36" s="133"/>
      <c r="T36" s="133"/>
      <c r="U36" s="133"/>
      <c r="V36" s="133"/>
      <c r="W36" s="133"/>
      <c r="X36" s="133"/>
      <c r="Y36" s="133"/>
      <c r="Z36" s="133"/>
      <c r="AA36" s="133"/>
      <c r="AB36" s="133"/>
      <c r="AC36" s="133"/>
      <c r="AD36" s="133"/>
      <c r="AE36" s="133"/>
      <c r="AF36" s="133"/>
    </row>
    <row r="37" spans="1:32" s="133" customFormat="1" x14ac:dyDescent="0.3">
      <c r="B37" s="133" t="s">
        <v>308</v>
      </c>
      <c r="C37" s="133" t="s">
        <v>338</v>
      </c>
      <c r="D37" s="134">
        <f>D34+D36</f>
        <v>2.40742479397669</v>
      </c>
      <c r="E37" s="134">
        <f>E34+E36</f>
        <v>2.0908202184768241</v>
      </c>
      <c r="F37" s="198"/>
      <c r="G37" s="198"/>
      <c r="M37" s="103"/>
      <c r="N37" s="103"/>
      <c r="O37" s="103"/>
      <c r="P37" s="103"/>
    </row>
    <row r="38" spans="1:32" x14ac:dyDescent="0.3">
      <c r="A38" s="133"/>
      <c r="B38" s="6" t="s">
        <v>40</v>
      </c>
      <c r="C38" s="133" t="s">
        <v>302</v>
      </c>
      <c r="D38" s="198">
        <f>SUM(D30:D32)</f>
        <v>101.96277777777777</v>
      </c>
      <c r="E38" s="198">
        <f>SUM(E30:E32)</f>
        <v>98.160833333333329</v>
      </c>
      <c r="F38" s="134"/>
      <c r="G38" s="134"/>
      <c r="H38" s="133"/>
      <c r="I38" s="133"/>
      <c r="J38" s="133"/>
      <c r="K38" s="133"/>
      <c r="L38" s="133"/>
      <c r="M38" s="103"/>
      <c r="N38" s="103"/>
      <c r="O38" s="103"/>
      <c r="P38" s="103"/>
      <c r="Q38" s="133"/>
      <c r="R38" s="133"/>
      <c r="S38" s="133"/>
      <c r="T38" s="133"/>
      <c r="U38" s="133"/>
      <c r="V38" s="133"/>
      <c r="W38" s="133"/>
      <c r="X38" s="133"/>
      <c r="Y38" s="133"/>
      <c r="Z38" s="133"/>
      <c r="AA38" s="133"/>
      <c r="AB38" s="133"/>
      <c r="AC38" s="133"/>
      <c r="AD38" s="133"/>
      <c r="AE38" s="133"/>
      <c r="AF38" s="133"/>
    </row>
    <row r="39" spans="1:32" x14ac:dyDescent="0.3">
      <c r="A39" s="133"/>
      <c r="B39" s="133" t="s">
        <v>323</v>
      </c>
      <c r="C39" s="133" t="s">
        <v>338</v>
      </c>
      <c r="D39" s="134">
        <f>D34*D32/D30</f>
        <v>0.25150231640179421</v>
      </c>
      <c r="E39" s="134"/>
      <c r="F39" s="134"/>
      <c r="G39" s="133"/>
      <c r="H39" s="133"/>
      <c r="I39" s="133"/>
      <c r="J39" s="133"/>
      <c r="K39" s="133"/>
      <c r="L39" s="133"/>
      <c r="M39" s="134"/>
      <c r="Q39" s="133"/>
      <c r="R39" s="133"/>
      <c r="S39" s="133"/>
      <c r="T39" s="133"/>
      <c r="U39" s="133"/>
      <c r="V39" s="133"/>
      <c r="W39" s="133"/>
      <c r="X39" s="133"/>
      <c r="Y39" s="133"/>
      <c r="Z39" s="133"/>
      <c r="AA39" s="133"/>
      <c r="AB39" s="133"/>
      <c r="AC39" s="133"/>
      <c r="AD39" s="133"/>
      <c r="AE39" s="133"/>
      <c r="AF39" s="133"/>
    </row>
    <row r="40" spans="1:32" x14ac:dyDescent="0.3">
      <c r="A40" s="133"/>
      <c r="B40" s="133" t="s">
        <v>433</v>
      </c>
      <c r="C40" s="133" t="s">
        <v>338</v>
      </c>
      <c r="D40" s="134">
        <f>D33-D39</f>
        <v>2.1666795017800231</v>
      </c>
      <c r="E40" s="133"/>
      <c r="F40" s="134"/>
      <c r="G40" s="133"/>
      <c r="H40" s="133"/>
      <c r="I40" s="133"/>
      <c r="J40" s="133"/>
      <c r="K40" s="133"/>
      <c r="L40" s="133"/>
      <c r="M40" s="133"/>
    </row>
    <row r="41" spans="1:32" x14ac:dyDescent="0.3">
      <c r="A41" s="148"/>
      <c r="B41" s="148" t="s">
        <v>460</v>
      </c>
      <c r="C41" s="133" t="s">
        <v>338</v>
      </c>
      <c r="D41" s="134">
        <f>D40/4</f>
        <v>0.54166987544500578</v>
      </c>
      <c r="E41" s="133"/>
      <c r="F41" s="134"/>
      <c r="G41" s="133"/>
      <c r="H41" s="133"/>
      <c r="I41" s="133"/>
      <c r="J41" s="133"/>
      <c r="K41" s="133"/>
      <c r="L41" s="133"/>
      <c r="M41" s="133"/>
    </row>
    <row r="42" spans="1:32" x14ac:dyDescent="0.3">
      <c r="A42" s="148"/>
      <c r="B42" s="148" t="s">
        <v>402</v>
      </c>
      <c r="C42" s="133" t="s">
        <v>338</v>
      </c>
      <c r="D42" s="134">
        <f>D34-E34</f>
        <v>0.62364123452418818</v>
      </c>
      <c r="E42" s="133"/>
      <c r="F42" s="134"/>
      <c r="G42" s="133"/>
      <c r="H42" s="133"/>
      <c r="I42" s="133"/>
      <c r="J42" s="133"/>
      <c r="K42" s="133"/>
      <c r="L42" s="133"/>
      <c r="M42" s="133"/>
    </row>
    <row r="43" spans="1:32" x14ac:dyDescent="0.3">
      <c r="A43" s="148"/>
      <c r="B43" s="148" t="s">
        <v>2086</v>
      </c>
      <c r="C43" s="133" t="s">
        <v>338</v>
      </c>
      <c r="D43" s="134">
        <f>E36-D36</f>
        <v>0.30703665902432231</v>
      </c>
      <c r="E43" s="133"/>
      <c r="F43" s="134"/>
      <c r="G43" s="133"/>
      <c r="H43" s="133"/>
      <c r="I43" s="133"/>
      <c r="J43" s="133"/>
      <c r="K43" s="133"/>
      <c r="L43" s="133"/>
      <c r="M43" s="133"/>
    </row>
    <row r="44" spans="1:32" x14ac:dyDescent="0.3">
      <c r="A44" s="148"/>
      <c r="B44" s="148" t="s">
        <v>93</v>
      </c>
      <c r="C44" s="133"/>
      <c r="D44" s="134">
        <f>D33/E36</f>
        <v>3.1241046555361929</v>
      </c>
      <c r="E44" s="133"/>
      <c r="F44" s="134"/>
      <c r="G44" s="133"/>
      <c r="H44" s="133"/>
      <c r="I44" s="133"/>
      <c r="J44" s="133"/>
      <c r="K44" s="133"/>
      <c r="L44" s="133"/>
      <c r="M44" s="133"/>
    </row>
    <row r="45" spans="1:32" x14ac:dyDescent="0.3">
      <c r="A45" s="148"/>
      <c r="B45" s="148" t="s">
        <v>462</v>
      </c>
      <c r="C45" s="133"/>
      <c r="D45" s="134">
        <f>D40/D33</f>
        <v>0.89599528269098727</v>
      </c>
      <c r="E45" s="133"/>
      <c r="F45" s="134"/>
      <c r="G45" s="133"/>
      <c r="H45" s="133"/>
      <c r="I45" s="133"/>
      <c r="J45" s="133"/>
      <c r="K45" s="133"/>
      <c r="L45" s="133"/>
      <c r="M45" s="133"/>
    </row>
    <row r="46" spans="1:32" x14ac:dyDescent="0.3">
      <c r="A46" s="148"/>
      <c r="B46" s="148" t="s">
        <v>2085</v>
      </c>
      <c r="C46" s="133"/>
      <c r="D46" s="134">
        <f>D42/D41</f>
        <v>1.1513308433699387</v>
      </c>
      <c r="E46" s="133"/>
      <c r="F46" s="134"/>
      <c r="G46" s="133"/>
      <c r="H46" s="133"/>
      <c r="I46" s="133"/>
      <c r="J46" s="133"/>
      <c r="K46" s="133"/>
      <c r="L46" s="133"/>
      <c r="M46" s="133"/>
    </row>
    <row r="47" spans="1:32" x14ac:dyDescent="0.3">
      <c r="A47" s="148"/>
      <c r="B47" s="148" t="s">
        <v>2087</v>
      </c>
      <c r="C47" s="133"/>
      <c r="D47" s="134">
        <f>D43/D41</f>
        <v>0.56683355110357225</v>
      </c>
      <c r="E47" s="133"/>
      <c r="F47" s="134"/>
      <c r="G47" s="133"/>
      <c r="H47" s="133"/>
      <c r="I47" s="133"/>
      <c r="J47" s="133"/>
      <c r="K47" s="133"/>
      <c r="L47" s="133"/>
      <c r="M47" s="133"/>
    </row>
    <row r="48" spans="1:32" x14ac:dyDescent="0.3">
      <c r="A48" s="148"/>
      <c r="B48" s="148" t="s">
        <v>2088</v>
      </c>
      <c r="C48" s="133"/>
      <c r="D48" s="134">
        <f>D42/D43</f>
        <v>2.0311621306261856</v>
      </c>
      <c r="E48" s="133"/>
      <c r="F48" s="134"/>
      <c r="G48" s="134"/>
      <c r="H48" s="134"/>
      <c r="I48" s="134"/>
      <c r="J48" s="134"/>
      <c r="K48" s="134"/>
      <c r="L48" s="134"/>
      <c r="M48" s="134"/>
      <c r="N48" s="134"/>
      <c r="O48" s="134"/>
      <c r="P48" s="134"/>
      <c r="Q48" s="134"/>
      <c r="R48" s="134"/>
      <c r="S48" s="134"/>
      <c r="T48" s="134"/>
      <c r="U48" s="134"/>
      <c r="V48" s="134"/>
    </row>
    <row r="49" spans="1:22" s="133" customFormat="1" x14ac:dyDescent="0.3">
      <c r="A49" s="148"/>
      <c r="B49" s="148" t="s">
        <v>2096</v>
      </c>
      <c r="C49" s="133" t="s">
        <v>92</v>
      </c>
      <c r="D49" s="134">
        <f>D42/E36</f>
        <v>0.80569644081860559</v>
      </c>
      <c r="E49" s="134"/>
      <c r="F49" s="134"/>
      <c r="G49" s="134"/>
      <c r="H49" s="134"/>
      <c r="I49" s="134"/>
      <c r="J49" s="134"/>
      <c r="K49" s="134"/>
      <c r="L49" s="134"/>
      <c r="M49" s="134"/>
      <c r="N49" s="134"/>
      <c r="O49" s="134"/>
      <c r="P49" s="134"/>
      <c r="Q49" s="134"/>
      <c r="R49" s="134"/>
      <c r="S49" s="134"/>
      <c r="T49" s="134"/>
      <c r="U49" s="134"/>
      <c r="V49" s="134"/>
    </row>
    <row r="50" spans="1:22" s="133" customFormat="1" x14ac:dyDescent="0.3">
      <c r="A50" s="148"/>
      <c r="B50" s="148" t="s">
        <v>2097</v>
      </c>
      <c r="C50" s="133" t="s">
        <v>92</v>
      </c>
      <c r="D50" s="134">
        <f>D37/E37</f>
        <v>1.1514260158295744</v>
      </c>
      <c r="E50" s="134"/>
      <c r="F50" s="134"/>
      <c r="G50" s="134"/>
      <c r="H50" s="134"/>
      <c r="I50" s="134"/>
      <c r="J50" s="134"/>
      <c r="K50" s="134"/>
      <c r="L50" s="134"/>
      <c r="M50" s="134"/>
      <c r="N50" s="134"/>
      <c r="O50" s="134"/>
      <c r="P50" s="134"/>
      <c r="Q50" s="134"/>
      <c r="R50" s="134"/>
      <c r="S50" s="134"/>
      <c r="T50" s="134"/>
      <c r="U50" s="134"/>
      <c r="V50" s="134"/>
    </row>
    <row r="51" spans="1:22" x14ac:dyDescent="0.3">
      <c r="A51" s="148"/>
      <c r="B51" s="148" t="s">
        <v>2081</v>
      </c>
      <c r="C51" s="133"/>
      <c r="D51" s="134">
        <f>D40/D42</f>
        <v>3.4742402872592408</v>
      </c>
      <c r="E51" s="133"/>
      <c r="F51" s="134"/>
      <c r="G51" s="134"/>
      <c r="H51" s="134"/>
      <c r="I51" s="134"/>
      <c r="J51" s="134"/>
      <c r="K51" s="134"/>
      <c r="L51" s="134"/>
      <c r="M51" s="134"/>
      <c r="N51" s="134"/>
      <c r="O51" s="134"/>
      <c r="P51" s="134"/>
      <c r="Q51" s="134"/>
      <c r="R51" s="134"/>
      <c r="S51" s="134"/>
      <c r="T51" s="134"/>
      <c r="U51" s="134"/>
      <c r="V51" s="134"/>
    </row>
    <row r="52" spans="1:22" x14ac:dyDescent="0.3">
      <c r="A52" s="148"/>
      <c r="B52" s="148" t="s">
        <v>2137</v>
      </c>
      <c r="C52" s="133"/>
      <c r="D52" s="134">
        <f>D40/D43</f>
        <v>7.0567453041768111</v>
      </c>
      <c r="E52" s="133"/>
      <c r="F52" s="134"/>
      <c r="G52" s="134"/>
      <c r="H52" s="134"/>
      <c r="I52" s="134"/>
      <c r="J52" s="134"/>
      <c r="K52" s="134"/>
      <c r="L52" s="134"/>
      <c r="M52" s="134"/>
      <c r="N52" s="134"/>
      <c r="O52" s="134"/>
      <c r="P52" s="134"/>
      <c r="Q52" s="134"/>
      <c r="R52" s="134"/>
      <c r="S52" s="134"/>
      <c r="T52" s="134"/>
      <c r="U52" s="134"/>
      <c r="V52" s="134"/>
    </row>
    <row r="53" spans="1:22" x14ac:dyDescent="0.3">
      <c r="B53" s="148"/>
      <c r="C53" s="133"/>
      <c r="D53" s="133"/>
      <c r="E53" s="133"/>
    </row>
    <row r="54" spans="1:22" x14ac:dyDescent="0.3">
      <c r="B54" s="40" t="s">
        <v>359</v>
      </c>
      <c r="C54" s="103"/>
      <c r="D54" s="133"/>
      <c r="E54" s="133"/>
    </row>
    <row r="55" spans="1:22" x14ac:dyDescent="0.3">
      <c r="B55" s="103" t="s">
        <v>1795</v>
      </c>
      <c r="C55" s="103"/>
      <c r="D55" s="133" t="s">
        <v>2134</v>
      </c>
      <c r="E55" s="66" t="s">
        <v>1686</v>
      </c>
    </row>
    <row r="56" spans="1:22" x14ac:dyDescent="0.3">
      <c r="B56" s="103" t="s">
        <v>1791</v>
      </c>
      <c r="C56" s="103"/>
      <c r="D56" s="133" t="s">
        <v>1104</v>
      </c>
      <c r="E56" s="133" t="s">
        <v>1105</v>
      </c>
    </row>
    <row r="57" spans="1:22" x14ac:dyDescent="0.3">
      <c r="B57" s="103" t="s">
        <v>33</v>
      </c>
      <c r="C57" s="103" t="s">
        <v>270</v>
      </c>
      <c r="D57" s="8">
        <f>E24</f>
        <v>3</v>
      </c>
      <c r="E57" s="8">
        <f>D24</f>
        <v>3</v>
      </c>
    </row>
    <row r="58" spans="1:22" x14ac:dyDescent="0.3">
      <c r="B58" s="103" t="s">
        <v>26</v>
      </c>
      <c r="C58" s="103" t="s">
        <v>25</v>
      </c>
      <c r="D58" s="8">
        <f>E25</f>
        <v>80.566666666666649</v>
      </c>
      <c r="E58" s="8">
        <f>D25</f>
        <v>80.566666666666649</v>
      </c>
    </row>
    <row r="59" spans="1:22" x14ac:dyDescent="0.3">
      <c r="B59" s="148" t="s">
        <v>1544</v>
      </c>
      <c r="C59" s="133" t="s">
        <v>338</v>
      </c>
      <c r="E59" s="134">
        <f>D33</f>
        <v>2.4181818181818175</v>
      </c>
      <c r="F59" s="133"/>
      <c r="G59" s="133"/>
      <c r="H59" s="134"/>
      <c r="L59" s="134"/>
      <c r="M59" s="133"/>
    </row>
    <row r="60" spans="1:22" x14ac:dyDescent="0.3">
      <c r="B60" s="103" t="s">
        <v>351</v>
      </c>
      <c r="C60" s="103" t="s">
        <v>377</v>
      </c>
      <c r="D60" s="10">
        <f>E29</f>
        <v>0.44639286934011152</v>
      </c>
      <c r="E60" s="10">
        <f>D29</f>
        <v>0.71877462461332353</v>
      </c>
    </row>
    <row r="61" spans="1:22" x14ac:dyDescent="0.3">
      <c r="B61" s="103" t="s">
        <v>352</v>
      </c>
      <c r="C61" s="103" t="s">
        <v>377</v>
      </c>
      <c r="D61" s="133"/>
      <c r="E61" s="10">
        <f>E60-D60</f>
        <v>0.27238175527321201</v>
      </c>
    </row>
    <row r="62" spans="1:22" x14ac:dyDescent="0.3">
      <c r="B62" s="103" t="s">
        <v>383</v>
      </c>
      <c r="C62" s="103" t="s">
        <v>92</v>
      </c>
      <c r="D62" s="133"/>
      <c r="E62" s="10">
        <f>E61/D60</f>
        <v>0.61018392985502967</v>
      </c>
    </row>
    <row r="63" spans="1:22" x14ac:dyDescent="0.3">
      <c r="B63" s="103" t="s">
        <v>293</v>
      </c>
      <c r="C63" s="103" t="s">
        <v>338</v>
      </c>
      <c r="D63" s="134">
        <f>E34</f>
        <v>1.316780266295138</v>
      </c>
      <c r="E63" s="134">
        <f>D34</f>
        <v>1.9404215008193262</v>
      </c>
    </row>
    <row r="64" spans="1:22" x14ac:dyDescent="0.3">
      <c r="B64" s="103" t="s">
        <v>402</v>
      </c>
      <c r="C64" s="103" t="s">
        <v>338</v>
      </c>
      <c r="D64" s="133"/>
      <c r="E64" s="134">
        <f>E63-D63</f>
        <v>0.62364123452418818</v>
      </c>
    </row>
    <row r="65" spans="1:11" x14ac:dyDescent="0.3">
      <c r="B65" s="133" t="s">
        <v>3</v>
      </c>
      <c r="C65" s="133" t="s">
        <v>302</v>
      </c>
      <c r="D65" s="8">
        <f>E30</f>
        <v>61.820833333333333</v>
      </c>
      <c r="E65" s="8">
        <f>D30</f>
        <v>74.41</v>
      </c>
    </row>
    <row r="66" spans="1:11" x14ac:dyDescent="0.3">
      <c r="B66" s="133" t="s">
        <v>277</v>
      </c>
      <c r="C66" s="133" t="s">
        <v>302</v>
      </c>
      <c r="D66" s="8">
        <f>E31</f>
        <v>36.340000000000003</v>
      </c>
      <c r="E66" s="8">
        <f>D31</f>
        <v>17.908333333333335</v>
      </c>
    </row>
    <row r="67" spans="1:11" x14ac:dyDescent="0.3">
      <c r="B67" s="133" t="s">
        <v>13</v>
      </c>
      <c r="C67" s="133" t="s">
        <v>302</v>
      </c>
      <c r="D67" s="8">
        <f>E32</f>
        <v>0</v>
      </c>
      <c r="E67" s="8">
        <f>D32</f>
        <v>9.6444444444444457</v>
      </c>
    </row>
    <row r="68" spans="1:11" x14ac:dyDescent="0.3">
      <c r="B68" s="103" t="s">
        <v>35</v>
      </c>
      <c r="C68" s="103"/>
      <c r="D68" s="134">
        <f>E28</f>
        <v>8.0666666666666682</v>
      </c>
      <c r="E68" s="134">
        <f>D28</f>
        <v>8.1366666666666685</v>
      </c>
    </row>
    <row r="69" spans="1:11" x14ac:dyDescent="0.3">
      <c r="B69" s="103" t="s">
        <v>52</v>
      </c>
      <c r="C69" s="103" t="s">
        <v>621</v>
      </c>
      <c r="D69" s="134">
        <f>D27/Data!$C$34</f>
        <v>0.38748030170814562</v>
      </c>
      <c r="E69" s="134">
        <f>E27/Data!$C$34</f>
        <v>0.4199831358902299</v>
      </c>
    </row>
    <row r="70" spans="1:11" x14ac:dyDescent="0.3">
      <c r="B70" s="103" t="s">
        <v>558</v>
      </c>
      <c r="C70" s="103" t="s">
        <v>621</v>
      </c>
      <c r="D70" s="133" t="s">
        <v>1886</v>
      </c>
      <c r="E70" s="133" t="s">
        <v>1886</v>
      </c>
    </row>
    <row r="71" spans="1:11" x14ac:dyDescent="0.3">
      <c r="B71" s="103"/>
      <c r="C71" s="103"/>
      <c r="D71" s="133"/>
      <c r="E71" s="133"/>
    </row>
    <row r="72" spans="1:11" x14ac:dyDescent="0.3">
      <c r="A72" s="103"/>
      <c r="B72" s="103"/>
      <c r="C72" s="103"/>
      <c r="D72" s="31"/>
      <c r="E72" s="31"/>
      <c r="F72" s="103"/>
      <c r="G72" s="103"/>
      <c r="H72" s="103"/>
      <c r="I72" s="103"/>
      <c r="J72" s="103"/>
      <c r="K72" s="103"/>
    </row>
    <row r="73" spans="1:11" x14ac:dyDescent="0.3">
      <c r="B73" s="176" t="s">
        <v>2239</v>
      </c>
    </row>
    <row r="74" spans="1:11" x14ac:dyDescent="0.3">
      <c r="B74" s="103" t="s">
        <v>2319</v>
      </c>
    </row>
    <row r="76" spans="1:11" s="133" customFormat="1" x14ac:dyDescent="0.3">
      <c r="B76" s="148" t="s">
        <v>114</v>
      </c>
      <c r="D76" s="133" t="s">
        <v>2140</v>
      </c>
      <c r="E76" s="133" t="s">
        <v>1735</v>
      </c>
    </row>
    <row r="77" spans="1:11" s="133" customFormat="1" x14ac:dyDescent="0.3">
      <c r="B77" s="133" t="s">
        <v>667</v>
      </c>
      <c r="C77" s="133" t="s">
        <v>503</v>
      </c>
      <c r="D77" s="133">
        <v>37</v>
      </c>
    </row>
    <row r="78" spans="1:11" s="133" customFormat="1" x14ac:dyDescent="0.3">
      <c r="B78" s="133" t="s">
        <v>1324</v>
      </c>
      <c r="D78" s="133" t="s">
        <v>1091</v>
      </c>
    </row>
    <row r="79" spans="1:11" s="133" customFormat="1" x14ac:dyDescent="0.3">
      <c r="B79" s="133" t="s">
        <v>956</v>
      </c>
      <c r="C79" s="133" t="s">
        <v>22</v>
      </c>
      <c r="D79" s="133">
        <v>3</v>
      </c>
    </row>
    <row r="80" spans="1:11" s="133" customFormat="1" x14ac:dyDescent="0.3">
      <c r="B80" s="133" t="s">
        <v>32</v>
      </c>
      <c r="C80" s="133" t="s">
        <v>22</v>
      </c>
      <c r="D80" s="133">
        <v>2</v>
      </c>
    </row>
    <row r="81" spans="1:18" s="133" customFormat="1" x14ac:dyDescent="0.3">
      <c r="B81" s="133" t="s">
        <v>326</v>
      </c>
      <c r="D81" s="133" t="s">
        <v>1355</v>
      </c>
    </row>
    <row r="82" spans="1:18" s="133" customFormat="1" x14ac:dyDescent="0.3">
      <c r="B82" s="133" t="s">
        <v>344</v>
      </c>
      <c r="D82" s="133" t="s">
        <v>665</v>
      </c>
    </row>
    <row r="83" spans="1:18" s="133" customFormat="1" x14ac:dyDescent="0.3">
      <c r="B83" s="133" t="s">
        <v>1332</v>
      </c>
      <c r="D83" s="133" t="s">
        <v>1809</v>
      </c>
    </row>
    <row r="84" spans="1:18" s="133" customFormat="1" x14ac:dyDescent="0.3">
      <c r="B84" s="133" t="s">
        <v>1330</v>
      </c>
      <c r="D84" s="133" t="s">
        <v>1333</v>
      </c>
    </row>
    <row r="85" spans="1:18" s="133" customFormat="1" x14ac:dyDescent="0.3">
      <c r="B85" s="133" t="s">
        <v>1968</v>
      </c>
      <c r="D85" s="133" t="s">
        <v>1969</v>
      </c>
      <c r="E85" s="133" t="s">
        <v>1987</v>
      </c>
    </row>
    <row r="86" spans="1:18" s="133" customFormat="1" x14ac:dyDescent="0.3">
      <c r="B86" s="133" t="s">
        <v>1541</v>
      </c>
      <c r="D86" s="133" t="s">
        <v>1986</v>
      </c>
    </row>
    <row r="87" spans="1:18" s="133" customFormat="1" x14ac:dyDescent="0.3">
      <c r="B87" s="133" t="s">
        <v>1599</v>
      </c>
      <c r="D87" s="133" t="s">
        <v>2134</v>
      </c>
    </row>
    <row r="88" spans="1:18" s="133" customFormat="1" x14ac:dyDescent="0.3"/>
    <row r="89" spans="1:18" x14ac:dyDescent="0.3">
      <c r="A89" s="133"/>
      <c r="B89" s="133"/>
      <c r="C89" s="133"/>
      <c r="D89" s="133"/>
      <c r="E89" s="133"/>
      <c r="F89" s="133"/>
      <c r="G89" s="133"/>
      <c r="H89" s="133"/>
      <c r="I89" s="133"/>
      <c r="J89" s="133"/>
      <c r="K89" s="133"/>
      <c r="L89" s="133"/>
      <c r="M89" s="133"/>
      <c r="N89" s="133"/>
      <c r="O89" s="133"/>
      <c r="P89" s="133"/>
      <c r="Q89" s="133"/>
      <c r="R89" s="133"/>
    </row>
    <row r="90" spans="1:18" s="133" customFormat="1" ht="15" thickBot="1" x14ac:dyDescent="0.35">
      <c r="F90" s="103"/>
      <c r="G90" s="103"/>
      <c r="H90" s="103"/>
      <c r="I90" s="103"/>
      <c r="J90" s="103"/>
      <c r="K90" s="103"/>
      <c r="L90" s="103"/>
      <c r="M90" s="103"/>
      <c r="N90" s="103"/>
      <c r="O90" s="103"/>
    </row>
    <row r="91" spans="1:18" s="133" customFormat="1" x14ac:dyDescent="0.3">
      <c r="B91" s="202" t="s">
        <v>1823</v>
      </c>
      <c r="C91" s="203"/>
      <c r="D91" s="203" t="s">
        <v>1988</v>
      </c>
      <c r="E91" s="203" t="s">
        <v>1988</v>
      </c>
      <c r="F91" s="204" t="s">
        <v>1988</v>
      </c>
      <c r="G91" s="103"/>
      <c r="H91" s="198" t="s">
        <v>2340</v>
      </c>
      <c r="I91" s="103"/>
      <c r="J91" s="103"/>
      <c r="K91" s="103"/>
      <c r="L91" s="103"/>
      <c r="M91" s="103"/>
      <c r="N91" s="103"/>
      <c r="O91" s="103"/>
    </row>
    <row r="92" spans="1:18" s="133" customFormat="1" x14ac:dyDescent="0.3">
      <c r="B92" s="205"/>
      <c r="D92" s="133" t="s">
        <v>1104</v>
      </c>
      <c r="E92" s="133" t="s">
        <v>1105</v>
      </c>
      <c r="F92" s="206" t="s">
        <v>1359</v>
      </c>
      <c r="G92" s="13"/>
      <c r="H92" s="103"/>
      <c r="I92" s="103"/>
      <c r="J92" s="103"/>
      <c r="K92" s="103"/>
      <c r="L92" s="103"/>
      <c r="M92" s="103"/>
      <c r="N92" s="103"/>
      <c r="O92" s="103"/>
    </row>
    <row r="93" spans="1:18" s="133" customFormat="1" x14ac:dyDescent="0.3">
      <c r="B93" s="205"/>
      <c r="D93" s="133" t="s">
        <v>1985</v>
      </c>
      <c r="E93" s="133" t="s">
        <v>1989</v>
      </c>
      <c r="F93" s="206" t="s">
        <v>1990</v>
      </c>
      <c r="G93" s="13"/>
      <c r="H93" s="103"/>
      <c r="I93" s="103"/>
      <c r="J93" s="103"/>
      <c r="K93" s="103"/>
      <c r="L93" s="103"/>
      <c r="M93" s="103"/>
      <c r="N93" s="103"/>
      <c r="O93" s="103"/>
    </row>
    <row r="94" spans="1:18" s="133" customFormat="1" x14ac:dyDescent="0.3">
      <c r="B94" s="205" t="s">
        <v>33</v>
      </c>
      <c r="C94" s="133" t="s">
        <v>270</v>
      </c>
      <c r="D94" s="198">
        <v>3</v>
      </c>
      <c r="E94" s="198">
        <v>3</v>
      </c>
      <c r="F94" s="218">
        <v>3</v>
      </c>
      <c r="G94" s="41"/>
      <c r="H94" s="41"/>
      <c r="I94" s="41"/>
      <c r="J94" s="41"/>
      <c r="K94" s="41"/>
      <c r="L94" s="41"/>
      <c r="M94" s="41"/>
      <c r="N94" s="103"/>
      <c r="O94" s="103"/>
    </row>
    <row r="95" spans="1:18" s="133" customFormat="1" x14ac:dyDescent="0.3">
      <c r="B95" s="205" t="s">
        <v>26</v>
      </c>
      <c r="C95" s="133" t="s">
        <v>25</v>
      </c>
      <c r="D95" s="198">
        <v>20.408163265306126</v>
      </c>
      <c r="E95" s="198">
        <v>25.641025641025642</v>
      </c>
      <c r="F95" s="218">
        <v>25.862068965517246</v>
      </c>
      <c r="G95" s="41"/>
      <c r="H95" s="41"/>
      <c r="I95" s="41"/>
      <c r="J95" s="41"/>
      <c r="K95" s="41"/>
      <c r="L95" s="41"/>
      <c r="M95" s="41"/>
      <c r="N95" s="103"/>
      <c r="O95" s="103"/>
    </row>
    <row r="96" spans="1:18" s="133" customFormat="1" x14ac:dyDescent="0.3">
      <c r="B96" s="205" t="s">
        <v>558</v>
      </c>
      <c r="C96" s="133" t="s">
        <v>47</v>
      </c>
      <c r="D96" s="198">
        <v>0.68614162290207059</v>
      </c>
      <c r="E96" s="198">
        <v>1.9081662851423011</v>
      </c>
      <c r="F96" s="218">
        <v>0.78390939065586163</v>
      </c>
      <c r="G96" s="13"/>
      <c r="H96" s="13"/>
      <c r="I96" s="13"/>
      <c r="J96" s="13"/>
      <c r="K96" s="13"/>
      <c r="L96" s="13"/>
      <c r="M96" s="13"/>
      <c r="N96" s="103"/>
      <c r="O96" s="103"/>
    </row>
    <row r="97" spans="2:30" s="133" customFormat="1" x14ac:dyDescent="0.3">
      <c r="B97" s="205" t="s">
        <v>52</v>
      </c>
      <c r="C97" s="133" t="s">
        <v>693</v>
      </c>
      <c r="D97" s="198">
        <v>3.00035976371296</v>
      </c>
      <c r="E97" s="198">
        <v>3.2749677924330785</v>
      </c>
      <c r="F97" s="218">
        <v>2.859128692662356</v>
      </c>
      <c r="G97" s="13"/>
      <c r="H97" s="13"/>
      <c r="I97" s="13"/>
      <c r="J97" s="13"/>
      <c r="K97" s="13"/>
      <c r="L97" s="13"/>
      <c r="M97" s="13"/>
      <c r="N97" s="103"/>
      <c r="O97" s="103"/>
    </row>
    <row r="98" spans="2:30" s="133" customFormat="1" x14ac:dyDescent="0.3">
      <c r="B98" s="205" t="s">
        <v>35</v>
      </c>
      <c r="D98" s="198">
        <v>7.5639999999999992</v>
      </c>
      <c r="E98" s="198">
        <v>7.9574999999999996</v>
      </c>
      <c r="F98" s="218">
        <v>7.7594999999999992</v>
      </c>
      <c r="G98" s="13"/>
      <c r="H98" s="13"/>
      <c r="I98" s="13"/>
      <c r="J98" s="13"/>
      <c r="K98" s="13"/>
      <c r="L98" s="13"/>
      <c r="M98" s="13"/>
      <c r="N98" s="103"/>
      <c r="O98" s="103"/>
    </row>
    <row r="99" spans="2:30" s="133" customFormat="1" x14ac:dyDescent="0.3">
      <c r="B99" s="205" t="s">
        <v>351</v>
      </c>
      <c r="C99" s="133" t="s">
        <v>377</v>
      </c>
      <c r="D99" s="198">
        <v>0.21368508471643127</v>
      </c>
      <c r="E99" s="198">
        <v>0.35144887484067522</v>
      </c>
      <c r="F99" s="218">
        <v>1.0011082915782827</v>
      </c>
      <c r="G99" s="13"/>
      <c r="H99" s="13"/>
      <c r="I99" s="13"/>
      <c r="J99" s="13"/>
      <c r="K99" s="13"/>
      <c r="L99" s="13"/>
      <c r="M99" s="13"/>
      <c r="N99" s="103"/>
      <c r="O99" s="103"/>
    </row>
    <row r="100" spans="2:30" s="133" customFormat="1" x14ac:dyDescent="0.3">
      <c r="B100" s="205" t="s">
        <v>3</v>
      </c>
      <c r="C100" s="133" t="s">
        <v>302</v>
      </c>
      <c r="D100" s="198">
        <v>65.37</v>
      </c>
      <c r="E100" s="198">
        <v>84.974999999999994</v>
      </c>
      <c r="F100" s="218">
        <v>65.03</v>
      </c>
      <c r="G100" s="41"/>
      <c r="H100" s="41"/>
      <c r="I100" s="41"/>
      <c r="J100" s="41"/>
      <c r="K100" s="41"/>
      <c r="L100" s="41"/>
      <c r="M100" s="41"/>
      <c r="N100" s="103"/>
      <c r="O100" s="103"/>
    </row>
    <row r="101" spans="2:30" s="133" customFormat="1" x14ac:dyDescent="0.3">
      <c r="B101" s="205" t="s">
        <v>277</v>
      </c>
      <c r="C101" s="133" t="s">
        <v>302</v>
      </c>
      <c r="D101" s="198">
        <v>36.125</v>
      </c>
      <c r="E101" s="198">
        <v>15.275</v>
      </c>
      <c r="F101" s="218">
        <v>16.945</v>
      </c>
      <c r="G101" s="41"/>
      <c r="H101" s="41"/>
      <c r="I101" s="41"/>
      <c r="J101" s="41"/>
      <c r="K101" s="41"/>
      <c r="L101" s="41"/>
      <c r="M101" s="41"/>
      <c r="N101" s="103"/>
      <c r="O101" s="103"/>
    </row>
    <row r="102" spans="2:30" s="133" customFormat="1" x14ac:dyDescent="0.3">
      <c r="B102" s="205" t="s">
        <v>13</v>
      </c>
      <c r="C102" s="133" t="s">
        <v>302</v>
      </c>
      <c r="D102" s="198"/>
      <c r="E102" s="198">
        <v>0</v>
      </c>
      <c r="F102" s="218">
        <v>17.094999999999999</v>
      </c>
      <c r="G102" s="41"/>
      <c r="H102" s="41"/>
      <c r="I102" s="103"/>
      <c r="J102" s="41"/>
      <c r="K102" s="41"/>
      <c r="L102" s="41"/>
      <c r="M102" s="41"/>
      <c r="N102" s="103"/>
      <c r="O102" s="103"/>
    </row>
    <row r="103" spans="2:30" s="133" customFormat="1" x14ac:dyDescent="0.3">
      <c r="B103" s="205" t="s">
        <v>321</v>
      </c>
      <c r="C103" s="133" t="s">
        <v>338</v>
      </c>
      <c r="D103" s="198"/>
      <c r="E103" s="198">
        <v>1.1199999999999999</v>
      </c>
      <c r="F103" s="218">
        <v>7.6509999999999998</v>
      </c>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row>
    <row r="104" spans="2:30" s="133" customFormat="1" x14ac:dyDescent="0.3">
      <c r="B104" s="205" t="s">
        <v>1820</v>
      </c>
      <c r="C104" s="133" t="s">
        <v>338</v>
      </c>
      <c r="D104" s="198"/>
      <c r="E104" s="198"/>
      <c r="F104" s="218">
        <v>2.0612500000000002</v>
      </c>
      <c r="G104" s="103"/>
      <c r="H104" s="103"/>
      <c r="I104" s="103"/>
      <c r="J104" s="13"/>
      <c r="K104" s="13"/>
      <c r="L104" s="13"/>
      <c r="M104" s="13"/>
      <c r="N104" s="103"/>
      <c r="O104" s="103"/>
      <c r="V104" s="134"/>
    </row>
    <row r="105" spans="2:30" s="133" customFormat="1" ht="15" thickBot="1" x14ac:dyDescent="0.35">
      <c r="B105" s="209" t="s">
        <v>293</v>
      </c>
      <c r="C105" s="210" t="s">
        <v>338</v>
      </c>
      <c r="D105" s="221">
        <v>0.62521895868213551</v>
      </c>
      <c r="E105" s="475">
        <v>1.0543466245220259</v>
      </c>
      <c r="F105" s="532">
        <v>3.0033248747348482</v>
      </c>
      <c r="G105" s="13"/>
      <c r="H105" s="13"/>
      <c r="I105" s="13"/>
      <c r="J105" s="13"/>
      <c r="K105" s="13"/>
      <c r="L105" s="13"/>
      <c r="M105" s="13"/>
      <c r="N105" s="103"/>
      <c r="O105" s="103"/>
    </row>
    <row r="106" spans="2:30" s="133" customFormat="1" x14ac:dyDescent="0.3">
      <c r="B106" s="133" t="s">
        <v>40</v>
      </c>
      <c r="C106" s="133" t="s">
        <v>338</v>
      </c>
      <c r="D106" s="13">
        <f>D94*D99</f>
        <v>0.64105525414929376</v>
      </c>
      <c r="E106" s="13">
        <f>E94*E99</f>
        <v>1.0543466245220257</v>
      </c>
      <c r="F106" s="13">
        <f>F94*F99</f>
        <v>3.0033248747348482</v>
      </c>
      <c r="G106" s="13"/>
      <c r="H106" s="13"/>
      <c r="I106" s="13"/>
      <c r="J106" s="13"/>
      <c r="K106" s="13"/>
      <c r="L106" s="13"/>
      <c r="M106" s="13"/>
      <c r="N106" s="103"/>
      <c r="O106" s="103"/>
    </row>
    <row r="107" spans="2:30" s="133" customFormat="1" x14ac:dyDescent="0.3">
      <c r="B107" s="133" t="s">
        <v>459</v>
      </c>
      <c r="C107" s="133" t="s">
        <v>302</v>
      </c>
      <c r="D107" s="198">
        <f>SUM(D100:D102)</f>
        <v>101.495</v>
      </c>
      <c r="E107" s="198">
        <f t="shared" ref="E107:F107" si="1">SUM(E100:E102)</f>
        <v>100.25</v>
      </c>
      <c r="F107" s="198">
        <f t="shared" si="1"/>
        <v>99.07</v>
      </c>
      <c r="G107" s="41"/>
      <c r="H107" s="41"/>
      <c r="I107" s="41"/>
      <c r="J107" s="41"/>
      <c r="K107" s="41"/>
      <c r="L107" s="41"/>
      <c r="M107" s="41"/>
      <c r="N107" s="103"/>
      <c r="O107" s="103"/>
    </row>
    <row r="108" spans="2:30" s="133" customFormat="1" x14ac:dyDescent="0.3">
      <c r="B108" s="133" t="s">
        <v>33</v>
      </c>
      <c r="C108" s="133" t="s">
        <v>270</v>
      </c>
      <c r="D108" s="13">
        <f>D105/D99</f>
        <v>2.9258895608545927</v>
      </c>
      <c r="E108" s="13">
        <f>E105/E99</f>
        <v>3.0000000000000004</v>
      </c>
      <c r="F108" s="13">
        <f>F105/F99</f>
        <v>3</v>
      </c>
      <c r="G108" s="13"/>
      <c r="H108" s="13"/>
      <c r="I108" s="13"/>
      <c r="J108" s="13"/>
      <c r="K108" s="13"/>
      <c r="L108" s="13"/>
      <c r="M108" s="13"/>
      <c r="N108" s="103"/>
      <c r="O108" s="103"/>
    </row>
    <row r="109" spans="2:30" s="133" customFormat="1" x14ac:dyDescent="0.3">
      <c r="B109" s="133" t="s">
        <v>1082</v>
      </c>
      <c r="C109" s="133" t="s">
        <v>338</v>
      </c>
      <c r="D109" s="198">
        <v>0.34561010891310529</v>
      </c>
      <c r="E109" s="198">
        <v>0.18950551774693819</v>
      </c>
      <c r="F109" s="198">
        <v>0.79669902607686294</v>
      </c>
      <c r="G109" s="13"/>
      <c r="H109" s="134" t="s">
        <v>1805</v>
      </c>
      <c r="I109" s="13"/>
      <c r="J109" s="13"/>
      <c r="K109" s="13"/>
      <c r="L109" s="13"/>
      <c r="M109" s="13"/>
      <c r="N109" s="103"/>
      <c r="O109" s="103"/>
    </row>
    <row r="110" spans="2:30" s="133" customFormat="1" x14ac:dyDescent="0.3">
      <c r="B110" s="133" t="s">
        <v>308</v>
      </c>
      <c r="C110" s="133" t="s">
        <v>338</v>
      </c>
      <c r="D110" s="198">
        <f>D105+D109</f>
        <v>0.97082906759524079</v>
      </c>
      <c r="E110" s="198">
        <f t="shared" ref="E110:F110" si="2">E105+E109</f>
        <v>1.2438521422689641</v>
      </c>
      <c r="F110" s="198">
        <f t="shared" si="2"/>
        <v>3.8000239008117109</v>
      </c>
      <c r="G110" s="13"/>
      <c r="H110" s="134"/>
      <c r="I110" s="13"/>
      <c r="J110" s="13"/>
      <c r="K110" s="13"/>
      <c r="L110" s="13"/>
      <c r="M110" s="13"/>
      <c r="N110" s="103"/>
      <c r="O110" s="103"/>
    </row>
    <row r="111" spans="2:30" s="133" customFormat="1" x14ac:dyDescent="0.3">
      <c r="B111" s="133" t="s">
        <v>323</v>
      </c>
      <c r="C111" s="133" t="s">
        <v>338</v>
      </c>
      <c r="D111" s="8"/>
      <c r="E111" s="198">
        <v>0</v>
      </c>
      <c r="F111" s="198">
        <v>0.48737519736411394</v>
      </c>
      <c r="G111" s="13"/>
      <c r="H111" s="134" t="s">
        <v>1805</v>
      </c>
      <c r="I111" s="13"/>
      <c r="J111" s="13"/>
      <c r="K111" s="13"/>
      <c r="L111" s="13"/>
      <c r="M111" s="13"/>
      <c r="N111" s="103"/>
      <c r="O111" s="103"/>
    </row>
    <row r="112" spans="2:30" s="133" customFormat="1" x14ac:dyDescent="0.3">
      <c r="B112" s="133" t="s">
        <v>433</v>
      </c>
      <c r="C112" s="133" t="s">
        <v>338</v>
      </c>
      <c r="E112" s="134">
        <f>E103-E111</f>
        <v>1.1199999999999999</v>
      </c>
      <c r="F112" s="134">
        <f>F103-F111</f>
        <v>7.1636248026358862</v>
      </c>
      <c r="G112" s="13"/>
      <c r="H112" s="13"/>
      <c r="I112" s="13"/>
      <c r="J112" s="13"/>
      <c r="K112" s="13"/>
      <c r="L112" s="13"/>
      <c r="M112" s="13"/>
      <c r="N112" s="103"/>
      <c r="O112" s="103"/>
    </row>
    <row r="113" spans="2:15" s="133" customFormat="1" x14ac:dyDescent="0.3">
      <c r="B113" s="148" t="s">
        <v>460</v>
      </c>
      <c r="C113" s="133" t="s">
        <v>338</v>
      </c>
      <c r="E113" s="134">
        <f>E112/4</f>
        <v>0.27999999999999997</v>
      </c>
      <c r="F113" s="134">
        <f>F112/4</f>
        <v>1.7909062006589715</v>
      </c>
      <c r="G113" s="13"/>
      <c r="H113" s="13"/>
      <c r="I113" s="13"/>
      <c r="J113" s="13"/>
      <c r="K113" s="13"/>
      <c r="L113" s="13"/>
      <c r="M113" s="13"/>
      <c r="N113" s="103"/>
      <c r="O113" s="103"/>
    </row>
    <row r="114" spans="2:15" s="133" customFormat="1" x14ac:dyDescent="0.3">
      <c r="B114" s="148" t="s">
        <v>402</v>
      </c>
      <c r="C114" s="133" t="s">
        <v>338</v>
      </c>
      <c r="E114" s="134">
        <f>E105-$D105</f>
        <v>0.42912766583989037</v>
      </c>
      <c r="F114" s="134">
        <f>F105-$D105</f>
        <v>2.3781059160527125</v>
      </c>
      <c r="G114" s="13"/>
      <c r="H114" s="13"/>
      <c r="I114" s="13"/>
      <c r="J114" s="13"/>
      <c r="K114" s="13"/>
      <c r="L114" s="13"/>
      <c r="M114" s="13"/>
      <c r="N114" s="103"/>
      <c r="O114" s="103"/>
    </row>
    <row r="115" spans="2:15" s="133" customFormat="1" x14ac:dyDescent="0.3">
      <c r="B115" s="148" t="s">
        <v>2086</v>
      </c>
      <c r="C115" s="133" t="s">
        <v>338</v>
      </c>
      <c r="E115" s="13">
        <f>$D109+E104-E109</f>
        <v>0.15610459116616709</v>
      </c>
      <c r="F115" s="13">
        <f>$D109+F104-F109</f>
        <v>1.6101610828362427</v>
      </c>
      <c r="G115" s="13"/>
      <c r="H115" s="13"/>
      <c r="I115" s="13"/>
      <c r="J115" s="13"/>
      <c r="K115" s="13"/>
      <c r="L115" s="13"/>
      <c r="M115" s="13"/>
      <c r="N115" s="103"/>
      <c r="O115" s="103"/>
    </row>
    <row r="116" spans="2:15" s="133" customFormat="1" x14ac:dyDescent="0.3">
      <c r="B116" s="148" t="s">
        <v>93</v>
      </c>
      <c r="E116" s="134">
        <f>E103/$D109</f>
        <v>3.2406459507861065</v>
      </c>
      <c r="F116" s="134">
        <f>F103/$D109</f>
        <v>22.13766265130759</v>
      </c>
      <c r="G116" s="13"/>
      <c r="H116" s="13"/>
      <c r="I116" s="13"/>
      <c r="J116" s="13"/>
      <c r="K116" s="13"/>
      <c r="L116" s="13"/>
      <c r="M116" s="13"/>
      <c r="N116" s="103"/>
      <c r="O116" s="103"/>
    </row>
    <row r="117" spans="2:15" s="133" customFormat="1" x14ac:dyDescent="0.3">
      <c r="B117" s="148" t="s">
        <v>462</v>
      </c>
      <c r="E117" s="134">
        <f>E112/E103</f>
        <v>1</v>
      </c>
      <c r="F117" s="134">
        <f>F112/F103</f>
        <v>0.93629915078236658</v>
      </c>
      <c r="G117" s="13"/>
      <c r="H117" s="13"/>
      <c r="I117" s="13"/>
      <c r="J117" s="13"/>
      <c r="K117" s="13"/>
      <c r="L117" s="13"/>
      <c r="M117" s="13"/>
      <c r="N117" s="103"/>
      <c r="O117" s="103"/>
    </row>
    <row r="118" spans="2:15" s="133" customFormat="1" x14ac:dyDescent="0.3">
      <c r="B118" s="148" t="s">
        <v>2085</v>
      </c>
      <c r="E118" s="134">
        <f>E114/E113</f>
        <v>1.5325988065710372</v>
      </c>
      <c r="F118" s="134">
        <f>F114/F113</f>
        <v>1.3278785428168591</v>
      </c>
      <c r="G118" s="13"/>
      <c r="H118" s="13"/>
      <c r="I118" s="13"/>
      <c r="J118" s="13"/>
      <c r="K118" s="13"/>
      <c r="L118" s="13"/>
      <c r="M118" s="13"/>
      <c r="N118" s="103"/>
      <c r="O118" s="103"/>
    </row>
    <row r="119" spans="2:15" s="133" customFormat="1" x14ac:dyDescent="0.3">
      <c r="B119" s="148" t="s">
        <v>2087</v>
      </c>
      <c r="E119" s="134">
        <f>E115/E113</f>
        <v>0.55751639702202538</v>
      </c>
      <c r="F119" s="134">
        <f>F115/F113</f>
        <v>0.89907616727429784</v>
      </c>
      <c r="G119" s="13"/>
      <c r="H119" s="13"/>
      <c r="I119" s="13"/>
      <c r="J119" s="13"/>
      <c r="K119" s="13"/>
      <c r="L119" s="13"/>
      <c r="M119" s="13"/>
      <c r="N119" s="103"/>
      <c r="O119" s="103"/>
    </row>
    <row r="120" spans="2:15" s="133" customFormat="1" x14ac:dyDescent="0.3">
      <c r="B120" s="148" t="s">
        <v>2088</v>
      </c>
      <c r="E120" s="134">
        <f>E114/E115</f>
        <v>2.7489753032510178</v>
      </c>
      <c r="F120" s="134">
        <f>F114/F115</f>
        <v>1.4769366502535024</v>
      </c>
      <c r="G120" s="13"/>
      <c r="H120" s="13"/>
      <c r="I120" s="13"/>
      <c r="J120" s="13"/>
      <c r="K120" s="13"/>
      <c r="L120" s="13"/>
      <c r="M120" s="13"/>
      <c r="N120" s="103"/>
      <c r="O120" s="103"/>
    </row>
    <row r="121" spans="2:15" s="133" customFormat="1" x14ac:dyDescent="0.3">
      <c r="B121" s="148" t="s">
        <v>2096</v>
      </c>
      <c r="C121" s="133" t="s">
        <v>92</v>
      </c>
      <c r="D121" s="37"/>
      <c r="E121" s="96">
        <f>E114/($D109+E104)</f>
        <v>1.2416525291735128</v>
      </c>
      <c r="F121" s="96">
        <f>F114/($D109+F104)</f>
        <v>0.98805323468783646</v>
      </c>
      <c r="G121" s="37"/>
      <c r="H121" s="37"/>
      <c r="I121" s="37"/>
      <c r="J121" s="37"/>
      <c r="K121" s="37"/>
      <c r="L121" s="37"/>
      <c r="M121" s="37"/>
      <c r="N121" s="37"/>
      <c r="O121" s="37"/>
    </row>
    <row r="122" spans="2:15" s="133" customFormat="1" x14ac:dyDescent="0.3">
      <c r="B122" s="148" t="s">
        <v>2097</v>
      </c>
      <c r="C122" s="133" t="s">
        <v>92</v>
      </c>
      <c r="D122" s="37"/>
      <c r="E122" s="37">
        <f>E110/$D110</f>
        <v>1.2812267203226679</v>
      </c>
      <c r="F122" s="37">
        <f>F110/$D110</f>
        <v>3.9142049075893772</v>
      </c>
      <c r="G122" s="37"/>
      <c r="H122" s="37"/>
      <c r="I122" s="37"/>
      <c r="J122" s="37"/>
      <c r="K122" s="37"/>
      <c r="L122" s="37"/>
      <c r="M122" s="37"/>
      <c r="N122" s="37"/>
      <c r="O122" s="37"/>
    </row>
    <row r="123" spans="2:15" s="133" customFormat="1" x14ac:dyDescent="0.3">
      <c r="B123" s="148" t="s">
        <v>2081</v>
      </c>
      <c r="E123" s="134">
        <f>E112/E114</f>
        <v>2.6099459185599962</v>
      </c>
      <c r="F123" s="134">
        <f>F112/F114</f>
        <v>3.0123236960473121</v>
      </c>
      <c r="G123" s="13"/>
      <c r="H123" s="13"/>
      <c r="I123" s="13"/>
      <c r="J123" s="13"/>
      <c r="K123" s="13"/>
      <c r="L123" s="13"/>
      <c r="M123" s="13"/>
      <c r="N123" s="103"/>
      <c r="O123" s="103"/>
    </row>
    <row r="124" spans="2:15" s="133" customFormat="1" x14ac:dyDescent="0.3">
      <c r="B124" s="148" t="s">
        <v>2137</v>
      </c>
      <c r="E124" s="134">
        <f>E112/E115</f>
        <v>7.1746768729422232</v>
      </c>
      <c r="F124" s="134">
        <f>F112/F115</f>
        <v>4.4490112691193673</v>
      </c>
      <c r="G124" s="13"/>
      <c r="H124" s="13"/>
      <c r="I124" s="13"/>
      <c r="J124" s="13"/>
      <c r="K124" s="13"/>
      <c r="L124" s="13"/>
      <c r="M124" s="13"/>
      <c r="N124" s="103"/>
      <c r="O124" s="103"/>
    </row>
    <row r="125" spans="2:15" s="133" customFormat="1" x14ac:dyDescent="0.3">
      <c r="B125" s="148"/>
      <c r="F125" s="134"/>
      <c r="G125" s="134"/>
      <c r="H125" s="134"/>
      <c r="I125" s="13"/>
      <c r="J125" s="13"/>
      <c r="K125" s="13"/>
      <c r="L125" s="13"/>
      <c r="M125" s="134"/>
    </row>
    <row r="126" spans="2:15" s="133" customFormat="1" x14ac:dyDescent="0.3">
      <c r="B126" s="40" t="s">
        <v>359</v>
      </c>
      <c r="C126" s="103"/>
      <c r="I126" s="13"/>
      <c r="J126" s="13"/>
      <c r="K126" s="13"/>
      <c r="L126" s="13"/>
    </row>
    <row r="127" spans="2:15" s="133" customFormat="1" x14ac:dyDescent="0.3">
      <c r="B127" s="103" t="s">
        <v>1795</v>
      </c>
      <c r="C127" s="103"/>
      <c r="D127" s="133" t="s">
        <v>2134</v>
      </c>
      <c r="E127" s="66" t="s">
        <v>1686</v>
      </c>
      <c r="F127" s="66" t="s">
        <v>1686</v>
      </c>
    </row>
    <row r="128" spans="2:15" s="133" customFormat="1" x14ac:dyDescent="0.3">
      <c r="B128" s="103" t="s">
        <v>1791</v>
      </c>
      <c r="C128" s="103"/>
      <c r="D128" s="133" t="s">
        <v>1104</v>
      </c>
      <c r="E128" s="133" t="s">
        <v>1105</v>
      </c>
      <c r="F128" s="133" t="s">
        <v>1862</v>
      </c>
    </row>
    <row r="129" spans="2:15" s="133" customFormat="1" x14ac:dyDescent="0.3">
      <c r="B129" s="103" t="s">
        <v>33</v>
      </c>
      <c r="C129" s="103" t="s">
        <v>270</v>
      </c>
      <c r="D129" s="8">
        <f t="shared" ref="D129:F130" si="3">D94</f>
        <v>3</v>
      </c>
      <c r="E129" s="8">
        <f t="shared" si="3"/>
        <v>3</v>
      </c>
      <c r="F129" s="8">
        <f t="shared" si="3"/>
        <v>3</v>
      </c>
    </row>
    <row r="130" spans="2:15" s="133" customFormat="1" x14ac:dyDescent="0.3">
      <c r="B130" s="103" t="s">
        <v>26</v>
      </c>
      <c r="C130" s="103" t="s">
        <v>25</v>
      </c>
      <c r="D130" s="8">
        <f t="shared" si="3"/>
        <v>20.408163265306126</v>
      </c>
      <c r="E130" s="8">
        <f t="shared" si="3"/>
        <v>25.641025641025642</v>
      </c>
      <c r="F130" s="8">
        <f t="shared" si="3"/>
        <v>25.862068965517246</v>
      </c>
    </row>
    <row r="131" spans="2:15" s="133" customFormat="1" x14ac:dyDescent="0.3">
      <c r="B131" s="148" t="s">
        <v>1544</v>
      </c>
      <c r="C131" s="133" t="s">
        <v>338</v>
      </c>
      <c r="E131" s="134">
        <f>E103</f>
        <v>1.1199999999999999</v>
      </c>
      <c r="F131" s="134">
        <f>F103</f>
        <v>7.6509999999999998</v>
      </c>
      <c r="G131" s="13"/>
      <c r="H131" s="13"/>
      <c r="I131" s="13"/>
      <c r="J131" s="13"/>
      <c r="K131" s="13"/>
      <c r="L131" s="13"/>
      <c r="M131" s="13"/>
      <c r="N131" s="103"/>
      <c r="O131" s="103"/>
    </row>
    <row r="132" spans="2:15" s="133" customFormat="1" x14ac:dyDescent="0.3">
      <c r="B132" s="103" t="s">
        <v>351</v>
      </c>
      <c r="C132" s="103" t="s">
        <v>377</v>
      </c>
      <c r="D132" s="10">
        <f>D99</f>
        <v>0.21368508471643127</v>
      </c>
      <c r="E132" s="10">
        <f>E99</f>
        <v>0.35144887484067522</v>
      </c>
      <c r="F132" s="10">
        <f>F99</f>
        <v>1.0011082915782827</v>
      </c>
    </row>
    <row r="133" spans="2:15" s="133" customFormat="1" x14ac:dyDescent="0.3">
      <c r="B133" s="103" t="s">
        <v>352</v>
      </c>
      <c r="C133" s="103" t="s">
        <v>377</v>
      </c>
      <c r="E133" s="10">
        <f>E132-$D132</f>
        <v>0.13776379012424395</v>
      </c>
      <c r="F133" s="10">
        <f>F132-$D132</f>
        <v>0.78742320686185141</v>
      </c>
    </row>
    <row r="134" spans="2:15" s="133" customFormat="1" x14ac:dyDescent="0.3">
      <c r="B134" s="103" t="s">
        <v>383</v>
      </c>
      <c r="C134" s="103" t="s">
        <v>92</v>
      </c>
      <c r="E134" s="134">
        <f>E133/D132</f>
        <v>0.64470475469573396</v>
      </c>
      <c r="F134" s="134">
        <f>F133/E132</f>
        <v>2.2405056986419987</v>
      </c>
    </row>
    <row r="135" spans="2:15" s="133" customFormat="1" x14ac:dyDescent="0.3">
      <c r="B135" s="103" t="s">
        <v>293</v>
      </c>
      <c r="C135" s="103" t="s">
        <v>338</v>
      </c>
      <c r="D135" s="134">
        <f>D105</f>
        <v>0.62521895868213551</v>
      </c>
      <c r="E135" s="134">
        <f t="shared" ref="E135:F135" si="4">E105</f>
        <v>1.0543466245220259</v>
      </c>
      <c r="F135" s="134">
        <f t="shared" si="4"/>
        <v>3.0033248747348482</v>
      </c>
    </row>
    <row r="136" spans="2:15" s="133" customFormat="1" x14ac:dyDescent="0.3">
      <c r="B136" s="103" t="s">
        <v>402</v>
      </c>
      <c r="C136" s="103" t="s">
        <v>338</v>
      </c>
      <c r="E136" s="10">
        <f>E135-$D135</f>
        <v>0.42912766583989037</v>
      </c>
      <c r="F136" s="10">
        <f>F135-$D135</f>
        <v>2.3781059160527125</v>
      </c>
    </row>
    <row r="137" spans="2:15" s="133" customFormat="1" x14ac:dyDescent="0.3">
      <c r="B137" s="133" t="s">
        <v>3</v>
      </c>
      <c r="C137" s="133" t="s">
        <v>302</v>
      </c>
      <c r="D137" s="8">
        <f>D100</f>
        <v>65.37</v>
      </c>
      <c r="E137" s="8">
        <f t="shared" ref="E137:F137" si="5">E100</f>
        <v>84.974999999999994</v>
      </c>
      <c r="F137" s="8">
        <f t="shared" si="5"/>
        <v>65.03</v>
      </c>
    </row>
    <row r="138" spans="2:15" s="133" customFormat="1" x14ac:dyDescent="0.3">
      <c r="B138" s="133" t="s">
        <v>277</v>
      </c>
      <c r="C138" s="133" t="s">
        <v>302</v>
      </c>
      <c r="D138" s="8">
        <f t="shared" ref="D138:F139" si="6">D101</f>
        <v>36.125</v>
      </c>
      <c r="E138" s="8">
        <f t="shared" si="6"/>
        <v>15.275</v>
      </c>
      <c r="F138" s="8">
        <f t="shared" si="6"/>
        <v>16.945</v>
      </c>
    </row>
    <row r="139" spans="2:15" s="133" customFormat="1" x14ac:dyDescent="0.3">
      <c r="B139" s="133" t="s">
        <v>13</v>
      </c>
      <c r="C139" s="133" t="s">
        <v>302</v>
      </c>
      <c r="D139" s="8">
        <f t="shared" si="6"/>
        <v>0</v>
      </c>
      <c r="E139" s="8">
        <f t="shared" si="6"/>
        <v>0</v>
      </c>
      <c r="F139" s="8">
        <f t="shared" si="6"/>
        <v>17.094999999999999</v>
      </c>
    </row>
    <row r="140" spans="2:15" s="133" customFormat="1" x14ac:dyDescent="0.3">
      <c r="B140" s="103" t="s">
        <v>35</v>
      </c>
      <c r="C140" s="103"/>
      <c r="D140" s="134">
        <f>D98</f>
        <v>7.5639999999999992</v>
      </c>
      <c r="E140" s="134">
        <f t="shared" ref="E140:F140" si="7">E98</f>
        <v>7.9574999999999996</v>
      </c>
      <c r="F140" s="134">
        <f t="shared" si="7"/>
        <v>7.7594999999999992</v>
      </c>
    </row>
    <row r="141" spans="2:15" s="133" customFormat="1" x14ac:dyDescent="0.3">
      <c r="B141" s="103" t="s">
        <v>52</v>
      </c>
      <c r="C141" s="103" t="s">
        <v>621</v>
      </c>
      <c r="D141" s="134">
        <f>D97/Data!$C$34</f>
        <v>0.21420889743572433</v>
      </c>
      <c r="E141" s="134">
        <f>E97/Data!$C$34</f>
        <v>0.23381437400908697</v>
      </c>
      <c r="F141" s="134">
        <f>F97/Data!$C$34</f>
        <v>0.2041257892767287</v>
      </c>
    </row>
    <row r="142" spans="2:15" s="133" customFormat="1" x14ac:dyDescent="0.3">
      <c r="B142" s="103" t="s">
        <v>558</v>
      </c>
      <c r="C142" s="103" t="s">
        <v>621</v>
      </c>
      <c r="D142" s="133" t="s">
        <v>1886</v>
      </c>
      <c r="E142" s="133" t="s">
        <v>1886</v>
      </c>
      <c r="F142" s="133" t="s">
        <v>1886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5348-C5DC-40B4-B22B-99A52FA2AAF9}">
  <dimension ref="A2:Y307"/>
  <sheetViews>
    <sheetView zoomScaleNormal="100" workbookViewId="0"/>
  </sheetViews>
  <sheetFormatPr defaultRowHeight="14.4" x14ac:dyDescent="0.3"/>
  <cols>
    <col min="2" max="2" width="16.77734375" customWidth="1"/>
    <col min="3" max="3" width="11.109375" bestFit="1" customWidth="1"/>
    <col min="8" max="8" width="11" customWidth="1"/>
    <col min="11" max="11" width="10.6640625" customWidth="1"/>
    <col min="12" max="12" width="10" customWidth="1"/>
    <col min="13" max="13" width="8" customWidth="1"/>
    <col min="29" max="29" width="8.88671875" bestFit="1" customWidth="1"/>
    <col min="30" max="30" width="12.6640625" bestFit="1" customWidth="1"/>
  </cols>
  <sheetData>
    <row r="2" spans="2:4" x14ac:dyDescent="0.3">
      <c r="B2" s="14" t="s">
        <v>1775</v>
      </c>
    </row>
    <row r="3" spans="2:4" x14ac:dyDescent="0.3">
      <c r="B3" t="s">
        <v>816</v>
      </c>
    </row>
    <row r="4" spans="2:4" x14ac:dyDescent="0.3">
      <c r="B4" t="s">
        <v>817</v>
      </c>
    </row>
    <row r="6" spans="2:4" s="101" customFormat="1" x14ac:dyDescent="0.3">
      <c r="B6" s="148" t="s">
        <v>114</v>
      </c>
      <c r="D6" t="s">
        <v>216</v>
      </c>
    </row>
    <row r="7" spans="2:4" s="101" customFormat="1" x14ac:dyDescent="0.3">
      <c r="B7" s="101" t="s">
        <v>667</v>
      </c>
      <c r="C7" s="101" t="s">
        <v>503</v>
      </c>
      <c r="D7" s="101">
        <v>55</v>
      </c>
    </row>
    <row r="8" spans="2:4" s="101" customFormat="1" x14ac:dyDescent="0.3">
      <c r="B8" s="101" t="s">
        <v>1324</v>
      </c>
      <c r="D8" s="101" t="s">
        <v>1091</v>
      </c>
    </row>
    <row r="9" spans="2:4" s="101" customFormat="1" x14ac:dyDescent="0.3">
      <c r="B9" s="101" t="s">
        <v>956</v>
      </c>
      <c r="C9" s="101" t="s">
        <v>22</v>
      </c>
      <c r="D9" s="101" t="s">
        <v>1671</v>
      </c>
    </row>
    <row r="10" spans="2:4" x14ac:dyDescent="0.3">
      <c r="B10" t="s">
        <v>32</v>
      </c>
      <c r="C10" t="s">
        <v>22</v>
      </c>
      <c r="D10">
        <v>11.2</v>
      </c>
    </row>
    <row r="11" spans="2:4" s="101" customFormat="1" x14ac:dyDescent="0.3">
      <c r="B11" s="101" t="s">
        <v>326</v>
      </c>
      <c r="D11" s="101" t="s">
        <v>1355</v>
      </c>
    </row>
    <row r="12" spans="2:4" s="101" customFormat="1" x14ac:dyDescent="0.3">
      <c r="B12" s="101" t="s">
        <v>344</v>
      </c>
      <c r="D12" s="101" t="s">
        <v>694</v>
      </c>
    </row>
    <row r="13" spans="2:4" s="101" customFormat="1" x14ac:dyDescent="0.3">
      <c r="B13" s="101" t="s">
        <v>1332</v>
      </c>
      <c r="D13" s="101" t="s">
        <v>1356</v>
      </c>
    </row>
    <row r="14" spans="2:4" s="101" customFormat="1" x14ac:dyDescent="0.3">
      <c r="B14" s="101" t="s">
        <v>1330</v>
      </c>
      <c r="D14" s="101" t="s">
        <v>1333</v>
      </c>
    </row>
    <row r="15" spans="2:4" s="133" customFormat="1" x14ac:dyDescent="0.3">
      <c r="B15" s="133" t="s">
        <v>1968</v>
      </c>
      <c r="D15" s="133" t="s">
        <v>1969</v>
      </c>
    </row>
    <row r="16" spans="2:4" s="133" customFormat="1" x14ac:dyDescent="0.3">
      <c r="B16" s="133" t="s">
        <v>1541</v>
      </c>
      <c r="D16" s="133" t="s">
        <v>2129</v>
      </c>
    </row>
    <row r="17" spans="2:9" s="133" customFormat="1" x14ac:dyDescent="0.3">
      <c r="B17" s="133" t="s">
        <v>1599</v>
      </c>
      <c r="D17" s="133" t="s">
        <v>2122</v>
      </c>
    </row>
    <row r="18" spans="2:9" s="101" customFormat="1" x14ac:dyDescent="0.3"/>
    <row r="19" spans="2:9" x14ac:dyDescent="0.3">
      <c r="B19" t="s">
        <v>27</v>
      </c>
      <c r="C19" t="s">
        <v>302</v>
      </c>
      <c r="D19">
        <v>31.95</v>
      </c>
    </row>
    <row r="20" spans="2:9" x14ac:dyDescent="0.3">
      <c r="B20" t="s">
        <v>14</v>
      </c>
      <c r="C20" t="s">
        <v>302</v>
      </c>
      <c r="D20">
        <v>19.739999999999998</v>
      </c>
    </row>
    <row r="21" spans="2:9" x14ac:dyDescent="0.3">
      <c r="B21" t="s">
        <v>818</v>
      </c>
    </row>
    <row r="22" spans="2:9" x14ac:dyDescent="0.3">
      <c r="B22" t="s">
        <v>819</v>
      </c>
      <c r="C22" t="s">
        <v>21</v>
      </c>
      <c r="D22">
        <v>117.6</v>
      </c>
    </row>
    <row r="23" spans="2:9" x14ac:dyDescent="0.3">
      <c r="B23" t="s">
        <v>820</v>
      </c>
      <c r="C23" t="s">
        <v>21</v>
      </c>
      <c r="D23">
        <v>346.4</v>
      </c>
    </row>
    <row r="24" spans="2:9" x14ac:dyDescent="0.3">
      <c r="B24" t="s">
        <v>452</v>
      </c>
      <c r="C24" t="s">
        <v>21</v>
      </c>
      <c r="D24">
        <f>SUM(D22:D23)</f>
        <v>464</v>
      </c>
    </row>
    <row r="25" spans="2:9" x14ac:dyDescent="0.3">
      <c r="B25" t="s">
        <v>14</v>
      </c>
      <c r="C25" t="s">
        <v>30</v>
      </c>
      <c r="D25" s="8">
        <f>D20*10*D22/D24</f>
        <v>50.030689655172409</v>
      </c>
    </row>
    <row r="26" spans="2:9" x14ac:dyDescent="0.3">
      <c r="B26" t="s">
        <v>26</v>
      </c>
      <c r="C26" t="s">
        <v>25</v>
      </c>
      <c r="D26" s="8">
        <f>D10*1000/D24</f>
        <v>24.137931034482758</v>
      </c>
      <c r="F26" t="s">
        <v>2220</v>
      </c>
    </row>
    <row r="27" spans="2:9" x14ac:dyDescent="0.3">
      <c r="B27" t="s">
        <v>33</v>
      </c>
      <c r="C27" t="s">
        <v>702</v>
      </c>
      <c r="D27" s="3">
        <f>D25/D26</f>
        <v>2.0726999999999998</v>
      </c>
      <c r="F27" t="s">
        <v>828</v>
      </c>
    </row>
    <row r="29" spans="2:9" s="133" customFormat="1" x14ac:dyDescent="0.3"/>
    <row r="30" spans="2:9" s="133" customFormat="1" x14ac:dyDescent="0.3">
      <c r="B30" s="101" t="s">
        <v>287</v>
      </c>
      <c r="C30" s="101" t="s">
        <v>718</v>
      </c>
    </row>
    <row r="31" spans="2:9" x14ac:dyDescent="0.3">
      <c r="B31" s="101" t="s">
        <v>821</v>
      </c>
      <c r="C31" s="101"/>
      <c r="D31" s="101" t="s">
        <v>826</v>
      </c>
      <c r="E31" s="101" t="s">
        <v>822</v>
      </c>
      <c r="F31" s="101" t="s">
        <v>823</v>
      </c>
      <c r="G31" s="101" t="s">
        <v>824</v>
      </c>
      <c r="H31" s="101" t="s">
        <v>825</v>
      </c>
      <c r="I31" s="101" t="s">
        <v>827</v>
      </c>
    </row>
    <row r="32" spans="2:9" x14ac:dyDescent="0.3">
      <c r="B32" s="101" t="s">
        <v>798</v>
      </c>
      <c r="C32" s="101"/>
      <c r="D32" s="101">
        <v>1</v>
      </c>
      <c r="E32" s="101">
        <v>8</v>
      </c>
      <c r="F32" s="101">
        <v>22</v>
      </c>
      <c r="G32" s="101">
        <v>36</v>
      </c>
      <c r="H32" s="101">
        <v>57</v>
      </c>
      <c r="I32" s="101">
        <v>63</v>
      </c>
    </row>
    <row r="33" spans="2:9" x14ac:dyDescent="0.3">
      <c r="B33" s="101" t="s">
        <v>33</v>
      </c>
      <c r="C33" s="101" t="s">
        <v>270</v>
      </c>
      <c r="D33" s="101">
        <v>2</v>
      </c>
      <c r="E33" s="101">
        <v>2</v>
      </c>
      <c r="F33" s="101">
        <v>2</v>
      </c>
      <c r="G33" s="101">
        <v>2</v>
      </c>
      <c r="H33" s="101">
        <v>2</v>
      </c>
      <c r="I33" s="101"/>
    </row>
    <row r="34" spans="2:9" x14ac:dyDescent="0.3">
      <c r="B34" s="101" t="s">
        <v>26</v>
      </c>
      <c r="C34" s="101" t="s">
        <v>566</v>
      </c>
      <c r="D34" s="101">
        <v>25</v>
      </c>
      <c r="E34" s="101">
        <v>25</v>
      </c>
      <c r="F34" s="101">
        <v>25</v>
      </c>
      <c r="G34" s="101">
        <v>25</v>
      </c>
      <c r="H34" s="101">
        <v>25</v>
      </c>
      <c r="I34" s="101"/>
    </row>
    <row r="35" spans="2:9" x14ac:dyDescent="0.3">
      <c r="B35" s="101" t="s">
        <v>13</v>
      </c>
      <c r="C35" s="101" t="s">
        <v>830</v>
      </c>
      <c r="D35" s="101">
        <v>0</v>
      </c>
      <c r="E35" s="101">
        <v>0.16</v>
      </c>
      <c r="F35" s="101">
        <v>0.66</v>
      </c>
      <c r="G35" s="101">
        <v>0.66</v>
      </c>
      <c r="H35" s="101">
        <v>0.66</v>
      </c>
      <c r="I35" s="101"/>
    </row>
    <row r="36" spans="2:9" x14ac:dyDescent="0.3">
      <c r="B36" s="101" t="s">
        <v>49</v>
      </c>
      <c r="C36" s="101"/>
      <c r="D36" s="101" t="s">
        <v>1800</v>
      </c>
      <c r="E36" s="133" t="s">
        <v>1800</v>
      </c>
      <c r="F36" s="133" t="s">
        <v>1800</v>
      </c>
      <c r="G36" s="101" t="s">
        <v>1912</v>
      </c>
      <c r="H36" s="133" t="s">
        <v>1912</v>
      </c>
      <c r="I36" s="101"/>
    </row>
    <row r="37" spans="2:9" x14ac:dyDescent="0.3">
      <c r="B37" s="101" t="s">
        <v>833</v>
      </c>
      <c r="C37" s="101" t="s">
        <v>834</v>
      </c>
      <c r="D37" s="101"/>
      <c r="E37" s="101"/>
      <c r="F37" s="101"/>
      <c r="G37" s="101"/>
      <c r="H37" s="101">
        <v>0.45</v>
      </c>
      <c r="I37" s="101"/>
    </row>
    <row r="39" spans="2:9" x14ac:dyDescent="0.3">
      <c r="B39" t="s">
        <v>307</v>
      </c>
      <c r="D39" t="s">
        <v>1104</v>
      </c>
      <c r="E39" t="s">
        <v>1357</v>
      </c>
      <c r="F39" t="s">
        <v>13</v>
      </c>
      <c r="G39" t="s">
        <v>13</v>
      </c>
      <c r="H39" t="s">
        <v>13</v>
      </c>
    </row>
    <row r="40" spans="2:9" x14ac:dyDescent="0.3">
      <c r="B40" t="s">
        <v>835</v>
      </c>
      <c r="D40" t="s">
        <v>826</v>
      </c>
      <c r="E40" t="s">
        <v>822</v>
      </c>
      <c r="F40" t="s">
        <v>823</v>
      </c>
      <c r="G40" t="s">
        <v>824</v>
      </c>
      <c r="H40" t="s">
        <v>825</v>
      </c>
    </row>
    <row r="41" spans="2:9" x14ac:dyDescent="0.3">
      <c r="B41" t="s">
        <v>351</v>
      </c>
      <c r="C41" t="s">
        <v>775</v>
      </c>
      <c r="D41" s="8">
        <v>222.3</v>
      </c>
      <c r="E41" s="8">
        <v>242</v>
      </c>
      <c r="F41" s="8">
        <v>244.8</v>
      </c>
      <c r="G41" s="8">
        <v>253</v>
      </c>
      <c r="H41" s="8">
        <v>291.60000000000002</v>
      </c>
    </row>
    <row r="42" spans="2:9" x14ac:dyDescent="0.3">
      <c r="B42" t="s">
        <v>836</v>
      </c>
      <c r="C42" t="s">
        <v>302</v>
      </c>
      <c r="D42" s="8">
        <v>66</v>
      </c>
      <c r="E42" s="8">
        <v>67.8</v>
      </c>
      <c r="F42" s="8">
        <v>71.099999999999994</v>
      </c>
      <c r="G42" s="8">
        <v>76.2</v>
      </c>
      <c r="H42" s="8">
        <v>82.6</v>
      </c>
    </row>
    <row r="43" spans="2:9" x14ac:dyDescent="0.3">
      <c r="B43" t="s">
        <v>837</v>
      </c>
      <c r="C43" t="s">
        <v>458</v>
      </c>
      <c r="D43" s="8"/>
      <c r="E43" s="8">
        <v>1.88</v>
      </c>
      <c r="F43" s="8">
        <v>4.5599999999999996</v>
      </c>
      <c r="G43" s="8">
        <v>6.01</v>
      </c>
      <c r="H43" s="8">
        <v>6.63</v>
      </c>
    </row>
    <row r="44" spans="2:9" x14ac:dyDescent="0.3">
      <c r="B44" t="s">
        <v>838</v>
      </c>
      <c r="C44" t="s">
        <v>839</v>
      </c>
      <c r="D44" s="16">
        <v>9292</v>
      </c>
      <c r="E44" s="16">
        <v>11490</v>
      </c>
      <c r="F44" s="16">
        <v>10735</v>
      </c>
      <c r="G44" s="16">
        <v>9568</v>
      </c>
      <c r="H44" s="16">
        <v>8110</v>
      </c>
    </row>
    <row r="45" spans="2:9" x14ac:dyDescent="0.3">
      <c r="B45" t="s">
        <v>840</v>
      </c>
      <c r="D45" s="3">
        <v>0.71</v>
      </c>
      <c r="E45" s="3">
        <v>0.75</v>
      </c>
      <c r="F45" s="3">
        <v>0.73</v>
      </c>
      <c r="G45" s="3">
        <v>0.71</v>
      </c>
      <c r="H45" s="3">
        <v>0.67</v>
      </c>
    </row>
    <row r="46" spans="2:9" x14ac:dyDescent="0.3">
      <c r="B46" t="s">
        <v>35</v>
      </c>
      <c r="D46" s="3">
        <v>7.63</v>
      </c>
      <c r="E46" s="3">
        <v>7.74</v>
      </c>
      <c r="F46" s="3">
        <v>7.89</v>
      </c>
      <c r="G46" s="13">
        <v>7.73</v>
      </c>
      <c r="H46" s="3">
        <v>7.85</v>
      </c>
    </row>
    <row r="47" spans="2:9" x14ac:dyDescent="0.3">
      <c r="B47" t="s">
        <v>52</v>
      </c>
      <c r="C47" t="s">
        <v>17</v>
      </c>
      <c r="D47" s="16">
        <v>1568</v>
      </c>
      <c r="E47" s="16">
        <v>1608</v>
      </c>
      <c r="F47" s="16">
        <v>1619</v>
      </c>
      <c r="G47" s="16">
        <v>1349</v>
      </c>
      <c r="H47" s="16">
        <v>892</v>
      </c>
    </row>
    <row r="48" spans="2:9" x14ac:dyDescent="0.3">
      <c r="B48" t="s">
        <v>171</v>
      </c>
      <c r="C48" t="s">
        <v>17</v>
      </c>
      <c r="D48" s="16">
        <v>3317</v>
      </c>
      <c r="E48" s="16">
        <v>2489</v>
      </c>
      <c r="F48" s="16">
        <v>2417</v>
      </c>
      <c r="G48" s="16">
        <v>2118</v>
      </c>
      <c r="H48" s="16">
        <v>1485</v>
      </c>
    </row>
    <row r="49" spans="2:16" x14ac:dyDescent="0.3">
      <c r="B49" t="s">
        <v>309</v>
      </c>
      <c r="C49" t="s">
        <v>17</v>
      </c>
      <c r="D49" s="16">
        <v>1736</v>
      </c>
      <c r="E49" s="16">
        <v>1155</v>
      </c>
      <c r="F49" s="16">
        <v>1081</v>
      </c>
      <c r="G49" s="16">
        <v>930</v>
      </c>
      <c r="H49" s="16">
        <v>786</v>
      </c>
    </row>
    <row r="50" spans="2:16" x14ac:dyDescent="0.3">
      <c r="B50" t="s">
        <v>310</v>
      </c>
      <c r="C50" t="s">
        <v>17</v>
      </c>
      <c r="D50" s="16">
        <v>960</v>
      </c>
      <c r="E50" s="16">
        <v>848</v>
      </c>
      <c r="F50" s="16">
        <v>859</v>
      </c>
      <c r="G50" s="16">
        <v>788</v>
      </c>
      <c r="H50" s="16">
        <v>335</v>
      </c>
    </row>
    <row r="52" spans="2:16" x14ac:dyDescent="0.3">
      <c r="B52" t="s">
        <v>842</v>
      </c>
      <c r="D52" s="3">
        <f>(D49+D50)/D48</f>
        <v>0.81278263491106417</v>
      </c>
      <c r="E52" s="3">
        <f>(E49+E50)/E48</f>
        <v>0.80474085978304544</v>
      </c>
      <c r="F52" s="3">
        <f>(F49+F50)/F48</f>
        <v>0.8026479106330161</v>
      </c>
      <c r="G52" s="3">
        <f>(G49+G50)/G48</f>
        <v>0.81114258734655331</v>
      </c>
      <c r="H52" s="3">
        <f>(H49+H50)/H48</f>
        <v>0.75488215488215493</v>
      </c>
    </row>
    <row r="53" spans="2:16" x14ac:dyDescent="0.3">
      <c r="B53" t="s">
        <v>845</v>
      </c>
      <c r="C53" t="s">
        <v>458</v>
      </c>
      <c r="D53" s="8">
        <v>2.6</v>
      </c>
      <c r="E53" s="8">
        <v>2.6</v>
      </c>
      <c r="F53" s="8">
        <v>2.2000000000000002</v>
      </c>
      <c r="G53" s="8">
        <v>1.8</v>
      </c>
      <c r="H53" s="8">
        <v>1.4</v>
      </c>
      <c r="J53" t="s">
        <v>856</v>
      </c>
    </row>
    <row r="54" spans="2:16" x14ac:dyDescent="0.3">
      <c r="B54" s="6" t="s">
        <v>40</v>
      </c>
      <c r="D54" s="3">
        <f>D60*$D10</f>
        <v>2.5652072727272728</v>
      </c>
      <c r="E54" s="3">
        <f>E60*$D10</f>
        <v>2.5744802359882009</v>
      </c>
      <c r="F54" s="3">
        <f>F60*$D10</f>
        <v>2.2288850632911399</v>
      </c>
      <c r="G54" s="3">
        <f>G60*$D10</f>
        <v>1.7700703412073486</v>
      </c>
      <c r="H54" s="3">
        <f>H60*$D10</f>
        <v>1.3759566101694922</v>
      </c>
      <c r="J54" t="s">
        <v>197</v>
      </c>
    </row>
    <row r="56" spans="2:16" x14ac:dyDescent="0.3">
      <c r="B56" s="6" t="s">
        <v>877</v>
      </c>
    </row>
    <row r="57" spans="2:16" x14ac:dyDescent="0.3">
      <c r="B57" t="s">
        <v>321</v>
      </c>
      <c r="C57" t="s">
        <v>338</v>
      </c>
      <c r="D57" s="3"/>
      <c r="E57" s="10">
        <f>E35*60*24/1000</f>
        <v>0.23039999999999997</v>
      </c>
      <c r="F57" s="10">
        <f>F35*60*24/1000</f>
        <v>0.95040000000000013</v>
      </c>
      <c r="G57" s="10">
        <f>G35*60*24/1000</f>
        <v>0.95040000000000013</v>
      </c>
      <c r="H57" s="10">
        <f>H35*60*24/1000</f>
        <v>0.95040000000000013</v>
      </c>
      <c r="M57" s="10"/>
      <c r="N57" s="10"/>
      <c r="O57" s="10"/>
      <c r="P57" s="10"/>
    </row>
    <row r="58" spans="2:16" x14ac:dyDescent="0.3">
      <c r="B58" t="s">
        <v>433</v>
      </c>
      <c r="C58" t="s">
        <v>338</v>
      </c>
      <c r="D58" s="3"/>
      <c r="E58" s="10">
        <f>E43/$D10</f>
        <v>0.16785714285714287</v>
      </c>
      <c r="F58" s="10">
        <f>F43/$D10</f>
        <v>0.40714285714285714</v>
      </c>
      <c r="G58" s="10">
        <f>G43/$D10</f>
        <v>0.53660714285714284</v>
      </c>
      <c r="H58" s="10">
        <f>H43/$D10</f>
        <v>0.59196428571428572</v>
      </c>
      <c r="J58" t="s">
        <v>879</v>
      </c>
      <c r="M58" s="10"/>
      <c r="N58" s="10"/>
      <c r="O58" s="10"/>
      <c r="P58" s="10"/>
    </row>
    <row r="59" spans="2:16" x14ac:dyDescent="0.3">
      <c r="B59" s="27" t="s">
        <v>844</v>
      </c>
      <c r="C59" t="s">
        <v>338</v>
      </c>
      <c r="D59" s="10">
        <f>D89</f>
        <v>0.4446</v>
      </c>
      <c r="E59" s="10">
        <f>E89</f>
        <v>0.48399999999999999</v>
      </c>
      <c r="F59" s="10">
        <f>F89</f>
        <v>0.48960000000000004</v>
      </c>
      <c r="G59" s="10">
        <f>G89</f>
        <v>0.50600000000000001</v>
      </c>
      <c r="H59" s="10">
        <f>H89</f>
        <v>0.58320000000000005</v>
      </c>
      <c r="J59" s="10"/>
      <c r="M59" s="10"/>
      <c r="N59" s="10"/>
      <c r="O59" s="10"/>
      <c r="P59" s="10"/>
    </row>
    <row r="60" spans="2:16" x14ac:dyDescent="0.3">
      <c r="B60" s="27" t="s">
        <v>845</v>
      </c>
      <c r="C60" t="s">
        <v>338</v>
      </c>
      <c r="D60" s="10">
        <f>D59*(100-D42)/D42</f>
        <v>0.22903636363636365</v>
      </c>
      <c r="E60" s="10">
        <f>E59*(100-E42)/E42</f>
        <v>0.2298643067846608</v>
      </c>
      <c r="F60" s="10">
        <f>F59*(100-F42)/F42</f>
        <v>0.19900759493670894</v>
      </c>
      <c r="G60" s="10">
        <f>G59*(100-G42)/G42</f>
        <v>0.15804199475065614</v>
      </c>
      <c r="H60" s="10">
        <f>H59*(100-H42)/H42</f>
        <v>0.12285326876513324</v>
      </c>
      <c r="J60" t="s">
        <v>101</v>
      </c>
      <c r="M60" s="10"/>
      <c r="N60" s="10"/>
      <c r="O60" s="10"/>
      <c r="P60" s="10"/>
    </row>
    <row r="61" spans="2:16" x14ac:dyDescent="0.3">
      <c r="B61" s="27" t="s">
        <v>308</v>
      </c>
      <c r="C61" t="s">
        <v>338</v>
      </c>
      <c r="D61" s="10">
        <f>SUM(D59:D60)</f>
        <v>0.67363636363636359</v>
      </c>
      <c r="E61" s="10">
        <f>SUM(E59:E60)</f>
        <v>0.71386430678466084</v>
      </c>
      <c r="F61" s="10">
        <f>SUM(F59:F60)</f>
        <v>0.68860759493670898</v>
      </c>
      <c r="G61" s="10">
        <f>SUM(G59:G60)</f>
        <v>0.66404199475065617</v>
      </c>
      <c r="H61" s="10">
        <f>SUM(H59:H60)</f>
        <v>0.7060532687651333</v>
      </c>
      <c r="M61" s="10"/>
      <c r="N61" s="10"/>
      <c r="O61" s="10"/>
      <c r="P61" s="10"/>
    </row>
    <row r="62" spans="2:16" x14ac:dyDescent="0.3">
      <c r="B62" t="s">
        <v>323</v>
      </c>
      <c r="C62" t="s">
        <v>338</v>
      </c>
      <c r="D62" s="10"/>
      <c r="E62" s="10">
        <f>E57-E58</f>
        <v>6.2542857142857095E-2</v>
      </c>
      <c r="F62" s="10">
        <f>F57-F58</f>
        <v>0.54325714285714299</v>
      </c>
      <c r="G62" s="10">
        <f>G57-G58</f>
        <v>0.4137928571428573</v>
      </c>
      <c r="H62" s="10">
        <f>H57-H58</f>
        <v>0.35843571428571441</v>
      </c>
      <c r="M62" s="10"/>
      <c r="N62" s="10"/>
      <c r="O62" s="10"/>
      <c r="P62" s="10"/>
    </row>
    <row r="63" spans="2:16" x14ac:dyDescent="0.3">
      <c r="B63" t="s">
        <v>848</v>
      </c>
      <c r="C63" t="s">
        <v>338</v>
      </c>
      <c r="D63" s="10">
        <f>D59+D60+D62</f>
        <v>0.67363636363636359</v>
      </c>
      <c r="E63" s="10">
        <f>E59+E60+E62</f>
        <v>0.77640716392751796</v>
      </c>
      <c r="F63" s="10">
        <f>F59+F60+F62</f>
        <v>1.2318647377938521</v>
      </c>
      <c r="G63" s="10">
        <f>G59+G60+G62</f>
        <v>1.0778348518935135</v>
      </c>
      <c r="H63" s="10">
        <f>H59+H60+H62</f>
        <v>1.0644889830508477</v>
      </c>
      <c r="M63" s="10"/>
      <c r="N63" s="10"/>
      <c r="O63" s="10"/>
      <c r="P63" s="10"/>
    </row>
    <row r="64" spans="2:16" x14ac:dyDescent="0.3">
      <c r="B64" t="s">
        <v>846</v>
      </c>
      <c r="C64" t="s">
        <v>302</v>
      </c>
      <c r="D64" s="10">
        <f t="shared" ref="D64:H65" si="0">D59/D$63</f>
        <v>0.66</v>
      </c>
      <c r="E64" s="10">
        <f t="shared" si="0"/>
        <v>0.6233842531174586</v>
      </c>
      <c r="F64" s="10">
        <f t="shared" si="0"/>
        <v>0.39744623332333162</v>
      </c>
      <c r="G64" s="10">
        <f t="shared" si="0"/>
        <v>0.46945967567394187</v>
      </c>
      <c r="H64" s="10">
        <f t="shared" si="0"/>
        <v>0.54786851652380342</v>
      </c>
      <c r="M64" s="10"/>
      <c r="N64" s="10"/>
      <c r="O64" s="10"/>
      <c r="P64" s="10"/>
    </row>
    <row r="65" spans="1:16" x14ac:dyDescent="0.3">
      <c r="B65" t="s">
        <v>849</v>
      </c>
      <c r="C65" t="s">
        <v>302</v>
      </c>
      <c r="D65" s="10">
        <f t="shared" si="0"/>
        <v>0.34</v>
      </c>
      <c r="E65" s="10">
        <f t="shared" si="0"/>
        <v>0.29606154794073997</v>
      </c>
      <c r="F65" s="10">
        <f t="shared" si="0"/>
        <v>0.16154987542959617</v>
      </c>
      <c r="G65" s="10">
        <f t="shared" si="0"/>
        <v>0.14662913754645426</v>
      </c>
      <c r="H65" s="10">
        <f t="shared" si="0"/>
        <v>0.11541055917087389</v>
      </c>
      <c r="M65" s="10"/>
      <c r="N65" s="10"/>
      <c r="O65" s="10"/>
      <c r="P65" s="10"/>
    </row>
    <row r="66" spans="1:16" x14ac:dyDescent="0.3">
      <c r="B66" t="s">
        <v>847</v>
      </c>
      <c r="C66" t="s">
        <v>302</v>
      </c>
      <c r="D66" s="10"/>
      <c r="E66" s="10">
        <f>E62/E$63</f>
        <v>8.0554198941801408E-2</v>
      </c>
      <c r="F66" s="10">
        <f>F62/F$63</f>
        <v>0.44100389124707218</v>
      </c>
      <c r="G66" s="10">
        <f>G62/G$63</f>
        <v>0.38391118677960384</v>
      </c>
      <c r="H66" s="10">
        <f>H62/H$63</f>
        <v>0.33672092430532269</v>
      </c>
      <c r="M66" s="10"/>
      <c r="N66" s="10"/>
      <c r="O66" s="10"/>
      <c r="P66" s="10"/>
    </row>
    <row r="67" spans="1:16" x14ac:dyDescent="0.3">
      <c r="A67" s="148"/>
      <c r="B67" s="148" t="s">
        <v>460</v>
      </c>
      <c r="C67" t="s">
        <v>338</v>
      </c>
      <c r="E67" s="10">
        <f>E58/4</f>
        <v>4.1964285714285718E-2</v>
      </c>
      <c r="F67" s="10">
        <f>F58/4</f>
        <v>0.10178571428571428</v>
      </c>
      <c r="G67" s="10">
        <f>G58/4</f>
        <v>0.13415178571428571</v>
      </c>
      <c r="H67" s="10">
        <f>H58/4</f>
        <v>0.14799107142857143</v>
      </c>
      <c r="M67" s="10"/>
      <c r="N67" s="10"/>
      <c r="O67" s="10"/>
      <c r="P67" s="10"/>
    </row>
    <row r="68" spans="1:16" x14ac:dyDescent="0.3">
      <c r="A68" s="148"/>
      <c r="B68" s="148" t="s">
        <v>402</v>
      </c>
      <c r="C68" t="s">
        <v>338</v>
      </c>
      <c r="E68" s="10">
        <f>E59-$D59</f>
        <v>3.9399999999999991E-2</v>
      </c>
      <c r="F68" s="10">
        <f>F59-$D59</f>
        <v>4.500000000000004E-2</v>
      </c>
      <c r="G68" s="10">
        <f>G59-$D59</f>
        <v>6.140000000000001E-2</v>
      </c>
      <c r="H68" s="10">
        <f>H59-$D59</f>
        <v>0.13860000000000006</v>
      </c>
      <c r="M68" s="10"/>
      <c r="N68" s="10"/>
      <c r="O68" s="10"/>
      <c r="P68" s="10"/>
    </row>
    <row r="69" spans="1:16" x14ac:dyDescent="0.3">
      <c r="A69" s="148"/>
      <c r="B69" s="148" t="s">
        <v>2086</v>
      </c>
      <c r="C69" t="s">
        <v>338</v>
      </c>
      <c r="E69" s="10">
        <f>$D60-E60</f>
        <v>-8.2794314829714999E-4</v>
      </c>
      <c r="F69" s="10">
        <f>$D60-F60</f>
        <v>3.0028768699654707E-2</v>
      </c>
      <c r="G69" s="10">
        <f>$D60-G60</f>
        <v>7.0994368885707509E-2</v>
      </c>
      <c r="H69" s="10">
        <f>$D60-H60</f>
        <v>0.10618309487123041</v>
      </c>
      <c r="N69" s="10"/>
      <c r="O69" s="10"/>
      <c r="P69" s="10"/>
    </row>
    <row r="70" spans="1:16" s="133" customFormat="1" x14ac:dyDescent="0.3">
      <c r="A70" s="148"/>
      <c r="B70" s="148" t="s">
        <v>93</v>
      </c>
      <c r="E70" s="8">
        <f>E57/$D60</f>
        <v>1.0059537985234577</v>
      </c>
      <c r="F70" s="8">
        <f>F57/$D60</f>
        <v>4.1495594189092646</v>
      </c>
      <c r="G70" s="8">
        <f>G57/$D60</f>
        <v>4.1495594189092646</v>
      </c>
      <c r="H70" s="8">
        <f>H57/$D60</f>
        <v>4.1495594189092646</v>
      </c>
      <c r="M70" s="8"/>
      <c r="N70" s="8"/>
      <c r="O70" s="8"/>
      <c r="P70" s="8"/>
    </row>
    <row r="71" spans="1:16" x14ac:dyDescent="0.3">
      <c r="A71" s="148"/>
      <c r="B71" s="148" t="s">
        <v>462</v>
      </c>
      <c r="C71" t="s">
        <v>92</v>
      </c>
      <c r="D71" s="10"/>
      <c r="E71" s="10">
        <f>E58/E57</f>
        <v>0.7285466269841272</v>
      </c>
      <c r="F71" s="10">
        <f>F58/F57</f>
        <v>0.42839105339105332</v>
      </c>
      <c r="G71" s="10">
        <f>G58/G57</f>
        <v>0.56461189273689261</v>
      </c>
      <c r="H71" s="10">
        <f>H58/H57</f>
        <v>0.62285804473304462</v>
      </c>
      <c r="M71" s="10"/>
      <c r="N71" s="10"/>
      <c r="O71" s="10"/>
      <c r="P71" s="10"/>
    </row>
    <row r="72" spans="1:16" x14ac:dyDescent="0.3">
      <c r="A72" s="148"/>
      <c r="B72" s="148" t="s">
        <v>2085</v>
      </c>
      <c r="C72" t="s">
        <v>92</v>
      </c>
      <c r="E72" s="3">
        <f>E67/E68</f>
        <v>1.0650833937635971</v>
      </c>
      <c r="F72" s="3">
        <f>F67/F68</f>
        <v>2.2619047619047601</v>
      </c>
      <c r="G72" s="3">
        <f>G67/G68</f>
        <v>2.184882503489995</v>
      </c>
      <c r="H72" s="3">
        <f>H67/H68</f>
        <v>1.0677566481137906</v>
      </c>
      <c r="J72" t="s">
        <v>855</v>
      </c>
      <c r="N72" s="3"/>
      <c r="O72" s="3"/>
      <c r="P72" s="3"/>
    </row>
    <row r="73" spans="1:16" x14ac:dyDescent="0.3">
      <c r="A73" s="148"/>
      <c r="B73" s="148" t="s">
        <v>2087</v>
      </c>
      <c r="C73" t="s">
        <v>92</v>
      </c>
      <c r="E73" s="10">
        <f>E69/E67</f>
        <v>-1.9729709065804422E-2</v>
      </c>
      <c r="F73" s="10">
        <f>F69/F67</f>
        <v>0.29501948196151995</v>
      </c>
      <c r="G73" s="10">
        <f>G69/G67</f>
        <v>0.52920927222623904</v>
      </c>
      <c r="H73" s="10">
        <f>H69/H67</f>
        <v>0.71749662899413613</v>
      </c>
      <c r="M73" s="10"/>
      <c r="N73" s="10"/>
      <c r="O73" s="10"/>
      <c r="P73" s="10"/>
    </row>
    <row r="74" spans="1:16" x14ac:dyDescent="0.3">
      <c r="A74" s="148"/>
      <c r="B74" s="148" t="s">
        <v>2088</v>
      </c>
      <c r="C74" t="s">
        <v>92</v>
      </c>
      <c r="E74" s="3">
        <f>E68/E69</f>
        <v>-47.587808512015457</v>
      </c>
      <c r="F74" s="3">
        <f>F68/F69</f>
        <v>1.4985629430925513</v>
      </c>
      <c r="G74" s="3">
        <f>G68/G69</f>
        <v>0.86485732549924776</v>
      </c>
      <c r="H74" s="3">
        <f>H68/H69</f>
        <v>1.3052925248419442</v>
      </c>
      <c r="M74" s="3"/>
      <c r="N74" s="3"/>
      <c r="O74" s="3"/>
      <c r="P74" s="3"/>
    </row>
    <row r="75" spans="1:16" s="133" customFormat="1" x14ac:dyDescent="0.3">
      <c r="A75" s="148"/>
      <c r="B75" s="148" t="s">
        <v>2096</v>
      </c>
      <c r="C75" s="133" t="s">
        <v>92</v>
      </c>
      <c r="D75" s="37"/>
      <c r="E75" s="37">
        <f>E68/$D60</f>
        <v>0.1720250853377788</v>
      </c>
      <c r="F75" s="37">
        <f>F68/$D60</f>
        <v>0.19647535127411306</v>
      </c>
      <c r="G75" s="37">
        <f>G68/$D60</f>
        <v>0.26807970151623406</v>
      </c>
      <c r="H75" s="37">
        <f>H68/$D60</f>
        <v>0.60514408192426794</v>
      </c>
      <c r="I75" s="37"/>
      <c r="J75" s="37"/>
      <c r="K75" s="37"/>
      <c r="L75" s="37"/>
      <c r="M75" s="37"/>
      <c r="N75" s="37"/>
      <c r="O75" s="37"/>
    </row>
    <row r="76" spans="1:16" s="133" customFormat="1" x14ac:dyDescent="0.3">
      <c r="A76" s="148"/>
      <c r="B76" s="148" t="s">
        <v>2097</v>
      </c>
      <c r="C76" s="133" t="s">
        <v>92</v>
      </c>
      <c r="D76" s="37"/>
      <c r="E76" s="37">
        <f>E61/$D61</f>
        <v>1.0597175944171755</v>
      </c>
      <c r="F76" s="37">
        <f>F61/$D61</f>
        <v>1.0222244999060457</v>
      </c>
      <c r="G76" s="37">
        <f>G61/$D61</f>
        <v>0.98575734713322782</v>
      </c>
      <c r="H76" s="37">
        <f>H61/$D61</f>
        <v>1.0481222613247594</v>
      </c>
      <c r="I76" s="37"/>
      <c r="J76" s="37"/>
      <c r="K76" s="37"/>
      <c r="L76" s="37"/>
      <c r="M76" s="37"/>
      <c r="N76" s="37"/>
      <c r="O76" s="37"/>
    </row>
    <row r="77" spans="1:16" x14ac:dyDescent="0.3">
      <c r="A77" s="148"/>
      <c r="B77" s="148" t="s">
        <v>2081</v>
      </c>
      <c r="E77" s="8">
        <f>E58/E68</f>
        <v>4.2603335750543883</v>
      </c>
      <c r="F77" s="8">
        <f>F58/F68</f>
        <v>9.0476190476190403</v>
      </c>
      <c r="G77" s="8">
        <f>G58/G68</f>
        <v>8.7395300139599801</v>
      </c>
      <c r="H77" s="8">
        <f>H58/H68</f>
        <v>4.2710265924551623</v>
      </c>
      <c r="J77" t="s">
        <v>855</v>
      </c>
      <c r="M77" s="8"/>
      <c r="N77" s="8"/>
      <c r="O77" s="8"/>
      <c r="P77" s="8"/>
    </row>
    <row r="78" spans="1:16" x14ac:dyDescent="0.3">
      <c r="A78" s="148"/>
      <c r="B78" s="148" t="s">
        <v>2137</v>
      </c>
      <c r="E78" s="8">
        <f>E58/E69</f>
        <v>-202.73993836699847</v>
      </c>
      <c r="F78" s="8">
        <f>F58/F69</f>
        <v>13.558426627980213</v>
      </c>
      <c r="G78" s="8">
        <f>G58/G69</f>
        <v>7.5584465539938321</v>
      </c>
      <c r="H78" s="8">
        <f>H58/H69</f>
        <v>5.5749390845328843</v>
      </c>
      <c r="M78" s="8"/>
      <c r="N78" s="8"/>
      <c r="O78" s="8"/>
      <c r="P78" s="8"/>
    </row>
    <row r="80" spans="1:16" x14ac:dyDescent="0.3">
      <c r="B80" s="6" t="s">
        <v>359</v>
      </c>
    </row>
    <row r="81" spans="2:16" s="133" customFormat="1" x14ac:dyDescent="0.3">
      <c r="B81" s="148" t="s">
        <v>1795</v>
      </c>
      <c r="D81" s="133" t="s">
        <v>2156</v>
      </c>
      <c r="E81" s="66" t="s">
        <v>1686</v>
      </c>
      <c r="F81" s="66" t="s">
        <v>1686</v>
      </c>
      <c r="G81" s="133" t="s">
        <v>1801</v>
      </c>
      <c r="H81" s="133" t="s">
        <v>2089</v>
      </c>
    </row>
    <row r="82" spans="2:16" s="133" customFormat="1" x14ac:dyDescent="0.3">
      <c r="B82" s="148" t="s">
        <v>1791</v>
      </c>
      <c r="D82" s="133" t="s">
        <v>1104</v>
      </c>
      <c r="E82" s="133" t="s">
        <v>1105</v>
      </c>
      <c r="F82" s="133" t="s">
        <v>1105</v>
      </c>
      <c r="G82" s="133" t="s">
        <v>1105</v>
      </c>
      <c r="H82" s="133" t="s">
        <v>1105</v>
      </c>
    </row>
    <row r="83" spans="2:16" x14ac:dyDescent="0.3">
      <c r="B83" t="s">
        <v>33</v>
      </c>
      <c r="C83" t="s">
        <v>270</v>
      </c>
      <c r="D83">
        <f t="shared" ref="D83:H84" si="1">D33</f>
        <v>2</v>
      </c>
      <c r="E83" s="101">
        <f t="shared" si="1"/>
        <v>2</v>
      </c>
      <c r="F83" s="101">
        <f t="shared" si="1"/>
        <v>2</v>
      </c>
      <c r="G83" s="101">
        <f t="shared" si="1"/>
        <v>2</v>
      </c>
      <c r="H83" s="101">
        <f t="shared" si="1"/>
        <v>2</v>
      </c>
    </row>
    <row r="84" spans="2:16" x14ac:dyDescent="0.3">
      <c r="B84" t="s">
        <v>26</v>
      </c>
      <c r="C84" t="s">
        <v>25</v>
      </c>
      <c r="D84">
        <f t="shared" si="1"/>
        <v>25</v>
      </c>
      <c r="E84" s="101">
        <f t="shared" si="1"/>
        <v>25</v>
      </c>
      <c r="F84" s="101">
        <f t="shared" si="1"/>
        <v>25</v>
      </c>
      <c r="G84" s="101">
        <f t="shared" si="1"/>
        <v>25</v>
      </c>
      <c r="H84" s="101">
        <f t="shared" si="1"/>
        <v>25</v>
      </c>
      <c r="J84" t="s">
        <v>841</v>
      </c>
    </row>
    <row r="85" spans="2:16" s="133" customFormat="1" x14ac:dyDescent="0.3">
      <c r="B85" s="148" t="s">
        <v>1544</v>
      </c>
      <c r="C85" s="133" t="s">
        <v>338</v>
      </c>
      <c r="E85" s="10">
        <f>E57</f>
        <v>0.23039999999999997</v>
      </c>
      <c r="F85" s="10">
        <f>F57</f>
        <v>0.95040000000000013</v>
      </c>
      <c r="G85" s="10">
        <f>G57</f>
        <v>0.95040000000000013</v>
      </c>
      <c r="H85" s="10">
        <f>H57</f>
        <v>0.95040000000000013</v>
      </c>
      <c r="M85" s="8"/>
      <c r="N85" s="8"/>
      <c r="O85" s="8"/>
      <c r="P85" s="8"/>
    </row>
    <row r="86" spans="2:16" x14ac:dyDescent="0.3">
      <c r="B86" t="s">
        <v>351</v>
      </c>
      <c r="C86" t="s">
        <v>377</v>
      </c>
      <c r="D86" s="10">
        <f>D41/1000</f>
        <v>0.2223</v>
      </c>
      <c r="E86" s="10">
        <f>E41/1000</f>
        <v>0.24199999999999999</v>
      </c>
      <c r="F86" s="10">
        <f>F41/1000</f>
        <v>0.24480000000000002</v>
      </c>
      <c r="G86" s="10">
        <f>G41/1000</f>
        <v>0.253</v>
      </c>
      <c r="H86" s="10">
        <f>H41/1000</f>
        <v>0.29160000000000003</v>
      </c>
    </row>
    <row r="87" spans="2:16" x14ac:dyDescent="0.3">
      <c r="B87" t="s">
        <v>352</v>
      </c>
      <c r="C87" t="s">
        <v>377</v>
      </c>
      <c r="E87" s="10">
        <f>E86-$D86</f>
        <v>1.9699999999999995E-2</v>
      </c>
      <c r="F87" s="10">
        <f>F86-$D86</f>
        <v>2.250000000000002E-2</v>
      </c>
      <c r="G87" s="10">
        <f>G86-$D86</f>
        <v>3.0700000000000005E-2</v>
      </c>
      <c r="H87" s="10">
        <f>H86-$D86</f>
        <v>6.9300000000000028E-2</v>
      </c>
    </row>
    <row r="88" spans="2:16" x14ac:dyDescent="0.3">
      <c r="B88" t="s">
        <v>353</v>
      </c>
      <c r="C88" t="s">
        <v>92</v>
      </c>
      <c r="E88" s="10">
        <f>E87/D86</f>
        <v>8.8618983355825437E-2</v>
      </c>
      <c r="F88" s="10">
        <f>F87/E86</f>
        <v>9.2975206611570327E-2</v>
      </c>
      <c r="G88" s="10">
        <f>G87/F86</f>
        <v>0.12540849673202614</v>
      </c>
      <c r="H88" s="10">
        <f>H87/G86</f>
        <v>0.27391304347826095</v>
      </c>
    </row>
    <row r="89" spans="2:16" x14ac:dyDescent="0.3">
      <c r="B89" t="s">
        <v>293</v>
      </c>
      <c r="C89" t="s">
        <v>338</v>
      </c>
      <c r="D89" s="10">
        <f>D86*D83</f>
        <v>0.4446</v>
      </c>
      <c r="E89" s="10">
        <f>E86*E83</f>
        <v>0.48399999999999999</v>
      </c>
      <c r="F89" s="10">
        <f>F86*F83</f>
        <v>0.48960000000000004</v>
      </c>
      <c r="G89" s="10">
        <f>G86*G83</f>
        <v>0.50600000000000001</v>
      </c>
      <c r="H89" s="10">
        <f>H86*H83</f>
        <v>0.58320000000000005</v>
      </c>
    </row>
    <row r="90" spans="2:16" x14ac:dyDescent="0.3">
      <c r="B90" t="s">
        <v>402</v>
      </c>
      <c r="C90" t="s">
        <v>338</v>
      </c>
      <c r="E90" s="10">
        <f>E87/E83</f>
        <v>9.8499999999999976E-3</v>
      </c>
      <c r="F90" s="10">
        <f>F87/F83</f>
        <v>1.125000000000001E-2</v>
      </c>
      <c r="G90" s="10">
        <f>G87/G83</f>
        <v>1.5350000000000003E-2</v>
      </c>
      <c r="H90" s="10">
        <f>H87/H83</f>
        <v>3.4650000000000014E-2</v>
      </c>
    </row>
    <row r="91" spans="2:16" x14ac:dyDescent="0.3">
      <c r="B91" t="s">
        <v>3</v>
      </c>
      <c r="C91" t="s">
        <v>302</v>
      </c>
      <c r="D91" s="8">
        <f t="shared" ref="D91:H93" si="2">D64*100</f>
        <v>66</v>
      </c>
      <c r="E91" s="8">
        <f t="shared" si="2"/>
        <v>62.338425311745858</v>
      </c>
      <c r="F91" s="8">
        <f t="shared" si="2"/>
        <v>39.744623332333163</v>
      </c>
      <c r="G91" s="8">
        <f t="shared" si="2"/>
        <v>46.945967567394185</v>
      </c>
      <c r="H91" s="8">
        <f t="shared" si="2"/>
        <v>54.786851652380342</v>
      </c>
    </row>
    <row r="92" spans="2:16" x14ac:dyDescent="0.3">
      <c r="B92" t="s">
        <v>277</v>
      </c>
      <c r="C92" t="s">
        <v>302</v>
      </c>
      <c r="D92" s="8">
        <f t="shared" si="2"/>
        <v>34</v>
      </c>
      <c r="E92" s="8">
        <f t="shared" si="2"/>
        <v>29.606154794073998</v>
      </c>
      <c r="F92" s="8">
        <f t="shared" si="2"/>
        <v>16.154987542959617</v>
      </c>
      <c r="G92" s="8">
        <f t="shared" si="2"/>
        <v>14.662913754645427</v>
      </c>
      <c r="H92" s="8">
        <f t="shared" si="2"/>
        <v>11.541055917087389</v>
      </c>
    </row>
    <row r="93" spans="2:16" x14ac:dyDescent="0.3">
      <c r="B93" t="s">
        <v>13</v>
      </c>
      <c r="C93" t="s">
        <v>302</v>
      </c>
      <c r="D93" s="8">
        <f t="shared" si="2"/>
        <v>0</v>
      </c>
      <c r="E93" s="8">
        <f t="shared" si="2"/>
        <v>8.0554198941801403</v>
      </c>
      <c r="F93" s="8">
        <f t="shared" si="2"/>
        <v>44.10038912470722</v>
      </c>
      <c r="G93" s="8">
        <f t="shared" si="2"/>
        <v>38.391118677960385</v>
      </c>
      <c r="H93" s="8">
        <f t="shared" si="2"/>
        <v>33.672092430532267</v>
      </c>
    </row>
    <row r="94" spans="2:16" x14ac:dyDescent="0.3">
      <c r="B94" t="s">
        <v>35</v>
      </c>
      <c r="D94" s="3">
        <f>D46</f>
        <v>7.63</v>
      </c>
      <c r="E94" s="3">
        <f>E46</f>
        <v>7.74</v>
      </c>
      <c r="F94" s="3">
        <f>F46</f>
        <v>7.89</v>
      </c>
      <c r="G94" s="3">
        <f>G46</f>
        <v>7.73</v>
      </c>
      <c r="H94" s="3">
        <f>H46</f>
        <v>7.85</v>
      </c>
    </row>
    <row r="95" spans="2:16" x14ac:dyDescent="0.3">
      <c r="B95" t="s">
        <v>52</v>
      </c>
      <c r="C95" t="s">
        <v>621</v>
      </c>
      <c r="D95" s="10">
        <f>D47/(1000*Data!$C34)</f>
        <v>0.1119464256391584</v>
      </c>
      <c r="E95" s="10">
        <f>E47/(1000*Data!$C34)</f>
        <v>0.11480220180342264</v>
      </c>
      <c r="F95" s="10">
        <f>F47/(1000*Data!$C34)</f>
        <v>0.11558754024859531</v>
      </c>
      <c r="G95" s="10">
        <f>G47/(1000*Data!$C34)</f>
        <v>9.6311051139811657E-2</v>
      </c>
      <c r="H95" s="10">
        <f>H47/(1000*Data!$C34)</f>
        <v>6.3683808463092656E-2</v>
      </c>
    </row>
    <row r="96" spans="2:16" x14ac:dyDescent="0.3">
      <c r="B96" t="s">
        <v>558</v>
      </c>
      <c r="C96" t="s">
        <v>621</v>
      </c>
      <c r="D96" s="10">
        <f>D49/(1000*Data!$D18)+D50/(1000*Data!$E18)</f>
        <v>4.1867190167464478E-2</v>
      </c>
      <c r="E96" s="10">
        <f>E49/(1000*Data!$D18)+E50/(1000*Data!$E18)</f>
        <v>3.0680410855927522E-2</v>
      </c>
      <c r="F96" s="10">
        <f>F49/(1000*Data!$D18)+F50/(1000*Data!$E18)</f>
        <v>2.9596643418360134E-2</v>
      </c>
      <c r="G96" s="10">
        <f>G49/(1000*Data!$D18)+G50/(1000*Data!$E18)</f>
        <v>2.6123739046378026E-2</v>
      </c>
      <c r="H96" s="10">
        <f>H49/(1000*Data!$D18)+H50/(1000*Data!$E18)</f>
        <v>1.7610756380785707E-2</v>
      </c>
      <c r="J96" t="s">
        <v>1358</v>
      </c>
    </row>
    <row r="97" spans="2:5" x14ac:dyDescent="0.3">
      <c r="B97" s="12" t="s">
        <v>757</v>
      </c>
      <c r="C97" s="12" t="s">
        <v>758</v>
      </c>
    </row>
    <row r="100" spans="2:5" x14ac:dyDescent="0.3">
      <c r="B100" s="14" t="s">
        <v>1776</v>
      </c>
    </row>
    <row r="101" spans="2:5" x14ac:dyDescent="0.3">
      <c r="B101" t="s">
        <v>857</v>
      </c>
    </row>
    <row r="102" spans="2:5" x14ac:dyDescent="0.3">
      <c r="B102" t="s">
        <v>858</v>
      </c>
    </row>
    <row r="104" spans="2:5" s="101" customFormat="1" x14ac:dyDescent="0.3">
      <c r="B104" s="148" t="s">
        <v>114</v>
      </c>
      <c r="D104" s="101" t="s">
        <v>216</v>
      </c>
    </row>
    <row r="105" spans="2:5" s="101" customFormat="1" x14ac:dyDescent="0.3">
      <c r="B105" s="101" t="s">
        <v>667</v>
      </c>
      <c r="C105" s="101" t="s">
        <v>503</v>
      </c>
      <c r="D105" s="101">
        <v>35</v>
      </c>
      <c r="E105" s="101">
        <v>55</v>
      </c>
    </row>
    <row r="106" spans="2:5" s="101" customFormat="1" x14ac:dyDescent="0.3">
      <c r="B106" s="101" t="s">
        <v>1324</v>
      </c>
      <c r="D106" s="101" t="s">
        <v>1091</v>
      </c>
      <c r="E106" s="101" t="s">
        <v>1091</v>
      </c>
    </row>
    <row r="107" spans="2:5" s="101" customFormat="1" x14ac:dyDescent="0.3">
      <c r="B107" s="101" t="s">
        <v>956</v>
      </c>
      <c r="C107" s="101" t="s">
        <v>22</v>
      </c>
      <c r="D107" s="101" t="s">
        <v>1671</v>
      </c>
    </row>
    <row r="108" spans="2:5" x14ac:dyDescent="0.3">
      <c r="B108" t="s">
        <v>32</v>
      </c>
      <c r="C108" t="s">
        <v>22</v>
      </c>
      <c r="D108">
        <v>11.2</v>
      </c>
      <c r="E108" s="101"/>
    </row>
    <row r="109" spans="2:5" s="101" customFormat="1" x14ac:dyDescent="0.3">
      <c r="B109" s="101" t="s">
        <v>326</v>
      </c>
      <c r="D109" s="101" t="s">
        <v>1355</v>
      </c>
    </row>
    <row r="110" spans="2:5" s="101" customFormat="1" x14ac:dyDescent="0.3">
      <c r="B110" s="101" t="s">
        <v>344</v>
      </c>
      <c r="D110" s="101" t="s">
        <v>694</v>
      </c>
    </row>
    <row r="111" spans="2:5" s="101" customFormat="1" x14ac:dyDescent="0.3">
      <c r="B111" s="101" t="s">
        <v>1332</v>
      </c>
      <c r="D111" s="101" t="s">
        <v>1356</v>
      </c>
    </row>
    <row r="112" spans="2:5" s="101" customFormat="1" x14ac:dyDescent="0.3">
      <c r="B112" s="101" t="s">
        <v>1330</v>
      </c>
      <c r="D112" s="101" t="s">
        <v>1333</v>
      </c>
    </row>
    <row r="113" spans="2:6" s="133" customFormat="1" x14ac:dyDescent="0.3">
      <c r="B113" s="133" t="s">
        <v>1968</v>
      </c>
      <c r="D113" s="133" t="s">
        <v>1969</v>
      </c>
      <c r="E113" s="133" t="s">
        <v>1975</v>
      </c>
    </row>
    <row r="114" spans="2:6" s="133" customFormat="1" x14ac:dyDescent="0.3">
      <c r="B114" s="133" t="s">
        <v>1541</v>
      </c>
      <c r="D114" s="133" t="s">
        <v>1560</v>
      </c>
    </row>
    <row r="115" spans="2:6" s="133" customFormat="1" x14ac:dyDescent="0.3">
      <c r="B115" s="133" t="s">
        <v>1599</v>
      </c>
      <c r="D115" s="133" t="s">
        <v>2131</v>
      </c>
    </row>
    <row r="116" spans="2:6" s="101" customFormat="1" x14ac:dyDescent="0.3"/>
    <row r="117" spans="2:6" x14ac:dyDescent="0.3">
      <c r="B117" t="s">
        <v>27</v>
      </c>
      <c r="C117">
        <v>32</v>
      </c>
      <c r="D117" t="s">
        <v>302</v>
      </c>
      <c r="E117" t="s">
        <v>876</v>
      </c>
    </row>
    <row r="118" spans="2:6" x14ac:dyDescent="0.3">
      <c r="B118" t="s">
        <v>14</v>
      </c>
      <c r="C118">
        <v>20</v>
      </c>
      <c r="D118" t="s">
        <v>302</v>
      </c>
      <c r="E118" t="s">
        <v>876</v>
      </c>
    </row>
    <row r="119" spans="2:6" x14ac:dyDescent="0.3">
      <c r="B119" t="s">
        <v>818</v>
      </c>
    </row>
    <row r="120" spans="2:6" x14ac:dyDescent="0.3">
      <c r="B120" t="s">
        <v>819</v>
      </c>
      <c r="C120" t="s">
        <v>21</v>
      </c>
      <c r="D120">
        <v>117.6</v>
      </c>
    </row>
    <row r="121" spans="2:6" x14ac:dyDescent="0.3">
      <c r="B121" t="s">
        <v>820</v>
      </c>
      <c r="C121" t="s">
        <v>21</v>
      </c>
      <c r="D121">
        <v>346.4</v>
      </c>
    </row>
    <row r="122" spans="2:6" x14ac:dyDescent="0.3">
      <c r="B122" t="s">
        <v>452</v>
      </c>
      <c r="C122" t="s">
        <v>21</v>
      </c>
      <c r="D122">
        <f>SUM(D120:D121)</f>
        <v>464</v>
      </c>
    </row>
    <row r="123" spans="2:6" x14ac:dyDescent="0.3">
      <c r="B123" t="s">
        <v>14</v>
      </c>
      <c r="C123" t="s">
        <v>30</v>
      </c>
      <c r="D123" s="8">
        <f>C118*10*D120/D122</f>
        <v>50.689655172413794</v>
      </c>
    </row>
    <row r="124" spans="2:6" x14ac:dyDescent="0.3">
      <c r="B124" t="s">
        <v>26</v>
      </c>
      <c r="C124" t="s">
        <v>25</v>
      </c>
      <c r="D124" s="8">
        <f>D108*1000/D122</f>
        <v>24.137931034482758</v>
      </c>
      <c r="F124" t="s">
        <v>829</v>
      </c>
    </row>
    <row r="125" spans="2:6" x14ac:dyDescent="0.3">
      <c r="B125" t="s">
        <v>33</v>
      </c>
      <c r="C125" t="s">
        <v>702</v>
      </c>
      <c r="D125" s="3">
        <f>D123/D124</f>
        <v>2.1</v>
      </c>
      <c r="F125" t="s">
        <v>828</v>
      </c>
    </row>
    <row r="126" spans="2:6" x14ac:dyDescent="0.3">
      <c r="B126" t="s">
        <v>859</v>
      </c>
    </row>
    <row r="127" spans="2:6" x14ac:dyDescent="0.3">
      <c r="B127" t="s">
        <v>33</v>
      </c>
      <c r="C127" t="s">
        <v>702</v>
      </c>
      <c r="D127">
        <v>2</v>
      </c>
    </row>
    <row r="130" spans="2:13" x14ac:dyDescent="0.3">
      <c r="B130" s="101" t="s">
        <v>287</v>
      </c>
      <c r="C130" s="101"/>
      <c r="D130" s="101" t="s">
        <v>863</v>
      </c>
      <c r="E130" s="101" t="s">
        <v>864</v>
      </c>
      <c r="F130" s="101" t="s">
        <v>865</v>
      </c>
      <c r="G130" s="101" t="s">
        <v>866</v>
      </c>
      <c r="H130" s="101" t="s">
        <v>827</v>
      </c>
    </row>
    <row r="131" spans="2:13" x14ac:dyDescent="0.3">
      <c r="B131" s="101" t="s">
        <v>860</v>
      </c>
      <c r="C131" s="101" t="s">
        <v>798</v>
      </c>
      <c r="D131" s="101">
        <v>1</v>
      </c>
      <c r="E131" s="101">
        <v>8</v>
      </c>
      <c r="F131" s="101">
        <v>22</v>
      </c>
      <c r="G131" s="101">
        <v>36</v>
      </c>
      <c r="H131" s="101">
        <v>49</v>
      </c>
    </row>
    <row r="132" spans="2:13" x14ac:dyDescent="0.3">
      <c r="B132" s="101" t="s">
        <v>33</v>
      </c>
      <c r="C132" s="101" t="s">
        <v>270</v>
      </c>
      <c r="D132" s="101">
        <v>2</v>
      </c>
      <c r="E132" s="101">
        <v>2</v>
      </c>
      <c r="F132" s="101">
        <v>2</v>
      </c>
      <c r="G132" s="101">
        <v>2</v>
      </c>
      <c r="H132" s="101"/>
      <c r="K132" s="3"/>
      <c r="L132" s="3"/>
    </row>
    <row r="133" spans="2:13" x14ac:dyDescent="0.3">
      <c r="B133" s="101" t="s">
        <v>26</v>
      </c>
      <c r="C133" s="101" t="s">
        <v>566</v>
      </c>
      <c r="D133" s="101">
        <v>25</v>
      </c>
      <c r="E133" s="101">
        <v>25</v>
      </c>
      <c r="F133" s="101">
        <v>25</v>
      </c>
      <c r="G133" s="101">
        <v>25</v>
      </c>
      <c r="H133" s="101"/>
      <c r="K133" s="3"/>
      <c r="L133" s="3"/>
    </row>
    <row r="134" spans="2:13" x14ac:dyDescent="0.3">
      <c r="B134" s="101" t="s">
        <v>13</v>
      </c>
      <c r="C134" s="101" t="s">
        <v>867</v>
      </c>
      <c r="D134" s="101">
        <v>0</v>
      </c>
      <c r="E134" s="101">
        <v>1.5</v>
      </c>
      <c r="F134" s="101">
        <v>7.2</v>
      </c>
      <c r="G134" s="101">
        <v>7.2</v>
      </c>
      <c r="H134" s="101"/>
      <c r="I134" s="101" t="s">
        <v>871</v>
      </c>
      <c r="K134" s="3"/>
      <c r="L134" s="3"/>
    </row>
    <row r="135" spans="2:13" x14ac:dyDescent="0.3">
      <c r="B135" s="101"/>
      <c r="C135" s="101" t="s">
        <v>868</v>
      </c>
      <c r="D135" s="101">
        <v>0</v>
      </c>
      <c r="E135" s="101">
        <v>1.8</v>
      </c>
      <c r="F135" s="101">
        <v>7.4</v>
      </c>
      <c r="G135" s="101">
        <v>7.4</v>
      </c>
      <c r="H135" s="101"/>
      <c r="K135" s="3"/>
      <c r="L135" s="3"/>
    </row>
    <row r="136" spans="2:13" x14ac:dyDescent="0.3">
      <c r="B136" s="101" t="s">
        <v>49</v>
      </c>
      <c r="C136" s="101" t="s">
        <v>327</v>
      </c>
      <c r="D136" s="101">
        <v>228</v>
      </c>
      <c r="E136" s="101">
        <v>228</v>
      </c>
      <c r="F136" s="101">
        <v>228</v>
      </c>
      <c r="G136" s="101">
        <v>228</v>
      </c>
      <c r="H136" s="101"/>
    </row>
    <row r="137" spans="2:13" s="101" customFormat="1" x14ac:dyDescent="0.3">
      <c r="C137" s="101" t="s">
        <v>869</v>
      </c>
      <c r="D137" s="101" t="s">
        <v>870</v>
      </c>
      <c r="E137" s="101" t="s">
        <v>870</v>
      </c>
      <c r="F137" s="101" t="s">
        <v>870</v>
      </c>
      <c r="G137" s="101" t="s">
        <v>832</v>
      </c>
      <c r="I137"/>
    </row>
    <row r="138" spans="2:13" s="101" customFormat="1" x14ac:dyDescent="0.3">
      <c r="I138"/>
    </row>
    <row r="139" spans="2:13" s="101" customFormat="1" x14ac:dyDescent="0.3">
      <c r="B139" s="101" t="s">
        <v>13</v>
      </c>
      <c r="C139" s="101" t="s">
        <v>872</v>
      </c>
      <c r="D139" s="3">
        <f t="shared" ref="D139:G140" si="3">D134/$D$108</f>
        <v>0</v>
      </c>
      <c r="E139" s="3">
        <f t="shared" si="3"/>
        <v>0.13392857142857142</v>
      </c>
      <c r="F139" s="3">
        <f t="shared" si="3"/>
        <v>0.6428571428571429</v>
      </c>
      <c r="G139" s="3">
        <f t="shared" si="3"/>
        <v>0.6428571428571429</v>
      </c>
      <c r="I139"/>
    </row>
    <row r="140" spans="2:13" s="101" customFormat="1" x14ac:dyDescent="0.3">
      <c r="C140" s="101" t="s">
        <v>868</v>
      </c>
      <c r="D140" s="3">
        <f t="shared" si="3"/>
        <v>0</v>
      </c>
      <c r="E140" s="3">
        <f t="shared" si="3"/>
        <v>0.16071428571428573</v>
      </c>
      <c r="F140" s="3">
        <f t="shared" si="3"/>
        <v>0.66071428571428581</v>
      </c>
      <c r="G140" s="3">
        <f t="shared" si="3"/>
        <v>0.66071428571428581</v>
      </c>
      <c r="I140"/>
    </row>
    <row r="142" spans="2:13" x14ac:dyDescent="0.3">
      <c r="B142" t="s">
        <v>307</v>
      </c>
    </row>
    <row r="143" spans="2:13" x14ac:dyDescent="0.3">
      <c r="D143" t="s">
        <v>861</v>
      </c>
      <c r="E143" t="s">
        <v>862</v>
      </c>
      <c r="F143" t="s">
        <v>873</v>
      </c>
      <c r="G143" t="s">
        <v>874</v>
      </c>
      <c r="H143" t="s">
        <v>826</v>
      </c>
      <c r="I143" t="s">
        <v>822</v>
      </c>
      <c r="J143" t="s">
        <v>823</v>
      </c>
      <c r="K143" t="s">
        <v>824</v>
      </c>
      <c r="M143" t="s">
        <v>875</v>
      </c>
    </row>
    <row r="144" spans="2:13" x14ac:dyDescent="0.3">
      <c r="B144" t="s">
        <v>351</v>
      </c>
      <c r="C144" t="s">
        <v>775</v>
      </c>
      <c r="D144">
        <v>197</v>
      </c>
      <c r="E144">
        <v>200</v>
      </c>
      <c r="F144">
        <v>245</v>
      </c>
      <c r="G144">
        <v>210</v>
      </c>
      <c r="H144">
        <v>222</v>
      </c>
      <c r="I144">
        <v>242</v>
      </c>
      <c r="J144">
        <v>245</v>
      </c>
      <c r="K144">
        <v>245</v>
      </c>
      <c r="M144" t="s">
        <v>880</v>
      </c>
    </row>
    <row r="145" spans="2:13" x14ac:dyDescent="0.3">
      <c r="B145" t="s">
        <v>837</v>
      </c>
      <c r="C145" t="s">
        <v>458</v>
      </c>
      <c r="E145">
        <v>0.9</v>
      </c>
      <c r="F145">
        <v>1.1000000000000001</v>
      </c>
      <c r="G145">
        <v>1.9</v>
      </c>
      <c r="I145">
        <v>1.9</v>
      </c>
      <c r="J145">
        <v>4.5999999999999996</v>
      </c>
      <c r="K145">
        <v>6.4</v>
      </c>
    </row>
    <row r="146" spans="2:13" x14ac:dyDescent="0.3">
      <c r="B146" t="s">
        <v>836</v>
      </c>
      <c r="C146" t="s">
        <v>302</v>
      </c>
      <c r="D146">
        <v>62</v>
      </c>
      <c r="E146">
        <v>65</v>
      </c>
      <c r="F146">
        <v>66</v>
      </c>
      <c r="G146">
        <v>70</v>
      </c>
      <c r="H146">
        <v>66</v>
      </c>
      <c r="I146">
        <v>68</v>
      </c>
      <c r="J146">
        <v>71</v>
      </c>
      <c r="K146">
        <v>78</v>
      </c>
    </row>
    <row r="147" spans="2:13" x14ac:dyDescent="0.3">
      <c r="B147" t="s">
        <v>35</v>
      </c>
      <c r="D147">
        <v>7.36</v>
      </c>
      <c r="E147">
        <v>7.4</v>
      </c>
      <c r="F147">
        <v>7.63</v>
      </c>
      <c r="G147">
        <v>7.59</v>
      </c>
      <c r="H147">
        <v>7.63</v>
      </c>
      <c r="I147">
        <v>7.64</v>
      </c>
      <c r="J147">
        <v>7.89</v>
      </c>
      <c r="K147">
        <v>7.77</v>
      </c>
    </row>
    <row r="148" spans="2:13" x14ac:dyDescent="0.3">
      <c r="B148" t="s">
        <v>838</v>
      </c>
      <c r="C148" t="s">
        <v>839</v>
      </c>
      <c r="D148">
        <v>6896</v>
      </c>
      <c r="E148">
        <v>6976</v>
      </c>
      <c r="F148">
        <v>4725</v>
      </c>
      <c r="G148">
        <v>3055</v>
      </c>
      <c r="H148">
        <v>8401</v>
      </c>
      <c r="I148">
        <v>11490</v>
      </c>
      <c r="J148">
        <v>10735</v>
      </c>
      <c r="K148">
        <v>10937</v>
      </c>
    </row>
    <row r="149" spans="2:13" x14ac:dyDescent="0.3">
      <c r="B149" t="s">
        <v>171</v>
      </c>
      <c r="C149" t="s">
        <v>17</v>
      </c>
      <c r="D149">
        <v>1804</v>
      </c>
      <c r="E149">
        <v>1823</v>
      </c>
      <c r="F149">
        <v>1865</v>
      </c>
      <c r="G149">
        <v>2027</v>
      </c>
      <c r="H149">
        <v>3317</v>
      </c>
      <c r="I149">
        <v>2489</v>
      </c>
      <c r="J149">
        <v>2418</v>
      </c>
      <c r="K149">
        <v>2259</v>
      </c>
    </row>
    <row r="150" spans="2:13" x14ac:dyDescent="0.3">
      <c r="B150" t="s">
        <v>309</v>
      </c>
      <c r="C150" t="s">
        <v>17</v>
      </c>
      <c r="D150">
        <v>986</v>
      </c>
      <c r="E150">
        <v>998</v>
      </c>
      <c r="F150">
        <v>1023</v>
      </c>
      <c r="G150">
        <v>1266</v>
      </c>
      <c r="H150">
        <v>1736</v>
      </c>
      <c r="I150">
        <v>1155</v>
      </c>
      <c r="J150">
        <v>1081</v>
      </c>
      <c r="K150">
        <v>991</v>
      </c>
    </row>
    <row r="151" spans="2:13" x14ac:dyDescent="0.3">
      <c r="B151" t="s">
        <v>310</v>
      </c>
      <c r="C151" t="s">
        <v>17</v>
      </c>
      <c r="D151">
        <v>429</v>
      </c>
      <c r="E151">
        <v>413</v>
      </c>
      <c r="F151">
        <v>448</v>
      </c>
      <c r="G151">
        <v>357</v>
      </c>
      <c r="H151">
        <v>990</v>
      </c>
      <c r="I151">
        <v>848</v>
      </c>
      <c r="J151">
        <v>859</v>
      </c>
      <c r="K151">
        <v>856</v>
      </c>
    </row>
    <row r="152" spans="2:13" x14ac:dyDescent="0.3">
      <c r="B152" t="s">
        <v>52</v>
      </c>
      <c r="C152" t="s">
        <v>17</v>
      </c>
      <c r="D152">
        <v>1174</v>
      </c>
      <c r="E152">
        <v>1221</v>
      </c>
      <c r="F152">
        <v>1349</v>
      </c>
      <c r="G152">
        <v>1325</v>
      </c>
      <c r="H152">
        <v>1568</v>
      </c>
      <c r="I152">
        <v>1608</v>
      </c>
      <c r="J152">
        <v>1619</v>
      </c>
      <c r="K152">
        <v>1539</v>
      </c>
    </row>
    <row r="154" spans="2:13" x14ac:dyDescent="0.3">
      <c r="B154" t="s">
        <v>842</v>
      </c>
      <c r="D154" s="3">
        <f>(D150+D151)/D149</f>
        <v>0.78436807095343686</v>
      </c>
      <c r="E154" s="3">
        <f t="shared" ref="E154:K154" si="4">(E150+E151)/E149</f>
        <v>0.77399890290729567</v>
      </c>
      <c r="F154" s="3">
        <f t="shared" si="4"/>
        <v>0.788739946380697</v>
      </c>
      <c r="G154" s="3">
        <f t="shared" si="4"/>
        <v>0.80069067587567833</v>
      </c>
      <c r="H154" s="3">
        <f t="shared" si="4"/>
        <v>0.82182695206511913</v>
      </c>
      <c r="I154" s="3">
        <f t="shared" si="4"/>
        <v>0.80474085978304544</v>
      </c>
      <c r="J154" s="3">
        <f t="shared" si="4"/>
        <v>0.80231596360628621</v>
      </c>
      <c r="K154" s="3">
        <f t="shared" si="4"/>
        <v>0.81761841522797696</v>
      </c>
    </row>
    <row r="155" spans="2:13" x14ac:dyDescent="0.3">
      <c r="B155" t="s">
        <v>845</v>
      </c>
      <c r="C155" t="s">
        <v>458</v>
      </c>
    </row>
    <row r="157" spans="2:13" x14ac:dyDescent="0.3">
      <c r="B157" s="6" t="s">
        <v>877</v>
      </c>
      <c r="D157" t="s">
        <v>861</v>
      </c>
      <c r="E157" t="s">
        <v>862</v>
      </c>
      <c r="F157" t="s">
        <v>873</v>
      </c>
      <c r="G157" t="s">
        <v>874</v>
      </c>
      <c r="H157" t="s">
        <v>826</v>
      </c>
      <c r="I157" t="s">
        <v>822</v>
      </c>
      <c r="J157" t="s">
        <v>823</v>
      </c>
      <c r="K157" t="s">
        <v>824</v>
      </c>
    </row>
    <row r="158" spans="2:13" s="101" customFormat="1" x14ac:dyDescent="0.3">
      <c r="B158" s="6" t="s">
        <v>293</v>
      </c>
      <c r="C158" s="101" t="s">
        <v>1418</v>
      </c>
    </row>
    <row r="159" spans="2:13" x14ac:dyDescent="0.3">
      <c r="B159" t="s">
        <v>321</v>
      </c>
      <c r="C159" t="s">
        <v>338</v>
      </c>
      <c r="D159" s="10"/>
      <c r="E159" s="10">
        <f>E139</f>
        <v>0.13392857142857142</v>
      </c>
      <c r="F159" s="10">
        <f t="shared" ref="F159:G159" si="5">F139</f>
        <v>0.6428571428571429</v>
      </c>
      <c r="G159" s="10">
        <f t="shared" si="5"/>
        <v>0.6428571428571429</v>
      </c>
      <c r="H159" s="10"/>
      <c r="I159" s="10">
        <f>E140</f>
        <v>0.16071428571428573</v>
      </c>
      <c r="J159" s="10">
        <f t="shared" ref="J159:K159" si="6">F140</f>
        <v>0.66071428571428581</v>
      </c>
      <c r="K159" s="10">
        <f t="shared" si="6"/>
        <v>0.66071428571428581</v>
      </c>
      <c r="M159" t="s">
        <v>878</v>
      </c>
    </row>
    <row r="160" spans="2:13" x14ac:dyDescent="0.3">
      <c r="B160" t="s">
        <v>433</v>
      </c>
      <c r="C160" t="s">
        <v>338</v>
      </c>
      <c r="D160" s="10"/>
      <c r="E160" s="10">
        <f>E145/$D$108</f>
        <v>8.0357142857142863E-2</v>
      </c>
      <c r="F160" s="10">
        <f>F145/$D$108</f>
        <v>9.8214285714285726E-2</v>
      </c>
      <c r="G160" s="10">
        <f>G145/$D$108</f>
        <v>0.16964285714285715</v>
      </c>
      <c r="H160" s="10"/>
      <c r="I160" s="10">
        <f>I145/$D$108</f>
        <v>0.16964285714285715</v>
      </c>
      <c r="J160" s="10">
        <f>J145/$D$108</f>
        <v>0.4107142857142857</v>
      </c>
      <c r="K160" s="10">
        <f>K145/$D$108</f>
        <v>0.57142857142857151</v>
      </c>
      <c r="M160" t="s">
        <v>879</v>
      </c>
    </row>
    <row r="161" spans="1:13" x14ac:dyDescent="0.3">
      <c r="B161" s="27" t="s">
        <v>844</v>
      </c>
      <c r="C161" t="s">
        <v>338</v>
      </c>
      <c r="D161" s="10">
        <f t="shared" ref="D161:K161" si="7">D185*D188</f>
        <v>0.39400000000000002</v>
      </c>
      <c r="E161" s="10">
        <f t="shared" si="7"/>
        <v>0.4</v>
      </c>
      <c r="F161" s="10">
        <f t="shared" si="7"/>
        <v>0.49</v>
      </c>
      <c r="G161" s="10">
        <f t="shared" si="7"/>
        <v>0.42</v>
      </c>
      <c r="H161" s="10">
        <f t="shared" si="7"/>
        <v>0.44400000000000001</v>
      </c>
      <c r="I161" s="10">
        <f t="shared" si="7"/>
        <v>0.48399999999999999</v>
      </c>
      <c r="J161" s="10">
        <f t="shared" si="7"/>
        <v>0.49</v>
      </c>
      <c r="K161" s="10">
        <f t="shared" si="7"/>
        <v>0.49</v>
      </c>
    </row>
    <row r="162" spans="1:13" x14ac:dyDescent="0.3">
      <c r="B162" s="27" t="s">
        <v>845</v>
      </c>
      <c r="C162" t="s">
        <v>338</v>
      </c>
      <c r="D162" s="10">
        <f t="shared" ref="D162:K162" si="8">D161*(100-D146)/D146</f>
        <v>0.24148387096774196</v>
      </c>
      <c r="E162" s="10">
        <f t="shared" si="8"/>
        <v>0.2153846153846154</v>
      </c>
      <c r="F162" s="10">
        <f t="shared" si="8"/>
        <v>0.25242424242424244</v>
      </c>
      <c r="G162" s="10">
        <f t="shared" si="8"/>
        <v>0.18</v>
      </c>
      <c r="H162" s="10">
        <f t="shared" si="8"/>
        <v>0.22872727272727272</v>
      </c>
      <c r="I162" s="10">
        <f t="shared" si="8"/>
        <v>0.22776470588235292</v>
      </c>
      <c r="J162" s="10">
        <f t="shared" si="8"/>
        <v>0.20014084507042251</v>
      </c>
      <c r="K162" s="10">
        <f t="shared" si="8"/>
        <v>0.1382051282051282</v>
      </c>
    </row>
    <row r="163" spans="1:13" x14ac:dyDescent="0.3">
      <c r="B163" s="27" t="s">
        <v>308</v>
      </c>
      <c r="C163" t="s">
        <v>338</v>
      </c>
      <c r="D163" s="10">
        <f t="shared" ref="D163:K163" si="9">SUM(D161:D162)</f>
        <v>0.63548387096774195</v>
      </c>
      <c r="E163" s="10">
        <f t="shared" si="9"/>
        <v>0.61538461538461542</v>
      </c>
      <c r="F163" s="10">
        <f t="shared" si="9"/>
        <v>0.74242424242424243</v>
      </c>
      <c r="G163" s="10">
        <f t="shared" si="9"/>
        <v>0.6</v>
      </c>
      <c r="H163" s="10">
        <f t="shared" si="9"/>
        <v>0.67272727272727273</v>
      </c>
      <c r="I163" s="10">
        <f t="shared" si="9"/>
        <v>0.71176470588235285</v>
      </c>
      <c r="J163" s="10">
        <f t="shared" si="9"/>
        <v>0.6901408450704225</v>
      </c>
      <c r="K163" s="10">
        <f t="shared" si="9"/>
        <v>0.62820512820512819</v>
      </c>
    </row>
    <row r="164" spans="1:13" x14ac:dyDescent="0.3">
      <c r="B164" t="s">
        <v>323</v>
      </c>
      <c r="C164" t="s">
        <v>338</v>
      </c>
      <c r="D164" s="10"/>
      <c r="E164" s="10">
        <f>E159-E160</f>
        <v>5.3571428571428562E-2</v>
      </c>
      <c r="F164" s="10">
        <f t="shared" ref="F164:K164" si="10">F159-F160</f>
        <v>0.54464285714285721</v>
      </c>
      <c r="G164" s="10">
        <f t="shared" si="10"/>
        <v>0.47321428571428575</v>
      </c>
      <c r="H164" s="10"/>
      <c r="I164" s="10">
        <f t="shared" si="10"/>
        <v>-8.9285714285714246E-3</v>
      </c>
      <c r="J164" s="10">
        <f t="shared" si="10"/>
        <v>0.25000000000000011</v>
      </c>
      <c r="K164" s="10">
        <f t="shared" si="10"/>
        <v>8.9285714285714302E-2</v>
      </c>
    </row>
    <row r="165" spans="1:13" x14ac:dyDescent="0.3">
      <c r="B165" t="s">
        <v>848</v>
      </c>
      <c r="C165" t="s">
        <v>338</v>
      </c>
      <c r="D165" s="10">
        <f t="shared" ref="D165:K165" si="11">D161+D162+D164</f>
        <v>0.63548387096774195</v>
      </c>
      <c r="E165" s="10">
        <f t="shared" si="11"/>
        <v>0.66895604395604402</v>
      </c>
      <c r="F165" s="10">
        <f t="shared" si="11"/>
        <v>1.2870670995670996</v>
      </c>
      <c r="G165" s="10">
        <f t="shared" si="11"/>
        <v>1.0732142857142857</v>
      </c>
      <c r="H165" s="10">
        <f t="shared" si="11"/>
        <v>0.67272727272727273</v>
      </c>
      <c r="I165" s="10">
        <f t="shared" si="11"/>
        <v>0.70283613445378146</v>
      </c>
      <c r="J165" s="10">
        <f t="shared" si="11"/>
        <v>0.94014084507042261</v>
      </c>
      <c r="K165" s="10">
        <f t="shared" si="11"/>
        <v>0.7174908424908425</v>
      </c>
    </row>
    <row r="166" spans="1:13" x14ac:dyDescent="0.3">
      <c r="B166" t="s">
        <v>846</v>
      </c>
      <c r="C166" t="s">
        <v>302</v>
      </c>
      <c r="D166" s="10">
        <f>D161/D$165</f>
        <v>0.62</v>
      </c>
      <c r="E166" s="10">
        <f>E161/E$165</f>
        <v>0.59794661190965093</v>
      </c>
      <c r="F166" s="10">
        <f t="shared" ref="F166:K167" si="12">F161/F$165</f>
        <v>0.38071053184780324</v>
      </c>
      <c r="G166" s="10">
        <f t="shared" si="12"/>
        <v>0.39134775374376041</v>
      </c>
      <c r="H166" s="10">
        <f t="shared" si="12"/>
        <v>0.66</v>
      </c>
      <c r="I166" s="10">
        <f t="shared" si="12"/>
        <v>0.68863846958601105</v>
      </c>
      <c r="J166" s="10">
        <f t="shared" si="12"/>
        <v>0.52119850187265915</v>
      </c>
      <c r="K166" s="10">
        <f t="shared" si="12"/>
        <v>0.6829355456285896</v>
      </c>
    </row>
    <row r="167" spans="1:13" x14ac:dyDescent="0.3">
      <c r="B167" t="s">
        <v>849</v>
      </c>
      <c r="C167" t="s">
        <v>302</v>
      </c>
      <c r="D167" s="10">
        <f>D162/D$165</f>
        <v>0.38</v>
      </c>
      <c r="E167" s="10">
        <f>E162/E$165</f>
        <v>0.32197125256673509</v>
      </c>
      <c r="F167" s="10">
        <f t="shared" si="12"/>
        <v>0.19612360731553499</v>
      </c>
      <c r="G167" s="10">
        <f t="shared" si="12"/>
        <v>0.16772046589018302</v>
      </c>
      <c r="H167" s="10">
        <f t="shared" si="12"/>
        <v>0.33999999999999997</v>
      </c>
      <c r="I167" s="10">
        <f t="shared" si="12"/>
        <v>0.32406516215812287</v>
      </c>
      <c r="J167" s="10">
        <f t="shared" si="12"/>
        <v>0.2128838951310861</v>
      </c>
      <c r="K167" s="10">
        <f t="shared" si="12"/>
        <v>0.19262284620293554</v>
      </c>
      <c r="M167" s="10"/>
    </row>
    <row r="168" spans="1:13" x14ac:dyDescent="0.3">
      <c r="B168" t="s">
        <v>847</v>
      </c>
      <c r="C168" t="s">
        <v>302</v>
      </c>
      <c r="E168" s="10">
        <f>E164/E$165</f>
        <v>8.0082135523613943E-2</v>
      </c>
      <c r="F168" s="10">
        <f t="shared" ref="F168:K168" si="13">F164/F$165</f>
        <v>0.4231658608366618</v>
      </c>
      <c r="G168" s="10">
        <f t="shared" si="13"/>
        <v>0.44093178036605662</v>
      </c>
      <c r="H168" s="10"/>
      <c r="I168" s="10">
        <f t="shared" si="13"/>
        <v>-1.2703631744133907E-2</v>
      </c>
      <c r="J168" s="10">
        <f t="shared" si="13"/>
        <v>0.26591760299625478</v>
      </c>
      <c r="K168" s="10">
        <f t="shared" si="13"/>
        <v>0.12444160816847481</v>
      </c>
    </row>
    <row r="169" spans="1:13" x14ac:dyDescent="0.3">
      <c r="A169" s="148"/>
      <c r="B169" s="148" t="s">
        <v>460</v>
      </c>
      <c r="C169" t="s">
        <v>338</v>
      </c>
      <c r="D169" s="10"/>
      <c r="E169" s="10">
        <f>E160/4</f>
        <v>2.0089285714285716E-2</v>
      </c>
      <c r="F169" s="10">
        <f>F160/4</f>
        <v>2.4553571428571432E-2</v>
      </c>
      <c r="G169" s="10">
        <f>G160/4</f>
        <v>4.2410714285714288E-2</v>
      </c>
      <c r="H169" s="10"/>
      <c r="I169" s="10">
        <f>I160/4</f>
        <v>4.2410714285714288E-2</v>
      </c>
      <c r="J169" s="10">
        <f>J160/4</f>
        <v>0.10267857142857142</v>
      </c>
      <c r="K169" s="10">
        <f>K160/4</f>
        <v>0.14285714285714288</v>
      </c>
    </row>
    <row r="170" spans="1:13" x14ac:dyDescent="0.3">
      <c r="A170" s="148"/>
      <c r="B170" s="148" t="s">
        <v>402</v>
      </c>
      <c r="C170" t="s">
        <v>338</v>
      </c>
      <c r="D170" s="10"/>
      <c r="E170" s="10">
        <f>E161-$D161</f>
        <v>6.0000000000000053E-3</v>
      </c>
      <c r="F170" s="10">
        <f>F161-$D161</f>
        <v>9.5999999999999974E-2</v>
      </c>
      <c r="G170" s="10">
        <f>G161-$D161</f>
        <v>2.5999999999999968E-2</v>
      </c>
      <c r="H170" s="10"/>
      <c r="I170" s="10">
        <f>I161-$H161</f>
        <v>3.999999999999998E-2</v>
      </c>
      <c r="J170" s="10">
        <f>J161-$H161</f>
        <v>4.5999999999999985E-2</v>
      </c>
      <c r="K170" s="10">
        <f>K161-$H161</f>
        <v>4.5999999999999985E-2</v>
      </c>
    </row>
    <row r="171" spans="1:13" x14ac:dyDescent="0.3">
      <c r="A171" s="148"/>
      <c r="B171" s="148" t="s">
        <v>2086</v>
      </c>
      <c r="C171" t="s">
        <v>338</v>
      </c>
      <c r="E171" s="10">
        <f>$D162-E162</f>
        <v>2.6099255583126563E-2</v>
      </c>
      <c r="F171" s="10">
        <f>$D162-F162</f>
        <v>-1.0940371456500481E-2</v>
      </c>
      <c r="G171" s="10">
        <f>$D162-G162</f>
        <v>6.1483870967741966E-2</v>
      </c>
      <c r="I171" s="10">
        <f>$H162-I162</f>
        <v>9.6256684491979883E-4</v>
      </c>
      <c r="J171" s="10">
        <f>$H162-J162</f>
        <v>2.8586427656850211E-2</v>
      </c>
      <c r="K171" s="10">
        <f>$H162-K162</f>
        <v>9.0522144522144521E-2</v>
      </c>
    </row>
    <row r="172" spans="1:13" s="133" customFormat="1" x14ac:dyDescent="0.3">
      <c r="A172" s="148"/>
      <c r="B172" s="148" t="s">
        <v>93</v>
      </c>
      <c r="D172" s="8"/>
      <c r="E172" s="8">
        <f>E159/$D162</f>
        <v>0.55460669440097699</v>
      </c>
      <c r="F172" s="198">
        <f>F159/$D162</f>
        <v>2.66211213312469</v>
      </c>
      <c r="G172" s="198">
        <f>G159/$D162</f>
        <v>2.66211213312469</v>
      </c>
      <c r="H172" s="8"/>
      <c r="I172" s="198">
        <f>I159/$H162</f>
        <v>0.70264592323415864</v>
      </c>
      <c r="J172" s="198">
        <f>J159/$H162</f>
        <v>2.8886554621848743</v>
      </c>
      <c r="K172" s="198">
        <f>K159/$H162</f>
        <v>2.8886554621848743</v>
      </c>
    </row>
    <row r="173" spans="1:13" x14ac:dyDescent="0.3">
      <c r="A173" s="148"/>
      <c r="B173" s="148" t="s">
        <v>462</v>
      </c>
      <c r="C173" t="s">
        <v>92</v>
      </c>
      <c r="D173" s="10"/>
      <c r="E173" s="10">
        <f>E160/E159</f>
        <v>0.60000000000000009</v>
      </c>
      <c r="F173" s="10">
        <f>F160/F159</f>
        <v>0.15277777777777779</v>
      </c>
      <c r="G173" s="10">
        <f>G160/G159</f>
        <v>0.2638888888888889</v>
      </c>
      <c r="H173" s="10"/>
      <c r="I173" s="10">
        <f>I160/I159</f>
        <v>1.0555555555555556</v>
      </c>
      <c r="J173" s="10">
        <f>J160/J159</f>
        <v>0.62162162162162149</v>
      </c>
      <c r="K173" s="10">
        <f>K160/K159</f>
        <v>0.86486486486486491</v>
      </c>
    </row>
    <row r="174" spans="1:13" x14ac:dyDescent="0.3">
      <c r="A174" s="148"/>
      <c r="B174" s="148" t="s">
        <v>2085</v>
      </c>
      <c r="C174" t="s">
        <v>92</v>
      </c>
      <c r="E174" s="3">
        <f>E169/E170</f>
        <v>3.3482142857142829</v>
      </c>
      <c r="F174" s="3">
        <f>F169/F170</f>
        <v>0.25576636904761912</v>
      </c>
      <c r="G174" s="3">
        <f>G169/G170</f>
        <v>1.6311813186813209</v>
      </c>
      <c r="I174" s="3">
        <f>I169/I170</f>
        <v>1.0602678571428577</v>
      </c>
      <c r="J174" s="3">
        <f>J169/J170</f>
        <v>2.2321428571428577</v>
      </c>
      <c r="K174" s="3">
        <f>K169/K170</f>
        <v>3.1055900621118027</v>
      </c>
    </row>
    <row r="175" spans="1:13" x14ac:dyDescent="0.3">
      <c r="A175" s="148"/>
      <c r="B175" s="148" t="s">
        <v>2087</v>
      </c>
      <c r="C175" t="s">
        <v>92</v>
      </c>
      <c r="D175" s="10"/>
      <c r="E175" s="10">
        <f>E171/E169</f>
        <v>1.2991629445822999</v>
      </c>
      <c r="F175" s="10">
        <f>F171/F169</f>
        <v>-0.44557149204656499</v>
      </c>
      <c r="G175" s="10">
        <f>G171/G169</f>
        <v>1.4497249575551789</v>
      </c>
      <c r="H175" s="10"/>
      <c r="I175" s="10">
        <f>I171/I169</f>
        <v>2.2696312974951043E-2</v>
      </c>
      <c r="J175" s="10">
        <f>J171/J169</f>
        <v>0.27840694761454121</v>
      </c>
      <c r="K175" s="10">
        <f>K171/K169</f>
        <v>0.63365501165501159</v>
      </c>
    </row>
    <row r="176" spans="1:13" x14ac:dyDescent="0.3">
      <c r="A176" s="148"/>
      <c r="B176" s="148" t="s">
        <v>2088</v>
      </c>
      <c r="C176" t="s">
        <v>92</v>
      </c>
      <c r="D176" s="3"/>
      <c r="E176" s="3">
        <f>E170/E171</f>
        <v>0.22989161437535663</v>
      </c>
      <c r="F176" s="3">
        <f>F170/F171</f>
        <v>-8.7748391708363158</v>
      </c>
      <c r="G176" s="3">
        <f>G170/G171</f>
        <v>0.42287513116474218</v>
      </c>
      <c r="H176" s="3"/>
      <c r="I176" s="3">
        <f>I170/I171</f>
        <v>41.555555555554989</v>
      </c>
      <c r="J176" s="3">
        <f>J170/J171</f>
        <v>1.6091552450058213</v>
      </c>
      <c r="K176" s="3">
        <f>K170/K171</f>
        <v>0.50816294999227463</v>
      </c>
    </row>
    <row r="177" spans="1:15" s="133" customFormat="1" x14ac:dyDescent="0.3">
      <c r="A177" s="148"/>
      <c r="B177" s="148" t="s">
        <v>2096</v>
      </c>
      <c r="C177" s="133" t="s">
        <v>92</v>
      </c>
      <c r="D177" s="37"/>
      <c r="E177" s="37">
        <f>E170/$D162</f>
        <v>2.4846379909163791E-2</v>
      </c>
      <c r="F177" s="37">
        <f>F170/$D162</f>
        <v>0.39754207854662021</v>
      </c>
      <c r="G177" s="37">
        <f>G170/$D162</f>
        <v>0.10766764627304287</v>
      </c>
      <c r="H177" s="37"/>
      <c r="I177" s="37">
        <f>I170/$H162</f>
        <v>0.17488076311605716</v>
      </c>
      <c r="J177" s="37">
        <f>J170/$H162</f>
        <v>0.20111287758346577</v>
      </c>
      <c r="K177" s="37">
        <f>K170/$H162</f>
        <v>0.20111287758346577</v>
      </c>
      <c r="L177" s="37"/>
      <c r="M177" s="37"/>
      <c r="N177" s="37"/>
      <c r="O177" s="37"/>
    </row>
    <row r="178" spans="1:15" s="133" customFormat="1" x14ac:dyDescent="0.3">
      <c r="A178" s="148"/>
      <c r="B178" s="148" t="s">
        <v>2097</v>
      </c>
      <c r="C178" s="133" t="s">
        <v>92</v>
      </c>
      <c r="D178" s="37"/>
      <c r="E178" s="37">
        <f>E163/$D163</f>
        <v>0.96837172979304964</v>
      </c>
      <c r="F178" s="37">
        <f>F163/$D163</f>
        <v>1.1682818027995694</v>
      </c>
      <c r="G178" s="37">
        <f>G163/$D163</f>
        <v>0.94416243654822329</v>
      </c>
      <c r="H178" s="37"/>
      <c r="I178" s="37">
        <f>I163/$H163</f>
        <v>1.0580286168521462</v>
      </c>
      <c r="J178" s="37">
        <f>J163/$H163</f>
        <v>1.0258850399695469</v>
      </c>
      <c r="K178" s="37">
        <f>K163/$H163</f>
        <v>0.93381843381843377</v>
      </c>
      <c r="L178" s="37"/>
      <c r="M178" s="37"/>
      <c r="N178" s="37"/>
      <c r="O178" s="37"/>
    </row>
    <row r="179" spans="1:15" x14ac:dyDescent="0.3">
      <c r="A179" s="148"/>
      <c r="B179" s="148" t="s">
        <v>2081</v>
      </c>
      <c r="D179" s="8"/>
      <c r="E179" s="8">
        <f>E160/E170</f>
        <v>13.392857142857132</v>
      </c>
      <c r="F179" s="8">
        <f>F160/F170</f>
        <v>1.0230654761904765</v>
      </c>
      <c r="G179" s="8">
        <f>G160/G170</f>
        <v>6.5247252747252835</v>
      </c>
      <c r="H179" s="8"/>
      <c r="I179" s="8">
        <f>I160/I170</f>
        <v>4.2410714285714306</v>
      </c>
      <c r="J179" s="8">
        <f>J160/J170</f>
        <v>8.9285714285714306</v>
      </c>
      <c r="K179" s="8">
        <f>K160/K170</f>
        <v>12.422360248447211</v>
      </c>
    </row>
    <row r="180" spans="1:15" x14ac:dyDescent="0.3">
      <c r="A180" s="148"/>
      <c r="B180" s="148" t="s">
        <v>2137</v>
      </c>
      <c r="D180" s="8"/>
      <c r="E180" s="8">
        <f>E160/E171</f>
        <v>3.0789055496699524</v>
      </c>
      <c r="F180" s="8">
        <f>F160/F171</f>
        <v>-8.977235014806503</v>
      </c>
      <c r="G180" s="8">
        <f>G160/G171</f>
        <v>2.7591440563633625</v>
      </c>
      <c r="H180" s="8"/>
      <c r="I180" s="8">
        <f>I160/I171</f>
        <v>176.24007936507704</v>
      </c>
      <c r="J180" s="8">
        <f>J160/J171</f>
        <v>14.367457544694837</v>
      </c>
      <c r="K180" s="8">
        <f>K160/K171</f>
        <v>6.3125832297177009</v>
      </c>
    </row>
    <row r="182" spans="1:15" x14ac:dyDescent="0.3">
      <c r="B182" s="6" t="s">
        <v>359</v>
      </c>
      <c r="D182" t="s">
        <v>861</v>
      </c>
      <c r="E182" t="s">
        <v>862</v>
      </c>
      <c r="F182" t="s">
        <v>873</v>
      </c>
      <c r="G182" t="s">
        <v>874</v>
      </c>
      <c r="H182" t="s">
        <v>826</v>
      </c>
      <c r="I182" t="s">
        <v>822</v>
      </c>
      <c r="J182" t="s">
        <v>823</v>
      </c>
      <c r="K182" t="s">
        <v>824</v>
      </c>
    </row>
    <row r="183" spans="1:15" s="133" customFormat="1" x14ac:dyDescent="0.3">
      <c r="B183" s="148" t="s">
        <v>1795</v>
      </c>
      <c r="D183" s="133" t="s">
        <v>1914</v>
      </c>
      <c r="E183" s="133" t="s">
        <v>1914</v>
      </c>
      <c r="F183" s="133" t="s">
        <v>1914</v>
      </c>
      <c r="G183" s="133" t="s">
        <v>1913</v>
      </c>
      <c r="H183" s="133" t="s">
        <v>1915</v>
      </c>
      <c r="I183" s="133" t="s">
        <v>1915</v>
      </c>
      <c r="J183" s="133" t="s">
        <v>1915</v>
      </c>
      <c r="K183" s="133" t="s">
        <v>1916</v>
      </c>
    </row>
    <row r="184" spans="1:15" s="133" customFormat="1" x14ac:dyDescent="0.3">
      <c r="B184" s="148" t="s">
        <v>1791</v>
      </c>
      <c r="D184" s="133" t="s">
        <v>1104</v>
      </c>
      <c r="E184" s="133" t="s">
        <v>1105</v>
      </c>
      <c r="F184" s="133" t="s">
        <v>1105</v>
      </c>
      <c r="G184" s="133" t="s">
        <v>1105</v>
      </c>
      <c r="H184" s="133" t="s">
        <v>1104</v>
      </c>
      <c r="I184" s="133" t="s">
        <v>1105</v>
      </c>
      <c r="J184" s="133" t="s">
        <v>1105</v>
      </c>
      <c r="K184" s="133" t="s">
        <v>1105</v>
      </c>
    </row>
    <row r="185" spans="1:15" x14ac:dyDescent="0.3">
      <c r="B185" t="s">
        <v>33</v>
      </c>
      <c r="C185" t="s">
        <v>270</v>
      </c>
      <c r="D185">
        <f t="shared" ref="D185:K185" si="14">$D$127</f>
        <v>2</v>
      </c>
      <c r="E185">
        <f t="shared" si="14"/>
        <v>2</v>
      </c>
      <c r="F185">
        <f t="shared" si="14"/>
        <v>2</v>
      </c>
      <c r="G185">
        <f t="shared" si="14"/>
        <v>2</v>
      </c>
      <c r="H185">
        <f t="shared" si="14"/>
        <v>2</v>
      </c>
      <c r="I185">
        <f t="shared" si="14"/>
        <v>2</v>
      </c>
      <c r="J185">
        <f t="shared" si="14"/>
        <v>2</v>
      </c>
      <c r="K185">
        <f t="shared" si="14"/>
        <v>2</v>
      </c>
    </row>
    <row r="186" spans="1:15" x14ac:dyDescent="0.3">
      <c r="B186" t="s">
        <v>26</v>
      </c>
      <c r="C186" t="s">
        <v>25</v>
      </c>
      <c r="D186">
        <f>D133</f>
        <v>25</v>
      </c>
      <c r="E186" s="101">
        <f>E133</f>
        <v>25</v>
      </c>
      <c r="F186" s="101">
        <f>F133</f>
        <v>25</v>
      </c>
      <c r="G186" s="101">
        <f>G133</f>
        <v>25</v>
      </c>
      <c r="H186" s="101">
        <f>D133</f>
        <v>25</v>
      </c>
      <c r="I186" s="133">
        <f>E133</f>
        <v>25</v>
      </c>
      <c r="J186" s="133">
        <f>F133</f>
        <v>25</v>
      </c>
      <c r="K186" s="133">
        <f>G133</f>
        <v>25</v>
      </c>
    </row>
    <row r="187" spans="1:15" s="133" customFormat="1" x14ac:dyDescent="0.3">
      <c r="B187" s="148" t="s">
        <v>1544</v>
      </c>
      <c r="C187" s="133" t="s">
        <v>338</v>
      </c>
      <c r="D187" s="8"/>
      <c r="E187" s="10">
        <f>E159</f>
        <v>0.13392857142857142</v>
      </c>
      <c r="F187" s="10">
        <f>F159</f>
        <v>0.6428571428571429</v>
      </c>
      <c r="G187" s="10">
        <f>G159</f>
        <v>0.6428571428571429</v>
      </c>
      <c r="H187" s="10"/>
      <c r="I187" s="10">
        <f>I159</f>
        <v>0.16071428571428573</v>
      </c>
      <c r="J187" s="10">
        <f>J159</f>
        <v>0.66071428571428581</v>
      </c>
      <c r="K187" s="10">
        <f>K159</f>
        <v>0.66071428571428581</v>
      </c>
    </row>
    <row r="188" spans="1:15" x14ac:dyDescent="0.3">
      <c r="B188" t="s">
        <v>351</v>
      </c>
      <c r="C188" t="s">
        <v>377</v>
      </c>
      <c r="D188" s="10">
        <f t="shared" ref="D188:K188" si="15">D144/1000</f>
        <v>0.19700000000000001</v>
      </c>
      <c r="E188" s="10">
        <f t="shared" si="15"/>
        <v>0.2</v>
      </c>
      <c r="F188" s="10">
        <f t="shared" si="15"/>
        <v>0.245</v>
      </c>
      <c r="G188" s="10">
        <f t="shared" si="15"/>
        <v>0.21</v>
      </c>
      <c r="H188" s="10">
        <f t="shared" si="15"/>
        <v>0.222</v>
      </c>
      <c r="I188" s="10">
        <f t="shared" si="15"/>
        <v>0.24199999999999999</v>
      </c>
      <c r="J188" s="10">
        <f t="shared" si="15"/>
        <v>0.245</v>
      </c>
      <c r="K188" s="10">
        <f t="shared" si="15"/>
        <v>0.245</v>
      </c>
    </row>
    <row r="189" spans="1:15" x14ac:dyDescent="0.3">
      <c r="B189" t="s">
        <v>352</v>
      </c>
      <c r="C189" t="s">
        <v>377</v>
      </c>
      <c r="E189" s="10">
        <f t="shared" ref="E189:K189" si="16">E188 -$D188</f>
        <v>3.0000000000000027E-3</v>
      </c>
      <c r="F189" s="10">
        <f t="shared" si="16"/>
        <v>4.7999999999999987E-2</v>
      </c>
      <c r="G189" s="10">
        <f t="shared" si="16"/>
        <v>1.2999999999999984E-2</v>
      </c>
      <c r="H189" s="10">
        <f t="shared" si="16"/>
        <v>2.4999999999999994E-2</v>
      </c>
      <c r="I189" s="10">
        <f t="shared" si="16"/>
        <v>4.4999999999999984E-2</v>
      </c>
      <c r="J189" s="10">
        <f t="shared" si="16"/>
        <v>4.7999999999999987E-2</v>
      </c>
      <c r="K189" s="10">
        <f t="shared" si="16"/>
        <v>4.7999999999999987E-2</v>
      </c>
    </row>
    <row r="190" spans="1:15" x14ac:dyDescent="0.3">
      <c r="B190" t="s">
        <v>353</v>
      </c>
      <c r="C190" t="s">
        <v>92</v>
      </c>
      <c r="E190" s="10">
        <f>E189/D188</f>
        <v>1.5228426395939099E-2</v>
      </c>
      <c r="F190" s="10">
        <f t="shared" ref="F190:K190" si="17">F189/E188</f>
        <v>0.23999999999999994</v>
      </c>
      <c r="G190" s="10">
        <f t="shared" si="17"/>
        <v>5.3061224489795854E-2</v>
      </c>
      <c r="H190" s="10">
        <f t="shared" si="17"/>
        <v>0.11904761904761903</v>
      </c>
      <c r="I190" s="10">
        <f t="shared" si="17"/>
        <v>0.20270270270270263</v>
      </c>
      <c r="J190" s="10">
        <f t="shared" si="17"/>
        <v>0.19834710743801648</v>
      </c>
      <c r="K190" s="10">
        <f t="shared" si="17"/>
        <v>0.19591836734693874</v>
      </c>
    </row>
    <row r="191" spans="1:15" x14ac:dyDescent="0.3">
      <c r="B191" t="s">
        <v>293</v>
      </c>
      <c r="C191" t="s">
        <v>338</v>
      </c>
      <c r="D191" s="10">
        <f>D188/D185</f>
        <v>9.8500000000000004E-2</v>
      </c>
      <c r="E191" s="10">
        <f>E188/E185</f>
        <v>0.1</v>
      </c>
      <c r="F191" s="10">
        <f t="shared" ref="F191:K191" si="18">F188/F185</f>
        <v>0.1225</v>
      </c>
      <c r="G191" s="10">
        <f t="shared" si="18"/>
        <v>0.105</v>
      </c>
      <c r="H191" s="10">
        <f t="shared" si="18"/>
        <v>0.111</v>
      </c>
      <c r="I191" s="10">
        <f t="shared" si="18"/>
        <v>0.121</v>
      </c>
      <c r="J191" s="10">
        <f t="shared" si="18"/>
        <v>0.1225</v>
      </c>
      <c r="K191" s="10">
        <f t="shared" si="18"/>
        <v>0.1225</v>
      </c>
    </row>
    <row r="192" spans="1:15" x14ac:dyDescent="0.3">
      <c r="B192" t="s">
        <v>402</v>
      </c>
      <c r="C192" t="s">
        <v>338</v>
      </c>
      <c r="E192" s="10">
        <f t="shared" ref="E192:K192" si="19">E191 -$D191</f>
        <v>1.5000000000000013E-3</v>
      </c>
      <c r="F192" s="10">
        <f t="shared" si="19"/>
        <v>2.3999999999999994E-2</v>
      </c>
      <c r="G192" s="10">
        <f t="shared" si="19"/>
        <v>6.4999999999999919E-3</v>
      </c>
      <c r="H192" s="10">
        <f t="shared" si="19"/>
        <v>1.2499999999999997E-2</v>
      </c>
      <c r="I192" s="10">
        <f t="shared" si="19"/>
        <v>2.2499999999999992E-2</v>
      </c>
      <c r="J192" s="10">
        <f t="shared" si="19"/>
        <v>2.3999999999999994E-2</v>
      </c>
      <c r="K192" s="10">
        <f t="shared" si="19"/>
        <v>2.3999999999999994E-2</v>
      </c>
    </row>
    <row r="193" spans="2:13" x14ac:dyDescent="0.3">
      <c r="B193" t="s">
        <v>3</v>
      </c>
      <c r="C193" t="s">
        <v>302</v>
      </c>
      <c r="D193" s="8">
        <f t="shared" ref="D193:K195" si="20">D166*100</f>
        <v>62</v>
      </c>
      <c r="E193" s="8">
        <f t="shared" si="20"/>
        <v>59.794661190965094</v>
      </c>
      <c r="F193" s="8">
        <f t="shared" si="20"/>
        <v>38.071053184780325</v>
      </c>
      <c r="G193" s="8">
        <f t="shared" si="20"/>
        <v>39.134775374376041</v>
      </c>
      <c r="H193" s="8">
        <f t="shared" si="20"/>
        <v>66</v>
      </c>
      <c r="I193" s="8">
        <f t="shared" si="20"/>
        <v>68.863846958601101</v>
      </c>
      <c r="J193" s="8">
        <f t="shared" si="20"/>
        <v>52.119850187265918</v>
      </c>
      <c r="K193" s="8">
        <f t="shared" si="20"/>
        <v>68.293554562858958</v>
      </c>
    </row>
    <row r="194" spans="2:13" x14ac:dyDescent="0.3">
      <c r="B194" t="s">
        <v>277</v>
      </c>
      <c r="C194" t="s">
        <v>302</v>
      </c>
      <c r="D194" s="8">
        <f t="shared" si="20"/>
        <v>38</v>
      </c>
      <c r="E194" s="8">
        <f t="shared" si="20"/>
        <v>32.197125256673509</v>
      </c>
      <c r="F194" s="8">
        <f t="shared" si="20"/>
        <v>19.612360731553498</v>
      </c>
      <c r="G194" s="8">
        <f t="shared" si="20"/>
        <v>16.772046589018302</v>
      </c>
      <c r="H194" s="8">
        <f t="shared" si="20"/>
        <v>34</v>
      </c>
      <c r="I194" s="8">
        <f t="shared" si="20"/>
        <v>32.406516215812289</v>
      </c>
      <c r="J194" s="8">
        <f t="shared" si="20"/>
        <v>21.288389513108612</v>
      </c>
      <c r="K194" s="8">
        <f t="shared" si="20"/>
        <v>19.262284620293553</v>
      </c>
    </row>
    <row r="195" spans="2:13" x14ac:dyDescent="0.3">
      <c r="B195" t="s">
        <v>13</v>
      </c>
      <c r="C195" t="s">
        <v>302</v>
      </c>
      <c r="D195" s="8">
        <f t="shared" si="20"/>
        <v>0</v>
      </c>
      <c r="E195" s="8">
        <f t="shared" si="20"/>
        <v>8.0082135523613935</v>
      </c>
      <c r="F195" s="8">
        <f t="shared" si="20"/>
        <v>42.316586083666181</v>
      </c>
      <c r="G195" s="8">
        <f t="shared" si="20"/>
        <v>44.093178036605664</v>
      </c>
      <c r="H195" s="8">
        <f t="shared" si="20"/>
        <v>0</v>
      </c>
      <c r="I195" s="8">
        <f t="shared" si="20"/>
        <v>-1.2703631744133907</v>
      </c>
      <c r="J195" s="8">
        <f t="shared" si="20"/>
        <v>26.591760299625477</v>
      </c>
      <c r="K195" s="8">
        <f t="shared" si="20"/>
        <v>12.44416081684748</v>
      </c>
    </row>
    <row r="196" spans="2:13" x14ac:dyDescent="0.3">
      <c r="B196" t="s">
        <v>35</v>
      </c>
      <c r="D196" s="3">
        <f t="shared" ref="D196:K196" si="21">D147</f>
        <v>7.36</v>
      </c>
      <c r="E196" s="3">
        <f t="shared" si="21"/>
        <v>7.4</v>
      </c>
      <c r="F196" s="3">
        <f t="shared" si="21"/>
        <v>7.63</v>
      </c>
      <c r="G196" s="3">
        <f t="shared" si="21"/>
        <v>7.59</v>
      </c>
      <c r="H196" s="3">
        <f t="shared" si="21"/>
        <v>7.63</v>
      </c>
      <c r="I196" s="3">
        <f t="shared" si="21"/>
        <v>7.64</v>
      </c>
      <c r="J196" s="3">
        <f t="shared" si="21"/>
        <v>7.89</v>
      </c>
      <c r="K196" s="3">
        <f t="shared" si="21"/>
        <v>7.77</v>
      </c>
    </row>
    <row r="197" spans="2:13" x14ac:dyDescent="0.3">
      <c r="B197" t="s">
        <v>52</v>
      </c>
      <c r="C197" t="s">
        <v>621</v>
      </c>
      <c r="D197" s="10">
        <f>D152/(1000*Data!$C34)</f>
        <v>8.3817030421155583E-2</v>
      </c>
      <c r="E197" s="10">
        <f>E152/(1000*Data!$C34)</f>
        <v>8.7172567414166069E-2</v>
      </c>
      <c r="F197" s="10">
        <f>F152/(1000*Data!$C34)</f>
        <v>9.6311051139811657E-2</v>
      </c>
      <c r="G197" s="10">
        <f>G152/(1000*Data!$C34)</f>
        <v>9.4597585441253115E-2</v>
      </c>
      <c r="H197" s="10">
        <f>H152/(1000*Data!$C34)</f>
        <v>0.1119464256391584</v>
      </c>
      <c r="I197" s="10">
        <f>I152/(1000*Data!$C34)</f>
        <v>0.11480220180342264</v>
      </c>
      <c r="J197" s="10">
        <f>J152/(1000*Data!$C34)</f>
        <v>0.11558754024859531</v>
      </c>
      <c r="K197" s="10">
        <f>K152/(1000*Data!$C34)</f>
        <v>0.10987598792006682</v>
      </c>
    </row>
    <row r="198" spans="2:13" x14ac:dyDescent="0.3">
      <c r="B198" t="s">
        <v>558</v>
      </c>
      <c r="C198" t="s">
        <v>621</v>
      </c>
      <c r="D198" s="10">
        <f>D150/(1000*Data!$D18)+D151/(1000*Data!$E18)</f>
        <v>2.221009333443626E-2</v>
      </c>
      <c r="E198" s="10">
        <f>E150/(1000*Data!$D18)+E151/(1000*Data!$E18)</f>
        <v>2.2193933766344438E-2</v>
      </c>
      <c r="F198" s="10">
        <f>F150/(1000*Data!$D18)+F151/(1000*Data!$E18)</f>
        <v>2.3082704166903691E-2</v>
      </c>
      <c r="G198" s="10">
        <f>G150/(1000*Data!$D18)+G151/(1000*Data!$E18)</f>
        <v>2.5900755259505897E-2</v>
      </c>
      <c r="H198" s="10">
        <f>H150/(1000*Data!$D18)+H151/(1000*Data!$E18)</f>
        <v>4.2272162143403742E-2</v>
      </c>
      <c r="I198" s="10">
        <f>I150/(1000*Data!$D18)+I151/(1000*Data!$E18)</f>
        <v>3.0680410855927522E-2</v>
      </c>
      <c r="J198" s="10">
        <f>J150/(1000*Data!$D18)+J151/(1000*Data!$E18)</f>
        <v>2.9596643418360134E-2</v>
      </c>
      <c r="K198" s="10">
        <f>K150/(1000*Data!$D18)+K151/(1000*Data!$E18)</f>
        <v>2.8057455077697822E-2</v>
      </c>
      <c r="M198" t="s">
        <v>843</v>
      </c>
    </row>
    <row r="202" spans="2:13" x14ac:dyDescent="0.3">
      <c r="B202" s="14" t="s">
        <v>1777</v>
      </c>
    </row>
    <row r="203" spans="2:13" x14ac:dyDescent="0.3">
      <c r="B203" t="s">
        <v>881</v>
      </c>
    </row>
    <row r="204" spans="2:13" x14ac:dyDescent="0.3">
      <c r="B204" t="s">
        <v>882</v>
      </c>
    </row>
    <row r="205" spans="2:13" x14ac:dyDescent="0.3">
      <c r="B205" t="s">
        <v>1413</v>
      </c>
    </row>
    <row r="207" spans="2:13" s="101" customFormat="1" x14ac:dyDescent="0.3">
      <c r="B207" s="148" t="s">
        <v>114</v>
      </c>
      <c r="D207" s="101" t="s">
        <v>216</v>
      </c>
    </row>
    <row r="208" spans="2:13" s="101" customFormat="1" x14ac:dyDescent="0.3">
      <c r="B208" s="101" t="s">
        <v>667</v>
      </c>
      <c r="C208" s="101" t="s">
        <v>503</v>
      </c>
      <c r="D208" s="101">
        <v>35</v>
      </c>
    </row>
    <row r="209" spans="1:6" s="101" customFormat="1" x14ac:dyDescent="0.3">
      <c r="B209" s="101" t="s">
        <v>1324</v>
      </c>
      <c r="D209" s="101" t="s">
        <v>1091</v>
      </c>
    </row>
    <row r="210" spans="1:6" s="101" customFormat="1" x14ac:dyDescent="0.3">
      <c r="B210" s="101" t="s">
        <v>956</v>
      </c>
      <c r="C210" s="101" t="s">
        <v>22</v>
      </c>
      <c r="D210" s="101" t="s">
        <v>1671</v>
      </c>
    </row>
    <row r="211" spans="1:6" s="101" customFormat="1" x14ac:dyDescent="0.3">
      <c r="B211" s="101" t="s">
        <v>32</v>
      </c>
      <c r="C211" s="101" t="s">
        <v>22</v>
      </c>
      <c r="D211" s="101">
        <v>11.6</v>
      </c>
    </row>
    <row r="212" spans="1:6" s="101" customFormat="1" x14ac:dyDescent="0.3">
      <c r="B212" s="101" t="s">
        <v>326</v>
      </c>
      <c r="D212" s="101" t="s">
        <v>1355</v>
      </c>
    </row>
    <row r="213" spans="1:6" s="101" customFormat="1" x14ac:dyDescent="0.3">
      <c r="B213" s="101" t="s">
        <v>344</v>
      </c>
      <c r="D213" s="101" t="s">
        <v>694</v>
      </c>
    </row>
    <row r="214" spans="1:6" s="101" customFormat="1" x14ac:dyDescent="0.3">
      <c r="B214" s="101" t="s">
        <v>1332</v>
      </c>
      <c r="D214" s="101" t="s">
        <v>1356</v>
      </c>
    </row>
    <row r="215" spans="1:6" s="101" customFormat="1" x14ac:dyDescent="0.3">
      <c r="B215" s="101" t="s">
        <v>1330</v>
      </c>
      <c r="D215" s="101" t="s">
        <v>1333</v>
      </c>
    </row>
    <row r="216" spans="1:6" s="133" customFormat="1" x14ac:dyDescent="0.3">
      <c r="B216" s="133" t="s">
        <v>1968</v>
      </c>
      <c r="D216" s="133" t="s">
        <v>1969</v>
      </c>
      <c r="E216" s="133" t="s">
        <v>1971</v>
      </c>
    </row>
    <row r="217" spans="1:6" s="133" customFormat="1" x14ac:dyDescent="0.3">
      <c r="B217" s="133" t="s">
        <v>1541</v>
      </c>
      <c r="D217" s="133" t="s">
        <v>1561</v>
      </c>
    </row>
    <row r="218" spans="1:6" s="133" customFormat="1" x14ac:dyDescent="0.3">
      <c r="B218" s="133" t="s">
        <v>1599</v>
      </c>
      <c r="D218" s="133" t="s">
        <v>2122</v>
      </c>
    </row>
    <row r="219" spans="1:6" s="101" customFormat="1" x14ac:dyDescent="0.3"/>
    <row r="220" spans="1:6" x14ac:dyDescent="0.3">
      <c r="A220" s="101"/>
      <c r="B220" t="s">
        <v>27</v>
      </c>
      <c r="C220" t="s">
        <v>302</v>
      </c>
      <c r="D220">
        <v>32</v>
      </c>
      <c r="F220" t="s">
        <v>883</v>
      </c>
    </row>
    <row r="221" spans="1:6" x14ac:dyDescent="0.3">
      <c r="A221" s="101"/>
      <c r="B221" t="s">
        <v>14</v>
      </c>
      <c r="C221" t="s">
        <v>302</v>
      </c>
      <c r="D221">
        <v>20</v>
      </c>
    </row>
    <row r="222" spans="1:6" x14ac:dyDescent="0.3">
      <c r="A222" s="101"/>
      <c r="B222" t="s">
        <v>818</v>
      </c>
    </row>
    <row r="223" spans="1:6" x14ac:dyDescent="0.3">
      <c r="A223" s="101"/>
      <c r="B223" t="s">
        <v>819</v>
      </c>
      <c r="C223" t="s">
        <v>21</v>
      </c>
      <c r="D223">
        <v>117.6</v>
      </c>
    </row>
    <row r="224" spans="1:6" x14ac:dyDescent="0.3">
      <c r="A224" s="101"/>
      <c r="B224" t="s">
        <v>820</v>
      </c>
      <c r="C224" t="s">
        <v>21</v>
      </c>
      <c r="D224">
        <v>346.4</v>
      </c>
    </row>
    <row r="225" spans="1:10" x14ac:dyDescent="0.3">
      <c r="A225" s="101"/>
      <c r="B225" t="s">
        <v>452</v>
      </c>
      <c r="C225" t="s">
        <v>21</v>
      </c>
      <c r="D225">
        <f>SUM(D223:D224)</f>
        <v>464</v>
      </c>
    </row>
    <row r="226" spans="1:10" x14ac:dyDescent="0.3">
      <c r="A226" s="101"/>
      <c r="B226" t="s">
        <v>14</v>
      </c>
      <c r="C226" t="s">
        <v>30</v>
      </c>
      <c r="D226" s="8">
        <f>D221*10*D223/D225</f>
        <v>50.689655172413794</v>
      </c>
    </row>
    <row r="227" spans="1:10" x14ac:dyDescent="0.3">
      <c r="A227" s="101"/>
      <c r="B227" t="s">
        <v>32</v>
      </c>
      <c r="C227" t="s">
        <v>22</v>
      </c>
      <c r="D227">
        <v>11.6</v>
      </c>
      <c r="F227" t="s">
        <v>884</v>
      </c>
    </row>
    <row r="228" spans="1:10" x14ac:dyDescent="0.3">
      <c r="A228" s="101"/>
      <c r="B228" t="s">
        <v>26</v>
      </c>
      <c r="C228" t="s">
        <v>25</v>
      </c>
      <c r="D228" s="8">
        <f>D227*1000/D225</f>
        <v>25</v>
      </c>
      <c r="F228" t="s">
        <v>829</v>
      </c>
    </row>
    <row r="229" spans="1:10" x14ac:dyDescent="0.3">
      <c r="A229" s="6"/>
      <c r="B229" t="s">
        <v>33</v>
      </c>
      <c r="C229" t="s">
        <v>270</v>
      </c>
      <c r="D229" s="3">
        <f>D226/D228</f>
        <v>2.0275862068965518</v>
      </c>
      <c r="F229" t="s">
        <v>828</v>
      </c>
    </row>
    <row r="231" spans="1:10" x14ac:dyDescent="0.3">
      <c r="B231" s="101" t="s">
        <v>287</v>
      </c>
      <c r="C231" s="101" t="s">
        <v>718</v>
      </c>
      <c r="D231" s="101" t="s">
        <v>821</v>
      </c>
      <c r="E231" s="101" t="s">
        <v>885</v>
      </c>
      <c r="F231" s="101" t="s">
        <v>886</v>
      </c>
      <c r="G231" s="101" t="s">
        <v>887</v>
      </c>
      <c r="H231" s="101" t="s">
        <v>827</v>
      </c>
    </row>
    <row r="232" spans="1:10" x14ac:dyDescent="0.3">
      <c r="B232" s="101" t="s">
        <v>798</v>
      </c>
      <c r="C232" s="101"/>
      <c r="D232" s="101">
        <v>1</v>
      </c>
      <c r="E232" s="101">
        <v>15</v>
      </c>
      <c r="F232" s="101">
        <v>29</v>
      </c>
      <c r="G232" s="101">
        <v>43</v>
      </c>
      <c r="H232" s="101">
        <v>56</v>
      </c>
      <c r="J232" s="101" t="s">
        <v>1419</v>
      </c>
    </row>
    <row r="233" spans="1:10" x14ac:dyDescent="0.3">
      <c r="B233" s="101" t="s">
        <v>33</v>
      </c>
      <c r="C233" s="101" t="s">
        <v>270</v>
      </c>
      <c r="D233" s="101">
        <v>2</v>
      </c>
      <c r="E233" s="101">
        <v>2</v>
      </c>
      <c r="F233" s="101">
        <v>2</v>
      </c>
      <c r="G233" s="101">
        <v>2</v>
      </c>
      <c r="H233" s="101"/>
    </row>
    <row r="234" spans="1:10" x14ac:dyDescent="0.3">
      <c r="B234" s="101" t="s">
        <v>26</v>
      </c>
      <c r="C234" s="101" t="s">
        <v>566</v>
      </c>
      <c r="D234" s="101">
        <v>25</v>
      </c>
      <c r="E234" s="101">
        <v>25</v>
      </c>
      <c r="F234" s="101">
        <v>25</v>
      </c>
      <c r="G234" s="101">
        <v>25</v>
      </c>
      <c r="H234" s="101"/>
    </row>
    <row r="235" spans="1:10" x14ac:dyDescent="0.3">
      <c r="B235" s="101" t="s">
        <v>13</v>
      </c>
      <c r="C235" s="101" t="s">
        <v>347</v>
      </c>
      <c r="D235" s="101">
        <v>0</v>
      </c>
      <c r="E235" s="101">
        <v>1.5</v>
      </c>
      <c r="F235" s="101">
        <v>7.2</v>
      </c>
      <c r="G235" s="101">
        <v>7.2</v>
      </c>
      <c r="H235" s="101"/>
    </row>
    <row r="236" spans="1:10" x14ac:dyDescent="0.3">
      <c r="B236" s="101" t="s">
        <v>49</v>
      </c>
      <c r="C236" s="101" t="s">
        <v>327</v>
      </c>
      <c r="D236" s="101">
        <v>228</v>
      </c>
      <c r="E236" s="101">
        <v>228</v>
      </c>
      <c r="F236" s="101">
        <v>228</v>
      </c>
      <c r="G236" s="101">
        <v>228</v>
      </c>
      <c r="H236" s="101"/>
    </row>
    <row r="237" spans="1:10" x14ac:dyDescent="0.3">
      <c r="B237" s="101"/>
      <c r="C237" s="101" t="s">
        <v>869</v>
      </c>
      <c r="D237" s="101" t="s">
        <v>831</v>
      </c>
      <c r="E237" s="101" t="s">
        <v>831</v>
      </c>
      <c r="F237" s="101" t="s">
        <v>831</v>
      </c>
      <c r="G237" s="101" t="s">
        <v>832</v>
      </c>
      <c r="H237" s="101"/>
    </row>
    <row r="239" spans="1:10" x14ac:dyDescent="0.3">
      <c r="B239" t="s">
        <v>307</v>
      </c>
    </row>
    <row r="240" spans="1:10" x14ac:dyDescent="0.3">
      <c r="B240" t="s">
        <v>835</v>
      </c>
      <c r="D240" t="s">
        <v>221</v>
      </c>
      <c r="E240" t="s">
        <v>885</v>
      </c>
      <c r="F240" t="s">
        <v>892</v>
      </c>
      <c r="G240" t="s">
        <v>887</v>
      </c>
      <c r="I240" t="s">
        <v>890</v>
      </c>
    </row>
    <row r="241" spans="2:9" x14ac:dyDescent="0.3">
      <c r="B241" t="s">
        <v>837</v>
      </c>
      <c r="C241" t="s">
        <v>458</v>
      </c>
      <c r="E241">
        <v>0.92</v>
      </c>
      <c r="F241">
        <v>1.1299999999999999</v>
      </c>
      <c r="G241">
        <v>1.93</v>
      </c>
    </row>
    <row r="242" spans="2:9" x14ac:dyDescent="0.3">
      <c r="B242" t="s">
        <v>293</v>
      </c>
      <c r="C242" t="s">
        <v>338</v>
      </c>
      <c r="D242">
        <v>0.39</v>
      </c>
      <c r="E242">
        <v>0.42</v>
      </c>
      <c r="F242">
        <v>0.51</v>
      </c>
      <c r="G242">
        <v>0.44</v>
      </c>
    </row>
    <row r="243" spans="2:9" x14ac:dyDescent="0.3">
      <c r="B243" t="s">
        <v>351</v>
      </c>
      <c r="C243" t="s">
        <v>775</v>
      </c>
      <c r="D243" s="134">
        <v>189.34</v>
      </c>
      <c r="E243" s="134">
        <v>200.42</v>
      </c>
      <c r="F243" s="134">
        <v>244.66</v>
      </c>
      <c r="G243" s="134">
        <v>209.94</v>
      </c>
    </row>
    <row r="244" spans="2:9" x14ac:dyDescent="0.3">
      <c r="B244" t="s">
        <v>836</v>
      </c>
      <c r="C244" t="s">
        <v>302</v>
      </c>
      <c r="D244">
        <v>62</v>
      </c>
      <c r="E244">
        <v>65</v>
      </c>
      <c r="F244">
        <v>66</v>
      </c>
      <c r="G244">
        <v>70</v>
      </c>
      <c r="I244" t="s">
        <v>889</v>
      </c>
    </row>
    <row r="245" spans="2:9" x14ac:dyDescent="0.3">
      <c r="B245" t="s">
        <v>309</v>
      </c>
      <c r="C245" t="s">
        <v>316</v>
      </c>
      <c r="D245" s="8">
        <v>16.899999999999999</v>
      </c>
      <c r="E245" s="8">
        <v>16.600000000000001</v>
      </c>
      <c r="F245" s="8">
        <v>17</v>
      </c>
      <c r="G245" s="8">
        <v>21.1</v>
      </c>
    </row>
    <row r="246" spans="2:9" x14ac:dyDescent="0.3">
      <c r="B246" t="s">
        <v>310</v>
      </c>
      <c r="C246" t="s">
        <v>316</v>
      </c>
      <c r="D246">
        <v>5.9</v>
      </c>
      <c r="E246">
        <v>5.6</v>
      </c>
      <c r="F246">
        <v>6.1</v>
      </c>
      <c r="G246">
        <v>4.8</v>
      </c>
    </row>
    <row r="247" spans="2:9" x14ac:dyDescent="0.3">
      <c r="B247" t="s">
        <v>52</v>
      </c>
      <c r="C247" t="s">
        <v>17</v>
      </c>
      <c r="D247">
        <v>1174</v>
      </c>
      <c r="E247">
        <v>1221</v>
      </c>
      <c r="F247">
        <v>1349</v>
      </c>
      <c r="G247">
        <v>1325</v>
      </c>
    </row>
    <row r="248" spans="2:9" x14ac:dyDescent="0.3">
      <c r="B248" t="s">
        <v>35</v>
      </c>
      <c r="D248">
        <v>7.36</v>
      </c>
      <c r="E248">
        <v>7.42</v>
      </c>
      <c r="F248">
        <v>7.63</v>
      </c>
      <c r="G248">
        <v>7.59</v>
      </c>
    </row>
    <row r="249" spans="2:9" x14ac:dyDescent="0.3">
      <c r="B249" t="s">
        <v>888</v>
      </c>
      <c r="C249" t="s">
        <v>839</v>
      </c>
      <c r="D249">
        <v>13501</v>
      </c>
      <c r="E249">
        <v>13985</v>
      </c>
      <c r="F249">
        <v>13270</v>
      </c>
      <c r="G249">
        <v>13500</v>
      </c>
    </row>
    <row r="250" spans="2:9" x14ac:dyDescent="0.3">
      <c r="B250" t="s">
        <v>838</v>
      </c>
      <c r="C250" t="s">
        <v>839</v>
      </c>
      <c r="D250">
        <v>7542</v>
      </c>
      <c r="E250">
        <v>6976</v>
      </c>
      <c r="F250">
        <v>4725</v>
      </c>
      <c r="G250">
        <v>3055</v>
      </c>
    </row>
    <row r="251" spans="2:9" x14ac:dyDescent="0.3">
      <c r="B251" t="s">
        <v>840</v>
      </c>
      <c r="D251">
        <v>0.56000000000000005</v>
      </c>
      <c r="E251">
        <v>0.5</v>
      </c>
      <c r="F251">
        <v>0.35</v>
      </c>
      <c r="G251">
        <v>0.22</v>
      </c>
    </row>
    <row r="253" spans="2:9" s="101" customFormat="1" x14ac:dyDescent="0.3">
      <c r="B253" s="101" t="s">
        <v>321</v>
      </c>
      <c r="C253" s="101" t="s">
        <v>338</v>
      </c>
      <c r="E253" s="10">
        <f>E235*60*24/(1000*$D$227)</f>
        <v>0.18620689655172415</v>
      </c>
      <c r="F253" s="10">
        <f>F235*60*24/(1000*$D$227)</f>
        <v>0.89379310344827589</v>
      </c>
      <c r="G253" s="10">
        <f>G235*60*24/(1000*$D$227)</f>
        <v>0.89379310344827589</v>
      </c>
    </row>
    <row r="254" spans="2:9" s="101" customFormat="1" x14ac:dyDescent="0.3">
      <c r="B254" s="101" t="s">
        <v>33</v>
      </c>
      <c r="C254" s="101" t="s">
        <v>270</v>
      </c>
      <c r="D254" s="3">
        <f>$D229</f>
        <v>2.0275862068965518</v>
      </c>
      <c r="E254" s="3">
        <f>$D229</f>
        <v>2.0275862068965518</v>
      </c>
      <c r="F254" s="3">
        <f>$D229</f>
        <v>2.0275862068965518</v>
      </c>
      <c r="G254" s="3">
        <f>$D229</f>
        <v>2.0275862068965518</v>
      </c>
    </row>
    <row r="255" spans="2:9" s="101" customFormat="1" x14ac:dyDescent="0.3">
      <c r="B255" s="101" t="s">
        <v>374</v>
      </c>
      <c r="D255" s="3">
        <v>2</v>
      </c>
      <c r="E255" s="3">
        <v>2</v>
      </c>
      <c r="F255" s="3">
        <v>2</v>
      </c>
      <c r="G255" s="3">
        <v>2</v>
      </c>
    </row>
    <row r="256" spans="2:9" s="101" customFormat="1" x14ac:dyDescent="0.3"/>
    <row r="257" spans="1:9" x14ac:dyDescent="0.3">
      <c r="B257" s="6" t="s">
        <v>877</v>
      </c>
      <c r="D257" t="s">
        <v>221</v>
      </c>
      <c r="E257" t="s">
        <v>885</v>
      </c>
      <c r="F257" t="s">
        <v>892</v>
      </c>
      <c r="G257" t="s">
        <v>887</v>
      </c>
    </row>
    <row r="258" spans="1:9" s="101" customFormat="1" x14ac:dyDescent="0.3">
      <c r="B258" s="102" t="s">
        <v>1403</v>
      </c>
      <c r="C258" s="101" t="s">
        <v>338</v>
      </c>
      <c r="D258" s="10">
        <f>D243/1000</f>
        <v>0.18934000000000001</v>
      </c>
      <c r="E258" s="10">
        <f>E243/1000</f>
        <v>0.20041999999999999</v>
      </c>
      <c r="F258" s="10">
        <f>F243/1000</f>
        <v>0.24465999999999999</v>
      </c>
      <c r="G258" s="10">
        <f>G243/1000</f>
        <v>0.20993999999999999</v>
      </c>
    </row>
    <row r="259" spans="1:9" s="101" customFormat="1" x14ac:dyDescent="0.3">
      <c r="B259" s="27" t="s">
        <v>33</v>
      </c>
      <c r="C259" s="101" t="s">
        <v>270</v>
      </c>
      <c r="D259" s="10">
        <f>D262/D258</f>
        <v>2.0597866272314356</v>
      </c>
      <c r="E259" s="10">
        <f t="shared" ref="E259:G259" si="22">E262/E258</f>
        <v>2.0955992415926556</v>
      </c>
      <c r="F259" s="10">
        <f t="shared" si="22"/>
        <v>2.0845254639090984</v>
      </c>
      <c r="G259" s="10">
        <f t="shared" si="22"/>
        <v>2.0958369057826047</v>
      </c>
      <c r="I259" s="101" t="s">
        <v>197</v>
      </c>
    </row>
    <row r="260" spans="1:9" x14ac:dyDescent="0.3">
      <c r="B260" s="102" t="s">
        <v>321</v>
      </c>
      <c r="C260" t="s">
        <v>338</v>
      </c>
      <c r="D260" s="10"/>
      <c r="E260" s="10">
        <f>E253</f>
        <v>0.18620689655172415</v>
      </c>
      <c r="F260" s="10">
        <f t="shared" ref="F260:G260" si="23">F253</f>
        <v>0.89379310344827589</v>
      </c>
      <c r="G260" s="10">
        <f t="shared" si="23"/>
        <v>0.89379310344827589</v>
      </c>
    </row>
    <row r="261" spans="1:9" x14ac:dyDescent="0.3">
      <c r="B261" t="s">
        <v>433</v>
      </c>
      <c r="C261" t="s">
        <v>338</v>
      </c>
      <c r="D261" s="10">
        <f>D241/$D$227</f>
        <v>0</v>
      </c>
      <c r="E261" s="10">
        <f>E241/$D$227</f>
        <v>7.9310344827586213E-2</v>
      </c>
      <c r="F261" s="10">
        <f>F241/$D$227</f>
        <v>9.7413793103448276E-2</v>
      </c>
      <c r="G261" s="10">
        <f>G241/$D$227</f>
        <v>0.16637931034482759</v>
      </c>
      <c r="I261" t="s">
        <v>879</v>
      </c>
    </row>
    <row r="262" spans="1:9" x14ac:dyDescent="0.3">
      <c r="B262" s="102" t="s">
        <v>1415</v>
      </c>
      <c r="C262" t="s">
        <v>338</v>
      </c>
      <c r="D262" s="10">
        <f>D242</f>
        <v>0.39</v>
      </c>
      <c r="E262" s="10">
        <f t="shared" ref="E262:G262" si="24">E242</f>
        <v>0.42</v>
      </c>
      <c r="F262" s="10">
        <f t="shared" si="24"/>
        <v>0.51</v>
      </c>
      <c r="G262" s="10">
        <f t="shared" si="24"/>
        <v>0.44</v>
      </c>
      <c r="I262" s="101" t="s">
        <v>1416</v>
      </c>
    </row>
    <row r="263" spans="1:9" s="101" customFormat="1" x14ac:dyDescent="0.3">
      <c r="B263" s="27" t="s">
        <v>1417</v>
      </c>
      <c r="C263" s="101" t="s">
        <v>338</v>
      </c>
      <c r="D263" s="10">
        <f>D290*D287</f>
        <v>0.37868000000000002</v>
      </c>
      <c r="E263" s="10">
        <f>E290*E287</f>
        <v>0.40083999999999997</v>
      </c>
      <c r="F263" s="10">
        <f>F290*F287</f>
        <v>0.48931999999999998</v>
      </c>
      <c r="G263" s="10">
        <f>G290*G287</f>
        <v>0.41987999999999998</v>
      </c>
      <c r="I263" s="101" t="s">
        <v>1414</v>
      </c>
    </row>
    <row r="264" spans="1:9" x14ac:dyDescent="0.3">
      <c r="B264" s="27" t="s">
        <v>845</v>
      </c>
      <c r="C264" t="s">
        <v>338</v>
      </c>
      <c r="D264" s="10">
        <f>D262*(100-D244)/D244</f>
        <v>0.23903225806451614</v>
      </c>
      <c r="E264" s="10">
        <f>E262*(100-E244)/E244</f>
        <v>0.22615384615384615</v>
      </c>
      <c r="F264" s="10">
        <f>F262*(100-F244)/F244</f>
        <v>0.2627272727272727</v>
      </c>
      <c r="G264" s="10">
        <f>G262*(100-G244)/G244</f>
        <v>0.18857142857142856</v>
      </c>
    </row>
    <row r="265" spans="1:9" x14ac:dyDescent="0.3">
      <c r="B265" s="27" t="s">
        <v>308</v>
      </c>
      <c r="C265" t="s">
        <v>338</v>
      </c>
      <c r="D265" s="10">
        <f>SUM(D262:D264)</f>
        <v>1.0077122580645161</v>
      </c>
      <c r="E265" s="10">
        <f>SUM(E262:E264)</f>
        <v>1.0469938461538462</v>
      </c>
      <c r="F265" s="10">
        <f>SUM(F262:F264)</f>
        <v>1.2620472727272727</v>
      </c>
      <c r="G265" s="10">
        <f>SUM(G262:G264)</f>
        <v>1.0484514285714286</v>
      </c>
    </row>
    <row r="266" spans="1:9" x14ac:dyDescent="0.3">
      <c r="B266" t="s">
        <v>323</v>
      </c>
      <c r="C266" t="s">
        <v>338</v>
      </c>
      <c r="D266" s="10"/>
      <c r="E266" s="10">
        <f>E260-E261</f>
        <v>0.10689655172413794</v>
      </c>
      <c r="F266" s="10">
        <f>F260-F261</f>
        <v>0.79637931034482756</v>
      </c>
      <c r="G266" s="10">
        <f>G260-G261</f>
        <v>0.72741379310344834</v>
      </c>
    </row>
    <row r="267" spans="1:9" x14ac:dyDescent="0.3">
      <c r="B267" t="s">
        <v>848</v>
      </c>
      <c r="C267" t="s">
        <v>338</v>
      </c>
      <c r="D267" s="10">
        <f>D262+D264+D266</f>
        <v>0.62903225806451613</v>
      </c>
      <c r="E267" s="10">
        <f>E262+E264+E266</f>
        <v>0.753050397877984</v>
      </c>
      <c r="F267" s="10">
        <f>F262+F264+F266</f>
        <v>1.5691065830721003</v>
      </c>
      <c r="G267" s="10">
        <f>G262+G264+G266</f>
        <v>1.3559852216748769</v>
      </c>
    </row>
    <row r="268" spans="1:9" x14ac:dyDescent="0.3">
      <c r="B268" t="s">
        <v>846</v>
      </c>
      <c r="C268" t="s">
        <v>302</v>
      </c>
      <c r="D268" s="10">
        <f>D262/D$267</f>
        <v>0.62</v>
      </c>
      <c r="E268" s="10">
        <f>E262/E$267</f>
        <v>0.55773159563226493</v>
      </c>
      <c r="F268" s="10">
        <f>F262/F$267</f>
        <v>0.32502572196306029</v>
      </c>
      <c r="G268" s="10">
        <f>G262/G$267</f>
        <v>0.32448731222639998</v>
      </c>
    </row>
    <row r="269" spans="1:9" x14ac:dyDescent="0.3">
      <c r="B269" t="s">
        <v>849</v>
      </c>
      <c r="C269" t="s">
        <v>302</v>
      </c>
      <c r="D269" s="10">
        <f>D264/D$267</f>
        <v>0.38</v>
      </c>
      <c r="E269" s="10">
        <f>E264/E$267</f>
        <v>0.30031701303275804</v>
      </c>
      <c r="F269" s="10">
        <f>F264/F$267</f>
        <v>0.16743749313248557</v>
      </c>
      <c r="G269" s="10">
        <f>G264/G$267</f>
        <v>0.13906599095417141</v>
      </c>
    </row>
    <row r="270" spans="1:9" x14ac:dyDescent="0.3">
      <c r="B270" t="s">
        <v>847</v>
      </c>
      <c r="C270" t="s">
        <v>302</v>
      </c>
      <c r="D270" s="10"/>
      <c r="E270" s="10">
        <f>E266/E$267</f>
        <v>0.14195139133497714</v>
      </c>
      <c r="F270" s="10">
        <f>F266/F$267</f>
        <v>0.5075367849044542</v>
      </c>
      <c r="G270" s="10">
        <f>G266/G$267</f>
        <v>0.53644669681942858</v>
      </c>
    </row>
    <row r="271" spans="1:9" x14ac:dyDescent="0.3">
      <c r="A271" s="148"/>
      <c r="B271" s="148" t="s">
        <v>460</v>
      </c>
      <c r="C271" t="s">
        <v>338</v>
      </c>
      <c r="D271" s="10"/>
      <c r="E271" s="10">
        <f>E261/4</f>
        <v>1.9827586206896553E-2</v>
      </c>
      <c r="F271" s="10">
        <f>F261/4</f>
        <v>2.4353448275862069E-2</v>
      </c>
      <c r="G271" s="10">
        <f>G261/4</f>
        <v>4.1594827586206896E-2</v>
      </c>
    </row>
    <row r="272" spans="1:9" x14ac:dyDescent="0.3">
      <c r="A272" s="148"/>
      <c r="B272" s="148" t="s">
        <v>402</v>
      </c>
      <c r="C272" t="s">
        <v>338</v>
      </c>
      <c r="D272" s="10"/>
      <c r="E272" s="10">
        <f>E262-$D262</f>
        <v>2.9999999999999971E-2</v>
      </c>
      <c r="F272" s="10">
        <f>F262-$D262</f>
        <v>0.12</v>
      </c>
      <c r="G272" s="10">
        <f>G262-$D262</f>
        <v>4.9999999999999989E-2</v>
      </c>
    </row>
    <row r="273" spans="1:15" x14ac:dyDescent="0.3">
      <c r="A273" s="148"/>
      <c r="B273" s="148" t="s">
        <v>2086</v>
      </c>
      <c r="C273" t="s">
        <v>338</v>
      </c>
      <c r="E273" s="10">
        <f>$D264-E264</f>
        <v>1.287841191066999E-2</v>
      </c>
      <c r="F273" s="10">
        <f>$D264-F264</f>
        <v>-2.3695014662756558E-2</v>
      </c>
      <c r="G273" s="10">
        <f>$D264-G264</f>
        <v>5.0460829493087583E-2</v>
      </c>
    </row>
    <row r="274" spans="1:15" s="133" customFormat="1" x14ac:dyDescent="0.3">
      <c r="A274" s="148"/>
      <c r="B274" s="148" t="s">
        <v>93</v>
      </c>
      <c r="D274" s="8"/>
      <c r="E274" s="134">
        <f>E260/$D264</f>
        <v>0.77900321094513469</v>
      </c>
      <c r="F274" s="134">
        <f>F260/$D264</f>
        <v>3.7392154125366468</v>
      </c>
      <c r="G274" s="134">
        <f>G260/$D264</f>
        <v>3.7392154125366468</v>
      </c>
    </row>
    <row r="275" spans="1:15" x14ac:dyDescent="0.3">
      <c r="A275" s="148"/>
      <c r="B275" s="148" t="s">
        <v>462</v>
      </c>
      <c r="C275" t="s">
        <v>92</v>
      </c>
      <c r="D275" s="10"/>
      <c r="E275" s="10">
        <f>E261/E260</f>
        <v>0.42592592592592593</v>
      </c>
      <c r="F275" s="10">
        <f>F261/F260</f>
        <v>0.1089891975308642</v>
      </c>
      <c r="G275" s="10">
        <f>G261/G260</f>
        <v>0.18614969135802467</v>
      </c>
    </row>
    <row r="276" spans="1:15" x14ac:dyDescent="0.3">
      <c r="A276" s="148"/>
      <c r="B276" s="148" t="s">
        <v>2085</v>
      </c>
      <c r="C276" t="s">
        <v>92</v>
      </c>
      <c r="E276" s="3">
        <f>E271/E272</f>
        <v>0.66091954022988575</v>
      </c>
      <c r="F276" s="3">
        <f>F271/F272</f>
        <v>0.20294540229885058</v>
      </c>
      <c r="G276" s="3">
        <f>G271/G272</f>
        <v>0.83189655172413812</v>
      </c>
    </row>
    <row r="277" spans="1:15" x14ac:dyDescent="0.3">
      <c r="A277" s="148"/>
      <c r="B277" s="148" t="s">
        <v>2087</v>
      </c>
      <c r="C277" t="s">
        <v>92</v>
      </c>
      <c r="D277" s="10"/>
      <c r="E277" s="10">
        <f>E273/E271</f>
        <v>0.64951990505987767</v>
      </c>
      <c r="F277" s="10">
        <f>F273/F271</f>
        <v>-0.97296343393973828</v>
      </c>
      <c r="G277" s="10">
        <f>G273/G271</f>
        <v>1.2131515484348518</v>
      </c>
    </row>
    <row r="278" spans="1:15" x14ac:dyDescent="0.3">
      <c r="A278" s="148"/>
      <c r="B278" s="148" t="s">
        <v>2088</v>
      </c>
      <c r="C278" t="s">
        <v>92</v>
      </c>
      <c r="D278" s="3"/>
      <c r="E278" s="3">
        <f>E272/E273</f>
        <v>2.3294797687861224</v>
      </c>
      <c r="F278" s="3">
        <f>F272/F273</f>
        <v>-5.0643564356435729</v>
      </c>
      <c r="G278" s="3">
        <f>G272/G273</f>
        <v>0.99086757990867502</v>
      </c>
    </row>
    <row r="279" spans="1:15" s="133" customFormat="1" x14ac:dyDescent="0.3">
      <c r="A279" s="148"/>
      <c r="B279" s="148" t="s">
        <v>2096</v>
      </c>
      <c r="C279" s="133" t="s">
        <v>92</v>
      </c>
      <c r="D279" s="37"/>
      <c r="E279" s="37">
        <f>E272/$D264</f>
        <v>0.12550607287449381</v>
      </c>
      <c r="F279" s="37">
        <f>F272/$D264</f>
        <v>0.50202429149797567</v>
      </c>
      <c r="G279" s="37">
        <f>G272/$D264</f>
        <v>0.20917678812415649</v>
      </c>
      <c r="H279" s="37"/>
      <c r="I279" s="37"/>
      <c r="J279" s="37"/>
      <c r="K279" s="37"/>
      <c r="L279" s="37"/>
      <c r="M279" s="37"/>
      <c r="N279" s="37"/>
      <c r="O279" s="37"/>
    </row>
    <row r="280" spans="1:15" s="133" customFormat="1" x14ac:dyDescent="0.3">
      <c r="A280" s="148"/>
      <c r="B280" s="148" t="s">
        <v>2097</v>
      </c>
      <c r="C280" s="133" t="s">
        <v>92</v>
      </c>
      <c r="D280" s="37"/>
      <c r="E280" s="37">
        <f>E265/$D265</f>
        <v>1.0389809568901911</v>
      </c>
      <c r="F280" s="37">
        <f>F265/$D265</f>
        <v>1.2523885291930956</v>
      </c>
      <c r="G280" s="37">
        <f>G265/$D265</f>
        <v>1.0404273840879528</v>
      </c>
      <c r="H280" s="37"/>
      <c r="I280" s="37"/>
      <c r="J280" s="37"/>
      <c r="K280" s="37"/>
      <c r="L280" s="37"/>
      <c r="M280" s="37"/>
      <c r="N280" s="37"/>
      <c r="O280" s="37"/>
    </row>
    <row r="281" spans="1:15" x14ac:dyDescent="0.3">
      <c r="A281" s="148"/>
      <c r="B281" s="148" t="s">
        <v>2081</v>
      </c>
      <c r="D281" s="8"/>
      <c r="E281" s="8">
        <f>E261/E272</f>
        <v>2.643678160919543</v>
      </c>
      <c r="F281" s="8">
        <f>F261/F272</f>
        <v>0.81178160919540232</v>
      </c>
      <c r="G281" s="8">
        <f>G261/G272</f>
        <v>3.3275862068965525</v>
      </c>
    </row>
    <row r="282" spans="1:15" x14ac:dyDescent="0.3">
      <c r="A282" s="148"/>
      <c r="B282" s="148" t="s">
        <v>2137</v>
      </c>
      <c r="D282" s="8"/>
      <c r="E282" s="8">
        <f>E261/E273</f>
        <v>6.1583947910437775</v>
      </c>
      <c r="F282" s="8">
        <f>F261/F273</f>
        <v>-4.1111514168658312</v>
      </c>
      <c r="G282" s="8">
        <f>G261/G273</f>
        <v>3.2971972917650745</v>
      </c>
    </row>
    <row r="284" spans="1:15" x14ac:dyDescent="0.3">
      <c r="B284" s="6" t="s">
        <v>359</v>
      </c>
      <c r="D284" t="s">
        <v>221</v>
      </c>
      <c r="E284" t="s">
        <v>885</v>
      </c>
      <c r="F284" t="s">
        <v>892</v>
      </c>
      <c r="G284" t="s">
        <v>887</v>
      </c>
    </row>
    <row r="285" spans="1:15" x14ac:dyDescent="0.3">
      <c r="B285" t="s">
        <v>1795</v>
      </c>
      <c r="D285" t="s">
        <v>2156</v>
      </c>
      <c r="E285" t="s">
        <v>2238</v>
      </c>
      <c r="F285" t="s">
        <v>1796</v>
      </c>
      <c r="G285" t="s">
        <v>1797</v>
      </c>
    </row>
    <row r="286" spans="1:15" s="133" customFormat="1" x14ac:dyDescent="0.3">
      <c r="B286" s="148" t="s">
        <v>1791</v>
      </c>
      <c r="D286" s="133" t="s">
        <v>1104</v>
      </c>
      <c r="E286" s="133" t="s">
        <v>1105</v>
      </c>
      <c r="F286" s="133" t="s">
        <v>1105</v>
      </c>
      <c r="G286" s="133" t="s">
        <v>1105</v>
      </c>
    </row>
    <row r="287" spans="1:15" x14ac:dyDescent="0.3">
      <c r="B287" t="s">
        <v>33</v>
      </c>
      <c r="C287" t="s">
        <v>270</v>
      </c>
      <c r="D287" s="16">
        <f t="shared" ref="D287:G288" si="25">D233</f>
        <v>2</v>
      </c>
      <c r="E287" s="16">
        <f t="shared" si="25"/>
        <v>2</v>
      </c>
      <c r="F287" s="16">
        <f t="shared" si="25"/>
        <v>2</v>
      </c>
      <c r="G287" s="16">
        <f t="shared" si="25"/>
        <v>2</v>
      </c>
    </row>
    <row r="288" spans="1:15" x14ac:dyDescent="0.3">
      <c r="B288" t="s">
        <v>26</v>
      </c>
      <c r="C288" t="s">
        <v>25</v>
      </c>
      <c r="D288">
        <f t="shared" si="25"/>
        <v>25</v>
      </c>
      <c r="E288" s="101">
        <f t="shared" si="25"/>
        <v>25</v>
      </c>
      <c r="F288" s="101">
        <f t="shared" si="25"/>
        <v>25</v>
      </c>
      <c r="G288" s="101">
        <f t="shared" si="25"/>
        <v>25</v>
      </c>
    </row>
    <row r="289" spans="2:9" s="133" customFormat="1" x14ac:dyDescent="0.3">
      <c r="B289" s="148" t="s">
        <v>1544</v>
      </c>
      <c r="C289" s="133" t="s">
        <v>338</v>
      </c>
      <c r="D289" s="8"/>
      <c r="E289" s="10">
        <f>E260</f>
        <v>0.18620689655172415</v>
      </c>
      <c r="F289" s="10">
        <f>F260</f>
        <v>0.89379310344827589</v>
      </c>
      <c r="G289" s="10">
        <f>G260</f>
        <v>0.89379310344827589</v>
      </c>
    </row>
    <row r="290" spans="2:9" x14ac:dyDescent="0.3">
      <c r="B290" t="s">
        <v>351</v>
      </c>
      <c r="C290" t="s">
        <v>377</v>
      </c>
      <c r="D290" s="10">
        <f>D243/1000</f>
        <v>0.18934000000000001</v>
      </c>
      <c r="E290" s="10">
        <f>E243/1000</f>
        <v>0.20041999999999999</v>
      </c>
      <c r="F290" s="10">
        <f>F243/1000</f>
        <v>0.24465999999999999</v>
      </c>
      <c r="G290" s="10">
        <f>G243/1000</f>
        <v>0.20993999999999999</v>
      </c>
      <c r="H290" s="10"/>
    </row>
    <row r="291" spans="2:9" x14ac:dyDescent="0.3">
      <c r="B291" t="s">
        <v>352</v>
      </c>
      <c r="C291" t="s">
        <v>377</v>
      </c>
      <c r="E291" s="10">
        <f>E290-$D290</f>
        <v>1.1079999999999979E-2</v>
      </c>
      <c r="F291" s="10">
        <f>F290-$D290</f>
        <v>5.531999999999998E-2</v>
      </c>
      <c r="G291" s="10">
        <f>G290-$D290</f>
        <v>2.0599999999999979E-2</v>
      </c>
      <c r="H291" s="10"/>
    </row>
    <row r="292" spans="2:9" x14ac:dyDescent="0.3">
      <c r="B292" t="s">
        <v>353</v>
      </c>
      <c r="C292" t="s">
        <v>92</v>
      </c>
      <c r="E292" s="134">
        <f>E291/$D290</f>
        <v>5.8519066230062207E-2</v>
      </c>
      <c r="F292" s="134">
        <f>F291/$D290</f>
        <v>0.29217281081652041</v>
      </c>
      <c r="G292" s="134">
        <f>G291/$D290</f>
        <v>0.10879898595119879</v>
      </c>
      <c r="H292" s="10"/>
    </row>
    <row r="293" spans="2:9" x14ac:dyDescent="0.3">
      <c r="B293" t="s">
        <v>293</v>
      </c>
      <c r="C293" t="s">
        <v>338</v>
      </c>
      <c r="D293" s="10">
        <f>D242</f>
        <v>0.39</v>
      </c>
      <c r="E293" s="10">
        <f>E242</f>
        <v>0.42</v>
      </c>
      <c r="F293" s="10">
        <f>F242</f>
        <v>0.51</v>
      </c>
      <c r="G293" s="10">
        <f>G242</f>
        <v>0.44</v>
      </c>
      <c r="H293" s="10"/>
    </row>
    <row r="294" spans="2:9" x14ac:dyDescent="0.3">
      <c r="B294" t="s">
        <v>402</v>
      </c>
      <c r="C294" t="s">
        <v>338</v>
      </c>
      <c r="E294" s="10">
        <f>E293-$D293</f>
        <v>2.9999999999999971E-2</v>
      </c>
      <c r="F294" s="10">
        <f>F293-$D293</f>
        <v>0.12</v>
      </c>
      <c r="G294" s="10">
        <f>G293-$D293</f>
        <v>4.9999999999999989E-2</v>
      </c>
      <c r="H294" s="10"/>
    </row>
    <row r="295" spans="2:9" x14ac:dyDescent="0.3">
      <c r="B295" t="s">
        <v>3</v>
      </c>
      <c r="C295" t="s">
        <v>302</v>
      </c>
      <c r="D295" s="8">
        <f t="shared" ref="D295:G296" si="26">D268*100</f>
        <v>62</v>
      </c>
      <c r="E295" s="8">
        <f t="shared" si="26"/>
        <v>55.773159563226493</v>
      </c>
      <c r="F295" s="8">
        <f t="shared" si="26"/>
        <v>32.502572196306026</v>
      </c>
      <c r="G295" s="8">
        <f t="shared" si="26"/>
        <v>32.448731222639999</v>
      </c>
      <c r="H295" s="8"/>
    </row>
    <row r="296" spans="2:9" x14ac:dyDescent="0.3">
      <c r="B296" t="s">
        <v>277</v>
      </c>
      <c r="C296" t="s">
        <v>302</v>
      </c>
      <c r="D296" s="8">
        <f t="shared" si="26"/>
        <v>38</v>
      </c>
      <c r="E296" s="8">
        <f t="shared" si="26"/>
        <v>30.031701303275803</v>
      </c>
      <c r="F296" s="8">
        <f t="shared" si="26"/>
        <v>16.743749313248557</v>
      </c>
      <c r="G296" s="8">
        <f t="shared" si="26"/>
        <v>13.906599095417141</v>
      </c>
      <c r="H296" s="8"/>
    </row>
    <row r="297" spans="2:9" x14ac:dyDescent="0.3">
      <c r="B297" t="s">
        <v>13</v>
      </c>
      <c r="C297" t="s">
        <v>302</v>
      </c>
      <c r="D297" s="8"/>
      <c r="E297" s="8">
        <f>E270*100</f>
        <v>14.195139133497714</v>
      </c>
      <c r="F297" s="8">
        <f>F270*100</f>
        <v>50.753678490445417</v>
      </c>
      <c r="G297" s="8">
        <f>G270*100</f>
        <v>53.644669681942858</v>
      </c>
      <c r="H297" s="8"/>
    </row>
    <row r="298" spans="2:9" x14ac:dyDescent="0.3">
      <c r="B298" t="s">
        <v>35</v>
      </c>
      <c r="D298" s="3">
        <f>D248</f>
        <v>7.36</v>
      </c>
      <c r="E298" s="3">
        <f>E248</f>
        <v>7.42</v>
      </c>
      <c r="F298" s="3">
        <f>F248</f>
        <v>7.63</v>
      </c>
      <c r="G298" s="3">
        <f>G248</f>
        <v>7.59</v>
      </c>
      <c r="H298" s="3"/>
    </row>
    <row r="299" spans="2:9" x14ac:dyDescent="0.3">
      <c r="B299" t="s">
        <v>52</v>
      </c>
      <c r="C299" t="s">
        <v>621</v>
      </c>
      <c r="D299" s="10">
        <f>D247/(1000*Data!$C34)</f>
        <v>8.3817030421155583E-2</v>
      </c>
      <c r="E299" s="10">
        <f>E247/(1000*Data!$C34)</f>
        <v>8.7172567414166069E-2</v>
      </c>
      <c r="F299" s="10">
        <f>F247/(1000*Data!$C34)</f>
        <v>9.6311051139811657E-2</v>
      </c>
      <c r="G299" s="10">
        <f>G247/(1000*Data!$C34)</f>
        <v>9.4597585441253115E-2</v>
      </c>
      <c r="H299" s="10"/>
    </row>
    <row r="300" spans="2:9" x14ac:dyDescent="0.3">
      <c r="B300" t="s">
        <v>558</v>
      </c>
      <c r="C300" t="s">
        <v>621</v>
      </c>
      <c r="D300" s="10">
        <f>SUM(D245:D246)/1000</f>
        <v>2.2799999999999997E-2</v>
      </c>
      <c r="E300" s="10">
        <f>SUM(E245:E246)/1000</f>
        <v>2.2200000000000004E-2</v>
      </c>
      <c r="F300" s="10">
        <f>SUM(F245:F246)/1000</f>
        <v>2.3100000000000002E-2</v>
      </c>
      <c r="G300" s="10">
        <f>SUM(G245:G246)/1000</f>
        <v>2.5900000000000003E-2</v>
      </c>
      <c r="H300" s="10"/>
      <c r="I300" t="s">
        <v>891</v>
      </c>
    </row>
    <row r="301" spans="2:9" s="133" customFormat="1" x14ac:dyDescent="0.3">
      <c r="D301" s="10"/>
      <c r="E301" s="10"/>
      <c r="F301" s="10"/>
      <c r="G301" s="10"/>
      <c r="H301" s="10"/>
    </row>
    <row r="303" spans="2:9" x14ac:dyDescent="0.3">
      <c r="B303" s="28" t="s">
        <v>944</v>
      </c>
    </row>
    <row r="304" spans="2:9" x14ac:dyDescent="0.3">
      <c r="B304" s="4" t="s">
        <v>945</v>
      </c>
    </row>
    <row r="305" spans="2:25" x14ac:dyDescent="0.3">
      <c r="B305" s="4" t="s">
        <v>946</v>
      </c>
    </row>
    <row r="307" spans="2:25" s="133" customFormat="1" x14ac:dyDescent="0.3">
      <c r="Y307" s="13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F0C0-23F0-4173-80B7-BF75E1F3EDFC}">
  <dimension ref="A1:AR72"/>
  <sheetViews>
    <sheetView workbookViewId="0">
      <selection activeCell="A2" sqref="A2"/>
    </sheetView>
  </sheetViews>
  <sheetFormatPr defaultColWidth="12.109375" defaultRowHeight="15" x14ac:dyDescent="0.3"/>
  <cols>
    <col min="1" max="1" width="12.109375" style="245"/>
    <col min="2" max="2" width="24.44140625" style="245" bestFit="1" customWidth="1"/>
    <col min="3" max="3" width="3.88671875" style="245" bestFit="1" customWidth="1"/>
    <col min="4" max="4" width="23.6640625" style="245" customWidth="1"/>
    <col min="5" max="5" width="5.88671875" style="258" bestFit="1" customWidth="1"/>
    <col min="6" max="6" width="14.44140625" style="245" bestFit="1" customWidth="1"/>
    <col min="7" max="7" width="8.44140625" style="259" bestFit="1" customWidth="1"/>
    <col min="8" max="8" width="14.88671875" style="258" bestFit="1" customWidth="1"/>
    <col min="9" max="9" width="10.6640625" style="247" bestFit="1" customWidth="1"/>
    <col min="10" max="10" width="9.6640625" style="259" bestFit="1" customWidth="1"/>
    <col min="11" max="11" width="19.44140625" style="245" bestFit="1" customWidth="1"/>
    <col min="12" max="12" width="11.88671875" style="245" hidden="1" customWidth="1"/>
    <col min="13" max="13" width="11.88671875" style="245" bestFit="1" customWidth="1"/>
    <col min="14" max="14" width="19.88671875" style="245" bestFit="1" customWidth="1"/>
    <col min="15" max="15" width="22" style="245" hidden="1" customWidth="1"/>
    <col min="16" max="16" width="20.6640625" style="253" bestFit="1" customWidth="1"/>
    <col min="17" max="17" width="3.88671875" style="245" bestFit="1" customWidth="1"/>
    <col min="18" max="18" width="8.21875" style="245" bestFit="1" customWidth="1"/>
    <col min="19" max="19" width="10.33203125" style="258" bestFit="1" customWidth="1"/>
    <col min="20" max="20" width="5.109375" style="258" bestFit="1" customWidth="1"/>
    <col min="21" max="21" width="8.21875" style="258" bestFit="1" customWidth="1"/>
    <col min="22" max="22" width="8.88671875" style="258" bestFit="1" customWidth="1"/>
    <col min="23" max="23" width="6.77734375" style="262" bestFit="1" customWidth="1"/>
    <col min="24" max="24" width="7.6640625" style="263" bestFit="1" customWidth="1"/>
    <col min="25" max="26" width="7.44140625" style="264" bestFit="1" customWidth="1"/>
    <col min="27" max="28" width="5.5546875" style="265" bestFit="1" customWidth="1"/>
    <col min="29" max="29" width="4.44140625" style="265" bestFit="1" customWidth="1"/>
    <col min="30" max="30" width="4.44140625" style="263" bestFit="1" customWidth="1"/>
    <col min="31" max="31" width="5.21875" style="247" hidden="1" customWidth="1"/>
    <col min="32" max="32" width="13.109375" style="247" hidden="1" customWidth="1"/>
    <col min="33" max="33" width="9.33203125" style="258" hidden="1" customWidth="1"/>
    <col min="34" max="34" width="5.77734375" style="267" hidden="1" customWidth="1"/>
    <col min="35" max="35" width="5.33203125" style="258" bestFit="1" customWidth="1"/>
    <col min="36" max="36" width="5.44140625" style="258" bestFit="1" customWidth="1"/>
    <col min="37" max="37" width="9.109375" style="258" bestFit="1" customWidth="1"/>
    <col min="38" max="38" width="9.33203125" style="258" bestFit="1" customWidth="1"/>
    <col min="39" max="39" width="8.88671875" style="258" bestFit="1" customWidth="1"/>
    <col min="40" max="40" width="6.33203125" style="258" bestFit="1" customWidth="1"/>
    <col min="41" max="41" width="9.109375" style="258" bestFit="1" customWidth="1"/>
    <col min="42" max="42" width="7.6640625" style="258" bestFit="1" customWidth="1"/>
    <col min="43" max="44" width="9.109375" style="258" bestFit="1" customWidth="1"/>
    <col min="45" max="16384" width="12.109375" style="245"/>
  </cols>
  <sheetData>
    <row r="1" spans="1:44" ht="18.600000000000001" x14ac:dyDescent="0.45">
      <c r="A1" s="494" t="s">
        <v>2326</v>
      </c>
      <c r="L1" s="245" t="s">
        <v>2080</v>
      </c>
      <c r="O1" s="245" t="s">
        <v>2080</v>
      </c>
      <c r="P1" s="248"/>
      <c r="AE1" s="247" t="s">
        <v>2080</v>
      </c>
      <c r="AF1" s="247" t="s">
        <v>2080</v>
      </c>
      <c r="AG1" s="258" t="s">
        <v>2080</v>
      </c>
      <c r="AH1" s="267" t="s">
        <v>2080</v>
      </c>
    </row>
    <row r="2" spans="1:44" x14ac:dyDescent="0.3">
      <c r="B2" s="252"/>
      <c r="C2" s="252"/>
      <c r="L2" s="246" t="s">
        <v>2095</v>
      </c>
      <c r="Q2" s="252"/>
      <c r="S2" s="273" t="s">
        <v>2123</v>
      </c>
      <c r="V2" s="273" t="s">
        <v>2123</v>
      </c>
    </row>
    <row r="3" spans="1:44" ht="16.8" x14ac:dyDescent="0.3">
      <c r="B3" s="304"/>
      <c r="C3" s="360" t="s">
        <v>2092</v>
      </c>
      <c r="D3" s="360" t="s">
        <v>1311</v>
      </c>
      <c r="E3" s="460" t="s">
        <v>667</v>
      </c>
      <c r="F3" s="360" t="s">
        <v>1184</v>
      </c>
      <c r="G3" s="460" t="s">
        <v>956</v>
      </c>
      <c r="H3" s="460" t="s">
        <v>32</v>
      </c>
      <c r="I3" s="360" t="s">
        <v>326</v>
      </c>
      <c r="J3" s="460" t="s">
        <v>344</v>
      </c>
      <c r="K3" s="467" t="s">
        <v>1332</v>
      </c>
      <c r="L3" s="360" t="s">
        <v>1330</v>
      </c>
      <c r="M3" s="360" t="s">
        <v>2109</v>
      </c>
      <c r="N3" s="360" t="s">
        <v>1541</v>
      </c>
      <c r="O3" s="360" t="s">
        <v>1599</v>
      </c>
      <c r="P3" s="461" t="s">
        <v>1795</v>
      </c>
      <c r="Q3" s="360" t="s">
        <v>2092</v>
      </c>
      <c r="R3" s="360" t="s">
        <v>2101</v>
      </c>
      <c r="S3" s="460" t="s">
        <v>33</v>
      </c>
      <c r="T3" s="460" t="s">
        <v>26</v>
      </c>
      <c r="U3" s="460" t="s">
        <v>2099</v>
      </c>
      <c r="V3" s="460" t="s">
        <v>351</v>
      </c>
      <c r="W3" s="462" t="s">
        <v>2100</v>
      </c>
      <c r="X3" s="463" t="s">
        <v>2084</v>
      </c>
      <c r="Y3" s="463" t="s">
        <v>293</v>
      </c>
      <c r="Z3" s="463" t="s">
        <v>402</v>
      </c>
      <c r="AA3" s="464" t="s">
        <v>3</v>
      </c>
      <c r="AB3" s="464" t="s">
        <v>277</v>
      </c>
      <c r="AC3" s="464" t="s">
        <v>13</v>
      </c>
      <c r="AD3" s="463" t="s">
        <v>35</v>
      </c>
      <c r="AE3" s="360" t="s">
        <v>52</v>
      </c>
      <c r="AF3" s="468" t="s">
        <v>558</v>
      </c>
      <c r="AG3" s="465" t="s">
        <v>1328</v>
      </c>
      <c r="AH3" s="466" t="s">
        <v>402</v>
      </c>
      <c r="AI3" s="465" t="s">
        <v>2086</v>
      </c>
      <c r="AJ3" s="465" t="s">
        <v>2237</v>
      </c>
      <c r="AK3" s="465" t="s">
        <v>2230</v>
      </c>
      <c r="AL3" s="465" t="s">
        <v>2231</v>
      </c>
      <c r="AM3" s="465" t="s">
        <v>2232</v>
      </c>
      <c r="AN3" s="465" t="s">
        <v>2231</v>
      </c>
      <c r="AO3" s="465" t="s">
        <v>2231</v>
      </c>
      <c r="AP3" s="465" t="s">
        <v>2235</v>
      </c>
      <c r="AQ3" s="465" t="s">
        <v>2230</v>
      </c>
      <c r="AR3" s="465" t="s">
        <v>2230</v>
      </c>
    </row>
    <row r="4" spans="1:44" s="258" customFormat="1" ht="16.8" x14ac:dyDescent="0.3">
      <c r="B4" s="314"/>
      <c r="C4" s="314"/>
      <c r="D4" s="314"/>
      <c r="E4" s="314" t="s">
        <v>503</v>
      </c>
      <c r="F4" s="314"/>
      <c r="G4" s="314" t="s">
        <v>22</v>
      </c>
      <c r="H4" s="314" t="s">
        <v>22</v>
      </c>
      <c r="I4" s="314"/>
      <c r="J4" s="314"/>
      <c r="K4" s="314"/>
      <c r="L4" s="314"/>
      <c r="M4" s="314"/>
      <c r="N4" s="314"/>
      <c r="O4" s="314"/>
      <c r="P4" s="335"/>
      <c r="Q4" s="314"/>
      <c r="R4" s="314"/>
      <c r="S4" s="314" t="s">
        <v>270</v>
      </c>
      <c r="T4" s="314" t="s">
        <v>25</v>
      </c>
      <c r="U4" s="314" t="s">
        <v>338</v>
      </c>
      <c r="V4" s="314" t="s">
        <v>377</v>
      </c>
      <c r="W4" s="317" t="s">
        <v>377</v>
      </c>
      <c r="X4" s="316" t="s">
        <v>302</v>
      </c>
      <c r="Y4" s="316" t="s">
        <v>338</v>
      </c>
      <c r="Z4" s="316" t="s">
        <v>338</v>
      </c>
      <c r="AA4" s="319" t="s">
        <v>302</v>
      </c>
      <c r="AB4" s="319" t="s">
        <v>302</v>
      </c>
      <c r="AC4" s="319" t="s">
        <v>302</v>
      </c>
      <c r="AD4" s="316"/>
      <c r="AE4" s="314" t="s">
        <v>621</v>
      </c>
      <c r="AF4" s="317" t="s">
        <v>621</v>
      </c>
      <c r="AG4" s="314"/>
      <c r="AH4" s="321"/>
      <c r="AI4" s="314"/>
      <c r="AJ4" s="476" t="s">
        <v>277</v>
      </c>
      <c r="AK4" s="476" t="s">
        <v>2229</v>
      </c>
      <c r="AL4" s="476" t="s">
        <v>1328</v>
      </c>
      <c r="AM4" s="476" t="s">
        <v>2233</v>
      </c>
      <c r="AN4" s="476" t="s">
        <v>2086</v>
      </c>
      <c r="AO4" s="476" t="s">
        <v>2234</v>
      </c>
      <c r="AP4" s="476" t="s">
        <v>2236</v>
      </c>
      <c r="AQ4" s="476" t="s">
        <v>402</v>
      </c>
      <c r="AR4" s="476" t="s">
        <v>2086</v>
      </c>
    </row>
    <row r="5" spans="1:44" hidden="1" x14ac:dyDescent="0.3">
      <c r="B5" s="283"/>
      <c r="C5" s="283"/>
      <c r="D5" s="284"/>
      <c r="E5" s="285"/>
      <c r="F5" s="284"/>
      <c r="G5" s="285"/>
      <c r="H5" s="285"/>
      <c r="I5" s="284"/>
      <c r="J5" s="285"/>
      <c r="K5" s="284"/>
      <c r="L5" s="284"/>
      <c r="M5" s="284"/>
      <c r="N5" s="284"/>
      <c r="O5" s="284"/>
      <c r="P5" s="286"/>
      <c r="Q5" s="283"/>
      <c r="R5" s="284"/>
      <c r="S5" s="285"/>
      <c r="T5" s="285"/>
      <c r="U5" s="287"/>
      <c r="V5" s="287"/>
      <c r="W5" s="287"/>
      <c r="X5" s="288"/>
      <c r="Y5" s="289"/>
      <c r="Z5" s="289"/>
      <c r="AA5" s="290"/>
      <c r="AB5" s="290"/>
      <c r="AC5" s="290"/>
      <c r="AD5" s="289"/>
      <c r="AE5" s="284"/>
      <c r="AF5" s="284"/>
      <c r="AG5" s="285"/>
      <c r="AH5" s="291"/>
      <c r="AI5" s="285"/>
      <c r="AJ5" s="285"/>
      <c r="AK5" s="285"/>
      <c r="AL5" s="285"/>
      <c r="AM5" s="285"/>
      <c r="AN5" s="285"/>
      <c r="AO5" s="285"/>
      <c r="AP5" s="285"/>
      <c r="AQ5" s="285"/>
      <c r="AR5" s="285"/>
    </row>
    <row r="6" spans="1:44" hidden="1" x14ac:dyDescent="0.3">
      <c r="B6" s="294"/>
      <c r="C6" s="294"/>
      <c r="D6" s="294"/>
      <c r="E6" s="293"/>
      <c r="F6" s="294"/>
      <c r="G6" s="293"/>
      <c r="H6" s="293"/>
      <c r="I6" s="294"/>
      <c r="J6" s="293"/>
      <c r="K6" s="294"/>
      <c r="L6" s="294"/>
      <c r="M6" s="294"/>
      <c r="N6" s="294"/>
      <c r="O6" s="294"/>
      <c r="P6" s="296"/>
      <c r="Q6" s="294"/>
      <c r="R6" s="303"/>
      <c r="S6" s="300"/>
      <c r="T6" s="300"/>
      <c r="U6" s="299"/>
      <c r="V6" s="299"/>
      <c r="W6" s="299"/>
      <c r="X6" s="336"/>
      <c r="Y6" s="297"/>
      <c r="Z6" s="297"/>
      <c r="AA6" s="300"/>
      <c r="AB6" s="300"/>
      <c r="AC6" s="300"/>
      <c r="AD6" s="297"/>
      <c r="AE6" s="295"/>
      <c r="AF6" s="295"/>
      <c r="AG6" s="293"/>
      <c r="AH6" s="301"/>
      <c r="AI6" s="293"/>
      <c r="AJ6" s="293"/>
      <c r="AK6" s="293"/>
      <c r="AL6" s="293"/>
      <c r="AM6" s="293"/>
      <c r="AN6" s="293"/>
      <c r="AO6" s="293"/>
      <c r="AP6" s="293"/>
      <c r="AQ6" s="293"/>
      <c r="AR6" s="293"/>
    </row>
    <row r="7" spans="1:44" hidden="1" x14ac:dyDescent="0.3">
      <c r="B7" s="247"/>
      <c r="C7" s="247"/>
      <c r="D7" s="247"/>
      <c r="E7" s="259"/>
      <c r="F7" s="247"/>
      <c r="H7" s="259"/>
      <c r="K7" s="247"/>
      <c r="L7" s="247"/>
      <c r="M7" s="247"/>
      <c r="N7" s="247"/>
      <c r="O7" s="247"/>
      <c r="P7" s="280"/>
      <c r="Q7" s="247"/>
      <c r="R7" s="250"/>
      <c r="S7" s="276"/>
      <c r="T7" s="259"/>
      <c r="U7" s="263"/>
      <c r="V7" s="262"/>
      <c r="X7" s="337"/>
      <c r="Y7" s="263"/>
      <c r="Z7" s="263"/>
      <c r="AA7" s="276"/>
      <c r="AB7" s="276"/>
      <c r="AC7" s="276"/>
      <c r="AE7" s="249"/>
      <c r="AF7" s="249"/>
      <c r="AG7" s="263"/>
      <c r="AH7" s="281"/>
      <c r="AI7" s="263"/>
      <c r="AJ7" s="263"/>
      <c r="AK7" s="263"/>
      <c r="AL7" s="263"/>
      <c r="AM7" s="263"/>
      <c r="AN7" s="263"/>
      <c r="AO7" s="263"/>
      <c r="AP7" s="263"/>
      <c r="AQ7" s="276"/>
      <c r="AR7" s="276"/>
    </row>
    <row r="8" spans="1:44" hidden="1" x14ac:dyDescent="0.3">
      <c r="B8" s="304"/>
      <c r="C8" s="304"/>
      <c r="D8" s="304"/>
      <c r="E8" s="305"/>
      <c r="F8" s="304"/>
      <c r="G8" s="305"/>
      <c r="H8" s="305"/>
      <c r="I8" s="304"/>
      <c r="J8" s="305"/>
      <c r="K8" s="304"/>
      <c r="L8" s="304"/>
      <c r="M8" s="304"/>
      <c r="N8" s="304"/>
      <c r="O8" s="304"/>
      <c r="P8" s="306"/>
      <c r="Q8" s="304"/>
      <c r="R8" s="304"/>
      <c r="S8" s="305"/>
      <c r="T8" s="305"/>
      <c r="U8" s="307"/>
      <c r="V8" s="308"/>
      <c r="W8" s="308"/>
      <c r="X8" s="338"/>
      <c r="Y8" s="307"/>
      <c r="Z8" s="307"/>
      <c r="AA8" s="309"/>
      <c r="AB8" s="309"/>
      <c r="AC8" s="309"/>
      <c r="AD8" s="307"/>
      <c r="AE8" s="310"/>
      <c r="AF8" s="310"/>
      <c r="AG8" s="307"/>
      <c r="AH8" s="311"/>
      <c r="AI8" s="307"/>
      <c r="AJ8" s="307"/>
      <c r="AK8" s="307"/>
      <c r="AL8" s="307"/>
      <c r="AM8" s="307"/>
      <c r="AN8" s="307"/>
      <c r="AO8" s="307"/>
      <c r="AP8" s="307"/>
      <c r="AQ8" s="309"/>
      <c r="AR8" s="309"/>
    </row>
    <row r="9" spans="1:44" ht="16.8" hidden="1" x14ac:dyDescent="0.3">
      <c r="B9" s="312"/>
      <c r="C9" s="312"/>
      <c r="D9" s="313"/>
      <c r="E9" s="314"/>
      <c r="F9" s="313"/>
      <c r="G9" s="314"/>
      <c r="H9" s="314"/>
      <c r="I9" s="313"/>
      <c r="J9" s="314"/>
      <c r="K9" s="313"/>
      <c r="L9" s="313"/>
      <c r="M9" s="313"/>
      <c r="N9" s="313"/>
      <c r="O9" s="313"/>
      <c r="P9" s="315"/>
      <c r="Q9" s="312"/>
      <c r="R9" s="313"/>
      <c r="S9" s="314"/>
      <c r="T9" s="314"/>
      <c r="U9" s="316"/>
      <c r="V9" s="317"/>
      <c r="W9" s="317"/>
      <c r="X9" s="339"/>
      <c r="Y9" s="316"/>
      <c r="Z9" s="316"/>
      <c r="AA9" s="319"/>
      <c r="AB9" s="319"/>
      <c r="AC9" s="319"/>
      <c r="AD9" s="316"/>
      <c r="AE9" s="320"/>
      <c r="AF9" s="320"/>
      <c r="AG9" s="316"/>
      <c r="AH9" s="321"/>
      <c r="AI9" s="316"/>
      <c r="AJ9" s="316"/>
      <c r="AK9" s="316"/>
      <c r="AL9" s="316"/>
      <c r="AM9" s="316"/>
      <c r="AN9" s="316"/>
      <c r="AO9" s="316"/>
      <c r="AP9" s="316"/>
      <c r="AQ9" s="319"/>
      <c r="AR9" s="319"/>
    </row>
    <row r="10" spans="1:44" ht="16.8" hidden="1" x14ac:dyDescent="0.3">
      <c r="B10" s="312"/>
      <c r="C10" s="312"/>
      <c r="D10" s="313"/>
      <c r="E10" s="314"/>
      <c r="F10" s="313"/>
      <c r="G10" s="314"/>
      <c r="H10" s="314"/>
      <c r="I10" s="313"/>
      <c r="J10" s="314"/>
      <c r="K10" s="313"/>
      <c r="L10" s="313"/>
      <c r="M10" s="313"/>
      <c r="N10" s="313"/>
      <c r="O10" s="313"/>
      <c r="P10" s="315"/>
      <c r="Q10" s="312"/>
      <c r="R10" s="313"/>
      <c r="S10" s="314"/>
      <c r="T10" s="314"/>
      <c r="U10" s="316"/>
      <c r="V10" s="317"/>
      <c r="W10" s="317"/>
      <c r="X10" s="339"/>
      <c r="Y10" s="316"/>
      <c r="Z10" s="316"/>
      <c r="AA10" s="319"/>
      <c r="AB10" s="319"/>
      <c r="AC10" s="319"/>
      <c r="AD10" s="316"/>
      <c r="AE10" s="320"/>
      <c r="AF10" s="320"/>
      <c r="AG10" s="316"/>
      <c r="AH10" s="321"/>
      <c r="AI10" s="316"/>
      <c r="AJ10" s="316"/>
      <c r="AK10" s="316"/>
      <c r="AL10" s="316"/>
      <c r="AM10" s="316"/>
      <c r="AN10" s="316"/>
      <c r="AO10" s="316"/>
      <c r="AP10" s="316"/>
      <c r="AQ10" s="319"/>
      <c r="AR10" s="319"/>
    </row>
    <row r="11" spans="1:44" hidden="1" x14ac:dyDescent="0.3">
      <c r="B11" s="294"/>
      <c r="C11" s="294"/>
      <c r="D11" s="294"/>
      <c r="E11" s="293"/>
      <c r="F11" s="294"/>
      <c r="G11" s="293"/>
      <c r="H11" s="293"/>
      <c r="I11" s="294"/>
      <c r="J11" s="293"/>
      <c r="K11" s="294"/>
      <c r="L11" s="294"/>
      <c r="M11" s="294"/>
      <c r="N11" s="294"/>
      <c r="O11" s="294"/>
      <c r="P11" s="296"/>
      <c r="Q11" s="294"/>
      <c r="R11" s="294"/>
      <c r="S11" s="293"/>
      <c r="T11" s="293"/>
      <c r="U11" s="297"/>
      <c r="V11" s="299"/>
      <c r="W11" s="299"/>
      <c r="X11" s="336"/>
      <c r="Y11" s="297"/>
      <c r="Z11" s="297"/>
      <c r="AA11" s="300"/>
      <c r="AB11" s="300"/>
      <c r="AC11" s="300"/>
      <c r="AD11" s="297"/>
      <c r="AE11" s="302"/>
      <c r="AF11" s="302"/>
      <c r="AG11" s="297"/>
      <c r="AH11" s="301"/>
      <c r="AI11" s="297"/>
      <c r="AJ11" s="297"/>
      <c r="AK11" s="297"/>
      <c r="AL11" s="297"/>
      <c r="AM11" s="297"/>
      <c r="AN11" s="297"/>
      <c r="AO11" s="297"/>
      <c r="AP11" s="297"/>
      <c r="AQ11" s="300"/>
      <c r="AR11" s="300"/>
    </row>
    <row r="12" spans="1:44" ht="16.8" hidden="1" x14ac:dyDescent="0.3">
      <c r="B12" s="282"/>
      <c r="C12" s="282"/>
      <c r="D12" s="247"/>
      <c r="E12" s="259"/>
      <c r="F12" s="247"/>
      <c r="H12" s="259"/>
      <c r="K12" s="247"/>
      <c r="L12" s="247"/>
      <c r="M12" s="247"/>
      <c r="N12" s="247"/>
      <c r="O12" s="247"/>
      <c r="P12" s="280"/>
      <c r="Q12" s="282"/>
      <c r="R12" s="247"/>
      <c r="S12" s="259"/>
      <c r="T12" s="259"/>
      <c r="U12" s="263"/>
      <c r="V12" s="262"/>
      <c r="X12" s="337"/>
      <c r="Y12" s="263"/>
      <c r="Z12" s="263"/>
      <c r="AA12" s="276"/>
      <c r="AB12" s="276"/>
      <c r="AC12" s="276"/>
      <c r="AE12" s="250"/>
      <c r="AF12" s="250"/>
      <c r="AG12" s="263"/>
      <c r="AH12" s="281"/>
      <c r="AI12" s="263"/>
      <c r="AJ12" s="263"/>
      <c r="AK12" s="263"/>
      <c r="AL12" s="263"/>
      <c r="AM12" s="263"/>
      <c r="AN12" s="263"/>
      <c r="AO12" s="263"/>
      <c r="AP12" s="263"/>
      <c r="AQ12" s="276"/>
      <c r="AR12" s="276"/>
    </row>
    <row r="13" spans="1:44" hidden="1" x14ac:dyDescent="0.3">
      <c r="B13" s="247"/>
      <c r="C13" s="247"/>
      <c r="D13" s="247"/>
      <c r="E13" s="259"/>
      <c r="F13" s="247"/>
      <c r="H13" s="259"/>
      <c r="K13" s="247"/>
      <c r="L13" s="247"/>
      <c r="M13" s="247"/>
      <c r="N13" s="247"/>
      <c r="O13" s="247"/>
      <c r="P13" s="280"/>
      <c r="Q13" s="247"/>
      <c r="R13" s="247"/>
      <c r="S13" s="259"/>
      <c r="T13" s="259"/>
      <c r="U13" s="263"/>
      <c r="V13" s="262"/>
      <c r="X13" s="337"/>
      <c r="Y13" s="263"/>
      <c r="Z13" s="263"/>
      <c r="AA13" s="276"/>
      <c r="AB13" s="276"/>
      <c r="AC13" s="276"/>
      <c r="AE13" s="250"/>
      <c r="AF13" s="250"/>
      <c r="AG13" s="263"/>
      <c r="AH13" s="281"/>
      <c r="AI13" s="263"/>
      <c r="AJ13" s="263"/>
      <c r="AK13" s="263"/>
      <c r="AL13" s="263"/>
      <c r="AM13" s="263"/>
      <c r="AN13" s="263"/>
      <c r="AO13" s="263"/>
      <c r="AP13" s="263"/>
      <c r="AQ13" s="276"/>
      <c r="AR13" s="276"/>
    </row>
    <row r="14" spans="1:44" hidden="1" x14ac:dyDescent="0.3">
      <c r="B14" s="247"/>
      <c r="C14" s="247"/>
      <c r="D14" s="247"/>
      <c r="E14" s="259"/>
      <c r="F14" s="247"/>
      <c r="H14" s="259"/>
      <c r="K14" s="247"/>
      <c r="L14" s="247"/>
      <c r="M14" s="247"/>
      <c r="N14" s="247"/>
      <c r="O14" s="247"/>
      <c r="P14" s="280"/>
      <c r="Q14" s="247"/>
      <c r="R14" s="247"/>
      <c r="S14" s="259"/>
      <c r="T14" s="259"/>
      <c r="U14" s="263"/>
      <c r="V14" s="262"/>
      <c r="X14" s="337"/>
      <c r="Y14" s="263"/>
      <c r="Z14" s="263"/>
      <c r="AA14" s="276"/>
      <c r="AB14" s="276"/>
      <c r="AC14" s="276"/>
      <c r="AE14" s="250"/>
      <c r="AF14" s="250"/>
      <c r="AG14" s="263"/>
      <c r="AH14" s="281"/>
      <c r="AI14" s="263"/>
      <c r="AJ14" s="263"/>
      <c r="AK14" s="263"/>
      <c r="AL14" s="263"/>
      <c r="AM14" s="263"/>
      <c r="AN14" s="263"/>
      <c r="AO14" s="263"/>
      <c r="AP14" s="263"/>
      <c r="AQ14" s="276"/>
      <c r="AR14" s="276"/>
    </row>
    <row r="15" spans="1:44" hidden="1" x14ac:dyDescent="0.3">
      <c r="B15" s="304"/>
      <c r="C15" s="304"/>
      <c r="D15" s="304"/>
      <c r="E15" s="305"/>
      <c r="F15" s="304"/>
      <c r="G15" s="305"/>
      <c r="H15" s="305"/>
      <c r="I15" s="304"/>
      <c r="J15" s="305"/>
      <c r="K15" s="304"/>
      <c r="L15" s="304"/>
      <c r="M15" s="304"/>
      <c r="N15" s="304"/>
      <c r="O15" s="304"/>
      <c r="P15" s="306"/>
      <c r="Q15" s="304"/>
      <c r="R15" s="322"/>
      <c r="S15" s="309"/>
      <c r="T15" s="305"/>
      <c r="U15" s="307"/>
      <c r="V15" s="308"/>
      <c r="W15" s="308"/>
      <c r="X15" s="338"/>
      <c r="Y15" s="307"/>
      <c r="Z15" s="307"/>
      <c r="AA15" s="309"/>
      <c r="AB15" s="309"/>
      <c r="AC15" s="309"/>
      <c r="AD15" s="307"/>
      <c r="AE15" s="310"/>
      <c r="AF15" s="310"/>
      <c r="AG15" s="307"/>
      <c r="AH15" s="311"/>
      <c r="AI15" s="307"/>
      <c r="AJ15" s="307"/>
      <c r="AK15" s="307"/>
      <c r="AL15" s="307"/>
      <c r="AM15" s="307"/>
      <c r="AN15" s="307"/>
      <c r="AO15" s="307"/>
      <c r="AP15" s="307"/>
      <c r="AQ15" s="309"/>
      <c r="AR15" s="309"/>
    </row>
    <row r="16" spans="1:44" hidden="1" x14ac:dyDescent="0.3">
      <c r="B16" s="313"/>
      <c r="C16" s="313"/>
      <c r="D16" s="313"/>
      <c r="E16" s="314"/>
      <c r="F16" s="313"/>
      <c r="G16" s="314"/>
      <c r="H16" s="314"/>
      <c r="I16" s="313"/>
      <c r="J16" s="314"/>
      <c r="K16" s="313"/>
      <c r="L16" s="313"/>
      <c r="M16" s="313"/>
      <c r="N16" s="313"/>
      <c r="O16" s="313"/>
      <c r="P16" s="315"/>
      <c r="Q16" s="313"/>
      <c r="R16" s="313"/>
      <c r="S16" s="319"/>
      <c r="T16" s="314"/>
      <c r="U16" s="316"/>
      <c r="V16" s="317"/>
      <c r="W16" s="317"/>
      <c r="X16" s="339"/>
      <c r="Y16" s="316"/>
      <c r="Z16" s="316"/>
      <c r="AA16" s="319"/>
      <c r="AB16" s="319"/>
      <c r="AC16" s="319"/>
      <c r="AD16" s="316"/>
      <c r="AE16" s="320"/>
      <c r="AF16" s="320"/>
      <c r="AG16" s="316"/>
      <c r="AH16" s="321"/>
      <c r="AI16" s="316"/>
      <c r="AJ16" s="316"/>
      <c r="AK16" s="316"/>
      <c r="AL16" s="316"/>
      <c r="AM16" s="316"/>
      <c r="AN16" s="316"/>
      <c r="AO16" s="316"/>
      <c r="AP16" s="316"/>
      <c r="AQ16" s="319"/>
      <c r="AR16" s="319"/>
    </row>
    <row r="17" spans="2:44" hidden="1" x14ac:dyDescent="0.3">
      <c r="B17" s="313"/>
      <c r="C17" s="313"/>
      <c r="D17" s="313"/>
      <c r="E17" s="314"/>
      <c r="F17" s="313"/>
      <c r="G17" s="314"/>
      <c r="H17" s="314"/>
      <c r="I17" s="313"/>
      <c r="J17" s="314"/>
      <c r="K17" s="313"/>
      <c r="L17" s="313"/>
      <c r="M17" s="313"/>
      <c r="N17" s="313"/>
      <c r="O17" s="313"/>
      <c r="P17" s="315"/>
      <c r="Q17" s="313"/>
      <c r="R17" s="313"/>
      <c r="S17" s="319"/>
      <c r="T17" s="314"/>
      <c r="U17" s="316"/>
      <c r="V17" s="317"/>
      <c r="W17" s="317"/>
      <c r="X17" s="339"/>
      <c r="Y17" s="316"/>
      <c r="Z17" s="316"/>
      <c r="AA17" s="319"/>
      <c r="AB17" s="319"/>
      <c r="AC17" s="319"/>
      <c r="AD17" s="316"/>
      <c r="AE17" s="320"/>
      <c r="AF17" s="320"/>
      <c r="AG17" s="316"/>
      <c r="AH17" s="321"/>
      <c r="AI17" s="316"/>
      <c r="AJ17" s="316"/>
      <c r="AK17" s="316"/>
      <c r="AL17" s="316"/>
      <c r="AM17" s="316"/>
      <c r="AN17" s="316"/>
      <c r="AO17" s="316"/>
      <c r="AP17" s="316"/>
      <c r="AQ17" s="319"/>
      <c r="AR17" s="319"/>
    </row>
    <row r="18" spans="2:44" hidden="1" x14ac:dyDescent="0.3">
      <c r="B18" s="294"/>
      <c r="C18" s="294"/>
      <c r="D18" s="294"/>
      <c r="E18" s="293"/>
      <c r="F18" s="294"/>
      <c r="G18" s="293"/>
      <c r="H18" s="293"/>
      <c r="I18" s="294"/>
      <c r="J18" s="293"/>
      <c r="K18" s="294"/>
      <c r="L18" s="294"/>
      <c r="M18" s="294"/>
      <c r="N18" s="294"/>
      <c r="O18" s="294"/>
      <c r="P18" s="296"/>
      <c r="Q18" s="294"/>
      <c r="R18" s="302"/>
      <c r="S18" s="300"/>
      <c r="T18" s="298"/>
      <c r="U18" s="297"/>
      <c r="V18" s="299"/>
      <c r="W18" s="299"/>
      <c r="X18" s="336"/>
      <c r="Y18" s="297"/>
      <c r="Z18" s="297"/>
      <c r="AA18" s="300"/>
      <c r="AB18" s="300"/>
      <c r="AC18" s="300"/>
      <c r="AD18" s="297"/>
      <c r="AE18" s="295"/>
      <c r="AF18" s="295"/>
      <c r="AG18" s="297"/>
      <c r="AH18" s="301"/>
      <c r="AI18" s="297"/>
      <c r="AJ18" s="297"/>
      <c r="AK18" s="297"/>
      <c r="AL18" s="297"/>
      <c r="AM18" s="297"/>
      <c r="AN18" s="297"/>
      <c r="AO18" s="297"/>
      <c r="AP18" s="297"/>
      <c r="AQ18" s="300"/>
      <c r="AR18" s="300"/>
    </row>
    <row r="19" spans="2:44" ht="16.8" hidden="1" x14ac:dyDescent="0.3">
      <c r="B19" s="282"/>
      <c r="C19" s="282"/>
      <c r="D19" s="247"/>
      <c r="E19" s="259"/>
      <c r="F19" s="247"/>
      <c r="H19" s="259"/>
      <c r="K19" s="247"/>
      <c r="L19" s="247"/>
      <c r="M19" s="247"/>
      <c r="N19" s="247"/>
      <c r="O19" s="247"/>
      <c r="P19" s="280"/>
      <c r="Q19" s="282"/>
      <c r="R19" s="250"/>
      <c r="S19" s="259"/>
      <c r="T19" s="259"/>
      <c r="U19" s="263"/>
      <c r="V19" s="262"/>
      <c r="X19" s="337"/>
      <c r="Y19" s="263"/>
      <c r="Z19" s="263"/>
      <c r="AA19" s="276"/>
      <c r="AB19" s="276"/>
      <c r="AC19" s="276"/>
      <c r="AE19" s="249"/>
      <c r="AF19" s="249"/>
      <c r="AG19" s="263"/>
      <c r="AH19" s="281"/>
      <c r="AI19" s="263"/>
      <c r="AJ19" s="263"/>
      <c r="AK19" s="263"/>
      <c r="AL19" s="263"/>
      <c r="AM19" s="263"/>
      <c r="AN19" s="263"/>
      <c r="AO19" s="263"/>
      <c r="AP19" s="263"/>
      <c r="AQ19" s="276"/>
      <c r="AR19" s="276"/>
    </row>
    <row r="20" spans="2:44" hidden="1" x14ac:dyDescent="0.3">
      <c r="B20" s="304"/>
      <c r="C20" s="304"/>
      <c r="D20" s="304"/>
      <c r="E20" s="305"/>
      <c r="F20" s="304"/>
      <c r="G20" s="305"/>
      <c r="H20" s="305"/>
      <c r="I20" s="304"/>
      <c r="J20" s="305"/>
      <c r="K20" s="304"/>
      <c r="L20" s="304"/>
      <c r="M20" s="304"/>
      <c r="N20" s="304"/>
      <c r="O20" s="304"/>
      <c r="P20" s="306"/>
      <c r="Q20" s="304"/>
      <c r="R20" s="323"/>
      <c r="S20" s="305"/>
      <c r="T20" s="305"/>
      <c r="U20" s="307"/>
      <c r="V20" s="308"/>
      <c r="W20" s="308"/>
      <c r="X20" s="338"/>
      <c r="Y20" s="307"/>
      <c r="Z20" s="307"/>
      <c r="AA20" s="309"/>
      <c r="AB20" s="309"/>
      <c r="AC20" s="309"/>
      <c r="AD20" s="307"/>
      <c r="AE20" s="323"/>
      <c r="AF20" s="323"/>
      <c r="AG20" s="307"/>
      <c r="AH20" s="311"/>
      <c r="AI20" s="307"/>
      <c r="AJ20" s="307"/>
      <c r="AK20" s="307"/>
      <c r="AL20" s="307"/>
      <c r="AM20" s="307"/>
      <c r="AN20" s="307"/>
      <c r="AO20" s="307"/>
      <c r="AP20" s="307"/>
      <c r="AQ20" s="309"/>
      <c r="AR20" s="309"/>
    </row>
    <row r="21" spans="2:44" hidden="1" x14ac:dyDescent="0.3">
      <c r="B21" s="313"/>
      <c r="C21" s="313"/>
      <c r="D21" s="313"/>
      <c r="E21" s="314"/>
      <c r="F21" s="313"/>
      <c r="G21" s="314"/>
      <c r="H21" s="314"/>
      <c r="I21" s="313"/>
      <c r="J21" s="314"/>
      <c r="K21" s="313"/>
      <c r="L21" s="313"/>
      <c r="M21" s="313"/>
      <c r="N21" s="313"/>
      <c r="O21" s="313"/>
      <c r="P21" s="315"/>
      <c r="Q21" s="313"/>
      <c r="R21" s="324"/>
      <c r="S21" s="314"/>
      <c r="T21" s="314"/>
      <c r="U21" s="316"/>
      <c r="V21" s="317"/>
      <c r="W21" s="317"/>
      <c r="X21" s="339"/>
      <c r="Y21" s="316"/>
      <c r="Z21" s="316"/>
      <c r="AA21" s="319"/>
      <c r="AB21" s="319"/>
      <c r="AC21" s="319"/>
      <c r="AD21" s="316"/>
      <c r="AE21" s="324"/>
      <c r="AF21" s="324"/>
      <c r="AG21" s="318"/>
      <c r="AH21" s="321"/>
      <c r="AI21" s="318"/>
      <c r="AJ21" s="318"/>
      <c r="AK21" s="318"/>
      <c r="AL21" s="318"/>
      <c r="AM21" s="318"/>
      <c r="AN21" s="318"/>
      <c r="AO21" s="318"/>
      <c r="AP21" s="318"/>
      <c r="AQ21" s="325"/>
      <c r="AR21" s="325"/>
    </row>
    <row r="22" spans="2:44" hidden="1" x14ac:dyDescent="0.3">
      <c r="B22" s="313"/>
      <c r="C22" s="313"/>
      <c r="D22" s="313"/>
      <c r="E22" s="314"/>
      <c r="F22" s="313"/>
      <c r="G22" s="314"/>
      <c r="H22" s="314"/>
      <c r="I22" s="313"/>
      <c r="J22" s="314"/>
      <c r="K22" s="313"/>
      <c r="L22" s="313"/>
      <c r="M22" s="313"/>
      <c r="N22" s="313"/>
      <c r="O22" s="313"/>
      <c r="P22" s="315"/>
      <c r="Q22" s="313"/>
      <c r="R22" s="324"/>
      <c r="S22" s="314"/>
      <c r="T22" s="314"/>
      <c r="U22" s="316"/>
      <c r="V22" s="317"/>
      <c r="W22" s="317"/>
      <c r="X22" s="339"/>
      <c r="Y22" s="316"/>
      <c r="Z22" s="316"/>
      <c r="AA22" s="319"/>
      <c r="AB22" s="319"/>
      <c r="AC22" s="319"/>
      <c r="AD22" s="316"/>
      <c r="AE22" s="324"/>
      <c r="AF22" s="324"/>
      <c r="AG22" s="318"/>
      <c r="AH22" s="321"/>
      <c r="AI22" s="318"/>
      <c r="AJ22" s="318"/>
      <c r="AK22" s="318"/>
      <c r="AL22" s="318"/>
      <c r="AM22" s="318"/>
      <c r="AN22" s="318"/>
      <c r="AO22" s="318"/>
      <c r="AP22" s="318"/>
      <c r="AQ22" s="325"/>
      <c r="AR22" s="325"/>
    </row>
    <row r="23" spans="2:44" hidden="1" x14ac:dyDescent="0.3">
      <c r="B23" s="294"/>
      <c r="C23" s="294"/>
      <c r="D23" s="294"/>
      <c r="E23" s="293"/>
      <c r="F23" s="294"/>
      <c r="G23" s="293"/>
      <c r="H23" s="293"/>
      <c r="I23" s="294"/>
      <c r="J23" s="293"/>
      <c r="K23" s="294"/>
      <c r="L23" s="294"/>
      <c r="M23" s="294"/>
      <c r="N23" s="294"/>
      <c r="O23" s="294"/>
      <c r="P23" s="296"/>
      <c r="Q23" s="294"/>
      <c r="R23" s="295"/>
      <c r="S23" s="293"/>
      <c r="T23" s="293"/>
      <c r="U23" s="297"/>
      <c r="V23" s="299"/>
      <c r="W23" s="299"/>
      <c r="X23" s="336"/>
      <c r="Y23" s="297"/>
      <c r="Z23" s="297"/>
      <c r="AA23" s="300"/>
      <c r="AB23" s="300"/>
      <c r="AC23" s="300"/>
      <c r="AD23" s="297"/>
      <c r="AE23" s="295"/>
      <c r="AF23" s="294"/>
      <c r="AG23" s="297"/>
      <c r="AH23" s="301"/>
      <c r="AI23" s="297"/>
      <c r="AJ23" s="297"/>
      <c r="AK23" s="297"/>
      <c r="AL23" s="297"/>
      <c r="AM23" s="297"/>
      <c r="AN23" s="297"/>
      <c r="AO23" s="297"/>
      <c r="AP23" s="297"/>
      <c r="AQ23" s="300"/>
      <c r="AR23" s="300"/>
    </row>
    <row r="24" spans="2:44" hidden="1" x14ac:dyDescent="0.3">
      <c r="B24" s="247"/>
      <c r="C24" s="247"/>
      <c r="D24" s="247"/>
      <c r="E24" s="259"/>
      <c r="F24" s="247"/>
      <c r="H24" s="259"/>
      <c r="K24" s="247"/>
      <c r="L24" s="247"/>
      <c r="M24" s="247"/>
      <c r="N24" s="247"/>
      <c r="O24" s="247"/>
      <c r="P24" s="280"/>
      <c r="Q24" s="247"/>
      <c r="R24" s="249"/>
      <c r="S24" s="259"/>
      <c r="T24" s="259"/>
      <c r="U24" s="263"/>
      <c r="V24" s="262"/>
      <c r="X24" s="337"/>
      <c r="Y24" s="263"/>
      <c r="Z24" s="263"/>
      <c r="AA24" s="276"/>
      <c r="AB24" s="276"/>
      <c r="AC24" s="276"/>
      <c r="AE24" s="249"/>
      <c r="AG24" s="263"/>
      <c r="AH24" s="281"/>
      <c r="AI24" s="263"/>
      <c r="AJ24" s="263"/>
      <c r="AK24" s="263"/>
      <c r="AL24" s="263"/>
      <c r="AM24" s="263"/>
      <c r="AN24" s="263"/>
      <c r="AO24" s="263"/>
      <c r="AP24" s="263"/>
      <c r="AQ24" s="276"/>
      <c r="AR24" s="276"/>
    </row>
    <row r="25" spans="2:44" hidden="1" x14ac:dyDescent="0.3">
      <c r="B25" s="247"/>
      <c r="C25" s="247"/>
      <c r="D25" s="247"/>
      <c r="E25" s="259"/>
      <c r="F25" s="247"/>
      <c r="H25" s="259"/>
      <c r="K25" s="247"/>
      <c r="L25" s="247"/>
      <c r="M25" s="247"/>
      <c r="N25" s="247"/>
      <c r="O25" s="247"/>
      <c r="P25" s="280"/>
      <c r="Q25" s="247"/>
      <c r="R25" s="249"/>
      <c r="S25" s="259"/>
      <c r="T25" s="259"/>
      <c r="U25" s="263"/>
      <c r="V25" s="262"/>
      <c r="X25" s="337"/>
      <c r="Y25" s="263"/>
      <c r="Z25" s="263"/>
      <c r="AA25" s="276"/>
      <c r="AB25" s="276"/>
      <c r="AC25" s="276"/>
      <c r="AE25" s="249"/>
      <c r="AG25" s="263"/>
      <c r="AH25" s="281"/>
      <c r="AI25" s="263"/>
      <c r="AJ25" s="263"/>
      <c r="AK25" s="263"/>
      <c r="AL25" s="263"/>
      <c r="AM25" s="263"/>
      <c r="AN25" s="263"/>
      <c r="AO25" s="263"/>
      <c r="AP25" s="263"/>
      <c r="AQ25" s="276"/>
      <c r="AR25" s="276"/>
    </row>
    <row r="26" spans="2:44" hidden="1" x14ac:dyDescent="0.3">
      <c r="B26" s="247"/>
      <c r="C26" s="247"/>
      <c r="D26" s="247"/>
      <c r="E26" s="259"/>
      <c r="F26" s="247"/>
      <c r="H26" s="259"/>
      <c r="K26" s="247"/>
      <c r="L26" s="247"/>
      <c r="M26" s="247"/>
      <c r="N26" s="247"/>
      <c r="O26" s="247"/>
      <c r="P26" s="280"/>
      <c r="Q26" s="247"/>
      <c r="R26" s="249"/>
      <c r="S26" s="259"/>
      <c r="T26" s="259"/>
      <c r="U26" s="263"/>
      <c r="V26" s="262"/>
      <c r="X26" s="337"/>
      <c r="Y26" s="263"/>
      <c r="Z26" s="263"/>
      <c r="AA26" s="276"/>
      <c r="AB26" s="276"/>
      <c r="AC26" s="276"/>
      <c r="AE26" s="249"/>
      <c r="AG26" s="263"/>
      <c r="AH26" s="281"/>
      <c r="AI26" s="263"/>
      <c r="AJ26" s="263"/>
      <c r="AK26" s="263"/>
      <c r="AL26" s="263"/>
      <c r="AM26" s="263"/>
      <c r="AN26" s="263"/>
      <c r="AO26" s="263"/>
      <c r="AP26" s="263"/>
      <c r="AQ26" s="276"/>
      <c r="AR26" s="276"/>
    </row>
    <row r="27" spans="2:44" hidden="1" x14ac:dyDescent="0.3">
      <c r="B27" s="247"/>
      <c r="C27" s="247"/>
      <c r="D27" s="247"/>
      <c r="E27" s="259"/>
      <c r="F27" s="247"/>
      <c r="H27" s="259"/>
      <c r="K27" s="247"/>
      <c r="L27" s="247"/>
      <c r="M27" s="247"/>
      <c r="N27" s="247"/>
      <c r="O27" s="247"/>
      <c r="P27" s="280"/>
      <c r="Q27" s="247"/>
      <c r="R27" s="249"/>
      <c r="S27" s="259"/>
      <c r="T27" s="259"/>
      <c r="U27" s="263"/>
      <c r="V27" s="262"/>
      <c r="X27" s="337"/>
      <c r="Y27" s="263"/>
      <c r="Z27" s="263"/>
      <c r="AA27" s="276"/>
      <c r="AB27" s="276"/>
      <c r="AC27" s="276"/>
      <c r="AE27" s="249"/>
      <c r="AG27" s="263"/>
      <c r="AH27" s="281"/>
      <c r="AI27" s="263"/>
      <c r="AJ27" s="263"/>
      <c r="AK27" s="263"/>
      <c r="AL27" s="263"/>
      <c r="AM27" s="263"/>
      <c r="AN27" s="263"/>
      <c r="AO27" s="263"/>
      <c r="AP27" s="263"/>
      <c r="AQ27" s="276"/>
      <c r="AR27" s="276"/>
    </row>
    <row r="28" spans="2:44" hidden="1" x14ac:dyDescent="0.3">
      <c r="B28" s="304"/>
      <c r="C28" s="304"/>
      <c r="D28" s="304"/>
      <c r="E28" s="305"/>
      <c r="F28" s="304"/>
      <c r="G28" s="305"/>
      <c r="H28" s="305"/>
      <c r="I28" s="304"/>
      <c r="J28" s="305"/>
      <c r="K28" s="304"/>
      <c r="L28" s="304"/>
      <c r="M28" s="304"/>
      <c r="N28" s="304"/>
      <c r="O28" s="304"/>
      <c r="P28" s="306"/>
      <c r="Q28" s="304"/>
      <c r="R28" s="323"/>
      <c r="S28" s="326"/>
      <c r="T28" s="305"/>
      <c r="U28" s="307"/>
      <c r="V28" s="308"/>
      <c r="W28" s="308"/>
      <c r="X28" s="338"/>
      <c r="Y28" s="307"/>
      <c r="Z28" s="307"/>
      <c r="AA28" s="309"/>
      <c r="AB28" s="309"/>
      <c r="AC28" s="309"/>
      <c r="AD28" s="307"/>
      <c r="AE28" s="323"/>
      <c r="AF28" s="323"/>
      <c r="AG28" s="307"/>
      <c r="AH28" s="311"/>
      <c r="AI28" s="307"/>
      <c r="AJ28" s="307"/>
      <c r="AK28" s="307"/>
      <c r="AL28" s="307"/>
      <c r="AM28" s="307"/>
      <c r="AN28" s="307"/>
      <c r="AO28" s="307"/>
      <c r="AP28" s="307"/>
      <c r="AQ28" s="309"/>
      <c r="AR28" s="309"/>
    </row>
    <row r="29" spans="2:44" hidden="1" x14ac:dyDescent="0.3">
      <c r="B29" s="313"/>
      <c r="C29" s="313"/>
      <c r="D29" s="313"/>
      <c r="E29" s="314"/>
      <c r="F29" s="313"/>
      <c r="G29" s="314"/>
      <c r="H29" s="314"/>
      <c r="I29" s="313"/>
      <c r="J29" s="314"/>
      <c r="K29" s="313"/>
      <c r="L29" s="313"/>
      <c r="M29" s="313"/>
      <c r="N29" s="313"/>
      <c r="O29" s="313"/>
      <c r="P29" s="315"/>
      <c r="Q29" s="313"/>
      <c r="R29" s="324"/>
      <c r="S29" s="314"/>
      <c r="T29" s="314"/>
      <c r="U29" s="316"/>
      <c r="V29" s="317"/>
      <c r="W29" s="317"/>
      <c r="X29" s="339"/>
      <c r="Y29" s="316"/>
      <c r="Z29" s="316"/>
      <c r="AA29" s="319"/>
      <c r="AB29" s="319"/>
      <c r="AC29" s="319"/>
      <c r="AD29" s="316"/>
      <c r="AE29" s="324"/>
      <c r="AF29" s="324"/>
      <c r="AG29" s="318"/>
      <c r="AH29" s="321"/>
      <c r="AI29" s="318"/>
      <c r="AJ29" s="318"/>
      <c r="AK29" s="318"/>
      <c r="AL29" s="318"/>
      <c r="AM29" s="318"/>
      <c r="AN29" s="318"/>
      <c r="AO29" s="318"/>
      <c r="AP29" s="318"/>
      <c r="AQ29" s="325"/>
      <c r="AR29" s="325"/>
    </row>
    <row r="30" spans="2:44" hidden="1" x14ac:dyDescent="0.3">
      <c r="B30" s="313"/>
      <c r="C30" s="313"/>
      <c r="D30" s="313"/>
      <c r="E30" s="314"/>
      <c r="F30" s="313"/>
      <c r="G30" s="314"/>
      <c r="H30" s="314"/>
      <c r="I30" s="313"/>
      <c r="J30" s="314"/>
      <c r="K30" s="313"/>
      <c r="L30" s="313"/>
      <c r="M30" s="313"/>
      <c r="N30" s="313"/>
      <c r="O30" s="313"/>
      <c r="P30" s="315"/>
      <c r="Q30" s="313"/>
      <c r="R30" s="324"/>
      <c r="S30" s="314"/>
      <c r="T30" s="314"/>
      <c r="U30" s="316"/>
      <c r="V30" s="317"/>
      <c r="W30" s="317"/>
      <c r="X30" s="339"/>
      <c r="Y30" s="316"/>
      <c r="Z30" s="316"/>
      <c r="AA30" s="319"/>
      <c r="AB30" s="319"/>
      <c r="AC30" s="319"/>
      <c r="AD30" s="316"/>
      <c r="AE30" s="324"/>
      <c r="AF30" s="324"/>
      <c r="AG30" s="318"/>
      <c r="AH30" s="321"/>
      <c r="AI30" s="318"/>
      <c r="AJ30" s="318"/>
      <c r="AK30" s="318"/>
      <c r="AL30" s="318"/>
      <c r="AM30" s="318"/>
      <c r="AN30" s="318"/>
      <c r="AO30" s="318"/>
      <c r="AP30" s="318"/>
      <c r="AQ30" s="325"/>
      <c r="AR30" s="325"/>
    </row>
    <row r="31" spans="2:44" hidden="1" x14ac:dyDescent="0.3">
      <c r="B31" s="294"/>
      <c r="C31" s="294"/>
      <c r="D31" s="294"/>
      <c r="E31" s="293"/>
      <c r="F31" s="294"/>
      <c r="G31" s="293"/>
      <c r="H31" s="293"/>
      <c r="I31" s="294"/>
      <c r="J31" s="293"/>
      <c r="K31" s="294"/>
      <c r="L31" s="294"/>
      <c r="M31" s="294"/>
      <c r="N31" s="294"/>
      <c r="O31" s="294"/>
      <c r="P31" s="296"/>
      <c r="Q31" s="294"/>
      <c r="R31" s="295"/>
      <c r="S31" s="297"/>
      <c r="T31" s="293"/>
      <c r="U31" s="297"/>
      <c r="V31" s="299"/>
      <c r="W31" s="299"/>
      <c r="X31" s="336"/>
      <c r="Y31" s="297"/>
      <c r="Z31" s="297"/>
      <c r="AA31" s="300"/>
      <c r="AB31" s="300"/>
      <c r="AC31" s="300"/>
      <c r="AD31" s="297"/>
      <c r="AE31" s="295"/>
      <c r="AF31" s="295"/>
      <c r="AG31" s="297"/>
      <c r="AH31" s="301"/>
      <c r="AI31" s="297"/>
      <c r="AJ31" s="297"/>
      <c r="AK31" s="297"/>
      <c r="AL31" s="297"/>
      <c r="AM31" s="297"/>
      <c r="AN31" s="297"/>
      <c r="AO31" s="297"/>
      <c r="AP31" s="297"/>
      <c r="AQ31" s="300"/>
      <c r="AR31" s="300"/>
    </row>
    <row r="32" spans="2:44" hidden="1" x14ac:dyDescent="0.3">
      <c r="B32" s="247"/>
      <c r="C32" s="247"/>
      <c r="D32" s="247"/>
      <c r="E32" s="259"/>
      <c r="F32" s="247"/>
      <c r="H32" s="259"/>
      <c r="K32" s="247"/>
      <c r="L32" s="247"/>
      <c r="M32" s="247"/>
      <c r="N32" s="247"/>
      <c r="O32" s="247"/>
      <c r="P32" s="280"/>
      <c r="Q32" s="247"/>
      <c r="R32" s="249"/>
      <c r="S32" s="259"/>
      <c r="T32" s="259"/>
      <c r="U32" s="263"/>
      <c r="V32" s="262"/>
      <c r="X32" s="337"/>
      <c r="Y32" s="263"/>
      <c r="Z32" s="263"/>
      <c r="AA32" s="276"/>
      <c r="AB32" s="276"/>
      <c r="AC32" s="276"/>
      <c r="AE32" s="249"/>
      <c r="AF32" s="249"/>
      <c r="AG32" s="263"/>
      <c r="AH32" s="281"/>
      <c r="AI32" s="263"/>
      <c r="AJ32" s="263"/>
      <c r="AK32" s="263"/>
      <c r="AL32" s="263"/>
      <c r="AM32" s="263"/>
      <c r="AN32" s="263"/>
      <c r="AO32" s="263"/>
      <c r="AP32" s="263"/>
      <c r="AQ32" s="276"/>
      <c r="AR32" s="276"/>
    </row>
    <row r="33" spans="2:44" hidden="1" x14ac:dyDescent="0.3">
      <c r="B33" s="247"/>
      <c r="C33" s="247"/>
      <c r="D33" s="247"/>
      <c r="E33" s="259"/>
      <c r="F33" s="247"/>
      <c r="H33" s="259"/>
      <c r="K33" s="247"/>
      <c r="L33" s="247"/>
      <c r="M33" s="247"/>
      <c r="N33" s="247"/>
      <c r="O33" s="247"/>
      <c r="P33" s="280"/>
      <c r="Q33" s="247"/>
      <c r="R33" s="249"/>
      <c r="S33" s="263"/>
      <c r="T33" s="259"/>
      <c r="U33" s="263"/>
      <c r="V33" s="262"/>
      <c r="X33" s="337"/>
      <c r="Y33" s="263"/>
      <c r="Z33" s="263"/>
      <c r="AA33" s="276"/>
      <c r="AB33" s="276"/>
      <c r="AC33" s="276"/>
      <c r="AE33" s="249"/>
      <c r="AF33" s="249"/>
      <c r="AG33" s="263"/>
      <c r="AH33" s="281"/>
      <c r="AI33" s="263"/>
      <c r="AJ33" s="263"/>
      <c r="AK33" s="263"/>
      <c r="AL33" s="263"/>
      <c r="AM33" s="263"/>
      <c r="AN33" s="263"/>
      <c r="AO33" s="263"/>
      <c r="AP33" s="263"/>
      <c r="AQ33" s="276"/>
      <c r="AR33" s="276"/>
    </row>
    <row r="34" spans="2:44" hidden="1" x14ac:dyDescent="0.3">
      <c r="B34" s="247"/>
      <c r="C34" s="247"/>
      <c r="D34" s="247"/>
      <c r="E34" s="259"/>
      <c r="F34" s="247"/>
      <c r="H34" s="259"/>
      <c r="K34" s="247"/>
      <c r="L34" s="247"/>
      <c r="M34" s="247"/>
      <c r="N34" s="247"/>
      <c r="O34" s="247"/>
      <c r="P34" s="280"/>
      <c r="Q34" s="247"/>
      <c r="R34" s="249"/>
      <c r="S34" s="259"/>
      <c r="T34" s="259"/>
      <c r="U34" s="263"/>
      <c r="V34" s="262"/>
      <c r="X34" s="337"/>
      <c r="Y34" s="263"/>
      <c r="Z34" s="263"/>
      <c r="AA34" s="276"/>
      <c r="AB34" s="276"/>
      <c r="AC34" s="276"/>
      <c r="AE34" s="249"/>
      <c r="AF34" s="249"/>
      <c r="AG34" s="263"/>
      <c r="AH34" s="281"/>
      <c r="AI34" s="263"/>
      <c r="AJ34" s="263"/>
      <c r="AK34" s="263"/>
      <c r="AL34" s="263"/>
      <c r="AM34" s="263"/>
      <c r="AN34" s="263"/>
      <c r="AO34" s="263"/>
      <c r="AP34" s="263"/>
      <c r="AQ34" s="276"/>
      <c r="AR34" s="276"/>
    </row>
    <row r="35" spans="2:44" hidden="1" x14ac:dyDescent="0.3">
      <c r="B35" s="247"/>
      <c r="C35" s="247"/>
      <c r="D35" s="247"/>
      <c r="E35" s="259"/>
      <c r="F35" s="247"/>
      <c r="H35" s="259"/>
      <c r="K35" s="247"/>
      <c r="L35" s="247"/>
      <c r="M35" s="247"/>
      <c r="N35" s="247"/>
      <c r="O35" s="247"/>
      <c r="P35" s="280"/>
      <c r="Q35" s="247"/>
      <c r="R35" s="249"/>
      <c r="S35" s="263"/>
      <c r="T35" s="259"/>
      <c r="U35" s="263"/>
      <c r="V35" s="262"/>
      <c r="X35" s="337"/>
      <c r="Y35" s="263"/>
      <c r="Z35" s="263"/>
      <c r="AA35" s="276"/>
      <c r="AB35" s="276"/>
      <c r="AC35" s="276"/>
      <c r="AE35" s="249"/>
      <c r="AF35" s="249"/>
      <c r="AG35" s="263"/>
      <c r="AH35" s="281"/>
      <c r="AI35" s="263"/>
      <c r="AJ35" s="263"/>
      <c r="AK35" s="263"/>
      <c r="AL35" s="263"/>
      <c r="AM35" s="263"/>
      <c r="AN35" s="263"/>
      <c r="AO35" s="263"/>
      <c r="AP35" s="263"/>
      <c r="AQ35" s="276"/>
      <c r="AR35" s="276"/>
    </row>
    <row r="36" spans="2:44" hidden="1" x14ac:dyDescent="0.3">
      <c r="B36" s="247"/>
      <c r="C36" s="247"/>
      <c r="D36" s="247"/>
      <c r="E36" s="259"/>
      <c r="F36" s="247"/>
      <c r="H36" s="259"/>
      <c r="K36" s="247"/>
      <c r="L36" s="247"/>
      <c r="M36" s="247"/>
      <c r="N36" s="247"/>
      <c r="O36" s="247"/>
      <c r="P36" s="280"/>
      <c r="Q36" s="247"/>
      <c r="R36" s="249"/>
      <c r="S36" s="259"/>
      <c r="T36" s="259"/>
      <c r="U36" s="263"/>
      <c r="V36" s="262"/>
      <c r="X36" s="337"/>
      <c r="Y36" s="263"/>
      <c r="Z36" s="263"/>
      <c r="AA36" s="276"/>
      <c r="AB36" s="276"/>
      <c r="AC36" s="276"/>
      <c r="AE36" s="249"/>
      <c r="AF36" s="249"/>
      <c r="AG36" s="263"/>
      <c r="AH36" s="281"/>
      <c r="AI36" s="263"/>
      <c r="AJ36" s="263"/>
      <c r="AK36" s="263"/>
      <c r="AL36" s="263"/>
      <c r="AM36" s="263"/>
      <c r="AN36" s="263"/>
      <c r="AO36" s="263"/>
      <c r="AP36" s="263"/>
      <c r="AQ36" s="276"/>
      <c r="AR36" s="276"/>
    </row>
    <row r="37" spans="2:44" hidden="1" x14ac:dyDescent="0.3">
      <c r="B37" s="304"/>
      <c r="C37" s="304"/>
      <c r="D37" s="304"/>
      <c r="E37" s="305"/>
      <c r="F37" s="304"/>
      <c r="G37" s="305"/>
      <c r="H37" s="305"/>
      <c r="I37" s="304"/>
      <c r="J37" s="305"/>
      <c r="K37" s="304"/>
      <c r="L37" s="304"/>
      <c r="M37" s="304"/>
      <c r="N37" s="304"/>
      <c r="O37" s="304"/>
      <c r="P37" s="306"/>
      <c r="Q37" s="304"/>
      <c r="R37" s="323"/>
      <c r="S37" s="307"/>
      <c r="T37" s="326"/>
      <c r="U37" s="307"/>
      <c r="V37" s="308"/>
      <c r="W37" s="308"/>
      <c r="X37" s="338"/>
      <c r="Y37" s="307"/>
      <c r="Z37" s="307"/>
      <c r="AA37" s="309"/>
      <c r="AB37" s="309"/>
      <c r="AC37" s="309"/>
      <c r="AD37" s="307"/>
      <c r="AE37" s="323"/>
      <c r="AF37" s="323"/>
      <c r="AG37" s="307"/>
      <c r="AH37" s="311"/>
      <c r="AI37" s="307"/>
      <c r="AJ37" s="307"/>
      <c r="AK37" s="307"/>
      <c r="AL37" s="307"/>
      <c r="AM37" s="307"/>
      <c r="AN37" s="307"/>
      <c r="AO37" s="307"/>
      <c r="AP37" s="307"/>
      <c r="AQ37" s="309"/>
      <c r="AR37" s="309"/>
    </row>
    <row r="38" spans="2:44" hidden="1" x14ac:dyDescent="0.3">
      <c r="B38" s="327"/>
      <c r="C38" s="327"/>
      <c r="D38" s="327"/>
      <c r="E38" s="328"/>
      <c r="F38" s="327"/>
      <c r="G38" s="328"/>
      <c r="H38" s="328"/>
      <c r="I38" s="327"/>
      <c r="J38" s="328"/>
      <c r="K38" s="327"/>
      <c r="L38" s="327"/>
      <c r="M38" s="327"/>
      <c r="N38" s="327"/>
      <c r="O38" s="327"/>
      <c r="P38" s="330"/>
      <c r="Q38" s="327"/>
      <c r="R38" s="329"/>
      <c r="S38" s="328"/>
      <c r="T38" s="328"/>
      <c r="U38" s="331"/>
      <c r="V38" s="332"/>
      <c r="W38" s="332"/>
      <c r="X38" s="340"/>
      <c r="Y38" s="331"/>
      <c r="Z38" s="331"/>
      <c r="AA38" s="333"/>
      <c r="AB38" s="333"/>
      <c r="AC38" s="333"/>
      <c r="AD38" s="331"/>
      <c r="AE38" s="329"/>
      <c r="AF38" s="329"/>
      <c r="AG38" s="331"/>
      <c r="AH38" s="334"/>
      <c r="AI38" s="331"/>
      <c r="AJ38" s="331"/>
      <c r="AK38" s="331"/>
      <c r="AL38" s="331"/>
      <c r="AM38" s="331"/>
      <c r="AN38" s="331"/>
      <c r="AO38" s="331"/>
      <c r="AP38" s="331"/>
      <c r="AQ38" s="333"/>
      <c r="AR38" s="333"/>
    </row>
    <row r="39" spans="2:44" hidden="1" x14ac:dyDescent="0.3">
      <c r="B39" s="294"/>
      <c r="C39" s="294"/>
      <c r="D39" s="294"/>
      <c r="E39" s="293"/>
      <c r="F39" s="294"/>
      <c r="G39" s="293"/>
      <c r="H39" s="293"/>
      <c r="I39" s="294"/>
      <c r="J39" s="293"/>
      <c r="K39" s="294"/>
      <c r="L39" s="294"/>
      <c r="M39" s="294"/>
      <c r="N39" s="294"/>
      <c r="O39" s="294"/>
      <c r="P39" s="296"/>
      <c r="Q39" s="294"/>
      <c r="R39" s="295"/>
      <c r="S39" s="297"/>
      <c r="T39" s="298"/>
      <c r="U39" s="297"/>
      <c r="V39" s="299"/>
      <c r="W39" s="299"/>
      <c r="X39" s="336"/>
      <c r="Y39" s="297"/>
      <c r="Z39" s="297"/>
      <c r="AA39" s="300"/>
      <c r="AB39" s="300"/>
      <c r="AC39" s="300"/>
      <c r="AD39" s="297"/>
      <c r="AE39" s="295"/>
      <c r="AF39" s="295"/>
      <c r="AG39" s="297"/>
      <c r="AH39" s="301"/>
      <c r="AI39" s="297"/>
      <c r="AJ39" s="297"/>
      <c r="AK39" s="297"/>
      <c r="AL39" s="297"/>
      <c r="AM39" s="297"/>
      <c r="AN39" s="297"/>
      <c r="AO39" s="297"/>
      <c r="AP39" s="297"/>
      <c r="AQ39" s="300"/>
      <c r="AR39" s="300"/>
    </row>
    <row r="40" spans="2:44" hidden="1" x14ac:dyDescent="0.3">
      <c r="B40" s="247"/>
      <c r="C40" s="247"/>
      <c r="D40" s="247"/>
      <c r="E40" s="259"/>
      <c r="F40" s="247"/>
      <c r="H40" s="259"/>
      <c r="K40" s="247"/>
      <c r="L40" s="247"/>
      <c r="M40" s="247"/>
      <c r="N40" s="247"/>
      <c r="O40" s="247"/>
      <c r="P40" s="280"/>
      <c r="Q40" s="247"/>
      <c r="R40" s="249"/>
      <c r="S40" s="259"/>
      <c r="T40" s="259"/>
      <c r="U40" s="263"/>
      <c r="V40" s="262"/>
      <c r="X40" s="337"/>
      <c r="Y40" s="263"/>
      <c r="Z40" s="263"/>
      <c r="AA40" s="276"/>
      <c r="AB40" s="276"/>
      <c r="AC40" s="276"/>
      <c r="AE40" s="249"/>
      <c r="AF40" s="249"/>
      <c r="AG40" s="263"/>
      <c r="AH40" s="281"/>
      <c r="AI40" s="263"/>
      <c r="AJ40" s="263"/>
      <c r="AK40" s="263"/>
      <c r="AL40" s="263"/>
      <c r="AM40" s="263"/>
      <c r="AN40" s="263"/>
      <c r="AO40" s="263"/>
      <c r="AP40" s="263"/>
      <c r="AQ40" s="276"/>
      <c r="AR40" s="276"/>
    </row>
    <row r="41" spans="2:44" hidden="1" x14ac:dyDescent="0.3">
      <c r="B41" s="304"/>
      <c r="C41" s="304"/>
      <c r="D41" s="304"/>
      <c r="E41" s="305"/>
      <c r="F41" s="304"/>
      <c r="G41" s="305"/>
      <c r="H41" s="305"/>
      <c r="I41" s="304"/>
      <c r="J41" s="305"/>
      <c r="K41" s="304"/>
      <c r="L41" s="304"/>
      <c r="M41" s="304"/>
      <c r="N41" s="304"/>
      <c r="O41" s="304"/>
      <c r="P41" s="306"/>
      <c r="Q41" s="304"/>
      <c r="R41" s="304"/>
      <c r="S41" s="305"/>
      <c r="T41" s="305"/>
      <c r="U41" s="307"/>
      <c r="V41" s="308"/>
      <c r="W41" s="305"/>
      <c r="X41" s="338"/>
      <c r="Y41" s="307"/>
      <c r="Z41" s="305"/>
      <c r="AA41" s="326"/>
      <c r="AB41" s="326"/>
      <c r="AC41" s="309"/>
      <c r="AD41" s="307"/>
      <c r="AE41" s="304"/>
      <c r="AF41" s="304"/>
      <c r="AG41" s="307"/>
      <c r="AH41" s="311"/>
      <c r="AI41" s="307"/>
      <c r="AJ41" s="307"/>
      <c r="AK41" s="307"/>
      <c r="AL41" s="307"/>
      <c r="AM41" s="307"/>
      <c r="AN41" s="307"/>
      <c r="AO41" s="307"/>
      <c r="AP41" s="307"/>
      <c r="AQ41" s="309"/>
      <c r="AR41" s="309"/>
    </row>
    <row r="42" spans="2:44" hidden="1" x14ac:dyDescent="0.3">
      <c r="B42" s="313"/>
      <c r="C42" s="313"/>
      <c r="D42" s="313"/>
      <c r="E42" s="314"/>
      <c r="F42" s="313"/>
      <c r="G42" s="314"/>
      <c r="H42" s="314"/>
      <c r="I42" s="313"/>
      <c r="J42" s="314"/>
      <c r="K42" s="313"/>
      <c r="L42" s="313"/>
      <c r="M42" s="313"/>
      <c r="N42" s="313"/>
      <c r="O42" s="313"/>
      <c r="P42" s="315"/>
      <c r="Q42" s="313"/>
      <c r="R42" s="313"/>
      <c r="S42" s="314"/>
      <c r="T42" s="314"/>
      <c r="U42" s="316"/>
      <c r="V42" s="317"/>
      <c r="W42" s="317"/>
      <c r="X42" s="339"/>
      <c r="Y42" s="316"/>
      <c r="Z42" s="314"/>
      <c r="AA42" s="335"/>
      <c r="AB42" s="335"/>
      <c r="AC42" s="319"/>
      <c r="AD42" s="316"/>
      <c r="AE42" s="313"/>
      <c r="AF42" s="313"/>
      <c r="AG42" s="318"/>
      <c r="AH42" s="321"/>
      <c r="AI42" s="318"/>
      <c r="AJ42" s="318"/>
      <c r="AK42" s="318"/>
      <c r="AL42" s="318"/>
      <c r="AM42" s="318"/>
      <c r="AN42" s="318"/>
      <c r="AO42" s="318"/>
      <c r="AP42" s="318"/>
      <c r="AQ42" s="325"/>
      <c r="AR42" s="325"/>
    </row>
    <row r="43" spans="2:44" hidden="1" x14ac:dyDescent="0.3">
      <c r="B43" s="313"/>
      <c r="C43" s="313"/>
      <c r="D43" s="313"/>
      <c r="E43" s="314"/>
      <c r="F43" s="313"/>
      <c r="G43" s="314"/>
      <c r="H43" s="314"/>
      <c r="I43" s="313"/>
      <c r="J43" s="314"/>
      <c r="K43" s="313"/>
      <c r="L43" s="313"/>
      <c r="M43" s="313"/>
      <c r="N43" s="313"/>
      <c r="O43" s="313"/>
      <c r="P43" s="315"/>
      <c r="Q43" s="313"/>
      <c r="R43" s="313"/>
      <c r="S43" s="314"/>
      <c r="T43" s="314"/>
      <c r="U43" s="316"/>
      <c r="V43" s="314"/>
      <c r="W43" s="314"/>
      <c r="X43" s="339"/>
      <c r="Y43" s="316"/>
      <c r="Z43" s="314"/>
      <c r="AA43" s="335"/>
      <c r="AB43" s="335"/>
      <c r="AC43" s="319"/>
      <c r="AD43" s="316"/>
      <c r="AE43" s="313"/>
      <c r="AF43" s="313"/>
      <c r="AG43" s="318"/>
      <c r="AH43" s="321"/>
      <c r="AI43" s="318"/>
      <c r="AJ43" s="318"/>
      <c r="AK43" s="318"/>
      <c r="AL43" s="318"/>
      <c r="AM43" s="318"/>
      <c r="AN43" s="318"/>
      <c r="AO43" s="318"/>
      <c r="AP43" s="318"/>
      <c r="AQ43" s="325"/>
      <c r="AR43" s="325"/>
    </row>
    <row r="44" spans="2:44" hidden="1" x14ac:dyDescent="0.3">
      <c r="B44" s="327"/>
      <c r="C44" s="327"/>
      <c r="D44" s="327"/>
      <c r="E44" s="328"/>
      <c r="F44" s="327"/>
      <c r="G44" s="328"/>
      <c r="H44" s="328"/>
      <c r="I44" s="327"/>
      <c r="J44" s="328"/>
      <c r="K44" s="327"/>
      <c r="L44" s="327"/>
      <c r="M44" s="327"/>
      <c r="N44" s="327"/>
      <c r="O44" s="327"/>
      <c r="P44" s="330"/>
      <c r="Q44" s="327"/>
      <c r="R44" s="327"/>
      <c r="S44" s="328"/>
      <c r="T44" s="328"/>
      <c r="U44" s="331"/>
      <c r="V44" s="328"/>
      <c r="W44" s="328"/>
      <c r="X44" s="340"/>
      <c r="Y44" s="331"/>
      <c r="Z44" s="328"/>
      <c r="AA44" s="343"/>
      <c r="AB44" s="343"/>
      <c r="AC44" s="333"/>
      <c r="AD44" s="331"/>
      <c r="AE44" s="327"/>
      <c r="AF44" s="327"/>
      <c r="AG44" s="344"/>
      <c r="AH44" s="334"/>
      <c r="AI44" s="344"/>
      <c r="AJ44" s="344"/>
      <c r="AK44" s="344"/>
      <c r="AL44" s="344"/>
      <c r="AM44" s="344"/>
      <c r="AN44" s="344"/>
      <c r="AO44" s="344"/>
      <c r="AP44" s="344"/>
      <c r="AQ44" s="345"/>
      <c r="AR44" s="345"/>
    </row>
    <row r="45" spans="2:44" x14ac:dyDescent="0.3">
      <c r="B45" s="283" t="s">
        <v>1888</v>
      </c>
      <c r="C45" s="283"/>
      <c r="D45" s="283"/>
      <c r="E45" s="285"/>
      <c r="F45" s="284"/>
      <c r="G45" s="285"/>
      <c r="H45" s="285"/>
      <c r="I45" s="284"/>
      <c r="J45" s="285"/>
      <c r="K45" s="284"/>
      <c r="L45" s="284"/>
      <c r="M45" s="284"/>
      <c r="N45" s="284"/>
      <c r="O45" s="284"/>
      <c r="P45" s="286"/>
      <c r="Q45" s="283"/>
      <c r="R45" s="284"/>
      <c r="S45" s="285"/>
      <c r="T45" s="285"/>
      <c r="U45" s="289"/>
      <c r="V45" s="285"/>
      <c r="W45" s="287"/>
      <c r="X45" s="341"/>
      <c r="Y45" s="289"/>
      <c r="Z45" s="289"/>
      <c r="AA45" s="290"/>
      <c r="AB45" s="290"/>
      <c r="AC45" s="290"/>
      <c r="AD45" s="289"/>
      <c r="AE45" s="284"/>
      <c r="AF45" s="284"/>
      <c r="AG45" s="288"/>
      <c r="AH45" s="291"/>
      <c r="AI45" s="288"/>
      <c r="AJ45" s="288"/>
      <c r="AK45" s="288"/>
      <c r="AL45" s="288"/>
      <c r="AM45" s="288"/>
      <c r="AN45" s="288"/>
      <c r="AO45" s="288"/>
      <c r="AP45" s="288"/>
      <c r="AQ45" s="292"/>
      <c r="AR45" s="292"/>
    </row>
    <row r="46" spans="2:44" x14ac:dyDescent="0.3">
      <c r="B46" s="294" t="str">
        <f>Voelk!B2</f>
        <v>Voelklein et al., 2019</v>
      </c>
      <c r="C46" s="294">
        <f>All!C46</f>
        <v>42</v>
      </c>
      <c r="D46" s="294" t="str">
        <f>Voelk!$D6</f>
        <v>Grass silage</v>
      </c>
      <c r="E46" s="293">
        <f>Voelk!$D7</f>
        <v>55</v>
      </c>
      <c r="F46" s="294" t="str">
        <f>Voelk!$D8</f>
        <v>CSTR</v>
      </c>
      <c r="G46" s="293">
        <f>Voelk!$D9</f>
        <v>9.5</v>
      </c>
      <c r="H46" s="293" t="str">
        <f>Voelk!$D10</f>
        <v>n/r</v>
      </c>
      <c r="I46" s="294" t="str">
        <f>Voelk!$D11</f>
        <v>Mechanical</v>
      </c>
      <c r="J46" s="293" t="str">
        <f>Voelk!$D12</f>
        <v>Yes</v>
      </c>
      <c r="K46" s="294" t="str">
        <f>Voelk!$D13</f>
        <v>Low capacity diffuser</v>
      </c>
      <c r="L46" s="294" t="str">
        <f>Voelk!$D14</f>
        <v>Continuous</v>
      </c>
      <c r="M46" s="294" t="str">
        <f>Voelk!$D15</f>
        <v>Sequential</v>
      </c>
      <c r="N46" s="294" t="str">
        <f>Voelk!$D16</f>
        <v>Diffuser type</v>
      </c>
      <c r="O46" s="294" t="str">
        <f>Voelk!$D17</f>
        <v>1 reactor per condition</v>
      </c>
      <c r="P46" s="296" t="str">
        <f>Voelk!$D$84</f>
        <v>Control period</v>
      </c>
      <c r="Q46" s="294">
        <f>C46</f>
        <v>42</v>
      </c>
      <c r="R46" s="295" t="str">
        <f>Voelk!$D$85</f>
        <v>No H2</v>
      </c>
      <c r="S46" s="300">
        <f>Voelk!$D86</f>
        <v>3.9565217391304355</v>
      </c>
      <c r="T46" s="293">
        <f>Voelk!$D87</f>
        <v>46</v>
      </c>
      <c r="U46" s="297"/>
      <c r="V46" s="299">
        <f>Voelk!$D$89</f>
        <v>0.38800000000000001</v>
      </c>
      <c r="W46" s="299"/>
      <c r="X46" s="336"/>
      <c r="Y46" s="297">
        <f>Voelk!$D$92</f>
        <v>1.53</v>
      </c>
      <c r="Z46" s="297"/>
      <c r="AA46" s="300">
        <f>Voelk!$D$94</f>
        <v>54.8</v>
      </c>
      <c r="AB46" s="300">
        <f>Voelk!$D$95</f>
        <v>45.2</v>
      </c>
      <c r="AC46" s="300">
        <f>Voelk!$D$96</f>
        <v>0</v>
      </c>
      <c r="AD46" s="297">
        <f>Voelk!$D$97</f>
        <v>7.81</v>
      </c>
      <c r="AE46" s="295" t="str">
        <f>Voelk!$D$98</f>
        <v>n/r</v>
      </c>
      <c r="AF46" s="294" t="str">
        <f>Voelk!$D$99</f>
        <v>TVFA + graph</v>
      </c>
      <c r="AG46" s="297"/>
      <c r="AH46" s="374"/>
      <c r="AI46" s="297"/>
      <c r="AJ46" s="297"/>
      <c r="AK46" s="297"/>
      <c r="AL46" s="297"/>
      <c r="AM46" s="297"/>
      <c r="AN46" s="297"/>
      <c r="AO46" s="297"/>
      <c r="AP46" s="297"/>
      <c r="AQ46" s="300"/>
      <c r="AR46" s="300"/>
    </row>
    <row r="47" spans="2:44" x14ac:dyDescent="0.3">
      <c r="B47" s="375"/>
      <c r="C47" s="375"/>
      <c r="D47" s="375"/>
      <c r="E47" s="376"/>
      <c r="F47" s="375"/>
      <c r="G47" s="376"/>
      <c r="H47" s="376"/>
      <c r="I47" s="375"/>
      <c r="J47" s="376"/>
      <c r="K47" s="375"/>
      <c r="L47" s="375"/>
      <c r="M47" s="375"/>
      <c r="N47" s="375"/>
      <c r="O47" s="375"/>
      <c r="P47" s="378" t="str">
        <f>Voelk!$E$84</f>
        <v>Low capacity diffuser</v>
      </c>
      <c r="Q47" s="375"/>
      <c r="R47" s="377" t="str">
        <f>Voelk!$E$85</f>
        <v>With H2</v>
      </c>
      <c r="S47" s="376"/>
      <c r="T47" s="376"/>
      <c r="U47" s="379">
        <f>Voelk!$E$88</f>
        <v>5.05</v>
      </c>
      <c r="V47" s="380">
        <f>Voelk!$E$89</f>
        <v>0.46100000000000002</v>
      </c>
      <c r="W47" s="380">
        <f>Voelk!$E$90</f>
        <v>7.3000000000000009E-2</v>
      </c>
      <c r="X47" s="381">
        <f>Voelk!$E$91</f>
        <v>0.18814432989690724</v>
      </c>
      <c r="Y47" s="379">
        <f>Voelk!$E$92</f>
        <v>1.82</v>
      </c>
      <c r="Z47" s="379">
        <f>Voelk!$E$93</f>
        <v>0.29000000000000004</v>
      </c>
      <c r="AA47" s="382">
        <f>Voelk!$E$94</f>
        <v>32.1</v>
      </c>
      <c r="AB47" s="382">
        <f>Voelk!$E$95</f>
        <v>11.4</v>
      </c>
      <c r="AC47" s="382">
        <f>Voelk!$E$96</f>
        <v>56.5</v>
      </c>
      <c r="AD47" s="379">
        <f>Voelk!$E$97</f>
        <v>7.97</v>
      </c>
      <c r="AE47" s="377" t="str">
        <f>Voelk!$E$98</f>
        <v>n/r</v>
      </c>
      <c r="AF47" s="375" t="str">
        <f>Voelk!$E$99</f>
        <v>TVFA + graph</v>
      </c>
      <c r="AG47" s="379">
        <f>Voelk!$E$70</f>
        <v>0.46164330218068528</v>
      </c>
      <c r="AH47" s="383">
        <f>Voelk!$E$71</f>
        <v>0.29000000000000004</v>
      </c>
      <c r="AI47" s="379">
        <f>Voelk!$E$72</f>
        <v>0.61561566273279233</v>
      </c>
      <c r="AJ47" s="379">
        <f>Voelk!$E$73</f>
        <v>4.0016773671120358</v>
      </c>
      <c r="AK47" s="379">
        <f>Voelk!$E$74</f>
        <v>0.36565806113321608</v>
      </c>
      <c r="AL47" s="379">
        <f>Voelk!$E$75</f>
        <v>0.62819063686208365</v>
      </c>
      <c r="AM47" s="379">
        <f>Voelk!$E$76</f>
        <v>1.3335310180496085</v>
      </c>
      <c r="AN47" s="379">
        <f>Voelk!$E$77</f>
        <v>0.47107313467733258</v>
      </c>
      <c r="AO47" s="379">
        <f>Voelk!$E$78</f>
        <v>0.229799294349008</v>
      </c>
      <c r="AP47" s="379">
        <f>Voelk!$E$79</f>
        <v>0.88337425936106517</v>
      </c>
      <c r="AQ47" s="382">
        <f>Voelk!$E$80</f>
        <v>6.3674938231818654</v>
      </c>
      <c r="AR47" s="382">
        <f>Voelk!$E$81</f>
        <v>1.2309575459899489</v>
      </c>
    </row>
    <row r="48" spans="2:44" x14ac:dyDescent="0.3">
      <c r="B48" s="375"/>
      <c r="C48" s="375"/>
      <c r="D48" s="375"/>
      <c r="E48" s="376"/>
      <c r="F48" s="375"/>
      <c r="G48" s="376"/>
      <c r="H48" s="376"/>
      <c r="I48" s="375"/>
      <c r="J48" s="376"/>
      <c r="K48" s="375" t="str">
        <f>Voelk!E13</f>
        <v>Ceramic diffuser</v>
      </c>
      <c r="L48" s="375"/>
      <c r="M48" s="375"/>
      <c r="N48" s="375"/>
      <c r="O48" s="375"/>
      <c r="P48" s="378" t="str">
        <f>Voelk!$F$84</f>
        <v>Control period</v>
      </c>
      <c r="Q48" s="375"/>
      <c r="R48" s="377" t="str">
        <f>Voelk!$F$85</f>
        <v>No H2</v>
      </c>
      <c r="S48" s="376"/>
      <c r="T48" s="376"/>
      <c r="U48" s="379"/>
      <c r="V48" s="380">
        <f>Voelk!$F$89</f>
        <v>0.38200000000000001</v>
      </c>
      <c r="W48" s="380"/>
      <c r="X48" s="381"/>
      <c r="Y48" s="379">
        <f>Voelk!$F$92</f>
        <v>1.51</v>
      </c>
      <c r="Z48" s="379"/>
      <c r="AA48" s="382">
        <f>Voelk!$F$94</f>
        <v>53.2</v>
      </c>
      <c r="AB48" s="382">
        <f>Voelk!$F$95</f>
        <v>46.8</v>
      </c>
      <c r="AC48" s="382"/>
      <c r="AD48" s="379">
        <f>Voelk!$F$97</f>
        <v>7.89</v>
      </c>
      <c r="AE48" s="377" t="str">
        <f>Voelk!$F$98</f>
        <v>n/r</v>
      </c>
      <c r="AF48" s="375" t="str">
        <f>Voelk!$F$99</f>
        <v>TVFA + graph</v>
      </c>
      <c r="AG48" s="379"/>
      <c r="AH48" s="383"/>
      <c r="AI48" s="379"/>
      <c r="AJ48" s="379"/>
      <c r="AK48" s="379"/>
      <c r="AL48" s="379"/>
      <c r="AM48" s="379"/>
      <c r="AN48" s="379"/>
      <c r="AO48" s="379"/>
      <c r="AP48" s="379"/>
      <c r="AQ48" s="382"/>
      <c r="AR48" s="382"/>
    </row>
    <row r="49" spans="2:44" x14ac:dyDescent="0.3">
      <c r="B49" s="362"/>
      <c r="C49" s="362"/>
      <c r="D49" s="362"/>
      <c r="E49" s="363"/>
      <c r="F49" s="362"/>
      <c r="G49" s="363"/>
      <c r="H49" s="363"/>
      <c r="I49" s="362"/>
      <c r="J49" s="363"/>
      <c r="K49" s="362"/>
      <c r="L49" s="362"/>
      <c r="M49" s="362"/>
      <c r="N49" s="362"/>
      <c r="O49" s="362"/>
      <c r="P49" s="365" t="str">
        <f>Voelk!$G$84</f>
        <v>Ceramic diffuser</v>
      </c>
      <c r="Q49" s="362"/>
      <c r="R49" s="364" t="str">
        <f>Voelk!$G$85</f>
        <v>With H2</v>
      </c>
      <c r="S49" s="363"/>
      <c r="T49" s="363"/>
      <c r="U49" s="366">
        <f>Voelk!$G$88</f>
        <v>5.29</v>
      </c>
      <c r="V49" s="367">
        <f>Voelk!$G$89</f>
        <v>0.64</v>
      </c>
      <c r="W49" s="367">
        <f>Voelk!$G$90</f>
        <v>0.25800000000000001</v>
      </c>
      <c r="X49" s="368">
        <f>Voelk!$G$91</f>
        <v>0.67539267015706805</v>
      </c>
      <c r="Y49" s="366">
        <f>Voelk!$G$92</f>
        <v>2.52</v>
      </c>
      <c r="Z49" s="366">
        <f>Voelk!$G$93</f>
        <v>0.99</v>
      </c>
      <c r="AA49" s="369">
        <f>Voelk!$G$94</f>
        <v>60.3</v>
      </c>
      <c r="AB49" s="369">
        <f>Voelk!$G$95</f>
        <v>5.0999999999999996</v>
      </c>
      <c r="AC49" s="369">
        <f>Voelk!$G$96</f>
        <v>34.6</v>
      </c>
      <c r="AD49" s="366">
        <f>Voelk!$G$97</f>
        <v>8.3699999999999992</v>
      </c>
      <c r="AE49" s="364" t="str">
        <f>Voelk!$G$98</f>
        <v>n/r</v>
      </c>
      <c r="AF49" s="362" t="str">
        <f>Voelk!$G$99</f>
        <v>TVFA + graph</v>
      </c>
      <c r="AG49" s="366">
        <f>Voelk!$G$70</f>
        <v>0.96100746268656723</v>
      </c>
      <c r="AH49" s="370">
        <f>Voelk!$G$71</f>
        <v>1.01</v>
      </c>
      <c r="AI49" s="366">
        <f>Voelk!$G$72</f>
        <v>1.1152115363034449</v>
      </c>
      <c r="AJ49" s="366">
        <f>Voelk!$G$73</f>
        <v>3.9823965585554997</v>
      </c>
      <c r="AK49" s="366">
        <f>Voelk!$G$74</f>
        <v>0.72665970713540051</v>
      </c>
      <c r="AL49" s="366">
        <f>Voelk!$G$75</f>
        <v>1.0509803921568628</v>
      </c>
      <c r="AM49" s="366">
        <f>Voelk!$G$76</f>
        <v>1.1604608492693582</v>
      </c>
      <c r="AN49" s="366">
        <f>Voelk!$G$77</f>
        <v>0.90565777623482435</v>
      </c>
      <c r="AO49" s="366">
        <f>Voelk!$G$78</f>
        <v>0.76034414445010479</v>
      </c>
      <c r="AP49" s="366">
        <f>Voelk!$G$79</f>
        <v>0.96293209449441541</v>
      </c>
      <c r="AQ49" s="369">
        <f>Voelk!$G$80</f>
        <v>3.8059701492537314</v>
      </c>
      <c r="AR49" s="369">
        <f>Voelk!$G$81</f>
        <v>2.7288183144428242</v>
      </c>
    </row>
    <row r="50" spans="2:44" ht="30" x14ac:dyDescent="0.3">
      <c r="B50" s="304" t="str">
        <f>Illi!B2</f>
        <v>Illi et al., 2021</v>
      </c>
      <c r="C50" s="304">
        <f>All!C50</f>
        <v>43</v>
      </c>
      <c r="D50" s="359" t="str">
        <f>Illi!$D6</f>
        <v>Maize silage + sugar beet silage effluent</v>
      </c>
      <c r="E50" s="305">
        <f>Illi!$D7</f>
        <v>37</v>
      </c>
      <c r="F50" s="304" t="str">
        <f>Illi!$D8</f>
        <v>Anaerobic filter</v>
      </c>
      <c r="G50" s="305">
        <f>Illi!$D9</f>
        <v>130</v>
      </c>
      <c r="H50" s="305">
        <f>Illi!$D10</f>
        <v>95</v>
      </c>
      <c r="I50" s="304" t="str">
        <f>Illi!$D11</f>
        <v>Pump</v>
      </c>
      <c r="J50" s="305" t="str">
        <f>Illi!$D12</f>
        <v>Yes?</v>
      </c>
      <c r="K50" s="304" t="str">
        <f>Illi!$D13</f>
        <v>Venturi</v>
      </c>
      <c r="L50" s="304" t="str">
        <f>Illi!$D14</f>
        <v>Continuous</v>
      </c>
      <c r="M50" s="304" t="str">
        <f>Illi!$D15</f>
        <v>Parallel</v>
      </c>
      <c r="N50" s="304" t="str">
        <f>Illi!$D16</f>
        <v>H2 ratio</v>
      </c>
      <c r="O50" s="304" t="str">
        <f>Illi!$D17</f>
        <v>COD units not VS</v>
      </c>
      <c r="P50" s="306" t="str">
        <f>Illi!$D$88</f>
        <v>Control reactor</v>
      </c>
      <c r="Q50" s="304">
        <f>C50</f>
        <v>43</v>
      </c>
      <c r="R50" s="310" t="str">
        <f>Illi!$D$89</f>
        <v>No H2</v>
      </c>
      <c r="S50" s="307">
        <f>Illi!$D$90</f>
        <v>2.92</v>
      </c>
      <c r="T50" s="326">
        <f>Illi!$D$91</f>
        <v>16.97</v>
      </c>
      <c r="U50" s="307"/>
      <c r="V50" s="308">
        <f>Illi!$D$93</f>
        <v>0.31</v>
      </c>
      <c r="W50" s="308"/>
      <c r="X50" s="338"/>
      <c r="Y50" s="307">
        <f>Illi!$D$96</f>
        <v>0.91</v>
      </c>
      <c r="Z50" s="307"/>
      <c r="AA50" s="309">
        <f>Illi!$D$98</f>
        <v>66.14</v>
      </c>
      <c r="AB50" s="309">
        <f>Illi!$D$99</f>
        <v>27.88</v>
      </c>
      <c r="AC50" s="309"/>
      <c r="AD50" s="307">
        <f>Illi!$D$101</f>
        <v>7.91</v>
      </c>
      <c r="AE50" s="310" t="str">
        <f>Illi!$D$102</f>
        <v>n/r</v>
      </c>
      <c r="AF50" s="310" t="str">
        <f>Illi!$D$103</f>
        <v>n/r</v>
      </c>
      <c r="AG50" s="307"/>
      <c r="AH50" s="346"/>
      <c r="AI50" s="307"/>
      <c r="AJ50" s="307"/>
      <c r="AK50" s="307"/>
      <c r="AL50" s="307"/>
      <c r="AM50" s="307"/>
      <c r="AN50" s="307"/>
      <c r="AO50" s="307"/>
      <c r="AP50" s="307"/>
      <c r="AQ50" s="309"/>
      <c r="AR50" s="309"/>
    </row>
    <row r="51" spans="2:44" x14ac:dyDescent="0.3">
      <c r="B51" s="347"/>
      <c r="C51" s="347"/>
      <c r="D51" s="347"/>
      <c r="E51" s="348"/>
      <c r="F51" s="347"/>
      <c r="G51" s="348"/>
      <c r="H51" s="348"/>
      <c r="I51" s="347"/>
      <c r="J51" s="348"/>
      <c r="K51" s="347"/>
      <c r="L51" s="347"/>
      <c r="M51" s="347"/>
      <c r="N51" s="347"/>
      <c r="O51" s="347"/>
      <c r="P51" s="350" t="str">
        <f>Illi!$E$88</f>
        <v>H2/CO2 = 2</v>
      </c>
      <c r="Q51" s="347"/>
      <c r="R51" s="349" t="str">
        <f>Illi!$E$89</f>
        <v>With H2</v>
      </c>
      <c r="S51" s="351">
        <f>Illi!$E$90</f>
        <v>3</v>
      </c>
      <c r="T51" s="352">
        <f>Illi!$E$91</f>
        <v>17.100000000000001</v>
      </c>
      <c r="U51" s="351">
        <f>Illi!$E$92</f>
        <v>0.75031578947368427</v>
      </c>
      <c r="V51" s="353">
        <f>Illi!$E$93</f>
        <v>0.35</v>
      </c>
      <c r="W51" s="353">
        <f>Illi!$E$94</f>
        <v>3.999999999999998E-2</v>
      </c>
      <c r="X51" s="354">
        <f>Illi!$E$95</f>
        <v>0.12903225806451607</v>
      </c>
      <c r="Y51" s="351">
        <f>Illi!$E$96</f>
        <v>1.05</v>
      </c>
      <c r="Z51" s="351">
        <f>Illi!$E$97</f>
        <v>0.14000000000000001</v>
      </c>
      <c r="AA51" s="355">
        <f>Illi!$E$98</f>
        <v>62.67</v>
      </c>
      <c r="AB51" s="355">
        <f>Illi!$E$99</f>
        <v>18.420000000000002</v>
      </c>
      <c r="AC51" s="355">
        <f>Illi!$E$100</f>
        <v>10.96</v>
      </c>
      <c r="AD51" s="351">
        <f>Illi!$E$101</f>
        <v>8.17</v>
      </c>
      <c r="AE51" s="349" t="str">
        <f>Illi!$E$102</f>
        <v>n/r</v>
      </c>
      <c r="AF51" s="349" t="str">
        <f>Illi!$E$103</f>
        <v>n/r</v>
      </c>
      <c r="AG51" s="351">
        <f>Illi!$E$73</f>
        <v>0.14167181476909124</v>
      </c>
      <c r="AH51" s="356">
        <f>Illi!$E$74</f>
        <v>0.14000000000000001</v>
      </c>
      <c r="AI51" s="351">
        <f>Illi!$E$75</f>
        <v>7.497581685164395E-2</v>
      </c>
      <c r="AJ51" s="351">
        <f>Illi!$E$77</f>
        <v>1.95</v>
      </c>
      <c r="AK51" s="351">
        <f>Illi!$E$78</f>
        <v>0.75526500578359523</v>
      </c>
      <c r="AL51" s="351">
        <f>Illi!$E$79</f>
        <v>0.98819938340017666</v>
      </c>
      <c r="AM51" s="351">
        <f>Illi!$E$80</f>
        <v>0.5292218284479937</v>
      </c>
      <c r="AN51" s="351">
        <f>Illi!$E$81</f>
        <v>1.8672687524968301</v>
      </c>
      <c r="AO51" s="351">
        <f>Illi!$E$82</f>
        <v>0.36497075377993604</v>
      </c>
      <c r="AP51" s="351">
        <f>Illi!$E$83</f>
        <v>1.0502663622356743</v>
      </c>
      <c r="AQ51" s="355">
        <f>Illi!$E$84</f>
        <v>4.0477661362597495</v>
      </c>
      <c r="AR51" s="355">
        <f>Illi!$E$85</f>
        <v>7.5582672236526562</v>
      </c>
    </row>
    <row r="52" spans="2:44" x14ac:dyDescent="0.3">
      <c r="B52" s="327"/>
      <c r="C52" s="327"/>
      <c r="D52" s="327"/>
      <c r="E52" s="328"/>
      <c r="F52" s="327"/>
      <c r="G52" s="328"/>
      <c r="H52" s="328"/>
      <c r="I52" s="327"/>
      <c r="J52" s="328"/>
      <c r="K52" s="327"/>
      <c r="L52" s="327"/>
      <c r="M52" s="327"/>
      <c r="N52" s="327"/>
      <c r="O52" s="327"/>
      <c r="P52" s="330" t="str">
        <f>Illi!$F$88</f>
        <v>H2/CO2 = 4</v>
      </c>
      <c r="Q52" s="327"/>
      <c r="R52" s="357" t="str">
        <f>Illi!$F$89</f>
        <v>With H2</v>
      </c>
      <c r="S52" s="331">
        <f>Illi!$F$90</f>
        <v>3.53</v>
      </c>
      <c r="T52" s="343">
        <f>Illi!$F$91</f>
        <v>16.46</v>
      </c>
      <c r="U52" s="331">
        <f>Illi!$F$92</f>
        <v>1.5107368421052632</v>
      </c>
      <c r="V52" s="332">
        <f>Illi!$F$93</f>
        <v>0.35</v>
      </c>
      <c r="W52" s="332">
        <f>Illi!$F$94</f>
        <v>3.999999999999998E-2</v>
      </c>
      <c r="X52" s="340">
        <f>Illi!$F$95</f>
        <v>0.12903225806451607</v>
      </c>
      <c r="Y52" s="331">
        <f>Illi!$F$96</f>
        <v>1.2</v>
      </c>
      <c r="Z52" s="331">
        <f>Illi!$F$97</f>
        <v>0.28999999999999992</v>
      </c>
      <c r="AA52" s="333">
        <f>Illi!$F$98</f>
        <v>56.69</v>
      </c>
      <c r="AB52" s="333">
        <f>Illi!$F$99</f>
        <v>12.02</v>
      </c>
      <c r="AC52" s="333">
        <f>Illi!$F$100</f>
        <v>26.98</v>
      </c>
      <c r="AD52" s="331">
        <f>Illi!$F$101</f>
        <v>8.5500000000000007</v>
      </c>
      <c r="AE52" s="357" t="str">
        <f>Illi!$F$102</f>
        <v>n/r</v>
      </c>
      <c r="AF52" s="357" t="str">
        <f>Illi!$F$103</f>
        <v>n/r</v>
      </c>
      <c r="AG52" s="331">
        <f>Illi!$F$73</f>
        <v>0.23490770673375977</v>
      </c>
      <c r="AH52" s="358">
        <f>Illi!$F$74</f>
        <v>0.28999999999999992</v>
      </c>
      <c r="AI52" s="331">
        <f>Illi!$F$75</f>
        <v>0.1291559712627624</v>
      </c>
      <c r="AJ52" s="331">
        <f>Illi!$F$77</f>
        <v>3.94</v>
      </c>
      <c r="AK52" s="331">
        <f>Illi!$F$78</f>
        <v>0.62196856576664372</v>
      </c>
      <c r="AL52" s="331">
        <f>Illi!$F$79</f>
        <v>1.2345273981525042</v>
      </c>
      <c r="AM52" s="331">
        <f>Illi!$F$80</f>
        <v>0.54981581089268172</v>
      </c>
      <c r="AN52" s="331">
        <f>Illi!$F$81</f>
        <v>2.2453472120929439</v>
      </c>
      <c r="AO52" s="331">
        <f>Illi!$F$82</f>
        <v>0.75601084711558153</v>
      </c>
      <c r="AP52" s="331">
        <f>Illi!$F$83</f>
        <v>1.1243390354247855</v>
      </c>
      <c r="AQ52" s="333">
        <f>Illi!$F$84</f>
        <v>3.2401062997759977</v>
      </c>
      <c r="AR52" s="333">
        <f>Illi!$F$85</f>
        <v>7.2751636470868206</v>
      </c>
    </row>
    <row r="53" spans="2:44" x14ac:dyDescent="0.3">
      <c r="B53" s="375" t="str">
        <f>Schon!B2</f>
        <v>Schönberg and Busch, 2012</v>
      </c>
      <c r="C53" s="294">
        <f>All!C53</f>
        <v>44</v>
      </c>
      <c r="D53" s="375" t="str">
        <f>Schon!$D6</f>
        <v>Maize silage hydrolysate</v>
      </c>
      <c r="E53" s="376">
        <f>Schon!$D7</f>
        <v>55</v>
      </c>
      <c r="F53" s="375" t="str">
        <f>Schon!$D8</f>
        <v>2-stage</v>
      </c>
      <c r="G53" s="376" t="str">
        <f>Schon!$D9</f>
        <v>n/r</v>
      </c>
      <c r="H53" s="376" t="str">
        <f>Schon!$D10</f>
        <v>200 + 145 (exptl)</v>
      </c>
      <c r="I53" s="375" t="str">
        <f>Schon!$D11</f>
        <v>Percolation</v>
      </c>
      <c r="J53" s="376" t="str">
        <f>Schon!$D12</f>
        <v>No?</v>
      </c>
      <c r="K53" s="375" t="str">
        <f>Schon!$D13</f>
        <v>Injector</v>
      </c>
      <c r="L53" s="375" t="str">
        <f>Schon!$D14</f>
        <v>Various</v>
      </c>
      <c r="M53" s="375" t="str">
        <f>Schon!$D15</f>
        <v>Parallel</v>
      </c>
      <c r="N53" s="375" t="str">
        <f>Schon!$D16</f>
        <v>Hydrolysis conditions</v>
      </c>
      <c r="O53" s="375" t="str">
        <f>Schon!$D17</f>
        <v>Values for whole system</v>
      </c>
      <c r="P53" s="378" t="str">
        <f>Schon!$G94</f>
        <v>Hydrolysis at 55 oC</v>
      </c>
      <c r="Q53" s="294">
        <f>C53</f>
        <v>44</v>
      </c>
      <c r="R53" s="384" t="str">
        <f>Schon!$G95</f>
        <v>No H2</v>
      </c>
      <c r="S53" s="379">
        <f>Schon!$G96</f>
        <v>1.0191387559808613</v>
      </c>
      <c r="T53" s="385">
        <f>Schon!$G97</f>
        <v>22</v>
      </c>
      <c r="U53" s="379"/>
      <c r="V53" s="379">
        <f>Schon!$G99</f>
        <v>0.28000000000000003</v>
      </c>
      <c r="W53" s="380"/>
      <c r="X53" s="381"/>
      <c r="Y53" s="379">
        <f>Schon!$G102</f>
        <v>0.28535885167464115</v>
      </c>
      <c r="Z53" s="379" t="str">
        <f>Schon!$G103</f>
        <v>n/a</v>
      </c>
      <c r="AA53" s="382" t="str">
        <f>Schon!$G104</f>
        <v>norm</v>
      </c>
      <c r="AB53" s="382" t="str">
        <f>Schon!$G105</f>
        <v>norm</v>
      </c>
      <c r="AC53" s="382" t="str">
        <f>Schon!$G106</f>
        <v>n/r</v>
      </c>
      <c r="AD53" s="379" t="str">
        <f>Schon!$G107</f>
        <v>n/r</v>
      </c>
      <c r="AE53" s="384" t="str">
        <f>Schon!$G108</f>
        <v>n/r</v>
      </c>
      <c r="AF53" s="384" t="str">
        <f>Schon!$G109</f>
        <v>n/r</v>
      </c>
      <c r="AG53" s="379"/>
      <c r="AH53" s="386"/>
      <c r="AI53" s="379"/>
      <c r="AJ53" s="379"/>
      <c r="AK53" s="379"/>
      <c r="AL53" s="379"/>
      <c r="AM53" s="379"/>
      <c r="AN53" s="379"/>
      <c r="AO53" s="379"/>
      <c r="AP53" s="379"/>
      <c r="AQ53" s="382"/>
      <c r="AR53" s="382"/>
    </row>
    <row r="54" spans="2:44" s="254" customFormat="1" x14ac:dyDescent="0.3">
      <c r="B54" s="375"/>
      <c r="C54" s="375"/>
      <c r="D54" s="375"/>
      <c r="E54" s="376"/>
      <c r="F54" s="375"/>
      <c r="G54" s="376"/>
      <c r="H54" s="376"/>
      <c r="I54" s="375"/>
      <c r="J54" s="376"/>
      <c r="K54" s="375"/>
      <c r="L54" s="375"/>
      <c r="M54" s="375"/>
      <c r="N54" s="375"/>
      <c r="O54" s="375"/>
      <c r="P54" s="384" t="str">
        <f>Schon!$F94</f>
        <v>-</v>
      </c>
      <c r="Q54" s="375"/>
      <c r="R54" s="384" t="str">
        <f>Schon!$F95</f>
        <v>With H2</v>
      </c>
      <c r="S54" s="379">
        <f>Schon!$F96</f>
        <v>1.1172595520421607</v>
      </c>
      <c r="T54" s="385">
        <f>Schon!$F97</f>
        <v>22</v>
      </c>
      <c r="U54" s="379">
        <f>Schon!$F98</f>
        <v>2.6668985507246377</v>
      </c>
      <c r="V54" s="379">
        <f>Schon!$F99</f>
        <v>0.30499999999999999</v>
      </c>
      <c r="W54" s="380">
        <f>Schon!$F100</f>
        <v>2.4999999999999967E-2</v>
      </c>
      <c r="X54" s="381">
        <f>Schon!$F101</f>
        <v>8.8652482269503438E-2</v>
      </c>
      <c r="Y54" s="379">
        <f>Schon!$F102</f>
        <v>0.34076416337285903</v>
      </c>
      <c r="Z54" s="379" t="str">
        <f>Schon!$F103</f>
        <v>n/a</v>
      </c>
      <c r="AA54" s="382" t="str">
        <f>Schon!$F104</f>
        <v>norm</v>
      </c>
      <c r="AB54" s="382" t="str">
        <f>Schon!$F105</f>
        <v>norm</v>
      </c>
      <c r="AC54" s="382" t="str">
        <f>Schon!$F106</f>
        <v>n/r</v>
      </c>
      <c r="AD54" s="379" t="str">
        <f>Schon!$F107</f>
        <v>n/r</v>
      </c>
      <c r="AE54" s="384" t="str">
        <f>Schon!$F108</f>
        <v>n/r</v>
      </c>
      <c r="AF54" s="384" t="str">
        <f>Schon!$F109</f>
        <v>n/r</v>
      </c>
      <c r="AG54" s="379">
        <f>Schon!$F$79</f>
        <v>0.66672463768115942</v>
      </c>
      <c r="AH54" s="386">
        <f>Schon!$F$80</f>
        <v>5.5405311698217885E-2</v>
      </c>
      <c r="AI54" s="379">
        <f>Schon!$F$81</f>
        <v>-2.4793218223424174E-2</v>
      </c>
      <c r="AJ54" s="379" t="str">
        <f>Schon!$F$82</f>
        <v>n/r</v>
      </c>
      <c r="AK54" s="379" t="str">
        <f>Schon!$F$83</f>
        <v>n/r</v>
      </c>
      <c r="AL54" s="379">
        <f>Schon!$F$84</f>
        <v>8.3100741395901095E-2</v>
      </c>
      <c r="AM54" s="379" t="str">
        <f>Schon!$F$85</f>
        <v>n/r</v>
      </c>
      <c r="AN54" s="379" t="str">
        <f>Schon!$F$86</f>
        <v>n/r</v>
      </c>
      <c r="AO54" s="379">
        <f>Schon!$F$87</f>
        <v>0.16936086093819985</v>
      </c>
      <c r="AP54" s="379" t="str">
        <f>Schon!$F$88</f>
        <v>n/r</v>
      </c>
      <c r="AQ54" s="382" t="str">
        <f>Schon!$F$89</f>
        <v>n/r</v>
      </c>
      <c r="AR54" s="382" t="str">
        <f>Schon!$F$90</f>
        <v>n/r</v>
      </c>
    </row>
    <row r="55" spans="2:44" s="254" customFormat="1" x14ac:dyDescent="0.3">
      <c r="B55" s="375"/>
      <c r="C55" s="375"/>
      <c r="D55" s="375"/>
      <c r="E55" s="376"/>
      <c r="F55" s="375"/>
      <c r="G55" s="376"/>
      <c r="H55" s="376"/>
      <c r="I55" s="375"/>
      <c r="J55" s="376"/>
      <c r="K55" s="375"/>
      <c r="L55" s="375"/>
      <c r="M55" s="375"/>
      <c r="N55" s="375"/>
      <c r="O55" s="375"/>
      <c r="P55" s="378" t="str">
        <f>Schon!$L94</f>
        <v>Hydrolysis at 60 oC</v>
      </c>
      <c r="Q55" s="375"/>
      <c r="R55" s="384" t="str">
        <f>Schon!$L95</f>
        <v>No H2</v>
      </c>
      <c r="S55" s="379">
        <f>Schon!$L96</f>
        <v>0.89473684210526316</v>
      </c>
      <c r="T55" s="385">
        <f>Schon!$L97</f>
        <v>24</v>
      </c>
      <c r="U55" s="379"/>
      <c r="V55" s="379">
        <f>Schon!$L99</f>
        <v>0.30599999999999999</v>
      </c>
      <c r="W55" s="380"/>
      <c r="X55" s="381"/>
      <c r="Y55" s="379">
        <f>Schon!$L102</f>
        <v>0.27378947368421053</v>
      </c>
      <c r="Z55" s="379" t="str">
        <f>Schon!$L103</f>
        <v>n/a</v>
      </c>
      <c r="AA55" s="382" t="str">
        <f>Schon!$L104</f>
        <v>norm</v>
      </c>
      <c r="AB55" s="382" t="str">
        <f>Schon!$L105</f>
        <v>norm</v>
      </c>
      <c r="AC55" s="382" t="str">
        <f>Schon!$L106</f>
        <v>n/r</v>
      </c>
      <c r="AD55" s="379" t="str">
        <f>Schon!$L107</f>
        <v>n/r</v>
      </c>
      <c r="AE55" s="384" t="str">
        <f>Schon!$L108</f>
        <v>n/r</v>
      </c>
      <c r="AF55" s="384" t="str">
        <f>Schon!$L109</f>
        <v>n/r</v>
      </c>
      <c r="AG55" s="379"/>
      <c r="AH55" s="386"/>
      <c r="AI55" s="379"/>
      <c r="AJ55" s="379"/>
      <c r="AK55" s="379"/>
      <c r="AL55" s="379"/>
      <c r="AM55" s="379"/>
      <c r="AN55" s="379"/>
      <c r="AO55" s="379"/>
      <c r="AP55" s="379"/>
      <c r="AQ55" s="382"/>
      <c r="AR55" s="382"/>
    </row>
    <row r="56" spans="2:44" s="254" customFormat="1" x14ac:dyDescent="0.3">
      <c r="B56" s="375"/>
      <c r="C56" s="375"/>
      <c r="D56" s="375"/>
      <c r="E56" s="376"/>
      <c r="F56" s="375"/>
      <c r="G56" s="376"/>
      <c r="H56" s="376"/>
      <c r="I56" s="375"/>
      <c r="J56" s="376"/>
      <c r="K56" s="375"/>
      <c r="L56" s="375"/>
      <c r="M56" s="375"/>
      <c r="N56" s="375"/>
      <c r="O56" s="375"/>
      <c r="P56" s="384" t="str">
        <f>Schon!$K94</f>
        <v>-</v>
      </c>
      <c r="Q56" s="375"/>
      <c r="R56" s="384" t="str">
        <f>Schon!$K95</f>
        <v>With H2</v>
      </c>
      <c r="S56" s="379">
        <f>Schon!$K96</f>
        <v>1.0144927536231885</v>
      </c>
      <c r="T56" s="385">
        <f>Schon!$K97</f>
        <v>24</v>
      </c>
      <c r="U56" s="379">
        <f>Schon!$K98</f>
        <v>4.570086956521739</v>
      </c>
      <c r="V56" s="379">
        <f>Schon!$K99</f>
        <v>0.313</v>
      </c>
      <c r="W56" s="380">
        <f>Schon!$K100</f>
        <v>7.0000000000000062E-3</v>
      </c>
      <c r="X56" s="381">
        <f>Schon!$K101</f>
        <v>2.4822695035461018E-2</v>
      </c>
      <c r="Y56" s="379">
        <f>Schon!$K102</f>
        <v>0.317536231884058</v>
      </c>
      <c r="Z56" s="379" t="str">
        <f>Schon!$K103</f>
        <v>n/a</v>
      </c>
      <c r="AA56" s="382" t="str">
        <f>Schon!$K104</f>
        <v>norm</v>
      </c>
      <c r="AB56" s="382" t="str">
        <f>Schon!$K105</f>
        <v>norm</v>
      </c>
      <c r="AC56" s="382" t="str">
        <f>Schon!$K106</f>
        <v>n/r</v>
      </c>
      <c r="AD56" s="379" t="str">
        <f>Schon!$K107</f>
        <v>n/r</v>
      </c>
      <c r="AE56" s="384" t="str">
        <f>Schon!$K108</f>
        <v>n/r</v>
      </c>
      <c r="AF56" s="384" t="str">
        <f>Schon!$K109</f>
        <v>n/r</v>
      </c>
      <c r="AG56" s="379">
        <f>Schon!$K$79</f>
        <v>1.1425217391304348</v>
      </c>
      <c r="AH56" s="386">
        <f>Schon!$K$80</f>
        <v>4.3746758199847469E-2</v>
      </c>
      <c r="AI56" s="379">
        <f>Schon!$K$81</f>
        <v>3.9140350877192975E-2</v>
      </c>
      <c r="AJ56" s="379" t="str">
        <f>Schon!$K$82</f>
        <v>n/r</v>
      </c>
      <c r="AK56" s="379" t="str">
        <f>Schon!$K$83</f>
        <v>n/r</v>
      </c>
      <c r="AL56" s="379">
        <f>Schon!$K$84</f>
        <v>3.8289650604935374E-2</v>
      </c>
      <c r="AM56" s="379" t="str">
        <f>Schon!$K$85</f>
        <v>n/r</v>
      </c>
      <c r="AN56" s="379" t="str">
        <f>Schon!$K$86</f>
        <v>n/r</v>
      </c>
      <c r="AO56" s="379">
        <f>Schon!$K$87</f>
        <v>0.10605951330829423</v>
      </c>
      <c r="AP56" s="379" t="str">
        <f>Schon!$K$88</f>
        <v>n/r</v>
      </c>
      <c r="AQ56" s="382" t="str">
        <f>Schon!$K$89</f>
        <v>n/r</v>
      </c>
      <c r="AR56" s="382" t="str">
        <f>Schon!$K$90</f>
        <v>n/r</v>
      </c>
    </row>
    <row r="57" spans="2:44" s="254" customFormat="1" x14ac:dyDescent="0.3">
      <c r="B57" s="375"/>
      <c r="C57" s="375"/>
      <c r="D57" s="375"/>
      <c r="E57" s="376"/>
      <c r="F57" s="375"/>
      <c r="G57" s="376"/>
      <c r="H57" s="376"/>
      <c r="I57" s="375"/>
      <c r="J57" s="376"/>
      <c r="K57" s="375"/>
      <c r="L57" s="375"/>
      <c r="M57" s="375"/>
      <c r="N57" s="375"/>
      <c r="O57" s="375"/>
      <c r="P57" s="378" t="str">
        <f>Schon!$N94</f>
        <v>Hydrolysis at 60 oC</v>
      </c>
      <c r="Q57" s="375"/>
      <c r="R57" s="384" t="str">
        <f>Schon!$N95</f>
        <v>No H2</v>
      </c>
      <c r="S57" s="379">
        <f>Schon!$N96</f>
        <v>1.2705949656750573</v>
      </c>
      <c r="T57" s="385">
        <f>Schon!$N97</f>
        <v>46</v>
      </c>
      <c r="U57" s="379"/>
      <c r="V57" s="379">
        <f>Schon!$N99</f>
        <v>0.38400000000000001</v>
      </c>
      <c r="W57" s="380"/>
      <c r="X57" s="381"/>
      <c r="Y57" s="379">
        <f>Schon!$N102</f>
        <v>0.48790846681922195</v>
      </c>
      <c r="Z57" s="379" t="str">
        <f>Schon!$N103</f>
        <v>n/a</v>
      </c>
      <c r="AA57" s="382" t="str">
        <f>Schon!$N104</f>
        <v>norm</v>
      </c>
      <c r="AB57" s="382" t="str">
        <f>Schon!$N105</f>
        <v>norm</v>
      </c>
      <c r="AC57" s="382" t="str">
        <f>Schon!$N106</f>
        <v>n/r</v>
      </c>
      <c r="AD57" s="379" t="str">
        <f>Schon!$N107</f>
        <v>n/r</v>
      </c>
      <c r="AE57" s="384" t="str">
        <f>Schon!$N108</f>
        <v>n/r</v>
      </c>
      <c r="AF57" s="384" t="str">
        <f>Schon!$N109</f>
        <v>n/r</v>
      </c>
      <c r="AG57" s="379"/>
      <c r="AH57" s="386"/>
      <c r="AI57" s="379"/>
      <c r="AJ57" s="379"/>
      <c r="AK57" s="379"/>
      <c r="AL57" s="379"/>
      <c r="AM57" s="379"/>
      <c r="AN57" s="379"/>
      <c r="AO57" s="379"/>
      <c r="AP57" s="379"/>
      <c r="AQ57" s="382"/>
      <c r="AR57" s="382"/>
    </row>
    <row r="58" spans="2:44" s="254" customFormat="1" x14ac:dyDescent="0.3">
      <c r="B58" s="362"/>
      <c r="C58" s="362"/>
      <c r="D58" s="362"/>
      <c r="E58" s="363"/>
      <c r="F58" s="362"/>
      <c r="G58" s="363"/>
      <c r="H58" s="363"/>
      <c r="I58" s="362"/>
      <c r="J58" s="363"/>
      <c r="K58" s="362"/>
      <c r="L58" s="362"/>
      <c r="M58" s="362"/>
      <c r="N58" s="362"/>
      <c r="O58" s="362"/>
      <c r="P58" s="387" t="str">
        <f>Schon!$M94</f>
        <v>-</v>
      </c>
      <c r="Q58" s="362"/>
      <c r="R58" s="387" t="str">
        <f>Schon!$M95</f>
        <v>With H2</v>
      </c>
      <c r="S58" s="366">
        <f>Schon!$M96</f>
        <v>1.3875236294896029</v>
      </c>
      <c r="T58" s="371">
        <f>Schon!$M97</f>
        <v>46</v>
      </c>
      <c r="U58" s="366">
        <f>Schon!$M98</f>
        <v>10.946173913043477</v>
      </c>
      <c r="V58" s="366">
        <f>Schon!$M99</f>
        <v>0.40600000000000003</v>
      </c>
      <c r="W58" s="367">
        <f>Schon!$M100</f>
        <v>2.200000000000002E-2</v>
      </c>
      <c r="X58" s="368">
        <f>Schon!$M101</f>
        <v>7.8014184397163192E-2</v>
      </c>
      <c r="Y58" s="366">
        <f>Schon!$M102</f>
        <v>0.56333459357277882</v>
      </c>
      <c r="Z58" s="366" t="str">
        <f>Schon!$M103</f>
        <v>n/a</v>
      </c>
      <c r="AA58" s="369" t="str">
        <f>Schon!$M104</f>
        <v>norm</v>
      </c>
      <c r="AB58" s="369" t="str">
        <f>Schon!$M105</f>
        <v>norm</v>
      </c>
      <c r="AC58" s="369" t="str">
        <f>Schon!$M106</f>
        <v>n/r</v>
      </c>
      <c r="AD58" s="366" t="str">
        <f>Schon!$M107</f>
        <v>n/r</v>
      </c>
      <c r="AE58" s="387" t="str">
        <f>Schon!$M108</f>
        <v>n/r</v>
      </c>
      <c r="AF58" s="387" t="str">
        <f>Schon!$M109</f>
        <v>n/r</v>
      </c>
      <c r="AG58" s="366">
        <f>Schon!$M$79</f>
        <v>2.7365434782608693</v>
      </c>
      <c r="AH58" s="388">
        <f>Schon!$M$80</f>
        <v>7.5426126753556866E-2</v>
      </c>
      <c r="AI58" s="366">
        <f>Schon!$M$81</f>
        <v>-3.4501989851755954E-2</v>
      </c>
      <c r="AJ58" s="366" t="str">
        <f>Schon!$M$82</f>
        <v>n/r</v>
      </c>
      <c r="AK58" s="366" t="str">
        <f>Schon!$M$83</f>
        <v>n/r</v>
      </c>
      <c r="AL58" s="366">
        <f>Schon!$M$84</f>
        <v>2.7562553766363598E-2</v>
      </c>
      <c r="AM58" s="366" t="str">
        <f>Schon!$M$85</f>
        <v>n/r</v>
      </c>
      <c r="AN58" s="366" t="str">
        <f>Schon!$M$86</f>
        <v>n/r</v>
      </c>
      <c r="AO58" s="366">
        <f>Schon!$M$87</f>
        <v>0.15221241247903738</v>
      </c>
      <c r="AP58" s="366" t="str">
        <f>Schon!$M$88</f>
        <v>n/r</v>
      </c>
      <c r="AQ58" s="369" t="str">
        <f>Schon!$M$89</f>
        <v>n/r</v>
      </c>
      <c r="AR58" s="369" t="str">
        <f>Schon!$M$90</f>
        <v>n/r</v>
      </c>
    </row>
    <row r="59" spans="2:44" x14ac:dyDescent="0.3">
      <c r="B59" s="304" t="str">
        <f>Agnees!B2</f>
        <v>Agneessens et al., 2017</v>
      </c>
      <c r="C59" s="304">
        <f>All!C59</f>
        <v>45</v>
      </c>
      <c r="D59" s="304" t="str">
        <f>Agnees!$D6</f>
        <v>Mixed agrowaste digestate</v>
      </c>
      <c r="E59" s="305">
        <f>Agnees!$D7</f>
        <v>38</v>
      </c>
      <c r="F59" s="304" t="str">
        <f>Agnees!$D8</f>
        <v>CSTR</v>
      </c>
      <c r="G59" s="305">
        <f>Agnees!$D9</f>
        <v>2</v>
      </c>
      <c r="H59" s="305">
        <f>Agnees!$D10</f>
        <v>0.3</v>
      </c>
      <c r="I59" s="304" t="str">
        <f>Agnees!$D11</f>
        <v>Stirred</v>
      </c>
      <c r="J59" s="305" t="str">
        <f>Agnees!$D12</f>
        <v>No</v>
      </c>
      <c r="K59" s="304" t="str">
        <f>Agnees!$D13</f>
        <v>Headspace - pulsed</v>
      </c>
      <c r="L59" s="304" t="str">
        <f>Agnees!$D14</f>
        <v>Pulsed</v>
      </c>
      <c r="M59" s="304" t="str">
        <f>Agnees!$D15</f>
        <v xml:space="preserve">Parallel </v>
      </c>
      <c r="N59" s="304" t="str">
        <f>Agnees!$D16</f>
        <v>H2/CO2 ratio</v>
      </c>
      <c r="O59" s="304" t="str">
        <f>Agnees!$D17</f>
        <v>6 reactors</v>
      </c>
      <c r="P59" s="306" t="str">
        <f>Agnees!$D61</f>
        <v>Control reactor</v>
      </c>
      <c r="Q59" s="304">
        <f>C59</f>
        <v>45</v>
      </c>
      <c r="R59" s="310" t="str">
        <f>Agnees!$D62</f>
        <v>No H2</v>
      </c>
      <c r="S59" s="307">
        <f>Agnees!$D63</f>
        <v>0.77</v>
      </c>
      <c r="T59" s="326">
        <f>Agnees!$D64</f>
        <v>20</v>
      </c>
      <c r="U59" s="307"/>
      <c r="V59" s="308">
        <f>Agnees!$D66</f>
        <v>0.29314285714285715</v>
      </c>
      <c r="W59" s="308"/>
      <c r="X59" s="338"/>
      <c r="Y59" s="307">
        <f>Agnees!$D69</f>
        <v>0.22572</v>
      </c>
      <c r="Z59" s="307"/>
      <c r="AA59" s="309">
        <f>Agnees!$D71</f>
        <v>59.4</v>
      </c>
      <c r="AB59" s="309">
        <f>Agnees!$D72</f>
        <v>40.700000000000003</v>
      </c>
      <c r="AC59" s="309" t="str">
        <f>Agnees!$D73</f>
        <v>n/a</v>
      </c>
      <c r="AD59" s="307">
        <f>Agnees!$D74</f>
        <v>7.91</v>
      </c>
      <c r="AE59" s="310" t="str">
        <f>Agnees!$D75</f>
        <v>n/r</v>
      </c>
      <c r="AF59" s="323">
        <f>Agnees!$D76</f>
        <v>2.7154308875376588E-3</v>
      </c>
      <c r="AG59" s="307"/>
      <c r="AH59" s="346"/>
      <c r="AI59" s="307"/>
      <c r="AJ59" s="307"/>
      <c r="AK59" s="307"/>
      <c r="AL59" s="307"/>
      <c r="AM59" s="307"/>
      <c r="AN59" s="307"/>
      <c r="AO59" s="307"/>
      <c r="AP59" s="307"/>
      <c r="AQ59" s="309"/>
      <c r="AR59" s="309"/>
    </row>
    <row r="60" spans="2:44" x14ac:dyDescent="0.3">
      <c r="B60" s="327"/>
      <c r="C60" s="327"/>
      <c r="D60" s="327"/>
      <c r="E60" s="328"/>
      <c r="F60" s="327"/>
      <c r="G60" s="328"/>
      <c r="H60" s="328"/>
      <c r="I60" s="327"/>
      <c r="J60" s="328"/>
      <c r="K60" s="327"/>
      <c r="L60" s="327"/>
      <c r="M60" s="327"/>
      <c r="N60" s="327"/>
      <c r="O60" s="327"/>
      <c r="P60" s="330" t="str">
        <f>Agnees!$G61</f>
        <v>H2/CO2 = 6</v>
      </c>
      <c r="Q60" s="327"/>
      <c r="R60" s="357" t="str">
        <f>Agnees!$G62</f>
        <v>With H2</v>
      </c>
      <c r="S60" s="331">
        <f>Agnees!$G63</f>
        <v>0.77</v>
      </c>
      <c r="T60" s="343">
        <f>Agnees!$G64</f>
        <v>20</v>
      </c>
      <c r="U60" s="331">
        <f>Agnees!$G65</f>
        <v>0.92796000000000012</v>
      </c>
      <c r="V60" s="332">
        <f>Agnees!$G66</f>
        <v>0.5714285714285714</v>
      </c>
      <c r="W60" s="332">
        <f>Agnees!$G67</f>
        <v>0.21428</v>
      </c>
      <c r="X60" s="340">
        <f>Agnees!$G68</f>
        <v>0.73097465886939572</v>
      </c>
      <c r="Y60" s="331">
        <f>Agnees!$G69</f>
        <v>0.44</v>
      </c>
      <c r="Z60" s="331">
        <f>Agnees!$G70</f>
        <v>0.21428</v>
      </c>
      <c r="AA60" s="333">
        <f>Agnees!$G71</f>
        <v>100</v>
      </c>
      <c r="AB60" s="333">
        <f>Agnees!$G72</f>
        <v>0</v>
      </c>
      <c r="AC60" s="333" t="str">
        <f>Agnees!$G73</f>
        <v>n/a</v>
      </c>
      <c r="AD60" s="331">
        <f>Agnees!$G74</f>
        <v>7.91</v>
      </c>
      <c r="AE60" s="357" t="str">
        <f>Agnees!$G75</f>
        <v>n/r</v>
      </c>
      <c r="AF60" s="329">
        <f>Agnees!$G76</f>
        <v>4.1234101515003957E-3</v>
      </c>
      <c r="AG60" s="331">
        <f>Agnees!$G47</f>
        <v>0.22725000000000001</v>
      </c>
      <c r="AH60" s="358">
        <f>Agnees!$G48</f>
        <v>0.21428</v>
      </c>
      <c r="AI60" s="331">
        <f>Agnees!$G49</f>
        <v>0.15466000000000002</v>
      </c>
      <c r="AJ60" s="331">
        <f>Agnees!$G50</f>
        <v>6</v>
      </c>
      <c r="AK60" s="331">
        <f>Agnees!$G51</f>
        <v>1.01</v>
      </c>
      <c r="AL60" s="331">
        <f>Agnees!$G52</f>
        <v>0.94292629262926286</v>
      </c>
      <c r="AM60" s="331">
        <f>Agnees!$G53</f>
        <v>0.68057205720572067</v>
      </c>
      <c r="AN60" s="331">
        <f>Agnees!$G54</f>
        <v>1.3854907539118064</v>
      </c>
      <c r="AO60" s="331">
        <f>Agnees!$G55</f>
        <v>1.3854907539118064</v>
      </c>
      <c r="AP60" s="331">
        <f>Agnees!$G56</f>
        <v>1.1578947368421053</v>
      </c>
      <c r="AQ60" s="333">
        <f>Agnees!$G57</f>
        <v>4.2001120029867467</v>
      </c>
      <c r="AR60" s="333">
        <f>Agnees!$G58</f>
        <v>5.8192163455321344</v>
      </c>
    </row>
    <row r="61" spans="2:44" x14ac:dyDescent="0.3">
      <c r="B61" s="375" t="str">
        <f>Agnees!B81</f>
        <v xml:space="preserve">Agneessens et al., 2018 </v>
      </c>
      <c r="C61" s="294">
        <f>All!C61</f>
        <v>47</v>
      </c>
      <c r="D61" s="375" t="str">
        <f>Agnees!$D85</f>
        <v>Mixed agrowaste digestate</v>
      </c>
      <c r="E61" s="376">
        <f>Agnees!$D86</f>
        <v>38</v>
      </c>
      <c r="F61" s="375" t="str">
        <f>Agnees!$D87</f>
        <v>CSTR</v>
      </c>
      <c r="G61" s="376">
        <f>Agnees!$D88</f>
        <v>1.4</v>
      </c>
      <c r="H61" s="376">
        <f>Agnees!$D89</f>
        <v>0.3</v>
      </c>
      <c r="I61" s="375" t="str">
        <f>Agnees!$D90</f>
        <v>Stirred</v>
      </c>
      <c r="J61" s="376" t="str">
        <f>Agnees!$D91</f>
        <v>No</v>
      </c>
      <c r="K61" s="375" t="str">
        <f>Agnees!$D92</f>
        <v>Headspace - pulsed</v>
      </c>
      <c r="L61" s="375" t="str">
        <f>Agnees!$D93</f>
        <v>Pulsed</v>
      </c>
      <c r="M61" s="375" t="str">
        <f>Agnees!$D94</f>
        <v>Parallel</v>
      </c>
      <c r="N61" s="375" t="str">
        <f>Agnees!$D95</f>
        <v>OLR and H2 addition</v>
      </c>
      <c r="O61" s="375" t="str">
        <f>Agnees!$D96</f>
        <v>6 reactors</v>
      </c>
      <c r="P61" s="378" t="str">
        <f>Agnees!$L148</f>
        <v>OLR 2</v>
      </c>
      <c r="Q61" s="294">
        <f>C61</f>
        <v>47</v>
      </c>
      <c r="R61" s="389" t="str">
        <f>Agnees!$L149</f>
        <v xml:space="preserve">No H2 </v>
      </c>
      <c r="S61" s="382">
        <f>Agnees!$L150</f>
        <v>2</v>
      </c>
      <c r="T61" s="385">
        <f>Agnees!$L151</f>
        <v>20</v>
      </c>
      <c r="U61" s="379"/>
      <c r="V61" s="380">
        <f>Agnees!$L153</f>
        <v>0.1288</v>
      </c>
      <c r="W61" s="380"/>
      <c r="X61" s="381"/>
      <c r="Y61" s="379">
        <f>Agnees!$L156</f>
        <v>0.2576</v>
      </c>
      <c r="Z61" s="379"/>
      <c r="AA61" s="382">
        <f>Agnees!$L158</f>
        <v>56</v>
      </c>
      <c r="AB61" s="382">
        <f>Agnees!$L159</f>
        <v>44</v>
      </c>
      <c r="AC61" s="382" t="str">
        <f>Agnees!$L160</f>
        <v>n/a</v>
      </c>
      <c r="AD61" s="379">
        <f>Agnees!$L161</f>
        <v>7.92</v>
      </c>
      <c r="AE61" s="389" t="str">
        <f>Agnees!$L162</f>
        <v>n/r</v>
      </c>
      <c r="AF61" s="377">
        <f>Agnees!$L163</f>
        <v>2.9963971746966782E-3</v>
      </c>
      <c r="AG61" s="379"/>
      <c r="AH61" s="386"/>
      <c r="AI61" s="379"/>
      <c r="AJ61" s="379"/>
      <c r="AK61" s="379"/>
      <c r="AL61" s="379"/>
      <c r="AM61" s="379"/>
      <c r="AN61" s="379"/>
      <c r="AO61" s="379"/>
      <c r="AP61" s="379"/>
      <c r="AQ61" s="382"/>
      <c r="AR61" s="382"/>
    </row>
    <row r="62" spans="2:44" x14ac:dyDescent="0.3">
      <c r="B62" s="375"/>
      <c r="C62" s="375"/>
      <c r="D62" s="375"/>
      <c r="E62" s="376"/>
      <c r="F62" s="375"/>
      <c r="G62" s="376"/>
      <c r="H62" s="376"/>
      <c r="I62" s="375"/>
      <c r="J62" s="376"/>
      <c r="K62" s="375"/>
      <c r="L62" s="375"/>
      <c r="M62" s="375"/>
      <c r="N62" s="375"/>
      <c r="O62" s="375"/>
      <c r="P62" s="378" t="str">
        <f>Agnees!$M148</f>
        <v>&gt;25% CO2, OLR 2, inj 1</v>
      </c>
      <c r="Q62" s="375"/>
      <c r="R62" s="389" t="str">
        <f>Agnees!$M149</f>
        <v>With H2</v>
      </c>
      <c r="S62" s="382">
        <f>Agnees!$M150</f>
        <v>2</v>
      </c>
      <c r="T62" s="385">
        <f>Agnees!$M151</f>
        <v>20</v>
      </c>
      <c r="U62" s="379">
        <f>Agnees!$M152</f>
        <v>1.3</v>
      </c>
      <c r="V62" s="380">
        <f>Agnees!$M153</f>
        <v>0.2303</v>
      </c>
      <c r="W62" s="380">
        <f>Agnees!$M154</f>
        <v>0.10150000000000001</v>
      </c>
      <c r="X62" s="381">
        <f>Agnees!$M155</f>
        <v>0.78804347826086962</v>
      </c>
      <c r="Y62" s="379">
        <f>Agnees!$M156</f>
        <v>0.46060000000000001</v>
      </c>
      <c r="Z62" s="379">
        <f>Agnees!$M157</f>
        <v>0.20300000000000001</v>
      </c>
      <c r="AA62" s="382">
        <f>Agnees!$M158</f>
        <v>94</v>
      </c>
      <c r="AB62" s="382">
        <f>Agnees!$M159</f>
        <v>6</v>
      </c>
      <c r="AC62" s="382" t="str">
        <f>Agnees!$M160</f>
        <v>n/a</v>
      </c>
      <c r="AD62" s="379">
        <f>Agnees!$M161</f>
        <v>7.92</v>
      </c>
      <c r="AE62" s="389" t="str">
        <f>Agnees!$M162</f>
        <v>n/r</v>
      </c>
      <c r="AF62" s="377">
        <f>Agnees!$M163</f>
        <v>3.8235840834714959E-3</v>
      </c>
      <c r="AG62" s="379">
        <f>Agnees!$M133</f>
        <v>0.32500000000000001</v>
      </c>
      <c r="AH62" s="386">
        <f>Agnees!$M134</f>
        <v>0.20300000000000001</v>
      </c>
      <c r="AI62" s="379">
        <f>Agnees!$M135</f>
        <v>0.17300000000000001</v>
      </c>
      <c r="AJ62" s="379">
        <f>Agnees!$M136</f>
        <v>6.4229249011857705</v>
      </c>
      <c r="AK62" s="379">
        <f>Agnees!$M137</f>
        <v>1</v>
      </c>
      <c r="AL62" s="379">
        <f>Agnees!$M138</f>
        <v>0.62461538461538468</v>
      </c>
      <c r="AM62" s="379">
        <f>Agnees!$M139</f>
        <v>3.6104935526900848</v>
      </c>
      <c r="AN62" s="379">
        <f>Agnees!$M140</f>
        <v>1.1734104046242775</v>
      </c>
      <c r="AO62" s="379">
        <f>Agnees!$M141</f>
        <v>1.0029644268774702</v>
      </c>
      <c r="AP62" s="379">
        <f>Agnees!$M142</f>
        <v>1.0652173913043477</v>
      </c>
      <c r="AQ62" s="382">
        <f>Agnees!$M143</f>
        <v>6.4039408866995071</v>
      </c>
      <c r="AR62" s="382">
        <f>Agnees!$M144</f>
        <v>7.5144508670520231</v>
      </c>
    </row>
    <row r="63" spans="2:44" x14ac:dyDescent="0.3">
      <c r="B63" s="375"/>
      <c r="C63" s="375"/>
      <c r="D63" s="375"/>
      <c r="E63" s="376"/>
      <c r="F63" s="375"/>
      <c r="G63" s="376"/>
      <c r="H63" s="376"/>
      <c r="I63" s="375"/>
      <c r="J63" s="376"/>
      <c r="K63" s="375"/>
      <c r="L63" s="375"/>
      <c r="M63" s="375"/>
      <c r="N63" s="375"/>
      <c r="O63" s="375"/>
      <c r="P63" s="378" t="str">
        <f>Agnees!$P148</f>
        <v>OLR 2</v>
      </c>
      <c r="Q63" s="375"/>
      <c r="R63" s="389" t="str">
        <f>Agnees!$P149</f>
        <v xml:space="preserve">No H2 </v>
      </c>
      <c r="S63" s="382">
        <f>Agnees!$P150</f>
        <v>2</v>
      </c>
      <c r="T63" s="385">
        <f>Agnees!$P151</f>
        <v>20</v>
      </c>
      <c r="U63" s="379"/>
      <c r="V63" s="380">
        <f>Agnees!$P153</f>
        <v>7.7000000000000013E-2</v>
      </c>
      <c r="W63" s="380"/>
      <c r="X63" s="381"/>
      <c r="Y63" s="379">
        <f>Agnees!$P156</f>
        <v>0.15400000000000003</v>
      </c>
      <c r="Z63" s="379"/>
      <c r="AA63" s="382">
        <f>Agnees!$P158</f>
        <v>55</v>
      </c>
      <c r="AB63" s="382">
        <f>Agnees!$P159</f>
        <v>45</v>
      </c>
      <c r="AC63" s="382" t="str">
        <f>Agnees!$P160</f>
        <v>n/a</v>
      </c>
      <c r="AD63" s="379">
        <f>Agnees!$P161</f>
        <v>8.35</v>
      </c>
      <c r="AE63" s="389" t="str">
        <f>Agnees!$P162</f>
        <v>n/r</v>
      </c>
      <c r="AF63" s="377">
        <f>Agnees!$P163</f>
        <v>4.0411462507284864E-3</v>
      </c>
      <c r="AG63" s="379"/>
      <c r="AH63" s="386"/>
      <c r="AI63" s="379"/>
      <c r="AJ63" s="379"/>
      <c r="AK63" s="379"/>
      <c r="AL63" s="379"/>
      <c r="AM63" s="379"/>
      <c r="AN63" s="379"/>
      <c r="AO63" s="379"/>
      <c r="AP63" s="379"/>
      <c r="AQ63" s="382"/>
      <c r="AR63" s="382"/>
    </row>
    <row r="64" spans="2:44" x14ac:dyDescent="0.3">
      <c r="B64" s="362"/>
      <c r="C64" s="362"/>
      <c r="D64" s="362"/>
      <c r="E64" s="363"/>
      <c r="F64" s="362"/>
      <c r="G64" s="363"/>
      <c r="H64" s="363"/>
      <c r="I64" s="362"/>
      <c r="J64" s="363"/>
      <c r="K64" s="362"/>
      <c r="L64" s="362"/>
      <c r="M64" s="362"/>
      <c r="N64" s="362"/>
      <c r="O64" s="362"/>
      <c r="P64" s="365" t="str">
        <f>Agnees!$Q148</f>
        <v>&lt;7% CO2, OLR 2, inj 10</v>
      </c>
      <c r="Q64" s="362"/>
      <c r="R64" s="390" t="str">
        <f>Agnees!$Q149</f>
        <v>With H2</v>
      </c>
      <c r="S64" s="369">
        <f>Agnees!$Q150</f>
        <v>2</v>
      </c>
      <c r="T64" s="371">
        <f>Agnees!$Q151</f>
        <v>20</v>
      </c>
      <c r="U64" s="366">
        <f>Agnees!$Q152</f>
        <v>1.3</v>
      </c>
      <c r="V64" s="367">
        <f>Agnees!$Q153</f>
        <v>0.14524999999999999</v>
      </c>
      <c r="W64" s="367">
        <f>Agnees!$Q154</f>
        <v>6.8249999999999977E-2</v>
      </c>
      <c r="X64" s="368">
        <f>Agnees!$Q155</f>
        <v>0.88636363636363591</v>
      </c>
      <c r="Y64" s="366">
        <f>Agnees!$Q156</f>
        <v>0.29049999999999998</v>
      </c>
      <c r="Z64" s="366">
        <f>Agnees!$Q157</f>
        <v>0.13649999999999995</v>
      </c>
      <c r="AA64" s="369">
        <f>Agnees!$Q158</f>
        <v>83</v>
      </c>
      <c r="AB64" s="369">
        <f>Agnees!$Q159</f>
        <v>17</v>
      </c>
      <c r="AC64" s="369" t="str">
        <f>Agnees!$Q160</f>
        <v>n/a</v>
      </c>
      <c r="AD64" s="366">
        <f>Agnees!$Q161</f>
        <v>8.34</v>
      </c>
      <c r="AE64" s="390" t="str">
        <f>Agnees!$Q162</f>
        <v>n/r</v>
      </c>
      <c r="AF64" s="364">
        <f>Agnees!$Q163</f>
        <v>5.7952362564206109E-3</v>
      </c>
      <c r="AG64" s="366">
        <f>Agnees!$Q133</f>
        <v>0.32500000000000001</v>
      </c>
      <c r="AH64" s="388">
        <f>Agnees!$Q134</f>
        <v>0.13649999999999995</v>
      </c>
      <c r="AI64" s="366">
        <f>Agnees!$Q135</f>
        <v>6.6500000000000004E-2</v>
      </c>
      <c r="AJ64" s="366">
        <f>Agnees!$Q136</f>
        <v>10.317460317460318</v>
      </c>
      <c r="AK64" s="366">
        <f>Agnees!$Q137</f>
        <v>1</v>
      </c>
      <c r="AL64" s="366">
        <f>Agnees!$Q138</f>
        <v>0.41999999999999987</v>
      </c>
      <c r="AM64" s="366">
        <f>Agnees!$Q139</f>
        <v>6.315789473684208</v>
      </c>
      <c r="AN64" s="366">
        <f>Agnees!$Q140</f>
        <v>2.0526315789473677</v>
      </c>
      <c r="AO64" s="366">
        <f>Agnees!$Q141</f>
        <v>1.083333333333333</v>
      </c>
      <c r="AP64" s="366">
        <f>Agnees!$Q142</f>
        <v>1.2499999999999998</v>
      </c>
      <c r="AQ64" s="369">
        <f>Agnees!$Q143</f>
        <v>9.5238095238095273</v>
      </c>
      <c r="AR64" s="369">
        <f>Agnees!$Q144</f>
        <v>19.548872180451127</v>
      </c>
    </row>
    <row r="65" spans="43:44" x14ac:dyDescent="0.3">
      <c r="AQ65" s="265"/>
      <c r="AR65" s="265"/>
    </row>
    <row r="66" spans="43:44" x14ac:dyDescent="0.3">
      <c r="AQ66" s="265"/>
      <c r="AR66" s="265"/>
    </row>
    <row r="67" spans="43:44" x14ac:dyDescent="0.3">
      <c r="AQ67" s="265"/>
      <c r="AR67" s="265"/>
    </row>
    <row r="68" spans="43:44" x14ac:dyDescent="0.3">
      <c r="AQ68" s="265"/>
      <c r="AR68" s="265"/>
    </row>
    <row r="69" spans="43:44" x14ac:dyDescent="0.3">
      <c r="AQ69" s="265"/>
      <c r="AR69" s="265"/>
    </row>
    <row r="70" spans="43:44" x14ac:dyDescent="0.3">
      <c r="AQ70" s="265"/>
      <c r="AR70" s="265"/>
    </row>
    <row r="71" spans="43:44" x14ac:dyDescent="0.3">
      <c r="AQ71" s="265"/>
      <c r="AR71" s="265"/>
    </row>
    <row r="72" spans="43:44" x14ac:dyDescent="0.3">
      <c r="AQ72" s="265"/>
      <c r="AR72" s="265"/>
    </row>
  </sheetData>
  <pageMargins left="0.7" right="0.7" top="0.75" bottom="0.75" header="0.3" footer="0.3"/>
  <pageSetup paperSize="9"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9381-60BC-467A-8A95-680A86D2C31C}">
  <dimension ref="B1:Q41"/>
  <sheetViews>
    <sheetView workbookViewId="0">
      <selection activeCell="G24" sqref="G24"/>
    </sheetView>
  </sheetViews>
  <sheetFormatPr defaultRowHeight="14.4" x14ac:dyDescent="0.3"/>
  <cols>
    <col min="2" max="2" width="12.109375" customWidth="1"/>
    <col min="3" max="3" width="8.6640625" bestFit="1" customWidth="1"/>
    <col min="4" max="4" width="10.33203125" customWidth="1"/>
    <col min="5" max="5" width="9.44140625" bestFit="1" customWidth="1"/>
    <col min="6" max="6" width="9.6640625" bestFit="1" customWidth="1"/>
    <col min="7" max="7" width="7.109375" bestFit="1" customWidth="1"/>
    <col min="8" max="8" width="9.44140625" bestFit="1" customWidth="1"/>
    <col min="9" max="9" width="7.109375" bestFit="1" customWidth="1"/>
    <col min="11" max="11" width="10" bestFit="1" customWidth="1"/>
    <col min="12" max="12" width="6.5546875" bestFit="1" customWidth="1"/>
    <col min="13" max="13" width="9.6640625" bestFit="1" customWidth="1"/>
  </cols>
  <sheetData>
    <row r="1" spans="2:17" x14ac:dyDescent="0.3">
      <c r="B1" s="68"/>
    </row>
    <row r="2" spans="2:17" s="133" customFormat="1" x14ac:dyDescent="0.3">
      <c r="B2" s="68" t="s">
        <v>1944</v>
      </c>
    </row>
    <row r="3" spans="2:17" s="133" customFormat="1" x14ac:dyDescent="0.3">
      <c r="B3" s="68"/>
    </row>
    <row r="4" spans="2:17" s="133" customFormat="1" x14ac:dyDescent="0.3">
      <c r="B4" s="67" t="s">
        <v>623</v>
      </c>
      <c r="C4"/>
    </row>
    <row r="5" spans="2:17" s="133" customFormat="1" x14ac:dyDescent="0.3"/>
    <row r="6" spans="2:17" s="133" customFormat="1" x14ac:dyDescent="0.3">
      <c r="B6" s="195" t="s">
        <v>2324</v>
      </c>
    </row>
    <row r="7" spans="2:17" s="133" customFormat="1" x14ac:dyDescent="0.3">
      <c r="B7" s="195" t="s">
        <v>1941</v>
      </c>
    </row>
    <row r="8" spans="2:17" s="133" customFormat="1" x14ac:dyDescent="0.3">
      <c r="B8" s="195" t="s">
        <v>1942</v>
      </c>
    </row>
    <row r="9" spans="2:17" s="133" customFormat="1" x14ac:dyDescent="0.3">
      <c r="B9" s="195" t="s">
        <v>1943</v>
      </c>
    </row>
    <row r="10" spans="2:17" s="133" customFormat="1" x14ac:dyDescent="0.3"/>
    <row r="11" spans="2:17" x14ac:dyDescent="0.3">
      <c r="B11" s="14" t="s">
        <v>656</v>
      </c>
    </row>
    <row r="13" spans="2:17" x14ac:dyDescent="0.3">
      <c r="B13" s="23"/>
      <c r="C13" s="23"/>
      <c r="D13" s="23" t="s">
        <v>278</v>
      </c>
      <c r="E13" s="23" t="s">
        <v>279</v>
      </c>
      <c r="F13" s="23" t="s">
        <v>624</v>
      </c>
      <c r="G13" s="23" t="s">
        <v>280</v>
      </c>
      <c r="H13" s="23" t="s">
        <v>625</v>
      </c>
      <c r="I13" s="23" t="s">
        <v>626</v>
      </c>
      <c r="J13" s="23" t="s">
        <v>627</v>
      </c>
      <c r="K13" s="23" t="s">
        <v>628</v>
      </c>
      <c r="L13" s="23" t="s">
        <v>629</v>
      </c>
      <c r="O13" s="69" t="s">
        <v>630</v>
      </c>
      <c r="P13" s="69" t="s">
        <v>631</v>
      </c>
      <c r="Q13" s="69" t="s">
        <v>632</v>
      </c>
    </row>
    <row r="14" spans="2:17" x14ac:dyDescent="0.3">
      <c r="B14" s="23"/>
      <c r="C14" s="23"/>
      <c r="D14" s="23" t="s">
        <v>633</v>
      </c>
      <c r="E14" s="23" t="s">
        <v>634</v>
      </c>
      <c r="F14" s="23" t="s">
        <v>635</v>
      </c>
      <c r="G14" s="23" t="s">
        <v>636</v>
      </c>
      <c r="H14" s="23" t="s">
        <v>637</v>
      </c>
      <c r="I14" s="23" t="s">
        <v>638</v>
      </c>
      <c r="J14" s="23" t="s">
        <v>639</v>
      </c>
      <c r="K14" s="23" t="s">
        <v>640</v>
      </c>
      <c r="O14" s="69"/>
      <c r="P14" s="69"/>
      <c r="Q14" s="69"/>
    </row>
    <row r="15" spans="2:17" ht="15.6" x14ac:dyDescent="0.35">
      <c r="B15" s="23" t="s">
        <v>619</v>
      </c>
      <c r="C15" s="70">
        <v>12.010999999999999</v>
      </c>
      <c r="D15" s="23">
        <v>2</v>
      </c>
      <c r="E15" s="23">
        <v>3</v>
      </c>
      <c r="F15" s="23">
        <v>4</v>
      </c>
      <c r="G15" s="23">
        <v>4</v>
      </c>
      <c r="H15" s="23">
        <v>5</v>
      </c>
      <c r="I15" s="23">
        <v>5</v>
      </c>
      <c r="J15" s="23">
        <v>6</v>
      </c>
      <c r="K15" s="23">
        <v>7</v>
      </c>
      <c r="O15" s="69" t="s">
        <v>278</v>
      </c>
      <c r="P15" s="69" t="s">
        <v>641</v>
      </c>
      <c r="Q15" s="69" t="s">
        <v>642</v>
      </c>
    </row>
    <row r="16" spans="2:17" ht="15.6" x14ac:dyDescent="0.35">
      <c r="B16" s="23" t="s">
        <v>618</v>
      </c>
      <c r="C16" s="70">
        <v>1.0079</v>
      </c>
      <c r="D16" s="23">
        <v>4</v>
      </c>
      <c r="E16" s="23">
        <v>6</v>
      </c>
      <c r="F16" s="23">
        <v>8</v>
      </c>
      <c r="G16" s="23">
        <v>8</v>
      </c>
      <c r="H16" s="23">
        <v>10</v>
      </c>
      <c r="I16" s="23">
        <v>10</v>
      </c>
      <c r="J16" s="23">
        <v>12</v>
      </c>
      <c r="K16" s="23">
        <v>14</v>
      </c>
      <c r="O16" s="69" t="s">
        <v>279</v>
      </c>
      <c r="P16" s="69" t="s">
        <v>643</v>
      </c>
      <c r="Q16" s="69" t="s">
        <v>644</v>
      </c>
    </row>
    <row r="17" spans="2:17" ht="15.6" x14ac:dyDescent="0.35">
      <c r="B17" s="23" t="s">
        <v>620</v>
      </c>
      <c r="C17" s="70">
        <v>15.9994</v>
      </c>
      <c r="D17" s="23">
        <v>2</v>
      </c>
      <c r="E17" s="23">
        <v>2</v>
      </c>
      <c r="F17" s="23">
        <v>2</v>
      </c>
      <c r="G17" s="23">
        <v>2</v>
      </c>
      <c r="H17" s="23">
        <v>2</v>
      </c>
      <c r="I17" s="23">
        <v>2</v>
      </c>
      <c r="J17" s="23">
        <v>2</v>
      </c>
      <c r="K17" s="23">
        <v>2</v>
      </c>
      <c r="O17" s="69" t="s">
        <v>280</v>
      </c>
      <c r="P17" s="69" t="s">
        <v>645</v>
      </c>
      <c r="Q17" s="69" t="s">
        <v>646</v>
      </c>
    </row>
    <row r="18" spans="2:17" x14ac:dyDescent="0.3">
      <c r="B18" s="23" t="s">
        <v>647</v>
      </c>
      <c r="C18" s="23"/>
      <c r="D18" s="71">
        <f>$C15*D15+$C16*D16+$C17*D17</f>
        <v>60.052399999999999</v>
      </c>
      <c r="E18" s="71">
        <f t="shared" ref="E18:K18" si="0">$C15*E15+$C16*E16+$C17*E17</f>
        <v>74.0792</v>
      </c>
      <c r="F18" s="71">
        <f t="shared" si="0"/>
        <v>88.105999999999995</v>
      </c>
      <c r="G18" s="71">
        <f t="shared" si="0"/>
        <v>88.105999999999995</v>
      </c>
      <c r="H18" s="71">
        <f t="shared" si="0"/>
        <v>102.13279999999999</v>
      </c>
      <c r="I18" s="71">
        <f t="shared" si="0"/>
        <v>102.13279999999999</v>
      </c>
      <c r="J18" s="71">
        <f t="shared" si="0"/>
        <v>116.1596</v>
      </c>
      <c r="K18" s="71">
        <f t="shared" si="0"/>
        <v>130.18639999999999</v>
      </c>
    </row>
    <row r="19" spans="2:17" x14ac:dyDescent="0.3">
      <c r="B19" s="23" t="s">
        <v>48</v>
      </c>
      <c r="C19" s="23"/>
      <c r="D19" s="71">
        <f t="shared" ref="D19:K19" si="1">$C$17*((D15*2)+(D16/2)-D17)</f>
        <v>63.997599999999998</v>
      </c>
      <c r="E19" s="71">
        <f t="shared" si="1"/>
        <v>111.9958</v>
      </c>
      <c r="F19" s="71">
        <f t="shared" si="1"/>
        <v>159.994</v>
      </c>
      <c r="G19" s="71">
        <f t="shared" si="1"/>
        <v>159.994</v>
      </c>
      <c r="H19" s="71">
        <f t="shared" si="1"/>
        <v>207.9922</v>
      </c>
      <c r="I19" s="71">
        <f t="shared" si="1"/>
        <v>207.9922</v>
      </c>
      <c r="J19" s="71">
        <f t="shared" si="1"/>
        <v>255.99039999999999</v>
      </c>
      <c r="K19" s="71">
        <f t="shared" si="1"/>
        <v>303.98860000000002</v>
      </c>
    </row>
    <row r="20" spans="2:17" x14ac:dyDescent="0.3">
      <c r="B20" s="23" t="s">
        <v>648</v>
      </c>
      <c r="C20" s="23"/>
      <c r="D20" s="72">
        <f>D19/D18</f>
        <v>1.0656959588625934</v>
      </c>
      <c r="E20" s="72">
        <f t="shared" ref="E20:K20" si="2">E19/E18</f>
        <v>1.5118386807632913</v>
      </c>
      <c r="F20" s="72">
        <f t="shared" si="2"/>
        <v>1.8159262706285613</v>
      </c>
      <c r="G20" s="72">
        <f t="shared" si="2"/>
        <v>1.8159262706285613</v>
      </c>
      <c r="H20" s="72">
        <f t="shared" si="2"/>
        <v>2.0364877884479817</v>
      </c>
      <c r="I20" s="72">
        <f t="shared" si="2"/>
        <v>2.0364877884479817</v>
      </c>
      <c r="J20" s="72">
        <f t="shared" si="2"/>
        <v>2.2037816934631316</v>
      </c>
      <c r="K20" s="72">
        <f t="shared" si="2"/>
        <v>2.3350257784223238</v>
      </c>
    </row>
    <row r="21" spans="2:17" x14ac:dyDescent="0.3">
      <c r="B21" s="23" t="s">
        <v>649</v>
      </c>
      <c r="C21" s="23"/>
      <c r="D21" s="71">
        <f t="shared" ref="D21:K21" si="3">$D$18/D18</f>
        <v>1</v>
      </c>
      <c r="E21" s="71">
        <f t="shared" si="3"/>
        <v>0.81065130292983723</v>
      </c>
      <c r="F21" s="71">
        <f t="shared" si="3"/>
        <v>0.68159262706285617</v>
      </c>
      <c r="G21" s="71">
        <f t="shared" si="3"/>
        <v>0.68159262706285617</v>
      </c>
      <c r="H21" s="71">
        <f t="shared" si="3"/>
        <v>0.58798348816442914</v>
      </c>
      <c r="I21" s="71">
        <f t="shared" si="3"/>
        <v>0.58798348816442914</v>
      </c>
      <c r="J21" s="71">
        <f t="shared" si="3"/>
        <v>0.51698180778859426</v>
      </c>
      <c r="K21" s="71">
        <f t="shared" si="3"/>
        <v>0.46128013371596421</v>
      </c>
    </row>
    <row r="22" spans="2:17" x14ac:dyDescent="0.3">
      <c r="D22" s="3"/>
      <c r="E22" s="3"/>
      <c r="F22" s="3"/>
      <c r="G22" s="3"/>
      <c r="H22" s="3"/>
      <c r="I22" s="3"/>
      <c r="J22" s="3"/>
      <c r="K22" s="3"/>
    </row>
    <row r="23" spans="2:17" x14ac:dyDescent="0.3">
      <c r="C23" t="s">
        <v>650</v>
      </c>
      <c r="D23" s="73">
        <f>D28</f>
        <v>2341</v>
      </c>
      <c r="E23" s="73">
        <f t="shared" ref="E23:K23" si="4">E28</f>
        <v>1101</v>
      </c>
      <c r="F23" s="73">
        <f t="shared" si="4"/>
        <v>508</v>
      </c>
      <c r="G23" s="73">
        <f t="shared" si="4"/>
        <v>762</v>
      </c>
      <c r="H23" s="73">
        <f t="shared" si="4"/>
        <v>828</v>
      </c>
      <c r="I23" s="73">
        <f t="shared" si="4"/>
        <v>328</v>
      </c>
      <c r="J23" s="73">
        <f t="shared" si="4"/>
        <v>109</v>
      </c>
      <c r="K23" s="73">
        <f t="shared" si="4"/>
        <v>45</v>
      </c>
      <c r="L23" s="73">
        <f>SUM(D23:K23)</f>
        <v>6022</v>
      </c>
      <c r="M23" s="73" t="s">
        <v>651</v>
      </c>
    </row>
    <row r="24" spans="2:17" x14ac:dyDescent="0.3">
      <c r="D24" s="73">
        <f>D23*D19/D18</f>
        <v>2494.7942396973308</v>
      </c>
      <c r="E24" s="73">
        <f t="shared" ref="E24:K24" si="5">E23*E19/E18</f>
        <v>1664.5343875203837</v>
      </c>
      <c r="F24" s="73">
        <f t="shared" si="5"/>
        <v>922.49054547930916</v>
      </c>
      <c r="G24" s="73">
        <f t="shared" si="5"/>
        <v>1383.7358182189637</v>
      </c>
      <c r="H24" s="73">
        <f t="shared" si="5"/>
        <v>1686.2118888349287</v>
      </c>
      <c r="I24" s="73">
        <f t="shared" si="5"/>
        <v>667.96799461093804</v>
      </c>
      <c r="J24" s="73">
        <f t="shared" si="5"/>
        <v>240.21220458748138</v>
      </c>
      <c r="K24" s="73">
        <f t="shared" si="5"/>
        <v>105.07616002900458</v>
      </c>
      <c r="L24" s="73">
        <f>SUM(D24:K24)</f>
        <v>9165.0232389783396</v>
      </c>
      <c r="M24" s="23" t="s">
        <v>652</v>
      </c>
    </row>
    <row r="25" spans="2:17" x14ac:dyDescent="0.3">
      <c r="D25" s="73">
        <f t="shared" ref="D25:K25" si="6">D23*($D$18/D18)</f>
        <v>2341</v>
      </c>
      <c r="E25" s="73">
        <f t="shared" si="6"/>
        <v>892.52708452575075</v>
      </c>
      <c r="F25" s="73">
        <f t="shared" si="6"/>
        <v>346.24905454793094</v>
      </c>
      <c r="G25" s="73">
        <f t="shared" si="6"/>
        <v>519.37358182189644</v>
      </c>
      <c r="H25" s="73">
        <f t="shared" si="6"/>
        <v>486.85032820014732</v>
      </c>
      <c r="I25" s="73">
        <f t="shared" si="6"/>
        <v>192.85858411793276</v>
      </c>
      <c r="J25" s="73">
        <f t="shared" si="6"/>
        <v>56.351017048956777</v>
      </c>
      <c r="K25" s="73">
        <f t="shared" si="6"/>
        <v>20.757606017218389</v>
      </c>
      <c r="L25" s="73">
        <f>SUM(D25:K25)</f>
        <v>4855.9672562798341</v>
      </c>
      <c r="M25" s="23" t="s">
        <v>653</v>
      </c>
    </row>
    <row r="26" spans="2:17" x14ac:dyDescent="0.3">
      <c r="D26" s="73">
        <f>D24*0.35</f>
        <v>873.17798389406573</v>
      </c>
      <c r="E26" s="73">
        <f t="shared" ref="E26:K26" si="7">E24*0.35</f>
        <v>582.5870356321343</v>
      </c>
      <c r="F26" s="73">
        <f t="shared" si="7"/>
        <v>322.8716909177582</v>
      </c>
      <c r="G26" s="73">
        <f t="shared" si="7"/>
        <v>484.30753637663724</v>
      </c>
      <c r="H26" s="73">
        <f t="shared" si="7"/>
        <v>590.17416109222495</v>
      </c>
      <c r="I26" s="73">
        <f t="shared" si="7"/>
        <v>233.78879811382831</v>
      </c>
      <c r="J26" s="73">
        <f t="shared" si="7"/>
        <v>84.074271605618478</v>
      </c>
      <c r="K26" s="73">
        <f t="shared" si="7"/>
        <v>36.776656010151605</v>
      </c>
      <c r="L26" s="73">
        <f>SUM(D26:K26)</f>
        <v>3207.7581336424187</v>
      </c>
      <c r="M26" s="23" t="s">
        <v>20</v>
      </c>
    </row>
    <row r="28" spans="2:17" x14ac:dyDescent="0.3">
      <c r="B28" s="9" t="s">
        <v>654</v>
      </c>
      <c r="D28" s="74">
        <v>2341</v>
      </c>
      <c r="E28" s="74">
        <v>1101</v>
      </c>
      <c r="F28" s="74">
        <v>508</v>
      </c>
      <c r="G28" s="74">
        <v>762</v>
      </c>
      <c r="H28" s="74">
        <v>828</v>
      </c>
      <c r="I28" s="74">
        <v>328</v>
      </c>
      <c r="J28" s="74">
        <v>109</v>
      </c>
      <c r="K28" s="74">
        <v>45</v>
      </c>
      <c r="L28" s="16">
        <f>SUM(D28:K28)</f>
        <v>6022</v>
      </c>
      <c r="M28" t="s">
        <v>17</v>
      </c>
    </row>
    <row r="29" spans="2:17" x14ac:dyDescent="0.3">
      <c r="D29" s="8">
        <f t="shared" ref="D29:K29" si="8">D28/D18</f>
        <v>38.982621843589932</v>
      </c>
      <c r="E29" s="8">
        <f t="shared" si="8"/>
        <v>14.862471516971025</v>
      </c>
      <c r="F29" s="8">
        <f t="shared" si="8"/>
        <v>5.7657821260754094</v>
      </c>
      <c r="G29" s="8">
        <f t="shared" si="8"/>
        <v>8.648673189113115</v>
      </c>
      <c r="H29" s="8">
        <f t="shared" si="8"/>
        <v>8.107091943038867</v>
      </c>
      <c r="I29" s="8">
        <f t="shared" si="8"/>
        <v>3.2115050209139477</v>
      </c>
      <c r="J29" s="8">
        <f t="shared" si="8"/>
        <v>0.93836411282407994</v>
      </c>
      <c r="K29" s="8">
        <f t="shared" si="8"/>
        <v>0.34565822543675839</v>
      </c>
      <c r="L29" s="8">
        <f>SUM(D29:K29)</f>
        <v>80.862167977963139</v>
      </c>
      <c r="M29" t="s">
        <v>655</v>
      </c>
    </row>
    <row r="31" spans="2:17" x14ac:dyDescent="0.3">
      <c r="D31">
        <f>D28*D18/D19</f>
        <v>2196.6865694963562</v>
      </c>
      <c r="E31">
        <f t="shared" ref="E31:K31" si="9">E28*E18/E19</f>
        <v>728.25230231847979</v>
      </c>
      <c r="F31">
        <f t="shared" si="9"/>
        <v>279.74704051401926</v>
      </c>
      <c r="G31">
        <f t="shared" si="9"/>
        <v>419.62056077102892</v>
      </c>
      <c r="H31">
        <f t="shared" si="9"/>
        <v>406.58235453060252</v>
      </c>
      <c r="I31">
        <f t="shared" si="9"/>
        <v>161.06160904110826</v>
      </c>
      <c r="J31">
        <f t="shared" si="9"/>
        <v>49.460434453792018</v>
      </c>
      <c r="K31">
        <f t="shared" si="9"/>
        <v>19.271735847989035</v>
      </c>
    </row>
    <row r="32" spans="2:17" x14ac:dyDescent="0.3">
      <c r="B32" s="102" t="s">
        <v>1945</v>
      </c>
    </row>
    <row r="33" spans="2:4" x14ac:dyDescent="0.3">
      <c r="C33" t="s">
        <v>657</v>
      </c>
    </row>
    <row r="34" spans="2:4" x14ac:dyDescent="0.3">
      <c r="B34" t="s">
        <v>622</v>
      </c>
      <c r="C34" s="75">
        <v>14.0067</v>
      </c>
    </row>
    <row r="36" spans="2:4" s="133" customFormat="1" x14ac:dyDescent="0.3">
      <c r="B36" s="102" t="s">
        <v>13</v>
      </c>
    </row>
    <row r="37" spans="2:4" s="133" customFormat="1" x14ac:dyDescent="0.3">
      <c r="B37" s="133" t="s">
        <v>1946</v>
      </c>
    </row>
    <row r="38" spans="2:4" s="133" customFormat="1" x14ac:dyDescent="0.3">
      <c r="B38" s="133" t="s">
        <v>1947</v>
      </c>
      <c r="C38" s="195">
        <v>22.413996390000001</v>
      </c>
      <c r="D38" s="133" t="s">
        <v>22</v>
      </c>
    </row>
    <row r="39" spans="2:4" s="133" customFormat="1" x14ac:dyDescent="0.3">
      <c r="B39" s="133" t="s">
        <v>620</v>
      </c>
      <c r="C39" s="99">
        <f>C17</f>
        <v>15.9994</v>
      </c>
      <c r="D39" s="133" t="s">
        <v>21</v>
      </c>
    </row>
    <row r="40" spans="2:4" s="133" customFormat="1" x14ac:dyDescent="0.3">
      <c r="C40" s="133">
        <f>C39/C38</f>
        <v>0.71381291054093898</v>
      </c>
      <c r="D40" s="133" t="s">
        <v>439</v>
      </c>
    </row>
    <row r="41" spans="2:4" s="133" customFormat="1" x14ac:dyDescent="0.3"/>
  </sheetData>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DB25-3AAC-401C-9862-C750CBFD0C00}">
  <dimension ref="B2:M79"/>
  <sheetViews>
    <sheetView workbookViewId="0"/>
  </sheetViews>
  <sheetFormatPr defaultColWidth="8.88671875" defaultRowHeight="14.4" x14ac:dyDescent="0.3"/>
  <cols>
    <col min="1" max="1" width="8.88671875" style="27"/>
    <col min="2" max="2" width="13.44140625" style="27" customWidth="1"/>
    <col min="3" max="3" width="10.5546875" style="27" bestFit="1" customWidth="1"/>
    <col min="4" max="4" width="12.109375" style="27" bestFit="1" customWidth="1"/>
    <col min="5" max="5" width="9" style="27" bestFit="1" customWidth="1"/>
    <col min="6" max="8" width="8.88671875" style="27"/>
    <col min="9" max="9" width="10.5546875" style="27" customWidth="1"/>
    <col min="10" max="10" width="12" style="27" customWidth="1"/>
    <col min="11" max="13" width="8.88671875" style="27"/>
    <col min="14" max="14" width="11" style="27" bestFit="1" customWidth="1"/>
    <col min="15" max="16384" width="8.88671875" style="27"/>
  </cols>
  <sheetData>
    <row r="2" spans="2:6" x14ac:dyDescent="0.3">
      <c r="B2" s="14" t="s">
        <v>1779</v>
      </c>
    </row>
    <row r="3" spans="2:6" x14ac:dyDescent="0.3">
      <c r="B3" s="27" t="s">
        <v>1264</v>
      </c>
    </row>
    <row r="4" spans="2:6" x14ac:dyDescent="0.3">
      <c r="B4" s="89" t="s">
        <v>1093</v>
      </c>
    </row>
    <row r="6" spans="2:6" s="133" customFormat="1" x14ac:dyDescent="0.3">
      <c r="B6" s="148" t="s">
        <v>114</v>
      </c>
      <c r="D6" s="133" t="s">
        <v>1982</v>
      </c>
    </row>
    <row r="7" spans="2:6" s="133" customFormat="1" x14ac:dyDescent="0.3">
      <c r="B7" s="133" t="s">
        <v>667</v>
      </c>
      <c r="C7" s="133" t="s">
        <v>503</v>
      </c>
      <c r="D7" s="133">
        <v>37</v>
      </c>
    </row>
    <row r="8" spans="2:6" s="133" customFormat="1" x14ac:dyDescent="0.3">
      <c r="B8" s="133" t="s">
        <v>1324</v>
      </c>
      <c r="D8" s="133" t="s">
        <v>1092</v>
      </c>
    </row>
    <row r="9" spans="2:6" s="133" customFormat="1" x14ac:dyDescent="0.3">
      <c r="B9" s="133" t="s">
        <v>956</v>
      </c>
      <c r="C9" s="133" t="s">
        <v>22</v>
      </c>
      <c r="D9" s="8" t="s">
        <v>1276</v>
      </c>
    </row>
    <row r="10" spans="2:6" s="133" customFormat="1" x14ac:dyDescent="0.3">
      <c r="B10" s="133" t="s">
        <v>32</v>
      </c>
      <c r="C10" s="133" t="s">
        <v>22</v>
      </c>
      <c r="D10" s="27">
        <v>2.37</v>
      </c>
    </row>
    <row r="11" spans="2:6" s="133" customFormat="1" x14ac:dyDescent="0.3">
      <c r="B11" s="133" t="s">
        <v>326</v>
      </c>
      <c r="D11" s="133" t="s">
        <v>1355</v>
      </c>
    </row>
    <row r="12" spans="2:6" s="133" customFormat="1" x14ac:dyDescent="0.3">
      <c r="B12" s="133" t="s">
        <v>344</v>
      </c>
      <c r="D12" s="133" t="s">
        <v>665</v>
      </c>
    </row>
    <row r="13" spans="2:6" s="133" customFormat="1" x14ac:dyDescent="0.3">
      <c r="B13" s="133" t="s">
        <v>1332</v>
      </c>
      <c r="D13" s="133" t="s">
        <v>328</v>
      </c>
    </row>
    <row r="14" spans="2:6" s="133" customFormat="1" x14ac:dyDescent="0.3">
      <c r="B14" s="133" t="s">
        <v>1330</v>
      </c>
      <c r="D14" s="133" t="s">
        <v>1333</v>
      </c>
    </row>
    <row r="15" spans="2:6" s="133" customFormat="1" x14ac:dyDescent="0.3">
      <c r="B15" s="133" t="s">
        <v>1968</v>
      </c>
      <c r="D15" s="133" t="s">
        <v>1969</v>
      </c>
      <c r="E15" s="133" t="s">
        <v>1971</v>
      </c>
    </row>
    <row r="16" spans="2:6" s="133" customFormat="1" x14ac:dyDescent="0.3">
      <c r="B16" s="133" t="s">
        <v>1541</v>
      </c>
      <c r="D16" s="133" t="s">
        <v>533</v>
      </c>
      <c r="F16" s="133" t="s">
        <v>1984</v>
      </c>
    </row>
    <row r="17" spans="2:11" s="133" customFormat="1" x14ac:dyDescent="0.3">
      <c r="B17" s="133" t="s">
        <v>1599</v>
      </c>
      <c r="D17" s="133" t="s">
        <v>1983</v>
      </c>
    </row>
    <row r="18" spans="2:11" s="133" customFormat="1" x14ac:dyDescent="0.3"/>
    <row r="19" spans="2:11" x14ac:dyDescent="0.3">
      <c r="B19" s="27" t="s">
        <v>32</v>
      </c>
      <c r="D19" s="27" t="s">
        <v>22</v>
      </c>
    </row>
    <row r="21" spans="2:11" x14ac:dyDescent="0.3">
      <c r="B21" s="27" t="s">
        <v>287</v>
      </c>
    </row>
    <row r="22" spans="2:11" x14ac:dyDescent="0.3">
      <c r="B22" s="27" t="s">
        <v>738</v>
      </c>
      <c r="C22" s="27" t="s">
        <v>1083</v>
      </c>
      <c r="D22" s="27" t="s">
        <v>26</v>
      </c>
      <c r="E22" s="27" t="s">
        <v>1084</v>
      </c>
      <c r="F22" s="27" t="s">
        <v>1085</v>
      </c>
      <c r="G22" s="27" t="s">
        <v>1086</v>
      </c>
      <c r="H22" s="27" t="s">
        <v>1087</v>
      </c>
      <c r="J22" s="27" t="s">
        <v>25</v>
      </c>
      <c r="K22" s="27" t="s">
        <v>915</v>
      </c>
    </row>
    <row r="23" spans="2:11" x14ac:dyDescent="0.3">
      <c r="D23" s="27" t="s">
        <v>566</v>
      </c>
      <c r="E23" s="27" t="s">
        <v>566</v>
      </c>
      <c r="F23" s="27" t="s">
        <v>1088</v>
      </c>
      <c r="G23" s="27" t="s">
        <v>1089</v>
      </c>
      <c r="H23" s="27" t="s">
        <v>1090</v>
      </c>
    </row>
    <row r="24" spans="2:11" x14ac:dyDescent="0.3">
      <c r="B24" s="27">
        <v>1</v>
      </c>
      <c r="C24" s="27" t="s">
        <v>1091</v>
      </c>
      <c r="D24" s="27">
        <v>80</v>
      </c>
      <c r="E24" s="27">
        <v>80</v>
      </c>
      <c r="J24" s="27" t="s">
        <v>1100</v>
      </c>
      <c r="K24" s="27">
        <v>42</v>
      </c>
    </row>
    <row r="25" spans="2:11" x14ac:dyDescent="0.3">
      <c r="B25" s="27">
        <v>2</v>
      </c>
      <c r="C25" s="27" t="s">
        <v>1092</v>
      </c>
      <c r="D25" s="27">
        <v>33</v>
      </c>
      <c r="E25" s="27">
        <v>107</v>
      </c>
      <c r="F25" s="27">
        <v>1.29</v>
      </c>
      <c r="J25" s="27" t="s">
        <v>1097</v>
      </c>
      <c r="K25" s="27">
        <v>60</v>
      </c>
    </row>
    <row r="26" spans="2:11" x14ac:dyDescent="0.3">
      <c r="B26" s="27">
        <v>3</v>
      </c>
      <c r="C26" s="27" t="s">
        <v>1092</v>
      </c>
      <c r="D26" s="27">
        <v>30</v>
      </c>
      <c r="E26" s="27">
        <v>102</v>
      </c>
      <c r="F26" s="27">
        <v>1.46</v>
      </c>
      <c r="H26" s="27">
        <v>0.52</v>
      </c>
      <c r="J26" s="27" t="s">
        <v>1098</v>
      </c>
      <c r="K26" s="27">
        <v>21</v>
      </c>
    </row>
    <row r="27" spans="2:11" x14ac:dyDescent="0.3">
      <c r="B27" s="27">
        <v>4</v>
      </c>
      <c r="C27" s="27" t="s">
        <v>1092</v>
      </c>
      <c r="D27" s="27">
        <v>30</v>
      </c>
      <c r="E27" s="27">
        <v>98</v>
      </c>
      <c r="F27" s="27">
        <v>1.38</v>
      </c>
      <c r="G27" s="27">
        <v>0.54</v>
      </c>
      <c r="H27" s="27">
        <v>0.52</v>
      </c>
      <c r="J27" s="27" t="s">
        <v>1099</v>
      </c>
      <c r="K27" s="27">
        <v>14</v>
      </c>
    </row>
    <row r="28" spans="2:11" x14ac:dyDescent="0.3">
      <c r="B28" s="27">
        <v>5</v>
      </c>
      <c r="C28" s="27" t="s">
        <v>1092</v>
      </c>
      <c r="D28" s="27">
        <v>29</v>
      </c>
      <c r="E28" s="27">
        <v>98</v>
      </c>
      <c r="F28" s="27">
        <v>1.46</v>
      </c>
      <c r="G28" s="27">
        <v>1.5</v>
      </c>
      <c r="H28" s="27">
        <v>0.52</v>
      </c>
      <c r="J28" s="27" t="s">
        <v>1094</v>
      </c>
      <c r="K28" s="27">
        <v>21</v>
      </c>
    </row>
    <row r="29" spans="2:11" x14ac:dyDescent="0.3">
      <c r="B29" s="27">
        <v>6</v>
      </c>
      <c r="C29" s="27" t="s">
        <v>1091</v>
      </c>
      <c r="D29" s="27">
        <v>54</v>
      </c>
      <c r="E29" s="27">
        <v>54</v>
      </c>
      <c r="H29" s="27">
        <v>0.52</v>
      </c>
      <c r="J29" s="27" t="s">
        <v>1095</v>
      </c>
      <c r="K29" s="27">
        <v>21</v>
      </c>
    </row>
    <row r="30" spans="2:11" x14ac:dyDescent="0.3">
      <c r="B30" s="27">
        <v>7</v>
      </c>
      <c r="C30" s="27" t="s">
        <v>1091</v>
      </c>
      <c r="D30" s="27">
        <v>29</v>
      </c>
      <c r="E30" s="27">
        <v>29</v>
      </c>
      <c r="H30" s="27">
        <v>0.52</v>
      </c>
      <c r="J30" s="27" t="s">
        <v>1096</v>
      </c>
      <c r="K30" s="27">
        <v>42</v>
      </c>
    </row>
    <row r="31" spans="2:11" x14ac:dyDescent="0.3">
      <c r="K31" s="27">
        <f>SUM(K24:K30)</f>
        <v>221</v>
      </c>
    </row>
    <row r="32" spans="2:11" x14ac:dyDescent="0.3">
      <c r="B32" s="27" t="s">
        <v>307</v>
      </c>
      <c r="C32" s="27" t="s">
        <v>220</v>
      </c>
    </row>
    <row r="33" spans="2:13" x14ac:dyDescent="0.3">
      <c r="B33" s="27" t="s">
        <v>27</v>
      </c>
      <c r="C33" s="27" t="s">
        <v>47</v>
      </c>
      <c r="D33" s="27">
        <v>9.9</v>
      </c>
    </row>
    <row r="34" spans="2:13" x14ac:dyDescent="0.3">
      <c r="B34" s="27" t="s">
        <v>14</v>
      </c>
      <c r="C34" s="27" t="s">
        <v>47</v>
      </c>
      <c r="D34" s="27">
        <v>7.9</v>
      </c>
    </row>
    <row r="35" spans="2:13" x14ac:dyDescent="0.3">
      <c r="B35" s="27" t="s">
        <v>14</v>
      </c>
      <c r="C35" s="27" t="s">
        <v>302</v>
      </c>
      <c r="D35" s="27">
        <v>80</v>
      </c>
      <c r="E35" s="37">
        <f>D34/D33</f>
        <v>0.79797979797979801</v>
      </c>
    </row>
    <row r="36" spans="2:13" x14ac:dyDescent="0.3">
      <c r="B36" s="27" t="s">
        <v>1101</v>
      </c>
      <c r="C36" s="27" t="s">
        <v>47</v>
      </c>
      <c r="D36" s="27">
        <v>12.4</v>
      </c>
    </row>
    <row r="37" spans="2:13" x14ac:dyDescent="0.3">
      <c r="B37" s="27" t="s">
        <v>1102</v>
      </c>
      <c r="C37" s="27" t="s">
        <v>693</v>
      </c>
      <c r="D37" s="27">
        <v>18</v>
      </c>
    </row>
    <row r="38" spans="2:13" x14ac:dyDescent="0.3">
      <c r="B38" s="27" t="s">
        <v>35</v>
      </c>
      <c r="D38" s="27">
        <v>6.8</v>
      </c>
    </row>
    <row r="40" spans="2:13" x14ac:dyDescent="0.3">
      <c r="B40" s="27" t="s">
        <v>733</v>
      </c>
    </row>
    <row r="41" spans="2:13" x14ac:dyDescent="0.3">
      <c r="B41" s="27" t="s">
        <v>738</v>
      </c>
      <c r="C41" s="27" t="s">
        <v>33</v>
      </c>
      <c r="D41" s="27" t="s">
        <v>1103</v>
      </c>
      <c r="E41" s="27" t="s">
        <v>735</v>
      </c>
      <c r="F41" s="27" t="s">
        <v>308</v>
      </c>
      <c r="G41" s="27" t="s">
        <v>3</v>
      </c>
      <c r="H41" s="27" t="s">
        <v>351</v>
      </c>
      <c r="I41" s="27" t="s">
        <v>293</v>
      </c>
      <c r="K41" s="27" t="s">
        <v>1102</v>
      </c>
      <c r="L41" s="27" t="s">
        <v>1110</v>
      </c>
    </row>
    <row r="42" spans="2:13" x14ac:dyDescent="0.3">
      <c r="C42" s="27" t="s">
        <v>270</v>
      </c>
      <c r="D42" s="27" t="s">
        <v>302</v>
      </c>
      <c r="E42" s="27" t="s">
        <v>377</v>
      </c>
      <c r="F42" s="27" t="s">
        <v>338</v>
      </c>
      <c r="G42" s="27" t="s">
        <v>302</v>
      </c>
      <c r="H42" s="27" t="s">
        <v>377</v>
      </c>
      <c r="I42" s="27" t="s">
        <v>338</v>
      </c>
      <c r="K42" s="27" t="s">
        <v>1115</v>
      </c>
      <c r="L42" s="27" t="s">
        <v>17</v>
      </c>
    </row>
    <row r="43" spans="2:13" x14ac:dyDescent="0.3">
      <c r="B43" s="27">
        <v>1</v>
      </c>
      <c r="C43" s="27">
        <v>0.13</v>
      </c>
      <c r="D43" s="27">
        <v>47</v>
      </c>
      <c r="E43" s="27">
        <v>0.22</v>
      </c>
      <c r="F43" s="27">
        <v>2.4E-2</v>
      </c>
      <c r="L43" s="27">
        <v>2.2999999999999998</v>
      </c>
      <c r="M43" s="27" t="s">
        <v>1113</v>
      </c>
    </row>
    <row r="44" spans="2:13" x14ac:dyDescent="0.3">
      <c r="B44" s="27">
        <v>2</v>
      </c>
      <c r="C44" s="27">
        <v>0.21</v>
      </c>
      <c r="D44" s="27">
        <v>65</v>
      </c>
      <c r="E44" s="27">
        <v>0.28999999999999998</v>
      </c>
      <c r="F44" s="27">
        <v>7.5999999999999998E-2</v>
      </c>
      <c r="G44" s="27">
        <v>83.1</v>
      </c>
      <c r="H44" s="27">
        <v>0.24</v>
      </c>
      <c r="I44" s="27">
        <v>6.3E-2</v>
      </c>
      <c r="L44" s="27">
        <v>2.2999999999999998</v>
      </c>
      <c r="M44" s="27" t="s">
        <v>1113</v>
      </c>
    </row>
    <row r="45" spans="2:13" x14ac:dyDescent="0.3">
      <c r="B45" s="27">
        <v>3</v>
      </c>
      <c r="C45" s="27">
        <v>0.27</v>
      </c>
      <c r="D45" s="27">
        <v>63</v>
      </c>
      <c r="E45" s="27">
        <v>0.22</v>
      </c>
      <c r="F45" s="27">
        <v>5.8999999999999997E-2</v>
      </c>
      <c r="G45" s="27">
        <v>85.2</v>
      </c>
      <c r="H45" s="27">
        <v>0.19</v>
      </c>
      <c r="I45" s="27">
        <v>0.05</v>
      </c>
      <c r="K45" s="27">
        <v>600</v>
      </c>
      <c r="L45" s="27">
        <v>2.2999999999999998</v>
      </c>
      <c r="M45" s="27" t="s">
        <v>1113</v>
      </c>
    </row>
    <row r="46" spans="2:13" x14ac:dyDescent="0.3">
      <c r="B46" s="27">
        <v>4</v>
      </c>
      <c r="C46" s="27">
        <v>0.26</v>
      </c>
      <c r="D46" s="27">
        <v>55</v>
      </c>
      <c r="E46" s="27">
        <v>0.33</v>
      </c>
      <c r="F46" s="27">
        <v>8.6999999999999994E-2</v>
      </c>
      <c r="G46" s="27">
        <v>83.6</v>
      </c>
      <c r="H46" s="27">
        <v>0.28000000000000003</v>
      </c>
      <c r="I46" s="27">
        <v>7.2999999999999995E-2</v>
      </c>
      <c r="K46" s="27">
        <v>600</v>
      </c>
      <c r="L46" s="27">
        <v>11</v>
      </c>
      <c r="M46" s="27" t="s">
        <v>1113</v>
      </c>
    </row>
    <row r="47" spans="2:13" x14ac:dyDescent="0.3">
      <c r="B47" s="27">
        <v>5</v>
      </c>
      <c r="C47" s="27">
        <v>0.28000000000000003</v>
      </c>
      <c r="D47" s="27">
        <v>57</v>
      </c>
      <c r="E47" s="27">
        <v>0.33</v>
      </c>
      <c r="F47" s="27">
        <v>9.2999999999999999E-2</v>
      </c>
      <c r="G47" s="27">
        <v>92</v>
      </c>
      <c r="H47" s="27">
        <v>0.31</v>
      </c>
      <c r="I47" s="27">
        <v>8.5999999999999993E-2</v>
      </c>
      <c r="K47" s="27">
        <v>600</v>
      </c>
      <c r="L47" s="27">
        <v>11</v>
      </c>
      <c r="M47" s="27" t="s">
        <v>1113</v>
      </c>
    </row>
    <row r="48" spans="2:13" x14ac:dyDescent="0.3">
      <c r="B48" s="27">
        <v>6</v>
      </c>
      <c r="C48" s="27">
        <v>0.28999999999999998</v>
      </c>
      <c r="D48" s="27">
        <v>44</v>
      </c>
      <c r="E48" s="27">
        <v>0.3</v>
      </c>
      <c r="F48" s="27">
        <v>8.4000000000000005E-2</v>
      </c>
      <c r="G48" s="27">
        <v>80.3</v>
      </c>
      <c r="H48" s="27">
        <v>0.24</v>
      </c>
      <c r="I48" s="27">
        <v>6.8000000000000005E-2</v>
      </c>
      <c r="K48" s="27">
        <v>600</v>
      </c>
      <c r="L48" s="27">
        <v>4</v>
      </c>
      <c r="M48" s="27" t="s">
        <v>1112</v>
      </c>
    </row>
    <row r="49" spans="2:12" x14ac:dyDescent="0.3">
      <c r="B49" s="27">
        <v>7</v>
      </c>
      <c r="C49" s="27">
        <v>0.37</v>
      </c>
      <c r="D49" s="27">
        <v>37</v>
      </c>
      <c r="E49" s="27">
        <v>0.36</v>
      </c>
      <c r="F49" s="27">
        <v>0.13400000000000001</v>
      </c>
      <c r="G49" s="27">
        <v>77.7</v>
      </c>
      <c r="H49" s="27">
        <v>0.28000000000000003</v>
      </c>
      <c r="I49" s="27">
        <v>0.104</v>
      </c>
      <c r="K49" s="27">
        <v>600</v>
      </c>
      <c r="L49" s="27">
        <v>4</v>
      </c>
    </row>
    <row r="53" spans="2:12" x14ac:dyDescent="0.3">
      <c r="G53" s="27" t="s">
        <v>1108</v>
      </c>
      <c r="H53" s="27" t="s">
        <v>1108</v>
      </c>
    </row>
    <row r="54" spans="2:12" x14ac:dyDescent="0.3">
      <c r="B54" s="6" t="s">
        <v>877</v>
      </c>
      <c r="D54" s="27">
        <v>1</v>
      </c>
      <c r="E54" s="27">
        <v>2</v>
      </c>
      <c r="F54" s="27">
        <v>3</v>
      </c>
      <c r="G54" s="27">
        <v>4</v>
      </c>
      <c r="H54" s="27">
        <v>5</v>
      </c>
      <c r="I54" s="27">
        <v>6</v>
      </c>
      <c r="J54" s="27">
        <v>7</v>
      </c>
    </row>
    <row r="55" spans="2:12" x14ac:dyDescent="0.3">
      <c r="B55" s="27" t="s">
        <v>13</v>
      </c>
      <c r="C55" s="27" t="s">
        <v>1089</v>
      </c>
      <c r="G55" s="27">
        <f>G27</f>
        <v>0.54</v>
      </c>
      <c r="H55" s="27">
        <f>G28</f>
        <v>1.5</v>
      </c>
    </row>
    <row r="56" spans="2:12" x14ac:dyDescent="0.3">
      <c r="C56" s="27" t="s">
        <v>338</v>
      </c>
      <c r="G56" s="91">
        <f>G55/(7*$D$10)</f>
        <v>3.25497287522604E-2</v>
      </c>
      <c r="H56" s="91">
        <f>H55/(7*$D$10)</f>
        <v>9.0415913200723327E-2</v>
      </c>
    </row>
    <row r="57" spans="2:12" x14ac:dyDescent="0.3">
      <c r="B57" s="27" t="s">
        <v>277</v>
      </c>
      <c r="C57" s="27" t="s">
        <v>338</v>
      </c>
      <c r="F57" s="91">
        <f>G56/4</f>
        <v>8.1374321880651E-3</v>
      </c>
    </row>
    <row r="58" spans="2:12" x14ac:dyDescent="0.3">
      <c r="B58" s="27" t="s">
        <v>293</v>
      </c>
      <c r="C58" s="27" t="s">
        <v>338</v>
      </c>
      <c r="E58" s="91">
        <f t="shared" ref="E58:J58" si="0">E71</f>
        <v>6.3E-2</v>
      </c>
      <c r="F58" s="91">
        <f t="shared" si="0"/>
        <v>0.05</v>
      </c>
      <c r="G58" s="91">
        <f t="shared" si="0"/>
        <v>7.2999999999999995E-2</v>
      </c>
      <c r="H58" s="91">
        <f t="shared" si="0"/>
        <v>8.5999999999999993E-2</v>
      </c>
      <c r="I58" s="91">
        <f t="shared" si="0"/>
        <v>6.8000000000000005E-2</v>
      </c>
      <c r="J58" s="91">
        <f t="shared" si="0"/>
        <v>0.104</v>
      </c>
    </row>
    <row r="59" spans="2:12" x14ac:dyDescent="0.3">
      <c r="B59" s="27" t="s">
        <v>277</v>
      </c>
      <c r="C59" s="27" t="s">
        <v>302</v>
      </c>
      <c r="F59" s="91">
        <f>F57/(F58+F57)</f>
        <v>0.13996889580093314</v>
      </c>
      <c r="L59" s="27" t="s">
        <v>1010</v>
      </c>
    </row>
    <row r="62" spans="2:12" x14ac:dyDescent="0.3">
      <c r="B62" s="6" t="s">
        <v>359</v>
      </c>
      <c r="D62" s="27">
        <v>1</v>
      </c>
      <c r="E62" s="27">
        <v>2</v>
      </c>
      <c r="F62" s="27">
        <v>3</v>
      </c>
      <c r="G62" s="27">
        <v>4</v>
      </c>
      <c r="H62" s="27">
        <v>5</v>
      </c>
      <c r="I62" s="27">
        <v>6</v>
      </c>
      <c r="J62" s="27">
        <v>7</v>
      </c>
    </row>
    <row r="63" spans="2:12" s="148" customFormat="1" x14ac:dyDescent="0.3">
      <c r="B63" s="148" t="s">
        <v>1795</v>
      </c>
    </row>
    <row r="64" spans="2:12" s="148" customFormat="1" x14ac:dyDescent="0.3">
      <c r="B64" s="148" t="s">
        <v>1791</v>
      </c>
    </row>
    <row r="65" spans="2:12" x14ac:dyDescent="0.3">
      <c r="B65" s="27" t="s">
        <v>33</v>
      </c>
      <c r="C65" s="27" t="s">
        <v>270</v>
      </c>
      <c r="D65" s="27">
        <f>C43</f>
        <v>0.13</v>
      </c>
      <c r="E65" s="27">
        <f>C44</f>
        <v>0.21</v>
      </c>
      <c r="F65" s="27">
        <f>C45</f>
        <v>0.27</v>
      </c>
      <c r="G65" s="27">
        <f>C46</f>
        <v>0.26</v>
      </c>
      <c r="H65" s="27">
        <f>C47</f>
        <v>0.28000000000000003</v>
      </c>
      <c r="I65" s="27">
        <f>C48</f>
        <v>0.28999999999999998</v>
      </c>
      <c r="J65" s="27">
        <f>C49</f>
        <v>0.37</v>
      </c>
    </row>
    <row r="66" spans="2:12" x14ac:dyDescent="0.3">
      <c r="B66" s="27" t="s">
        <v>26</v>
      </c>
      <c r="C66" s="27" t="s">
        <v>25</v>
      </c>
      <c r="D66" s="27">
        <f>D24</f>
        <v>80</v>
      </c>
      <c r="E66" s="27">
        <f>D25</f>
        <v>33</v>
      </c>
      <c r="F66" s="27">
        <f>D26</f>
        <v>30</v>
      </c>
      <c r="G66" s="27">
        <f>D27</f>
        <v>30</v>
      </c>
      <c r="H66" s="27">
        <f>D28</f>
        <v>29</v>
      </c>
      <c r="I66" s="27">
        <f>D29</f>
        <v>54</v>
      </c>
      <c r="J66" s="27">
        <f>D30</f>
        <v>29</v>
      </c>
    </row>
    <row r="67" spans="2:12" x14ac:dyDescent="0.3">
      <c r="B67" s="90" t="s">
        <v>1084</v>
      </c>
      <c r="C67" s="90" t="s">
        <v>25</v>
      </c>
      <c r="D67" s="90">
        <f>E24</f>
        <v>80</v>
      </c>
      <c r="E67" s="90">
        <f>E25</f>
        <v>107</v>
      </c>
      <c r="F67" s="90">
        <f>E26</f>
        <v>102</v>
      </c>
      <c r="G67" s="90">
        <f>E27</f>
        <v>98</v>
      </c>
      <c r="H67" s="90">
        <f>E28</f>
        <v>98</v>
      </c>
      <c r="I67" s="90">
        <f>E29</f>
        <v>54</v>
      </c>
      <c r="J67" s="90">
        <f>E30</f>
        <v>29</v>
      </c>
      <c r="L67" s="27" t="s">
        <v>1114</v>
      </c>
    </row>
    <row r="68" spans="2:12" x14ac:dyDescent="0.3">
      <c r="B68" s="27" t="s">
        <v>351</v>
      </c>
      <c r="C68" s="27" t="s">
        <v>377</v>
      </c>
      <c r="E68" s="27">
        <f>H44</f>
        <v>0.24</v>
      </c>
      <c r="F68" s="27">
        <f>H45</f>
        <v>0.19</v>
      </c>
      <c r="G68" s="27">
        <f>H46</f>
        <v>0.28000000000000003</v>
      </c>
      <c r="H68" s="27">
        <f>H47</f>
        <v>0.31</v>
      </c>
      <c r="I68" s="27">
        <f>H48</f>
        <v>0.24</v>
      </c>
      <c r="J68" s="27">
        <f>I49</f>
        <v>0.104</v>
      </c>
    </row>
    <row r="69" spans="2:12" x14ac:dyDescent="0.3">
      <c r="B69" s="27" t="s">
        <v>352</v>
      </c>
      <c r="C69" s="27" t="s">
        <v>377</v>
      </c>
      <c r="G69" s="27">
        <f>G68-$F68</f>
        <v>9.0000000000000024E-2</v>
      </c>
      <c r="H69" s="27">
        <f>H68-$F68</f>
        <v>0.12</v>
      </c>
    </row>
    <row r="70" spans="2:12" x14ac:dyDescent="0.3">
      <c r="B70" s="27" t="s">
        <v>353</v>
      </c>
      <c r="C70" s="27" t="s">
        <v>92</v>
      </c>
      <c r="G70" s="91">
        <f>G69/$F68</f>
        <v>0.47368421052631593</v>
      </c>
      <c r="H70" s="91">
        <f>H69/$F68</f>
        <v>0.63157894736842102</v>
      </c>
    </row>
    <row r="71" spans="2:12" x14ac:dyDescent="0.3">
      <c r="B71" s="27" t="s">
        <v>293</v>
      </c>
      <c r="C71" s="27" t="s">
        <v>338</v>
      </c>
      <c r="E71" s="91">
        <f>I44</f>
        <v>6.3E-2</v>
      </c>
      <c r="F71" s="91">
        <f>I45</f>
        <v>0.05</v>
      </c>
      <c r="G71" s="91">
        <f>I46</f>
        <v>7.2999999999999995E-2</v>
      </c>
      <c r="H71" s="91">
        <f>I47</f>
        <v>8.5999999999999993E-2</v>
      </c>
      <c r="I71" s="91">
        <f>I48</f>
        <v>6.8000000000000005E-2</v>
      </c>
      <c r="J71" s="91">
        <f>I49</f>
        <v>0.104</v>
      </c>
    </row>
    <row r="72" spans="2:12" x14ac:dyDescent="0.3">
      <c r="B72" s="27" t="s">
        <v>402</v>
      </c>
      <c r="C72" s="27" t="s">
        <v>338</v>
      </c>
      <c r="G72" s="91">
        <f>G71-$F71</f>
        <v>2.2999999999999993E-2</v>
      </c>
      <c r="H72" s="91">
        <f>H71-$F71</f>
        <v>3.599999999999999E-2</v>
      </c>
    </row>
    <row r="73" spans="2:12" x14ac:dyDescent="0.3">
      <c r="B73" s="27" t="s">
        <v>3</v>
      </c>
      <c r="C73" s="27" t="s">
        <v>302</v>
      </c>
      <c r="E73" s="39">
        <f>G44</f>
        <v>83.1</v>
      </c>
      <c r="F73" s="39">
        <f>G45</f>
        <v>85.2</v>
      </c>
      <c r="G73" s="39">
        <f>G46</f>
        <v>83.6</v>
      </c>
      <c r="H73" s="39">
        <f>G47</f>
        <v>92</v>
      </c>
      <c r="I73" s="39">
        <f>G48</f>
        <v>80.3</v>
      </c>
      <c r="J73" s="39">
        <f>G49</f>
        <v>77.7</v>
      </c>
    </row>
    <row r="74" spans="2:12" x14ac:dyDescent="0.3">
      <c r="B74" s="27" t="s">
        <v>277</v>
      </c>
      <c r="C74" s="27" t="s">
        <v>302</v>
      </c>
      <c r="E74" s="92">
        <f t="shared" ref="E74:J74" si="1">100-E73</f>
        <v>16.900000000000006</v>
      </c>
      <c r="F74" s="92">
        <f t="shared" si="1"/>
        <v>14.799999999999997</v>
      </c>
      <c r="G74" s="92">
        <f t="shared" si="1"/>
        <v>16.400000000000006</v>
      </c>
      <c r="H74" s="92">
        <f t="shared" si="1"/>
        <v>8</v>
      </c>
      <c r="I74" s="92">
        <f t="shared" si="1"/>
        <v>19.700000000000003</v>
      </c>
      <c r="J74" s="92">
        <f t="shared" si="1"/>
        <v>22.299999999999997</v>
      </c>
      <c r="L74" s="27" t="s">
        <v>101</v>
      </c>
    </row>
    <row r="75" spans="2:12" x14ac:dyDescent="0.3">
      <c r="B75" s="27" t="s">
        <v>13</v>
      </c>
      <c r="C75" s="27" t="s">
        <v>302</v>
      </c>
      <c r="G75" s="93">
        <v>0</v>
      </c>
      <c r="H75" s="93">
        <v>0</v>
      </c>
      <c r="L75" s="27" t="s">
        <v>1109</v>
      </c>
    </row>
    <row r="76" spans="2:12" x14ac:dyDescent="0.3">
      <c r="B76" s="27" t="s">
        <v>35</v>
      </c>
      <c r="D76" s="93">
        <v>7.18</v>
      </c>
      <c r="E76" s="93">
        <v>7.18</v>
      </c>
      <c r="F76" s="93">
        <v>7.18</v>
      </c>
      <c r="G76" s="95">
        <v>7.1</v>
      </c>
      <c r="H76" s="27">
        <v>7.4</v>
      </c>
      <c r="I76" s="93">
        <v>7.29</v>
      </c>
      <c r="J76" s="93">
        <v>7.29</v>
      </c>
      <c r="L76" s="27" t="s">
        <v>1116</v>
      </c>
    </row>
    <row r="77" spans="2:12" x14ac:dyDescent="0.3">
      <c r="B77" s="27" t="s">
        <v>52</v>
      </c>
      <c r="C77" s="27" t="s">
        <v>621</v>
      </c>
      <c r="E77" s="94">
        <f>K45/(1000*Data!$C$34)</f>
        <v>4.2836642463963674E-2</v>
      </c>
      <c r="F77" s="94">
        <f>K46/(1000*Data!$C$34)</f>
        <v>4.2836642463963674E-2</v>
      </c>
      <c r="G77" s="94">
        <f>K47/(1000*Data!$C$34)</f>
        <v>4.2836642463963674E-2</v>
      </c>
      <c r="H77" s="94">
        <f>K48/(1000*Data!$C$34)</f>
        <v>4.2836642463963674E-2</v>
      </c>
      <c r="I77" s="94">
        <f>K49/(1000*Data!$C$34)</f>
        <v>4.2836642463963674E-2</v>
      </c>
      <c r="J77" s="94">
        <f>K50/(1000*Data!$C$34)</f>
        <v>0</v>
      </c>
    </row>
    <row r="78" spans="2:12" x14ac:dyDescent="0.3">
      <c r="B78" s="27" t="s">
        <v>558</v>
      </c>
      <c r="C78" s="27" t="s">
        <v>621</v>
      </c>
      <c r="D78" s="94">
        <f>L43/(1000*Data!$D$18)</f>
        <v>3.8299884767303218E-5</v>
      </c>
      <c r="E78" s="94">
        <f>L44/(1000*Data!$D$18)</f>
        <v>3.8299884767303218E-5</v>
      </c>
      <c r="F78" s="94">
        <f>L45/(1000*Data!$D$18)</f>
        <v>3.8299884767303218E-5</v>
      </c>
      <c r="G78" s="94">
        <f>L46/(1000*Data!$D$18)</f>
        <v>1.8317336193058063E-4</v>
      </c>
      <c r="H78" s="94">
        <f>L47/(1000*Data!$D$18)</f>
        <v>1.8317336193058063E-4</v>
      </c>
      <c r="I78" s="94">
        <f>L48/(1000*Data!$D$18)</f>
        <v>6.6608495247483861E-5</v>
      </c>
      <c r="J78" s="94">
        <f>L49/(1000*Data!$D$18)</f>
        <v>6.6608495247483861E-5</v>
      </c>
      <c r="L78" s="27" t="s">
        <v>1111</v>
      </c>
    </row>
    <row r="79" spans="2:12" x14ac:dyDescent="0.3">
      <c r="B79" s="95" t="s">
        <v>757</v>
      </c>
      <c r="C79" s="95" t="s">
        <v>758</v>
      </c>
      <c r="G79" s="27">
        <v>7.18</v>
      </c>
      <c r="H79" s="27">
        <v>7.3</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385F-2F33-4D3A-9D30-5B0DC49C49E4}">
  <dimension ref="B2:L85"/>
  <sheetViews>
    <sheetView workbookViewId="0"/>
  </sheetViews>
  <sheetFormatPr defaultRowHeight="14.4" x14ac:dyDescent="0.3"/>
  <cols>
    <col min="2" max="2" width="19.5546875" customWidth="1"/>
  </cols>
  <sheetData>
    <row r="2" spans="2:10" x14ac:dyDescent="0.3">
      <c r="B2" s="14" t="s">
        <v>1780</v>
      </c>
    </row>
    <row r="3" spans="2:10" x14ac:dyDescent="0.3">
      <c r="B3" t="s">
        <v>1042</v>
      </c>
    </row>
    <row r="4" spans="2:10" x14ac:dyDescent="0.3">
      <c r="B4" t="s">
        <v>1052</v>
      </c>
    </row>
    <row r="6" spans="2:10" x14ac:dyDescent="0.3">
      <c r="B6" t="s">
        <v>32</v>
      </c>
      <c r="C6">
        <v>1110</v>
      </c>
      <c r="D6" t="s">
        <v>551</v>
      </c>
    </row>
    <row r="7" spans="2:10" x14ac:dyDescent="0.3">
      <c r="B7" t="s">
        <v>26</v>
      </c>
      <c r="C7">
        <v>13</v>
      </c>
      <c r="D7" t="s">
        <v>25</v>
      </c>
    </row>
    <row r="9" spans="2:10" x14ac:dyDescent="0.3">
      <c r="B9" t="s">
        <v>287</v>
      </c>
      <c r="C9" t="s">
        <v>33</v>
      </c>
      <c r="D9" t="s">
        <v>1049</v>
      </c>
      <c r="E9" t="s">
        <v>1050</v>
      </c>
      <c r="F9" t="s">
        <v>616</v>
      </c>
      <c r="G9" t="s">
        <v>27</v>
      </c>
      <c r="H9" t="s">
        <v>35</v>
      </c>
      <c r="J9" t="s">
        <v>1053</v>
      </c>
    </row>
    <row r="10" spans="2:10" x14ac:dyDescent="0.3">
      <c r="C10" t="s">
        <v>270</v>
      </c>
      <c r="D10" t="s">
        <v>1048</v>
      </c>
      <c r="E10" t="s">
        <v>1048</v>
      </c>
      <c r="F10" t="s">
        <v>1048</v>
      </c>
      <c r="G10" t="s">
        <v>1051</v>
      </c>
    </row>
    <row r="11" spans="2:10" x14ac:dyDescent="0.3">
      <c r="B11" t="s">
        <v>1044</v>
      </c>
      <c r="C11">
        <v>5.86</v>
      </c>
      <c r="D11">
        <v>11</v>
      </c>
      <c r="E11">
        <v>16.5</v>
      </c>
      <c r="F11">
        <v>72.5</v>
      </c>
      <c r="G11">
        <v>6.8</v>
      </c>
      <c r="H11">
        <v>7.5</v>
      </c>
    </row>
    <row r="12" spans="2:10" x14ac:dyDescent="0.3">
      <c r="B12" t="s">
        <v>1045</v>
      </c>
      <c r="C12">
        <v>5.08</v>
      </c>
      <c r="D12">
        <v>12.5</v>
      </c>
      <c r="E12">
        <v>9.5</v>
      </c>
      <c r="F12">
        <v>78</v>
      </c>
      <c r="G12">
        <v>6.1</v>
      </c>
      <c r="H12">
        <v>7.6</v>
      </c>
    </row>
    <row r="13" spans="2:10" x14ac:dyDescent="0.3">
      <c r="B13" t="s">
        <v>1046</v>
      </c>
      <c r="C13">
        <v>5.17</v>
      </c>
      <c r="D13">
        <v>12</v>
      </c>
      <c r="E13">
        <v>18</v>
      </c>
      <c r="F13">
        <v>70</v>
      </c>
      <c r="G13">
        <v>5.7</v>
      </c>
      <c r="H13" t="s">
        <v>301</v>
      </c>
    </row>
    <row r="14" spans="2:10" x14ac:dyDescent="0.3">
      <c r="B14" t="s">
        <v>1047</v>
      </c>
      <c r="C14">
        <v>4.51</v>
      </c>
      <c r="D14">
        <v>14.8</v>
      </c>
      <c r="E14">
        <v>0.9</v>
      </c>
      <c r="F14">
        <v>84.5</v>
      </c>
      <c r="G14" t="s">
        <v>301</v>
      </c>
      <c r="H14" t="s">
        <v>301</v>
      </c>
    </row>
    <row r="16" spans="2:10" x14ac:dyDescent="0.3">
      <c r="B16" t="s">
        <v>307</v>
      </c>
      <c r="D16" t="s">
        <v>1064</v>
      </c>
      <c r="E16" t="s">
        <v>1065</v>
      </c>
      <c r="F16" t="s">
        <v>1066</v>
      </c>
      <c r="G16" t="s">
        <v>1067</v>
      </c>
      <c r="H16" t="s">
        <v>1068</v>
      </c>
      <c r="I16" t="s">
        <v>1069</v>
      </c>
      <c r="J16" t="s">
        <v>1070</v>
      </c>
    </row>
    <row r="17" spans="2:10" x14ac:dyDescent="0.3">
      <c r="B17" t="s">
        <v>1054</v>
      </c>
      <c r="C17" t="s">
        <v>997</v>
      </c>
      <c r="D17">
        <v>310</v>
      </c>
      <c r="E17">
        <v>201</v>
      </c>
      <c r="F17">
        <v>89</v>
      </c>
      <c r="G17">
        <v>86</v>
      </c>
      <c r="H17">
        <v>289</v>
      </c>
      <c r="I17">
        <v>150</v>
      </c>
      <c r="J17">
        <v>180</v>
      </c>
    </row>
    <row r="18" spans="2:10" x14ac:dyDescent="0.3">
      <c r="B18" t="s">
        <v>1055</v>
      </c>
      <c r="C18" t="s">
        <v>997</v>
      </c>
      <c r="D18" s="8">
        <v>170.5</v>
      </c>
      <c r="E18" s="8">
        <v>100.5</v>
      </c>
      <c r="F18" s="8">
        <v>37</v>
      </c>
      <c r="G18" s="8">
        <v>38</v>
      </c>
      <c r="H18" s="8">
        <v>144.5</v>
      </c>
      <c r="I18" s="8">
        <v>91.5</v>
      </c>
      <c r="J18" s="8">
        <v>99</v>
      </c>
    </row>
    <row r="19" spans="2:10" x14ac:dyDescent="0.3">
      <c r="C19" t="s">
        <v>302</v>
      </c>
      <c r="D19" s="8">
        <v>55</v>
      </c>
      <c r="E19" s="8">
        <v>50</v>
      </c>
      <c r="F19" s="8">
        <v>42</v>
      </c>
      <c r="G19" s="8">
        <v>44</v>
      </c>
      <c r="H19" s="8">
        <v>50</v>
      </c>
      <c r="I19" s="8">
        <v>61</v>
      </c>
      <c r="J19" s="8">
        <v>55</v>
      </c>
    </row>
    <row r="20" spans="2:10" x14ac:dyDescent="0.3">
      <c r="B20" t="s">
        <v>1056</v>
      </c>
      <c r="D20" s="8" t="s">
        <v>1071</v>
      </c>
      <c r="E20" s="8" t="s">
        <v>1071</v>
      </c>
      <c r="F20" s="8" t="s">
        <v>1071</v>
      </c>
      <c r="G20" s="8" t="s">
        <v>1071</v>
      </c>
      <c r="H20" s="8" t="s">
        <v>1071</v>
      </c>
      <c r="I20" s="8" t="s">
        <v>622</v>
      </c>
      <c r="J20" s="8" t="s">
        <v>1071</v>
      </c>
    </row>
    <row r="21" spans="2:10" x14ac:dyDescent="0.3">
      <c r="B21" t="s">
        <v>392</v>
      </c>
      <c r="C21" t="s">
        <v>997</v>
      </c>
      <c r="D21" s="8">
        <v>65</v>
      </c>
      <c r="E21" s="8">
        <v>40.5</v>
      </c>
      <c r="F21" s="8">
        <v>20</v>
      </c>
      <c r="G21" s="8">
        <v>24</v>
      </c>
      <c r="H21" s="8">
        <v>20</v>
      </c>
      <c r="I21" s="8">
        <v>35</v>
      </c>
      <c r="J21" s="8">
        <v>35</v>
      </c>
    </row>
    <row r="22" spans="2:10" x14ac:dyDescent="0.3">
      <c r="B22" t="s">
        <v>1057</v>
      </c>
      <c r="C22" t="s">
        <v>551</v>
      </c>
      <c r="D22" s="8">
        <v>33.5</v>
      </c>
      <c r="E22" s="8">
        <v>23.9</v>
      </c>
      <c r="F22" s="8">
        <v>3.4</v>
      </c>
      <c r="G22" s="8">
        <v>12.6</v>
      </c>
      <c r="H22" s="8">
        <v>3.6</v>
      </c>
      <c r="I22" s="8">
        <v>17.899999999999999</v>
      </c>
      <c r="J22" s="8">
        <v>17.899999999999999</v>
      </c>
    </row>
    <row r="23" spans="2:10" x14ac:dyDescent="0.3">
      <c r="B23" t="s">
        <v>1058</v>
      </c>
      <c r="C23" t="s">
        <v>302</v>
      </c>
      <c r="D23" s="8">
        <v>50.2</v>
      </c>
      <c r="E23" s="8">
        <v>55</v>
      </c>
      <c r="F23" s="8">
        <v>63.6</v>
      </c>
      <c r="G23" s="8">
        <v>63</v>
      </c>
      <c r="H23" s="8">
        <v>51.7</v>
      </c>
      <c r="I23" s="8">
        <v>44.8</v>
      </c>
      <c r="J23" s="8">
        <v>49.9</v>
      </c>
    </row>
    <row r="24" spans="2:10" x14ac:dyDescent="0.3">
      <c r="B24" t="s">
        <v>1059</v>
      </c>
      <c r="C24" t="s">
        <v>551</v>
      </c>
      <c r="D24" s="8">
        <v>10.1</v>
      </c>
      <c r="E24" s="8">
        <v>7.6</v>
      </c>
      <c r="F24" s="8">
        <v>2.1</v>
      </c>
      <c r="G24" s="8">
        <v>6.7</v>
      </c>
      <c r="H24" s="8">
        <v>1</v>
      </c>
      <c r="I24" s="8">
        <v>4</v>
      </c>
      <c r="J24" s="8">
        <v>3.4</v>
      </c>
    </row>
    <row r="25" spans="2:10" x14ac:dyDescent="0.3">
      <c r="B25" t="s">
        <v>1061</v>
      </c>
      <c r="C25" t="s">
        <v>1060</v>
      </c>
      <c r="D25">
        <v>0.25</v>
      </c>
      <c r="E25">
        <v>7.0000000000000007E-2</v>
      </c>
      <c r="F25">
        <v>0.04</v>
      </c>
      <c r="G25">
        <v>0.06</v>
      </c>
      <c r="H25">
        <v>0.03</v>
      </c>
      <c r="I25">
        <v>0.11</v>
      </c>
      <c r="J25">
        <v>0.09</v>
      </c>
    </row>
    <row r="26" spans="2:10" x14ac:dyDescent="0.3">
      <c r="B26" t="s">
        <v>1062</v>
      </c>
      <c r="C26" t="s">
        <v>302</v>
      </c>
      <c r="D26">
        <v>26</v>
      </c>
      <c r="E26">
        <v>12</v>
      </c>
      <c r="F26">
        <v>13</v>
      </c>
      <c r="G26">
        <v>17</v>
      </c>
      <c r="H26">
        <v>10</v>
      </c>
      <c r="I26">
        <v>21</v>
      </c>
      <c r="J26">
        <v>17</v>
      </c>
    </row>
    <row r="27" spans="2:10" x14ac:dyDescent="0.3">
      <c r="B27" t="s">
        <v>1063</v>
      </c>
      <c r="C27" t="s">
        <v>1060</v>
      </c>
      <c r="D27">
        <v>7.0000000000000007E-2</v>
      </c>
      <c r="E27">
        <v>7.0000000000000007E-2</v>
      </c>
      <c r="F27">
        <v>0.02</v>
      </c>
      <c r="G27">
        <v>0.05</v>
      </c>
      <c r="H27">
        <v>0.02</v>
      </c>
      <c r="I27" t="s">
        <v>1072</v>
      </c>
      <c r="J27">
        <v>0.02</v>
      </c>
    </row>
    <row r="30" spans="2:10" x14ac:dyDescent="0.3">
      <c r="B30" s="6" t="s">
        <v>877</v>
      </c>
    </row>
    <row r="31" spans="2:10" x14ac:dyDescent="0.3">
      <c r="B31" s="6" t="s">
        <v>459</v>
      </c>
      <c r="C31" t="s">
        <v>302</v>
      </c>
      <c r="D31" s="10">
        <f t="shared" ref="D31:J31" si="0">D18/D17</f>
        <v>0.55000000000000004</v>
      </c>
      <c r="E31" s="10">
        <f t="shared" si="0"/>
        <v>0.5</v>
      </c>
      <c r="F31" s="10">
        <f t="shared" si="0"/>
        <v>0.4157303370786517</v>
      </c>
      <c r="G31" s="10">
        <f t="shared" si="0"/>
        <v>0.44186046511627908</v>
      </c>
      <c r="H31" s="10">
        <f t="shared" si="0"/>
        <v>0.5</v>
      </c>
      <c r="I31" s="10">
        <f t="shared" si="0"/>
        <v>0.61</v>
      </c>
      <c r="J31" s="10">
        <f t="shared" si="0"/>
        <v>0.55000000000000004</v>
      </c>
    </row>
    <row r="32" spans="2:10" x14ac:dyDescent="0.3">
      <c r="B32" t="s">
        <v>1073</v>
      </c>
      <c r="C32" t="s">
        <v>338</v>
      </c>
      <c r="D32" s="3">
        <f t="shared" ref="D32:J32" si="1">(D17-D18)*24/$C$6</f>
        <v>3.0162162162162161</v>
      </c>
      <c r="E32" s="3">
        <f t="shared" si="1"/>
        <v>2.172972972972973</v>
      </c>
      <c r="F32" s="3">
        <f t="shared" si="1"/>
        <v>1.1243243243243244</v>
      </c>
      <c r="G32" s="3">
        <f t="shared" si="1"/>
        <v>1.0378378378378379</v>
      </c>
      <c r="H32" s="3">
        <f t="shared" si="1"/>
        <v>3.1243243243243244</v>
      </c>
      <c r="I32" s="3">
        <f t="shared" si="1"/>
        <v>1.2648648648648648</v>
      </c>
      <c r="J32" s="3">
        <f t="shared" si="1"/>
        <v>1.7513513513513514</v>
      </c>
    </row>
    <row r="33" spans="2:12" x14ac:dyDescent="0.3">
      <c r="B33" t="s">
        <v>351</v>
      </c>
      <c r="C33" t="s">
        <v>377</v>
      </c>
      <c r="D33" s="10">
        <f t="shared" ref="D33:J33" si="2">D32/D42</f>
        <v>0.51471266488331324</v>
      </c>
      <c r="E33" s="10">
        <f t="shared" si="2"/>
        <v>0.37081450050733328</v>
      </c>
      <c r="F33" s="10">
        <f t="shared" si="2"/>
        <v>0.22132368589061505</v>
      </c>
      <c r="G33" s="10">
        <f t="shared" si="2"/>
        <v>0.2007423284019029</v>
      </c>
      <c r="H33" s="10">
        <f t="shared" si="2"/>
        <v>0.60431805112656178</v>
      </c>
      <c r="I33" s="10">
        <f t="shared" si="2"/>
        <v>0.2804578414334512</v>
      </c>
      <c r="J33" s="10">
        <f t="shared" si="2"/>
        <v>0.38832624198477861</v>
      </c>
      <c r="L33" t="s">
        <v>1074</v>
      </c>
    </row>
    <row r="34" spans="2:12" x14ac:dyDescent="0.3">
      <c r="B34" t="s">
        <v>1075</v>
      </c>
      <c r="C34" t="s">
        <v>997</v>
      </c>
      <c r="D34">
        <f t="shared" ref="D34:J34" si="3">D18-D21/4</f>
        <v>154.25</v>
      </c>
      <c r="E34">
        <f t="shared" si="3"/>
        <v>90.375</v>
      </c>
      <c r="F34">
        <f t="shared" si="3"/>
        <v>32</v>
      </c>
      <c r="G34">
        <f t="shared" si="3"/>
        <v>32</v>
      </c>
      <c r="H34">
        <f t="shared" si="3"/>
        <v>139.5</v>
      </c>
      <c r="I34">
        <f t="shared" si="3"/>
        <v>82.75</v>
      </c>
      <c r="J34">
        <f t="shared" si="3"/>
        <v>90.25</v>
      </c>
    </row>
    <row r="35" spans="2:12" x14ac:dyDescent="0.3">
      <c r="B35" t="s">
        <v>1076</v>
      </c>
      <c r="C35" t="s">
        <v>997</v>
      </c>
      <c r="D35">
        <f t="shared" ref="D35:J35" si="4">(D17-D18)+D21/4</f>
        <v>155.75</v>
      </c>
      <c r="E35">
        <f t="shared" si="4"/>
        <v>110.625</v>
      </c>
      <c r="F35">
        <f t="shared" si="4"/>
        <v>57</v>
      </c>
      <c r="G35">
        <f t="shared" si="4"/>
        <v>54</v>
      </c>
      <c r="H35">
        <f t="shared" si="4"/>
        <v>149.5</v>
      </c>
      <c r="I35">
        <f t="shared" si="4"/>
        <v>67.25</v>
      </c>
      <c r="J35">
        <f t="shared" si="4"/>
        <v>89.75</v>
      </c>
    </row>
    <row r="36" spans="2:12" x14ac:dyDescent="0.3">
      <c r="B36" t="s">
        <v>1076</v>
      </c>
      <c r="C36" t="s">
        <v>92</v>
      </c>
      <c r="D36" s="10">
        <f>D35/(D34+D35)</f>
        <v>0.5024193548387097</v>
      </c>
      <c r="E36" s="10">
        <f t="shared" ref="E36:J36" si="5">E35/(E34+E35)</f>
        <v>0.55037313432835822</v>
      </c>
      <c r="F36" s="10">
        <f t="shared" si="5"/>
        <v>0.6404494382022472</v>
      </c>
      <c r="G36" s="10">
        <f t="shared" si="5"/>
        <v>0.62790697674418605</v>
      </c>
      <c r="H36" s="10">
        <f t="shared" si="5"/>
        <v>0.51730103806228378</v>
      </c>
      <c r="I36" s="10">
        <f t="shared" si="5"/>
        <v>0.44833333333333331</v>
      </c>
      <c r="J36" s="10">
        <f t="shared" si="5"/>
        <v>0.49861111111111112</v>
      </c>
      <c r="L36" t="s">
        <v>1010</v>
      </c>
    </row>
    <row r="37" spans="2:12" x14ac:dyDescent="0.3">
      <c r="B37" t="s">
        <v>1077</v>
      </c>
      <c r="D37" s="52">
        <f>D24/D22</f>
        <v>0.30149253731343284</v>
      </c>
      <c r="E37" s="52">
        <f t="shared" ref="E37:J37" si="6">E24/E22</f>
        <v>0.31799163179916318</v>
      </c>
      <c r="F37" s="52">
        <f t="shared" si="6"/>
        <v>0.61764705882352944</v>
      </c>
      <c r="G37" s="52">
        <f t="shared" si="6"/>
        <v>0.53174603174603174</v>
      </c>
      <c r="H37" s="52">
        <f t="shared" si="6"/>
        <v>0.27777777777777779</v>
      </c>
      <c r="I37" s="52">
        <f t="shared" si="6"/>
        <v>0.223463687150838</v>
      </c>
      <c r="J37" s="52">
        <f t="shared" si="6"/>
        <v>0.18994413407821231</v>
      </c>
      <c r="L37" t="s">
        <v>1276</v>
      </c>
    </row>
    <row r="39" spans="2:12" x14ac:dyDescent="0.3">
      <c r="B39" s="40" t="s">
        <v>359</v>
      </c>
      <c r="C39" s="12"/>
    </row>
    <row r="40" spans="2:12" x14ac:dyDescent="0.3">
      <c r="B40" s="12" t="s">
        <v>1795</v>
      </c>
      <c r="C40" s="12"/>
      <c r="D40" t="s">
        <v>1064</v>
      </c>
      <c r="E40" t="s">
        <v>1065</v>
      </c>
      <c r="F40" t="s">
        <v>1066</v>
      </c>
      <c r="G40" t="s">
        <v>1067</v>
      </c>
      <c r="H40" t="s">
        <v>1068</v>
      </c>
      <c r="I40" t="s">
        <v>1069</v>
      </c>
      <c r="J40" t="s">
        <v>1070</v>
      </c>
    </row>
    <row r="41" spans="2:12" s="133" customFormat="1" x14ac:dyDescent="0.3">
      <c r="B41" s="103" t="s">
        <v>1791</v>
      </c>
      <c r="C41" s="103"/>
    </row>
    <row r="42" spans="2:12" x14ac:dyDescent="0.3">
      <c r="B42" s="12" t="s">
        <v>33</v>
      </c>
      <c r="C42" s="12" t="s">
        <v>270</v>
      </c>
      <c r="D42">
        <f>C11</f>
        <v>5.86</v>
      </c>
      <c r="E42">
        <f>C11</f>
        <v>5.86</v>
      </c>
      <c r="F42">
        <f>C12</f>
        <v>5.08</v>
      </c>
      <c r="G42">
        <f>C13</f>
        <v>5.17</v>
      </c>
      <c r="H42">
        <f>C13</f>
        <v>5.17</v>
      </c>
      <c r="I42">
        <f>C14</f>
        <v>4.51</v>
      </c>
      <c r="J42">
        <f>C14</f>
        <v>4.51</v>
      </c>
    </row>
    <row r="43" spans="2:12" x14ac:dyDescent="0.3">
      <c r="B43" s="12" t="s">
        <v>26</v>
      </c>
      <c r="C43" s="12" t="s">
        <v>25</v>
      </c>
      <c r="D43">
        <f>$C$7</f>
        <v>13</v>
      </c>
      <c r="E43">
        <f t="shared" ref="E43:J43" si="7">$C$7</f>
        <v>13</v>
      </c>
      <c r="F43">
        <f t="shared" si="7"/>
        <v>13</v>
      </c>
      <c r="G43">
        <f t="shared" si="7"/>
        <v>13</v>
      </c>
      <c r="H43">
        <f t="shared" si="7"/>
        <v>13</v>
      </c>
      <c r="I43">
        <f t="shared" si="7"/>
        <v>13</v>
      </c>
      <c r="J43">
        <f t="shared" si="7"/>
        <v>13</v>
      </c>
    </row>
    <row r="44" spans="2:12" x14ac:dyDescent="0.3">
      <c r="B44" s="12" t="s">
        <v>351</v>
      </c>
      <c r="C44" s="12" t="s">
        <v>377</v>
      </c>
      <c r="D44" s="10">
        <f t="shared" ref="D44:J44" si="8">D33</f>
        <v>0.51471266488331324</v>
      </c>
      <c r="E44" s="10">
        <f t="shared" si="8"/>
        <v>0.37081450050733328</v>
      </c>
      <c r="F44" s="10">
        <f t="shared" si="8"/>
        <v>0.22132368589061505</v>
      </c>
      <c r="G44" s="10">
        <f t="shared" si="8"/>
        <v>0.2007423284019029</v>
      </c>
      <c r="H44" s="10">
        <f t="shared" si="8"/>
        <v>0.60431805112656178</v>
      </c>
      <c r="I44" s="10">
        <f t="shared" si="8"/>
        <v>0.2804578414334512</v>
      </c>
      <c r="J44" s="10">
        <f t="shared" si="8"/>
        <v>0.38832624198477861</v>
      </c>
    </row>
    <row r="45" spans="2:12" x14ac:dyDescent="0.3">
      <c r="B45" s="12" t="s">
        <v>352</v>
      </c>
      <c r="C45" s="12" t="s">
        <v>377</v>
      </c>
    </row>
    <row r="46" spans="2:12" x14ac:dyDescent="0.3">
      <c r="B46" s="12" t="s">
        <v>383</v>
      </c>
      <c r="C46" s="12" t="s">
        <v>92</v>
      </c>
    </row>
    <row r="47" spans="2:12" x14ac:dyDescent="0.3">
      <c r="B47" s="12" t="s">
        <v>293</v>
      </c>
      <c r="C47" s="12" t="s">
        <v>338</v>
      </c>
    </row>
    <row r="48" spans="2:12" x14ac:dyDescent="0.3">
      <c r="B48" s="12" t="s">
        <v>402</v>
      </c>
      <c r="C48" s="12" t="s">
        <v>338</v>
      </c>
    </row>
    <row r="49" spans="2:4" x14ac:dyDescent="0.3">
      <c r="B49" t="s">
        <v>3</v>
      </c>
      <c r="C49" t="s">
        <v>302</v>
      </c>
    </row>
    <row r="50" spans="2:4" x14ac:dyDescent="0.3">
      <c r="B50" t="s">
        <v>277</v>
      </c>
      <c r="C50" t="s">
        <v>302</v>
      </c>
    </row>
    <row r="51" spans="2:4" x14ac:dyDescent="0.3">
      <c r="B51" t="s">
        <v>13</v>
      </c>
      <c r="C51" t="s">
        <v>302</v>
      </c>
    </row>
    <row r="52" spans="2:4" x14ac:dyDescent="0.3">
      <c r="B52" s="12" t="s">
        <v>52</v>
      </c>
      <c r="C52" s="12" t="s">
        <v>621</v>
      </c>
    </row>
    <row r="53" spans="2:4" x14ac:dyDescent="0.3">
      <c r="B53" s="12" t="s">
        <v>558</v>
      </c>
      <c r="C53" s="12" t="s">
        <v>621</v>
      </c>
    </row>
    <row r="54" spans="2:4" x14ac:dyDescent="0.3">
      <c r="B54" s="12" t="s">
        <v>35</v>
      </c>
      <c r="C54" s="12"/>
    </row>
    <row r="55" spans="2:4" s="133" customFormat="1" x14ac:dyDescent="0.3">
      <c r="B55" s="103"/>
      <c r="C55" s="103"/>
    </row>
    <row r="56" spans="2:4" x14ac:dyDescent="0.3">
      <c r="B56" s="12"/>
      <c r="C56" s="12"/>
    </row>
    <row r="57" spans="2:4" x14ac:dyDescent="0.3">
      <c r="B57" s="14" t="s">
        <v>1781</v>
      </c>
    </row>
    <row r="58" spans="2:4" x14ac:dyDescent="0.3">
      <c r="B58" t="s">
        <v>1043</v>
      </c>
    </row>
    <row r="59" spans="2:4" x14ac:dyDescent="0.3">
      <c r="B59" t="s">
        <v>1041</v>
      </c>
    </row>
    <row r="62" spans="2:4" x14ac:dyDescent="0.3">
      <c r="B62" t="s">
        <v>32</v>
      </c>
      <c r="C62">
        <v>1110</v>
      </c>
      <c r="D62" t="s">
        <v>551</v>
      </c>
    </row>
    <row r="63" spans="2:4" x14ac:dyDescent="0.3">
      <c r="B63" t="s">
        <v>26</v>
      </c>
      <c r="C63">
        <v>14</v>
      </c>
      <c r="D63" t="s">
        <v>25</v>
      </c>
    </row>
    <row r="65" spans="2:7" x14ac:dyDescent="0.3">
      <c r="B65" t="s">
        <v>287</v>
      </c>
    </row>
    <row r="66" spans="2:7" x14ac:dyDescent="0.3">
      <c r="C66" t="s">
        <v>552</v>
      </c>
      <c r="D66" t="s">
        <v>553</v>
      </c>
      <c r="E66" t="s">
        <v>554</v>
      </c>
      <c r="F66" t="s">
        <v>555</v>
      </c>
    </row>
    <row r="67" spans="2:7" x14ac:dyDescent="0.3">
      <c r="B67" t="s">
        <v>308</v>
      </c>
      <c r="C67" t="s">
        <v>556</v>
      </c>
      <c r="D67">
        <v>3.6</v>
      </c>
      <c r="E67">
        <v>2.8</v>
      </c>
      <c r="F67">
        <v>1.5</v>
      </c>
    </row>
    <row r="68" spans="2:7" x14ac:dyDescent="0.3">
      <c r="B68" t="s">
        <v>33</v>
      </c>
      <c r="C68" t="s">
        <v>557</v>
      </c>
      <c r="D68">
        <v>7.4</v>
      </c>
      <c r="E68">
        <v>6.3</v>
      </c>
      <c r="F68">
        <v>0.7</v>
      </c>
    </row>
    <row r="69" spans="2:7" x14ac:dyDescent="0.3">
      <c r="B69" t="s">
        <v>27</v>
      </c>
      <c r="C69" t="s">
        <v>302</v>
      </c>
      <c r="D69">
        <v>6.3</v>
      </c>
      <c r="E69">
        <v>6.2</v>
      </c>
      <c r="F69">
        <v>7.5</v>
      </c>
    </row>
    <row r="70" spans="2:7" x14ac:dyDescent="0.3">
      <c r="B70" t="s">
        <v>35</v>
      </c>
      <c r="D70">
        <v>7.7</v>
      </c>
      <c r="E70">
        <v>7.8</v>
      </c>
      <c r="F70">
        <v>7.8</v>
      </c>
    </row>
    <row r="71" spans="2:7" x14ac:dyDescent="0.3">
      <c r="B71" t="s">
        <v>558</v>
      </c>
      <c r="C71" t="s">
        <v>17</v>
      </c>
      <c r="D71">
        <v>316</v>
      </c>
      <c r="E71">
        <v>218</v>
      </c>
      <c r="F71">
        <v>813</v>
      </c>
    </row>
    <row r="72" spans="2:7" x14ac:dyDescent="0.3">
      <c r="B72" t="s">
        <v>309</v>
      </c>
      <c r="C72" t="s">
        <v>302</v>
      </c>
      <c r="D72">
        <v>83</v>
      </c>
      <c r="E72">
        <v>88</v>
      </c>
      <c r="F72">
        <v>80</v>
      </c>
    </row>
    <row r="73" spans="2:7" x14ac:dyDescent="0.3">
      <c r="B73" t="s">
        <v>52</v>
      </c>
      <c r="C73" t="s">
        <v>47</v>
      </c>
      <c r="D73">
        <v>1.8</v>
      </c>
      <c r="E73">
        <v>1.8</v>
      </c>
      <c r="F73">
        <v>2.1</v>
      </c>
    </row>
    <row r="75" spans="2:7" x14ac:dyDescent="0.3">
      <c r="B75" s="6" t="s">
        <v>359</v>
      </c>
    </row>
    <row r="76" spans="2:7" x14ac:dyDescent="0.3">
      <c r="B76" t="s">
        <v>33</v>
      </c>
      <c r="C76" t="s">
        <v>270</v>
      </c>
      <c r="E76">
        <f>D68</f>
        <v>7.4</v>
      </c>
      <c r="F76">
        <f>E68</f>
        <v>6.3</v>
      </c>
      <c r="G76">
        <f>F68</f>
        <v>0.7</v>
      </c>
    </row>
    <row r="77" spans="2:7" x14ac:dyDescent="0.3">
      <c r="B77" t="s">
        <v>26</v>
      </c>
      <c r="C77" t="s">
        <v>25</v>
      </c>
      <c r="E77">
        <f>C63</f>
        <v>14</v>
      </c>
      <c r="F77">
        <f>E77</f>
        <v>14</v>
      </c>
      <c r="G77">
        <f>F77</f>
        <v>14</v>
      </c>
    </row>
    <row r="78" spans="2:7" x14ac:dyDescent="0.3">
      <c r="B78" t="s">
        <v>351</v>
      </c>
      <c r="C78" t="s">
        <v>377</v>
      </c>
    </row>
    <row r="79" spans="2:7" x14ac:dyDescent="0.3">
      <c r="B79" t="s">
        <v>352</v>
      </c>
      <c r="C79" t="s">
        <v>377</v>
      </c>
    </row>
    <row r="80" spans="2:7" x14ac:dyDescent="0.3">
      <c r="B80" t="s">
        <v>353</v>
      </c>
      <c r="C80" t="s">
        <v>92</v>
      </c>
    </row>
    <row r="81" spans="2:3" x14ac:dyDescent="0.3">
      <c r="B81" t="s">
        <v>293</v>
      </c>
      <c r="C81" t="s">
        <v>338</v>
      </c>
    </row>
    <row r="82" spans="2:3" x14ac:dyDescent="0.3">
      <c r="B82" t="s">
        <v>402</v>
      </c>
      <c r="C82" t="s">
        <v>338</v>
      </c>
    </row>
    <row r="83" spans="2:3" x14ac:dyDescent="0.3">
      <c r="B83" s="6" t="s">
        <v>40</v>
      </c>
      <c r="C83" t="s">
        <v>338</v>
      </c>
    </row>
    <row r="84" spans="2:3" x14ac:dyDescent="0.3">
      <c r="B84" t="s">
        <v>3</v>
      </c>
      <c r="C84" t="s">
        <v>302</v>
      </c>
    </row>
    <row r="85" spans="2:3" x14ac:dyDescent="0.3">
      <c r="B85" t="s">
        <v>277</v>
      </c>
      <c r="C85" t="s">
        <v>302</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2C8A-B3EE-4CC6-949C-128A3E59CBAF}">
  <dimension ref="B2:O241"/>
  <sheetViews>
    <sheetView workbookViewId="0"/>
  </sheetViews>
  <sheetFormatPr defaultRowHeight="14.4" x14ac:dyDescent="0.3"/>
  <cols>
    <col min="2" max="2" width="15.33203125" customWidth="1"/>
    <col min="3" max="3" width="6" bestFit="1" customWidth="1"/>
    <col min="4" max="4" width="11" bestFit="1" customWidth="1"/>
    <col min="5" max="5" width="8.109375" customWidth="1"/>
    <col min="6" max="6" width="5.88671875" bestFit="1" customWidth="1"/>
    <col min="8" max="8" width="13.109375" bestFit="1" customWidth="1"/>
    <col min="9" max="9" width="7" bestFit="1" customWidth="1"/>
    <col min="10" max="10" width="11.44140625" bestFit="1" customWidth="1"/>
  </cols>
  <sheetData>
    <row r="2" spans="2:10" x14ac:dyDescent="0.3">
      <c r="B2" s="1" t="s">
        <v>1782</v>
      </c>
      <c r="H2" s="14" t="s">
        <v>99</v>
      </c>
    </row>
    <row r="3" spans="2:10" x14ac:dyDescent="0.3">
      <c r="B3" t="s">
        <v>0</v>
      </c>
      <c r="H3" s="6" t="s">
        <v>100</v>
      </c>
    </row>
    <row r="4" spans="2:10" x14ac:dyDescent="0.3">
      <c r="B4" t="s">
        <v>1</v>
      </c>
      <c r="H4" t="s">
        <v>101</v>
      </c>
    </row>
    <row r="5" spans="2:10" x14ac:dyDescent="0.3">
      <c r="B5" t="s">
        <v>2</v>
      </c>
    </row>
    <row r="7" spans="2:10" x14ac:dyDescent="0.3">
      <c r="B7" t="s">
        <v>89</v>
      </c>
      <c r="H7" t="s">
        <v>94</v>
      </c>
      <c r="I7" s="6">
        <v>22.4</v>
      </c>
      <c r="J7" t="s">
        <v>59</v>
      </c>
    </row>
    <row r="8" spans="2:10" x14ac:dyDescent="0.3">
      <c r="B8" s="9" t="s">
        <v>102</v>
      </c>
      <c r="H8" t="s">
        <v>61</v>
      </c>
      <c r="I8" s="6">
        <v>4</v>
      </c>
      <c r="J8" t="s">
        <v>93</v>
      </c>
    </row>
    <row r="9" spans="2:10" x14ac:dyDescent="0.3">
      <c r="B9" t="s">
        <v>9</v>
      </c>
      <c r="C9" s="14">
        <v>160</v>
      </c>
      <c r="D9" t="s">
        <v>10</v>
      </c>
      <c r="H9" t="s">
        <v>61</v>
      </c>
      <c r="I9" s="6">
        <v>1</v>
      </c>
      <c r="J9" t="s">
        <v>63</v>
      </c>
    </row>
    <row r="10" spans="2:10" x14ac:dyDescent="0.3">
      <c r="B10" t="s">
        <v>11</v>
      </c>
      <c r="C10" s="14">
        <v>75</v>
      </c>
      <c r="D10" t="s">
        <v>10</v>
      </c>
    </row>
    <row r="11" spans="2:10" x14ac:dyDescent="0.3">
      <c r="B11" t="s">
        <v>12</v>
      </c>
      <c r="C11" s="14">
        <f>C9-C10</f>
        <v>85</v>
      </c>
      <c r="D11" t="s">
        <v>10</v>
      </c>
      <c r="H11" t="s">
        <v>90</v>
      </c>
    </row>
    <row r="12" spans="2:10" x14ac:dyDescent="0.3">
      <c r="H12" t="s">
        <v>70</v>
      </c>
      <c r="I12" s="14">
        <v>417.6</v>
      </c>
      <c r="J12" t="s">
        <v>4</v>
      </c>
    </row>
    <row r="13" spans="2:10" x14ac:dyDescent="0.3">
      <c r="B13" t="s">
        <v>7</v>
      </c>
      <c r="C13" s="14">
        <v>38.1</v>
      </c>
      <c r="D13" t="s">
        <v>76</v>
      </c>
      <c r="H13" t="s">
        <v>65</v>
      </c>
      <c r="I13" s="14">
        <v>468.3</v>
      </c>
      <c r="J13" t="s">
        <v>4</v>
      </c>
    </row>
    <row r="14" spans="2:10" x14ac:dyDescent="0.3">
      <c r="C14" s="14">
        <v>21.6</v>
      </c>
      <c r="D14" t="s">
        <v>30</v>
      </c>
    </row>
    <row r="15" spans="2:10" x14ac:dyDescent="0.3">
      <c r="B15" t="s">
        <v>37</v>
      </c>
      <c r="C15" s="14">
        <v>314.3</v>
      </c>
      <c r="D15" t="s">
        <v>76</v>
      </c>
      <c r="H15" t="s">
        <v>120</v>
      </c>
      <c r="I15" s="10">
        <f>C74</f>
        <v>0.22275</v>
      </c>
      <c r="J15" t="s">
        <v>16</v>
      </c>
    </row>
    <row r="16" spans="2:10" x14ac:dyDescent="0.3">
      <c r="C16" s="14">
        <v>295</v>
      </c>
      <c r="D16" t="s">
        <v>30</v>
      </c>
      <c r="H16" t="s">
        <v>70</v>
      </c>
      <c r="I16" s="3">
        <f>I12*I15</f>
        <v>93.020400000000009</v>
      </c>
      <c r="J16" t="s">
        <v>20</v>
      </c>
    </row>
    <row r="17" spans="2:10" x14ac:dyDescent="0.3">
      <c r="H17" t="s">
        <v>65</v>
      </c>
      <c r="I17" s="8">
        <f>I13*I15</f>
        <v>104.31382500000001</v>
      </c>
      <c r="J17" t="s">
        <v>16</v>
      </c>
    </row>
    <row r="18" spans="2:10" x14ac:dyDescent="0.3">
      <c r="B18" s="6" t="s">
        <v>73</v>
      </c>
      <c r="H18" t="s">
        <v>5</v>
      </c>
      <c r="I18" s="8">
        <f>I17-I16</f>
        <v>11.293424999999999</v>
      </c>
      <c r="J18" t="s">
        <v>20</v>
      </c>
    </row>
    <row r="19" spans="2:10" x14ac:dyDescent="0.3">
      <c r="B19" t="s">
        <v>37</v>
      </c>
      <c r="C19">
        <v>14.2</v>
      </c>
      <c r="D19" t="s">
        <v>23</v>
      </c>
      <c r="H19" t="s">
        <v>95</v>
      </c>
      <c r="I19" s="8">
        <f>I18*I8</f>
        <v>45.173699999999997</v>
      </c>
      <c r="J19" t="s">
        <v>20</v>
      </c>
    </row>
    <row r="20" spans="2:10" x14ac:dyDescent="0.3">
      <c r="B20" t="s">
        <v>54</v>
      </c>
      <c r="C20">
        <v>210</v>
      </c>
      <c r="D20" t="s">
        <v>10</v>
      </c>
    </row>
    <row r="21" spans="2:10" x14ac:dyDescent="0.3">
      <c r="B21" t="s">
        <v>72</v>
      </c>
      <c r="C21">
        <f>C22-C19-C20</f>
        <v>475.79999999999995</v>
      </c>
      <c r="D21" t="s">
        <v>10</v>
      </c>
      <c r="H21" t="s">
        <v>121</v>
      </c>
      <c r="I21">
        <v>0.05</v>
      </c>
      <c r="J21" t="s">
        <v>92</v>
      </c>
    </row>
    <row r="22" spans="2:10" x14ac:dyDescent="0.3">
      <c r="B22" t="s">
        <v>19</v>
      </c>
      <c r="C22">
        <v>700</v>
      </c>
      <c r="I22">
        <f>I21*C11</f>
        <v>4.25</v>
      </c>
      <c r="J22" t="s">
        <v>18</v>
      </c>
    </row>
    <row r="23" spans="2:10" x14ac:dyDescent="0.3">
      <c r="B23" t="s">
        <v>74</v>
      </c>
      <c r="C23" s="3">
        <f>C20*C14/1000</f>
        <v>4.5359999999999996</v>
      </c>
      <c r="D23" t="s">
        <v>16</v>
      </c>
      <c r="H23" t="s">
        <v>169</v>
      </c>
      <c r="I23">
        <v>4</v>
      </c>
      <c r="J23" t="s">
        <v>168</v>
      </c>
    </row>
    <row r="24" spans="2:10" x14ac:dyDescent="0.3">
      <c r="B24" t="s">
        <v>75</v>
      </c>
      <c r="C24">
        <f>C19*C16/1000</f>
        <v>4.1890000000000001</v>
      </c>
      <c r="D24" t="s">
        <v>16</v>
      </c>
      <c r="H24" t="s">
        <v>104</v>
      </c>
      <c r="I24" s="3">
        <f>I23/I8</f>
        <v>1</v>
      </c>
      <c r="J24" t="s">
        <v>20</v>
      </c>
    </row>
    <row r="25" spans="2:10" x14ac:dyDescent="0.3">
      <c r="B25" t="s">
        <v>8</v>
      </c>
      <c r="C25" s="3">
        <f>C23/C24</f>
        <v>1.082835999045118</v>
      </c>
      <c r="H25" s="6" t="s">
        <v>40</v>
      </c>
    </row>
    <row r="26" spans="2:10" x14ac:dyDescent="0.3">
      <c r="B26" t="s">
        <v>77</v>
      </c>
      <c r="C26" s="14">
        <v>3</v>
      </c>
      <c r="H26" t="s">
        <v>55</v>
      </c>
      <c r="I26" s="6">
        <v>4</v>
      </c>
      <c r="J26" t="s">
        <v>17</v>
      </c>
    </row>
    <row r="27" spans="2:10" x14ac:dyDescent="0.3">
      <c r="H27" t="s">
        <v>56</v>
      </c>
      <c r="I27" s="6">
        <v>2</v>
      </c>
      <c r="J27" t="s">
        <v>21</v>
      </c>
    </row>
    <row r="28" spans="2:10" x14ac:dyDescent="0.3">
      <c r="B28" t="s">
        <v>78</v>
      </c>
      <c r="I28">
        <f>I26/(I27*1000)</f>
        <v>2E-3</v>
      </c>
      <c r="J28" t="s">
        <v>57</v>
      </c>
    </row>
    <row r="29" spans="2:10" x14ac:dyDescent="0.3">
      <c r="B29" t="s">
        <v>37</v>
      </c>
      <c r="C29" s="3">
        <f>C19*C$10/C$22</f>
        <v>1.5214285714285714</v>
      </c>
      <c r="D29" t="s">
        <v>23</v>
      </c>
      <c r="I29">
        <f>I28*I7</f>
        <v>4.48E-2</v>
      </c>
      <c r="J29" t="s">
        <v>58</v>
      </c>
    </row>
    <row r="30" spans="2:10" x14ac:dyDescent="0.3">
      <c r="B30" t="s">
        <v>54</v>
      </c>
      <c r="C30" s="8">
        <f>C20*C$10/C$22</f>
        <v>22.5</v>
      </c>
      <c r="D30" t="s">
        <v>23</v>
      </c>
      <c r="I30">
        <f>I29*100</f>
        <v>4.4799999999999995</v>
      </c>
      <c r="J30" t="s">
        <v>60</v>
      </c>
    </row>
    <row r="31" spans="2:10" x14ac:dyDescent="0.3">
      <c r="B31" t="s">
        <v>72</v>
      </c>
      <c r="C31" s="8">
        <f>C21*C$10/C$22</f>
        <v>50.978571428571428</v>
      </c>
      <c r="D31" t="s">
        <v>23</v>
      </c>
      <c r="I31" s="3">
        <f>C11*I29</f>
        <v>3.8079999999999998</v>
      </c>
      <c r="J31" t="s">
        <v>18</v>
      </c>
    </row>
    <row r="32" spans="2:10" x14ac:dyDescent="0.3">
      <c r="B32" t="s">
        <v>37</v>
      </c>
      <c r="C32" s="10">
        <f>C29*C16/1000</f>
        <v>0.44882142857142854</v>
      </c>
      <c r="D32" t="s">
        <v>16</v>
      </c>
      <c r="E32" s="3">
        <f>C29*C15/1000</f>
        <v>0.47818500000000003</v>
      </c>
      <c r="F32" t="s">
        <v>79</v>
      </c>
      <c r="H32" t="s">
        <v>104</v>
      </c>
      <c r="I32" s="3">
        <f>I31/I8</f>
        <v>0.95199999999999996</v>
      </c>
      <c r="J32" t="s">
        <v>20</v>
      </c>
    </row>
    <row r="33" spans="2:10" x14ac:dyDescent="0.3">
      <c r="B33" t="s">
        <v>54</v>
      </c>
      <c r="C33">
        <f>C30*C14/1000</f>
        <v>0.48600000000000004</v>
      </c>
      <c r="D33" t="s">
        <v>16</v>
      </c>
      <c r="E33" s="3">
        <f>C30*C13/1000</f>
        <v>0.85724999999999996</v>
      </c>
      <c r="F33" t="s">
        <v>79</v>
      </c>
      <c r="H33" t="s">
        <v>103</v>
      </c>
      <c r="I33" s="3"/>
    </row>
    <row r="34" spans="2:10" x14ac:dyDescent="0.3">
      <c r="B34" t="s">
        <v>69</v>
      </c>
      <c r="C34" s="3">
        <f>SUM(C32:C33)</f>
        <v>0.93482142857142858</v>
      </c>
      <c r="D34" t="s">
        <v>16</v>
      </c>
      <c r="E34" s="3">
        <f>SUM(E32:E33)</f>
        <v>1.3354349999999999</v>
      </c>
      <c r="F34" t="s">
        <v>79</v>
      </c>
    </row>
    <row r="35" spans="2:10" x14ac:dyDescent="0.3">
      <c r="C35" s="3">
        <f>C34*1000/C10</f>
        <v>12.464285714285714</v>
      </c>
      <c r="D35" t="s">
        <v>30</v>
      </c>
      <c r="E35" s="3">
        <f>E34*1000/C10</f>
        <v>17.805799999999998</v>
      </c>
      <c r="F35" t="s">
        <v>76</v>
      </c>
      <c r="H35" t="s">
        <v>122</v>
      </c>
      <c r="I35" s="3">
        <f>I16+I24</f>
        <v>94.020400000000009</v>
      </c>
      <c r="J35" t="s">
        <v>20</v>
      </c>
    </row>
    <row r="36" spans="2:10" x14ac:dyDescent="0.3">
      <c r="B36" t="s">
        <v>80</v>
      </c>
      <c r="C36" s="14">
        <v>9.02</v>
      </c>
      <c r="D36" t="s">
        <v>30</v>
      </c>
      <c r="E36" s="14">
        <v>14.25</v>
      </c>
      <c r="F36" t="s">
        <v>76</v>
      </c>
      <c r="I36" s="8">
        <f>I35/I15</f>
        <v>422.08933782267121</v>
      </c>
      <c r="J36" t="s">
        <v>4</v>
      </c>
    </row>
    <row r="37" spans="2:10" x14ac:dyDescent="0.3">
      <c r="B37" t="s">
        <v>81</v>
      </c>
      <c r="H37" t="s">
        <v>123</v>
      </c>
      <c r="I37">
        <f>I13</f>
        <v>468.3</v>
      </c>
      <c r="J37" t="s">
        <v>4</v>
      </c>
    </row>
    <row r="39" spans="2:10" x14ac:dyDescent="0.3">
      <c r="B39" t="s">
        <v>82</v>
      </c>
      <c r="H39" t="s">
        <v>96</v>
      </c>
    </row>
    <row r="40" spans="2:10" x14ac:dyDescent="0.3">
      <c r="B40" s="6" t="s">
        <v>84</v>
      </c>
      <c r="H40" t="s">
        <v>70</v>
      </c>
      <c r="I40">
        <v>227.1</v>
      </c>
      <c r="J40" t="s">
        <v>6</v>
      </c>
    </row>
    <row r="41" spans="2:10" x14ac:dyDescent="0.3">
      <c r="B41" t="s">
        <v>68</v>
      </c>
      <c r="C41">
        <v>23.5</v>
      </c>
      <c r="D41" t="s">
        <v>10</v>
      </c>
      <c r="H41" t="s">
        <v>65</v>
      </c>
      <c r="I41">
        <v>138.69999999999999</v>
      </c>
      <c r="J41" t="s">
        <v>6</v>
      </c>
    </row>
    <row r="42" spans="2:10" x14ac:dyDescent="0.3">
      <c r="C42" s="10">
        <f>C41*C$14/1000</f>
        <v>0.50760000000000005</v>
      </c>
      <c r="D42" t="s">
        <v>16</v>
      </c>
      <c r="H42" t="s">
        <v>5</v>
      </c>
      <c r="I42" s="8">
        <f>I41-I40</f>
        <v>-88.4</v>
      </c>
      <c r="J42" t="s">
        <v>62</v>
      </c>
    </row>
    <row r="43" spans="2:10" x14ac:dyDescent="0.3">
      <c r="B43" t="s">
        <v>8</v>
      </c>
      <c r="C43" s="14">
        <v>3</v>
      </c>
      <c r="H43" t="s">
        <v>95</v>
      </c>
      <c r="I43" s="8">
        <f>-I42*I8</f>
        <v>353.6</v>
      </c>
      <c r="J43" t="s">
        <v>18</v>
      </c>
    </row>
    <row r="44" spans="2:10" x14ac:dyDescent="0.3">
      <c r="B44" t="s">
        <v>37</v>
      </c>
      <c r="C44" s="10">
        <f>C42/C43</f>
        <v>0.16920000000000002</v>
      </c>
      <c r="D44" t="s">
        <v>16</v>
      </c>
      <c r="H44" t="s">
        <v>97</v>
      </c>
      <c r="I44" s="8">
        <f>-I42</f>
        <v>88.4</v>
      </c>
      <c r="J44" t="s">
        <v>20</v>
      </c>
    </row>
    <row r="45" spans="2:10" x14ac:dyDescent="0.3">
      <c r="C45" s="10">
        <f>C44*1000/C$16</f>
        <v>0.57355932203389837</v>
      </c>
      <c r="D45" t="s">
        <v>83</v>
      </c>
      <c r="H45" t="s">
        <v>98</v>
      </c>
      <c r="I45" s="8">
        <f>I18</f>
        <v>11.293424999999999</v>
      </c>
      <c r="J45" t="s">
        <v>20</v>
      </c>
    </row>
    <row r="46" spans="2:10" x14ac:dyDescent="0.3">
      <c r="B46" t="s">
        <v>69</v>
      </c>
      <c r="C46" s="10">
        <f>C42+C44</f>
        <v>0.67680000000000007</v>
      </c>
      <c r="D46" t="s">
        <v>16</v>
      </c>
      <c r="H46" t="s">
        <v>124</v>
      </c>
    </row>
    <row r="47" spans="2:10" x14ac:dyDescent="0.3">
      <c r="C47" s="3">
        <f>C46*1000/C$10</f>
        <v>9.0240000000000009</v>
      </c>
      <c r="D47" t="s">
        <v>66</v>
      </c>
    </row>
    <row r="48" spans="2:10" x14ac:dyDescent="0.3">
      <c r="B48" t="s">
        <v>71</v>
      </c>
      <c r="C48" s="14">
        <f>C36</f>
        <v>9.02</v>
      </c>
      <c r="D48" t="s">
        <v>66</v>
      </c>
    </row>
    <row r="49" spans="2:4" x14ac:dyDescent="0.3">
      <c r="B49" t="s">
        <v>67</v>
      </c>
      <c r="C49" s="3">
        <f>C42*1000/C10</f>
        <v>6.7680000000000007</v>
      </c>
      <c r="D49" t="s">
        <v>66</v>
      </c>
    </row>
    <row r="50" spans="2:4" x14ac:dyDescent="0.3">
      <c r="B50" t="s">
        <v>71</v>
      </c>
      <c r="C50" s="14">
        <v>6.05</v>
      </c>
      <c r="D50" t="s">
        <v>66</v>
      </c>
    </row>
    <row r="52" spans="2:4" x14ac:dyDescent="0.3">
      <c r="B52" s="6" t="s">
        <v>85</v>
      </c>
    </row>
    <row r="53" spans="2:4" x14ac:dyDescent="0.3">
      <c r="B53" t="s">
        <v>54</v>
      </c>
      <c r="C53" s="14">
        <f>C50</f>
        <v>6.05</v>
      </c>
      <c r="D53" t="s">
        <v>30</v>
      </c>
    </row>
    <row r="54" spans="2:4" x14ac:dyDescent="0.3">
      <c r="C54" s="10">
        <f>C53*C10/1000</f>
        <v>0.45374999999999999</v>
      </c>
      <c r="D54" t="s">
        <v>16</v>
      </c>
    </row>
    <row r="55" spans="2:4" x14ac:dyDescent="0.3">
      <c r="C55" s="8">
        <f>C54*1000/C14</f>
        <v>21.006944444444443</v>
      </c>
      <c r="D55" t="s">
        <v>10</v>
      </c>
    </row>
    <row r="56" spans="2:4" x14ac:dyDescent="0.3">
      <c r="B56" t="s">
        <v>37</v>
      </c>
      <c r="C56" s="10">
        <f>C54/C43</f>
        <v>0.15125</v>
      </c>
      <c r="D56" t="s">
        <v>16</v>
      </c>
    </row>
    <row r="57" spans="2:4" x14ac:dyDescent="0.3">
      <c r="B57" t="s">
        <v>69</v>
      </c>
      <c r="C57" s="10">
        <f>C54+C56</f>
        <v>0.60499999999999998</v>
      </c>
      <c r="D57" t="s">
        <v>16</v>
      </c>
    </row>
    <row r="58" spans="2:4" x14ac:dyDescent="0.3">
      <c r="C58" s="3">
        <f>C57*1000/C10</f>
        <v>8.0666666666666664</v>
      </c>
      <c r="D58" t="s">
        <v>30</v>
      </c>
    </row>
    <row r="59" spans="2:4" x14ac:dyDescent="0.3">
      <c r="B59" t="s">
        <v>71</v>
      </c>
      <c r="C59" s="14">
        <f>C36</f>
        <v>9.02</v>
      </c>
      <c r="D59" t="s">
        <v>30</v>
      </c>
    </row>
    <row r="60" spans="2:4" x14ac:dyDescent="0.3">
      <c r="B60" t="s">
        <v>86</v>
      </c>
    </row>
    <row r="62" spans="2:4" x14ac:dyDescent="0.3">
      <c r="B62" t="s">
        <v>105</v>
      </c>
    </row>
    <row r="63" spans="2:4" x14ac:dyDescent="0.3">
      <c r="B63" t="s">
        <v>64</v>
      </c>
      <c r="C63" s="14">
        <f>C53</f>
        <v>6.05</v>
      </c>
      <c r="D63" t="s">
        <v>30</v>
      </c>
    </row>
    <row r="64" spans="2:4" x14ac:dyDescent="0.3">
      <c r="B64" t="s">
        <v>65</v>
      </c>
      <c r="C64" s="14">
        <f>C48</f>
        <v>9.02</v>
      </c>
      <c r="D64" t="s">
        <v>30</v>
      </c>
    </row>
    <row r="65" spans="2:5" x14ac:dyDescent="0.3">
      <c r="B65" t="s">
        <v>5</v>
      </c>
      <c r="C65">
        <f>C64-C63</f>
        <v>2.9699999999999998</v>
      </c>
      <c r="D65" t="s">
        <v>30</v>
      </c>
    </row>
    <row r="66" spans="2:5" x14ac:dyDescent="0.3">
      <c r="B66" t="s">
        <v>87</v>
      </c>
      <c r="C66" s="3">
        <f>C63/C65</f>
        <v>2.0370370370370372</v>
      </c>
    </row>
    <row r="68" spans="2:5" x14ac:dyDescent="0.3">
      <c r="B68" t="s">
        <v>88</v>
      </c>
    </row>
    <row r="69" spans="2:5" x14ac:dyDescent="0.3">
      <c r="B69" t="s">
        <v>64</v>
      </c>
      <c r="C69" s="14">
        <v>6.05</v>
      </c>
      <c r="D69" t="s">
        <v>30</v>
      </c>
    </row>
    <row r="70" spans="2:5" x14ac:dyDescent="0.3">
      <c r="B70" t="s">
        <v>54</v>
      </c>
      <c r="C70" s="8">
        <f>C69*C10/C14</f>
        <v>21.006944444444443</v>
      </c>
      <c r="D70" t="s">
        <v>10</v>
      </c>
    </row>
    <row r="71" spans="2:5" x14ac:dyDescent="0.3">
      <c r="C71" s="10">
        <f>C69*C10/1000</f>
        <v>0.45374999999999999</v>
      </c>
      <c r="D71" t="s">
        <v>16</v>
      </c>
    </row>
    <row r="72" spans="2:5" x14ac:dyDescent="0.3">
      <c r="B72" t="s">
        <v>65</v>
      </c>
      <c r="C72" s="15">
        <v>9.02</v>
      </c>
      <c r="D72" t="s">
        <v>30</v>
      </c>
      <c r="E72" s="10"/>
    </row>
    <row r="73" spans="2:5" x14ac:dyDescent="0.3">
      <c r="C73" s="10">
        <f>C72*C10/1000</f>
        <v>0.67649999999999999</v>
      </c>
      <c r="D73" t="s">
        <v>16</v>
      </c>
    </row>
    <row r="74" spans="2:5" x14ac:dyDescent="0.3">
      <c r="B74" t="s">
        <v>37</v>
      </c>
      <c r="C74" s="10">
        <f>C73-C71</f>
        <v>0.22275</v>
      </c>
      <c r="D74" t="s">
        <v>16</v>
      </c>
    </row>
    <row r="75" spans="2:5" x14ac:dyDescent="0.3">
      <c r="C75" s="10">
        <f>C74*1000/C16</f>
        <v>0.7550847457627119</v>
      </c>
      <c r="D75" t="s">
        <v>23</v>
      </c>
    </row>
    <row r="76" spans="2:5" x14ac:dyDescent="0.3">
      <c r="B76" t="s">
        <v>91</v>
      </c>
      <c r="C76" s="3">
        <f>C71/C74</f>
        <v>2.0370370370370368</v>
      </c>
    </row>
    <row r="77" spans="2:5" x14ac:dyDescent="0.3">
      <c r="B77" s="9" t="s">
        <v>1193</v>
      </c>
    </row>
    <row r="80" spans="2:5" x14ac:dyDescent="0.3">
      <c r="B80" s="14" t="s">
        <v>1783</v>
      </c>
    </row>
    <row r="81" spans="2:13" x14ac:dyDescent="0.3">
      <c r="B81" t="s">
        <v>198</v>
      </c>
    </row>
    <row r="83" spans="2:13" x14ac:dyDescent="0.3">
      <c r="B83" t="s">
        <v>170</v>
      </c>
      <c r="E83" t="s">
        <v>176</v>
      </c>
      <c r="H83" t="s">
        <v>176</v>
      </c>
      <c r="K83" t="s">
        <v>177</v>
      </c>
    </row>
    <row r="84" spans="2:13" x14ac:dyDescent="0.3">
      <c r="D84" t="s">
        <v>37</v>
      </c>
      <c r="E84" t="s">
        <v>173</v>
      </c>
      <c r="F84" t="s">
        <v>174</v>
      </c>
      <c r="G84" t="s">
        <v>175</v>
      </c>
      <c r="H84" t="s">
        <v>173</v>
      </c>
      <c r="I84" t="s">
        <v>174</v>
      </c>
      <c r="J84" t="s">
        <v>175</v>
      </c>
      <c r="K84" t="s">
        <v>173</v>
      </c>
      <c r="L84" t="s">
        <v>174</v>
      </c>
      <c r="M84" t="s">
        <v>175</v>
      </c>
    </row>
    <row r="85" spans="2:13" x14ac:dyDescent="0.3">
      <c r="B85" t="s">
        <v>35</v>
      </c>
      <c r="D85">
        <v>4.8</v>
      </c>
      <c r="E85">
        <v>8.6</v>
      </c>
      <c r="F85">
        <v>8.5</v>
      </c>
      <c r="G85">
        <v>8.5</v>
      </c>
      <c r="H85">
        <v>7.7</v>
      </c>
      <c r="I85">
        <v>7.1</v>
      </c>
      <c r="J85">
        <v>7</v>
      </c>
      <c r="K85">
        <v>8.1999999999999993</v>
      </c>
      <c r="L85">
        <v>7</v>
      </c>
      <c r="M85">
        <v>7</v>
      </c>
    </row>
    <row r="86" spans="2:13" x14ac:dyDescent="0.3">
      <c r="B86" t="s">
        <v>27</v>
      </c>
      <c r="C86" t="s">
        <v>47</v>
      </c>
      <c r="D86">
        <v>314.3</v>
      </c>
      <c r="E86">
        <v>10.5</v>
      </c>
      <c r="F86">
        <v>14.3</v>
      </c>
      <c r="G86">
        <v>14.3</v>
      </c>
      <c r="H86">
        <v>10.3</v>
      </c>
      <c r="I86">
        <v>11.6</v>
      </c>
      <c r="J86">
        <v>11.6</v>
      </c>
      <c r="K86">
        <v>9.8000000000000007</v>
      </c>
      <c r="L86">
        <v>10.3</v>
      </c>
      <c r="M86">
        <v>10.3</v>
      </c>
    </row>
    <row r="87" spans="2:13" x14ac:dyDescent="0.3">
      <c r="B87" t="s">
        <v>14</v>
      </c>
      <c r="C87" t="s">
        <v>47</v>
      </c>
      <c r="D87">
        <v>295</v>
      </c>
      <c r="E87">
        <v>6.1</v>
      </c>
      <c r="F87">
        <v>9</v>
      </c>
      <c r="G87">
        <v>9.1999999999999993</v>
      </c>
      <c r="H87">
        <v>6</v>
      </c>
      <c r="I87">
        <v>6.9</v>
      </c>
      <c r="J87">
        <v>6.9</v>
      </c>
      <c r="K87">
        <v>6.3</v>
      </c>
      <c r="L87">
        <v>7.2</v>
      </c>
      <c r="M87">
        <v>7.2</v>
      </c>
    </row>
    <row r="88" spans="2:13" x14ac:dyDescent="0.3">
      <c r="B88" t="s">
        <v>171</v>
      </c>
      <c r="C88" t="s">
        <v>17</v>
      </c>
      <c r="D88">
        <v>5111</v>
      </c>
      <c r="E88">
        <v>32.6</v>
      </c>
      <c r="F88">
        <v>52.1</v>
      </c>
      <c r="G88">
        <v>52.1</v>
      </c>
      <c r="H88">
        <v>8.9</v>
      </c>
      <c r="I88">
        <v>626.6</v>
      </c>
      <c r="J88">
        <v>626.5</v>
      </c>
      <c r="K88">
        <v>5.0999999999999996</v>
      </c>
      <c r="L88">
        <v>35.6</v>
      </c>
      <c r="M88">
        <v>35.6</v>
      </c>
    </row>
    <row r="89" spans="2:13" x14ac:dyDescent="0.3">
      <c r="B89" t="s">
        <v>172</v>
      </c>
      <c r="C89" t="s">
        <v>47</v>
      </c>
      <c r="E89" t="s">
        <v>178</v>
      </c>
      <c r="F89">
        <v>2</v>
      </c>
      <c r="G89">
        <v>2</v>
      </c>
      <c r="H89">
        <v>1.3</v>
      </c>
      <c r="I89">
        <v>2.1</v>
      </c>
      <c r="J89">
        <v>2.1</v>
      </c>
      <c r="K89">
        <v>0.7</v>
      </c>
      <c r="L89">
        <v>0.8</v>
      </c>
      <c r="M89">
        <v>0.8</v>
      </c>
    </row>
    <row r="92" spans="2:13" x14ac:dyDescent="0.3">
      <c r="C92" t="s">
        <v>11</v>
      </c>
      <c r="D92">
        <v>75</v>
      </c>
      <c r="E92" t="s">
        <v>10</v>
      </c>
      <c r="K92">
        <v>22.14</v>
      </c>
      <c r="L92" t="s">
        <v>59</v>
      </c>
    </row>
    <row r="94" spans="2:13" x14ac:dyDescent="0.3">
      <c r="D94" t="s">
        <v>179</v>
      </c>
      <c r="E94" t="s">
        <v>176</v>
      </c>
      <c r="F94" t="s">
        <v>177</v>
      </c>
      <c r="J94" t="s">
        <v>3</v>
      </c>
      <c r="K94" s="3">
        <v>16.042760000000001</v>
      </c>
      <c r="L94" t="s">
        <v>184</v>
      </c>
    </row>
    <row r="95" spans="2:13" x14ac:dyDescent="0.3">
      <c r="C95" t="s">
        <v>180</v>
      </c>
      <c r="D95" s="10">
        <f>$D$92*E87/1000</f>
        <v>0.45750000000000002</v>
      </c>
      <c r="E95" s="10">
        <f>D92*H87/1000</f>
        <v>0.45</v>
      </c>
      <c r="F95" s="10">
        <f>D92*K87/1000</f>
        <v>0.47249999999999998</v>
      </c>
      <c r="G95" t="s">
        <v>16</v>
      </c>
      <c r="J95" t="s">
        <v>13</v>
      </c>
      <c r="K95">
        <v>2.0158800000000001</v>
      </c>
      <c r="L95" t="s">
        <v>184</v>
      </c>
    </row>
    <row r="96" spans="2:13" x14ac:dyDescent="0.3">
      <c r="C96" t="s">
        <v>181</v>
      </c>
      <c r="D96" s="19">
        <f>D92*F87/1000</f>
        <v>0.67500000000000004</v>
      </c>
      <c r="E96" s="10">
        <f>D92*I87/1000</f>
        <v>0.51749999999999996</v>
      </c>
      <c r="F96">
        <f>D92*L87/1000</f>
        <v>0.54</v>
      </c>
      <c r="G96" t="s">
        <v>16</v>
      </c>
      <c r="J96" t="s">
        <v>185</v>
      </c>
      <c r="K96" s="3">
        <f>K94/(4*K95)</f>
        <v>1.9895479889675973</v>
      </c>
      <c r="L96" t="s">
        <v>188</v>
      </c>
    </row>
    <row r="97" spans="3:7" x14ac:dyDescent="0.3">
      <c r="C97" t="s">
        <v>182</v>
      </c>
      <c r="D97" s="10">
        <f>$D$92*G87/1000</f>
        <v>0.69</v>
      </c>
      <c r="E97" s="10">
        <f>$D$92*J87/1000</f>
        <v>0.51749999999999996</v>
      </c>
      <c r="F97" s="10">
        <f>$D$92*M87/1000</f>
        <v>0.54</v>
      </c>
      <c r="G97" t="s">
        <v>16</v>
      </c>
    </row>
    <row r="98" spans="3:7" x14ac:dyDescent="0.3">
      <c r="C98" t="s">
        <v>183</v>
      </c>
      <c r="D98" s="10">
        <f>D97-D95</f>
        <v>0.23249999999999993</v>
      </c>
      <c r="E98" s="10">
        <f>E97-E95</f>
        <v>6.7499999999999949E-2</v>
      </c>
      <c r="F98" s="10">
        <f>F97-F95</f>
        <v>6.750000000000006E-2</v>
      </c>
      <c r="G98" t="s">
        <v>16</v>
      </c>
    </row>
    <row r="99" spans="3:7" x14ac:dyDescent="0.3">
      <c r="C99" t="s">
        <v>8</v>
      </c>
      <c r="D99" s="3">
        <f>D95/D98</f>
        <v>1.9677419354838717</v>
      </c>
    </row>
    <row r="100" spans="3:7" x14ac:dyDescent="0.3">
      <c r="E100" s="3"/>
      <c r="F100" s="3"/>
    </row>
    <row r="102" spans="3:7" x14ac:dyDescent="0.3">
      <c r="C102" t="s">
        <v>176</v>
      </c>
    </row>
    <row r="103" spans="3:7" x14ac:dyDescent="0.3">
      <c r="C103" t="s">
        <v>186</v>
      </c>
      <c r="D103">
        <v>5.4</v>
      </c>
      <c r="E103" t="s">
        <v>187</v>
      </c>
    </row>
    <row r="104" spans="3:7" x14ac:dyDescent="0.3">
      <c r="C104" t="s">
        <v>191</v>
      </c>
      <c r="D104" s="3">
        <f>D103/K96</f>
        <v>2.7141843423450829</v>
      </c>
      <c r="E104" t="s">
        <v>189</v>
      </c>
    </row>
    <row r="105" spans="3:7" x14ac:dyDescent="0.3">
      <c r="C105" t="s">
        <v>190</v>
      </c>
      <c r="D105">
        <v>85</v>
      </c>
      <c r="E105" t="s">
        <v>10</v>
      </c>
    </row>
    <row r="106" spans="3:7" x14ac:dyDescent="0.3">
      <c r="C106" t="s">
        <v>191</v>
      </c>
      <c r="D106" s="10">
        <f>D104*D105/1000</f>
        <v>0.23070566909933204</v>
      </c>
      <c r="E106" t="s">
        <v>192</v>
      </c>
    </row>
    <row r="107" spans="3:7" x14ac:dyDescent="0.3">
      <c r="D107" s="88">
        <f>D106/(K95*1000)</f>
        <v>1.1444414801443143E-4</v>
      </c>
      <c r="E107" t="s">
        <v>193</v>
      </c>
    </row>
    <row r="108" spans="3:7" x14ac:dyDescent="0.3">
      <c r="D108" s="88">
        <f>D107*K92</f>
        <v>2.5337934370395121E-3</v>
      </c>
      <c r="E108" t="s">
        <v>22</v>
      </c>
    </row>
    <row r="109" spans="3:7" x14ac:dyDescent="0.3">
      <c r="D109" s="3">
        <f>D108*1000</f>
        <v>2.5337934370395123</v>
      </c>
      <c r="E109" t="s">
        <v>10</v>
      </c>
    </row>
    <row r="110" spans="3:7" x14ac:dyDescent="0.3">
      <c r="C110" t="s">
        <v>194</v>
      </c>
      <c r="D110">
        <v>0.05</v>
      </c>
    </row>
    <row r="111" spans="3:7" x14ac:dyDescent="0.3">
      <c r="C111" t="s">
        <v>195</v>
      </c>
      <c r="D111">
        <f>D105*D110</f>
        <v>4.25</v>
      </c>
      <c r="E111" t="s">
        <v>196</v>
      </c>
    </row>
    <row r="112" spans="3:7" x14ac:dyDescent="0.3">
      <c r="D112" t="s">
        <v>197</v>
      </c>
    </row>
    <row r="116" spans="2:15" x14ac:dyDescent="0.3">
      <c r="B116" s="14" t="s">
        <v>1784</v>
      </c>
    </row>
    <row r="117" spans="2:15" x14ac:dyDescent="0.3">
      <c r="B117" t="s">
        <v>164</v>
      </c>
    </row>
    <row r="121" spans="2:15" x14ac:dyDescent="0.3">
      <c r="D121" t="s">
        <v>37</v>
      </c>
      <c r="E121" t="s">
        <v>199</v>
      </c>
      <c r="F121" t="s">
        <v>200</v>
      </c>
      <c r="G121" t="s">
        <v>201</v>
      </c>
      <c r="H121" t="s">
        <v>204</v>
      </c>
      <c r="M121" t="s">
        <v>202</v>
      </c>
    </row>
    <row r="122" spans="2:15" x14ac:dyDescent="0.3">
      <c r="B122" t="s">
        <v>14</v>
      </c>
      <c r="C122" t="s">
        <v>47</v>
      </c>
      <c r="D122">
        <v>295</v>
      </c>
      <c r="E122">
        <v>9</v>
      </c>
      <c r="F122">
        <v>10</v>
      </c>
      <c r="G122">
        <v>8</v>
      </c>
      <c r="H122">
        <v>6.1</v>
      </c>
      <c r="M122" t="s">
        <v>13</v>
      </c>
      <c r="N122">
        <v>5.95</v>
      </c>
      <c r="O122" t="s">
        <v>203</v>
      </c>
    </row>
    <row r="123" spans="2:15" x14ac:dyDescent="0.3">
      <c r="B123" t="s">
        <v>206</v>
      </c>
      <c r="E123">
        <f>E122-$H122</f>
        <v>2.9000000000000004</v>
      </c>
      <c r="F123">
        <f>F122-$H122</f>
        <v>3.9000000000000004</v>
      </c>
      <c r="G123">
        <f>G122-$H122</f>
        <v>1.9000000000000004</v>
      </c>
      <c r="N123">
        <v>10.9</v>
      </c>
      <c r="O123" t="s">
        <v>203</v>
      </c>
    </row>
    <row r="124" spans="2:15" x14ac:dyDescent="0.3">
      <c r="I124" t="s">
        <v>259</v>
      </c>
      <c r="J124" t="s">
        <v>258</v>
      </c>
      <c r="N124">
        <v>15.85</v>
      </c>
      <c r="O124" t="s">
        <v>203</v>
      </c>
    </row>
    <row r="125" spans="2:15" x14ac:dyDescent="0.3">
      <c r="B125" t="s">
        <v>207</v>
      </c>
      <c r="J125">
        <v>4.25</v>
      </c>
    </row>
    <row r="126" spans="2:15" x14ac:dyDescent="0.3">
      <c r="B126" t="s">
        <v>205</v>
      </c>
      <c r="I126">
        <v>5</v>
      </c>
      <c r="J126" s="3">
        <f t="shared" ref="J126:J137" si="0">J$125*I126/I$126</f>
        <v>4.25</v>
      </c>
    </row>
    <row r="127" spans="2:15" x14ac:dyDescent="0.3">
      <c r="I127">
        <v>10</v>
      </c>
      <c r="J127" s="3">
        <f t="shared" si="0"/>
        <v>8.5</v>
      </c>
    </row>
    <row r="128" spans="2:15" x14ac:dyDescent="0.3">
      <c r="B128" t="s">
        <v>208</v>
      </c>
      <c r="I128">
        <v>15</v>
      </c>
      <c r="J128" s="3">
        <f t="shared" si="0"/>
        <v>12.75</v>
      </c>
    </row>
    <row r="129" spans="2:14" x14ac:dyDescent="0.3">
      <c r="I129">
        <v>20</v>
      </c>
      <c r="J129" s="3">
        <f t="shared" si="0"/>
        <v>17</v>
      </c>
    </row>
    <row r="130" spans="2:14" x14ac:dyDescent="0.3">
      <c r="I130">
        <v>25</v>
      </c>
      <c r="J130" s="3">
        <f t="shared" si="0"/>
        <v>21.25</v>
      </c>
    </row>
    <row r="131" spans="2:14" x14ac:dyDescent="0.3">
      <c r="I131">
        <v>30</v>
      </c>
      <c r="J131" s="3">
        <f t="shared" si="0"/>
        <v>25.5</v>
      </c>
    </row>
    <row r="132" spans="2:14" x14ac:dyDescent="0.3">
      <c r="I132">
        <v>35</v>
      </c>
      <c r="J132" s="3">
        <f t="shared" si="0"/>
        <v>29.75</v>
      </c>
    </row>
    <row r="133" spans="2:14" x14ac:dyDescent="0.3">
      <c r="I133">
        <v>40</v>
      </c>
      <c r="J133" s="3">
        <f t="shared" si="0"/>
        <v>34</v>
      </c>
    </row>
    <row r="134" spans="2:14" x14ac:dyDescent="0.3">
      <c r="I134">
        <v>45</v>
      </c>
      <c r="J134" s="3">
        <f t="shared" si="0"/>
        <v>38.25</v>
      </c>
    </row>
    <row r="135" spans="2:14" x14ac:dyDescent="0.3">
      <c r="I135">
        <v>50</v>
      </c>
      <c r="J135" s="3">
        <f t="shared" si="0"/>
        <v>42.5</v>
      </c>
    </row>
    <row r="136" spans="2:14" x14ac:dyDescent="0.3">
      <c r="I136">
        <v>55</v>
      </c>
      <c r="J136" s="3">
        <f t="shared" si="0"/>
        <v>46.75</v>
      </c>
    </row>
    <row r="137" spans="2:14" x14ac:dyDescent="0.3">
      <c r="I137">
        <v>60</v>
      </c>
      <c r="J137" s="3">
        <f t="shared" si="0"/>
        <v>51</v>
      </c>
    </row>
    <row r="138" spans="2:14" x14ac:dyDescent="0.3">
      <c r="J138" s="3">
        <f>SUM(J126:J137)</f>
        <v>331.5</v>
      </c>
    </row>
    <row r="139" spans="2:14" x14ac:dyDescent="0.3">
      <c r="D139" t="s">
        <v>125</v>
      </c>
      <c r="E139">
        <v>4</v>
      </c>
      <c r="J139" s="3"/>
    </row>
    <row r="140" spans="2:14" x14ac:dyDescent="0.3">
      <c r="B140" t="s">
        <v>114</v>
      </c>
      <c r="C140" t="s">
        <v>110</v>
      </c>
      <c r="D140" t="s">
        <v>118</v>
      </c>
      <c r="E140" t="s">
        <v>119</v>
      </c>
      <c r="J140" s="3"/>
      <c r="L140" t="s">
        <v>262</v>
      </c>
      <c r="M140" t="s">
        <v>157</v>
      </c>
      <c r="N140" t="s">
        <v>263</v>
      </c>
    </row>
    <row r="141" spans="2:14" x14ac:dyDescent="0.3">
      <c r="B141" t="s">
        <v>111</v>
      </c>
      <c r="C141" s="8">
        <v>5</v>
      </c>
      <c r="D141">
        <f>I22</f>
        <v>4.25</v>
      </c>
      <c r="E141" s="3">
        <f>D141/E$139</f>
        <v>1.0625</v>
      </c>
      <c r="L141" s="8">
        <f>C141</f>
        <v>5</v>
      </c>
      <c r="M141" s="8">
        <f>E150</f>
        <v>77.2</v>
      </c>
      <c r="N141" s="8">
        <f>C154</f>
        <v>50.699999999999989</v>
      </c>
    </row>
    <row r="142" spans="2:14" x14ac:dyDescent="0.3">
      <c r="B142" t="s">
        <v>112</v>
      </c>
      <c r="C142" s="8">
        <v>10</v>
      </c>
      <c r="D142">
        <f>D141*C142/C141</f>
        <v>8.5</v>
      </c>
      <c r="E142" s="3">
        <f>D142/E$139</f>
        <v>2.125</v>
      </c>
      <c r="L142" s="8">
        <f>C142</f>
        <v>10</v>
      </c>
      <c r="M142" s="8">
        <f>E151</f>
        <v>78.099999999999994</v>
      </c>
      <c r="N142" s="8">
        <f>C155</f>
        <v>48.200000000000045</v>
      </c>
    </row>
    <row r="143" spans="2:14" x14ac:dyDescent="0.3">
      <c r="B143" t="s">
        <v>113</v>
      </c>
      <c r="C143" s="8">
        <v>15</v>
      </c>
      <c r="D143">
        <f>D141*C143/C141</f>
        <v>12.75</v>
      </c>
      <c r="E143" s="3">
        <f>D143/E$139</f>
        <v>3.1875</v>
      </c>
      <c r="L143" s="8">
        <f>C143</f>
        <v>15</v>
      </c>
      <c r="M143" s="8">
        <f>E152</f>
        <v>81</v>
      </c>
      <c r="N143" s="8">
        <f>C156</f>
        <v>45.699999999999989</v>
      </c>
    </row>
    <row r="144" spans="2:14" x14ac:dyDescent="0.3">
      <c r="G144" t="s">
        <v>261</v>
      </c>
      <c r="H144">
        <v>7.4999999999999997E-2</v>
      </c>
      <c r="I144" t="s">
        <v>260</v>
      </c>
      <c r="L144" t="s">
        <v>264</v>
      </c>
      <c r="M144">
        <f>SLOPE(M141:M143,$L141:$L143)</f>
        <v>0.37999999999999973</v>
      </c>
      <c r="N144">
        <f>SLOPE(N141:N143,$L141:$L143)</f>
        <v>-0.5</v>
      </c>
    </row>
    <row r="145" spans="2:14" x14ac:dyDescent="0.3">
      <c r="C145" t="s">
        <v>4</v>
      </c>
      <c r="D145" t="s">
        <v>109</v>
      </c>
      <c r="E145" t="s">
        <v>110</v>
      </c>
      <c r="G145" t="s">
        <v>30</v>
      </c>
      <c r="H145" t="s">
        <v>16</v>
      </c>
      <c r="I145" t="s">
        <v>20</v>
      </c>
      <c r="J145" t="s">
        <v>62</v>
      </c>
      <c r="L145" t="s">
        <v>265</v>
      </c>
      <c r="M145" s="8">
        <f>INTERCEPT(M141:M143,$L141:$L143)</f>
        <v>74.966666666666669</v>
      </c>
      <c r="N145" s="8">
        <f>INTERCEPT(N141:N143,$L141:$L143)</f>
        <v>53.20000000000001</v>
      </c>
    </row>
    <row r="146" spans="2:14" x14ac:dyDescent="0.3">
      <c r="B146" t="s">
        <v>106</v>
      </c>
      <c r="C146" s="8">
        <v>417.6</v>
      </c>
      <c r="D146">
        <v>227</v>
      </c>
      <c r="E146" s="8">
        <v>64.8</v>
      </c>
      <c r="G146" s="8">
        <f>$F$238</f>
        <v>3</v>
      </c>
      <c r="H146">
        <f>G146*H$144</f>
        <v>0.22499999999999998</v>
      </c>
      <c r="I146" s="8">
        <f>C146*H146</f>
        <v>93.96</v>
      </c>
      <c r="J146" s="8">
        <f>D146*H146</f>
        <v>51.074999999999996</v>
      </c>
      <c r="L146" t="s">
        <v>41</v>
      </c>
      <c r="M146" s="10">
        <f>(CORREL(M141:M143,$L141:$L143))^2</f>
        <v>0.91546914623837583</v>
      </c>
      <c r="N146" s="10">
        <f>(CORREL(N141:N143,$L141:$L143))^2</f>
        <v>1</v>
      </c>
    </row>
    <row r="147" spans="2:14" x14ac:dyDescent="0.3">
      <c r="B147" t="s">
        <v>107</v>
      </c>
      <c r="C147" s="8">
        <v>435.4</v>
      </c>
      <c r="D147">
        <v>154</v>
      </c>
      <c r="E147" s="8">
        <v>73.900000000000006</v>
      </c>
      <c r="G147" s="8">
        <f>$H$238</f>
        <v>2.1</v>
      </c>
      <c r="H147">
        <f>G147*H$144</f>
        <v>0.1575</v>
      </c>
      <c r="I147" s="8">
        <f>C147*H147</f>
        <v>68.575499999999991</v>
      </c>
      <c r="J147" s="8">
        <f>D147*H147</f>
        <v>24.254999999999999</v>
      </c>
      <c r="L147" s="8">
        <v>60</v>
      </c>
      <c r="M147" s="8">
        <f>M144*L147+M145</f>
        <v>97.766666666666652</v>
      </c>
      <c r="N147">
        <f>N144*L147+N145</f>
        <v>23.20000000000001</v>
      </c>
    </row>
    <row r="148" spans="2:14" x14ac:dyDescent="0.3">
      <c r="B148" t="s">
        <v>108</v>
      </c>
      <c r="C148" s="8">
        <v>453.3</v>
      </c>
      <c r="D148">
        <v>129</v>
      </c>
      <c r="E148" s="8">
        <v>77.8</v>
      </c>
      <c r="G148" s="8">
        <f>$L$239</f>
        <v>3.0000000000000004</v>
      </c>
      <c r="H148">
        <f>G148*H$144</f>
        <v>0.22500000000000003</v>
      </c>
      <c r="I148" s="8">
        <f>C148*H148</f>
        <v>101.99250000000002</v>
      </c>
      <c r="J148" s="8">
        <f>D148*H148</f>
        <v>29.025000000000006</v>
      </c>
    </row>
    <row r="149" spans="2:14" x14ac:dyDescent="0.3">
      <c r="C149" s="8"/>
      <c r="E149" s="8"/>
    </row>
    <row r="150" spans="2:14" x14ac:dyDescent="0.3">
      <c r="B150" t="s">
        <v>111</v>
      </c>
      <c r="C150" s="8">
        <v>468.3</v>
      </c>
      <c r="D150" s="20">
        <v>142</v>
      </c>
      <c r="E150" s="8">
        <v>77.2</v>
      </c>
      <c r="G150" s="8">
        <f>$F$238</f>
        <v>3</v>
      </c>
      <c r="H150">
        <f>G150*H$144</f>
        <v>0.22499999999999998</v>
      </c>
      <c r="I150" s="8">
        <f>C150*H150</f>
        <v>105.36749999999999</v>
      </c>
      <c r="J150" s="8">
        <f>D150*H150</f>
        <v>31.949999999999996</v>
      </c>
    </row>
    <row r="151" spans="2:14" x14ac:dyDescent="0.3">
      <c r="B151" t="s">
        <v>112</v>
      </c>
      <c r="C151" s="8">
        <v>483.6</v>
      </c>
      <c r="D151" s="20">
        <v>130</v>
      </c>
      <c r="E151" s="8">
        <v>78.099999999999994</v>
      </c>
      <c r="G151" s="8">
        <f>$H$238</f>
        <v>2.1</v>
      </c>
      <c r="H151">
        <f>G151*H$144</f>
        <v>0.1575</v>
      </c>
      <c r="I151" s="8">
        <f>C151*H151</f>
        <v>76.167000000000002</v>
      </c>
      <c r="J151" s="8">
        <f>D151*H151</f>
        <v>20.475000000000001</v>
      </c>
    </row>
    <row r="152" spans="2:14" x14ac:dyDescent="0.3">
      <c r="B152" t="s">
        <v>113</v>
      </c>
      <c r="C152" s="8">
        <v>499</v>
      </c>
      <c r="D152" s="20">
        <v>118</v>
      </c>
      <c r="E152" s="8">
        <v>81</v>
      </c>
      <c r="G152" s="8">
        <f>$L$238</f>
        <v>2.2999999999999998</v>
      </c>
      <c r="H152">
        <f>G152*H$144</f>
        <v>0.17249999999999999</v>
      </c>
      <c r="I152" s="8">
        <f>C152*H152</f>
        <v>86.077499999999986</v>
      </c>
      <c r="J152" s="8">
        <f>D152*H152</f>
        <v>20.354999999999997</v>
      </c>
    </row>
    <row r="154" spans="2:14" x14ac:dyDescent="0.3">
      <c r="B154" t="s">
        <v>115</v>
      </c>
      <c r="C154" s="8">
        <f t="shared" ref="C154:D156" si="1">C150-C146</f>
        <v>50.699999999999989</v>
      </c>
      <c r="D154" s="8">
        <f t="shared" si="1"/>
        <v>-85</v>
      </c>
      <c r="G154" s="8">
        <f>$F$238</f>
        <v>3</v>
      </c>
      <c r="H154">
        <f>G154*H$144</f>
        <v>0.22499999999999998</v>
      </c>
      <c r="I154" s="8">
        <f>C154*H154</f>
        <v>11.407499999999997</v>
      </c>
      <c r="J154" s="8">
        <f>D154*H154</f>
        <v>-19.124999999999996</v>
      </c>
    </row>
    <row r="155" spans="2:14" x14ac:dyDescent="0.3">
      <c r="B155" t="s">
        <v>116</v>
      </c>
      <c r="C155" s="8">
        <f t="shared" si="1"/>
        <v>48.200000000000045</v>
      </c>
      <c r="D155" s="8">
        <f t="shared" si="1"/>
        <v>-24</v>
      </c>
      <c r="G155" s="8">
        <f>$H$238</f>
        <v>2.1</v>
      </c>
      <c r="H155">
        <f>G155*H$144</f>
        <v>0.1575</v>
      </c>
      <c r="I155" s="8">
        <f>C155*H155</f>
        <v>7.591500000000007</v>
      </c>
      <c r="J155" s="8">
        <f>D155*H155</f>
        <v>-3.7800000000000002</v>
      </c>
    </row>
    <row r="156" spans="2:14" x14ac:dyDescent="0.3">
      <c r="B156" t="s">
        <v>117</v>
      </c>
      <c r="C156" s="8">
        <f t="shared" si="1"/>
        <v>45.699999999999989</v>
      </c>
      <c r="D156" s="8">
        <f t="shared" si="1"/>
        <v>-11</v>
      </c>
      <c r="G156" s="8">
        <f>$L$238</f>
        <v>2.2999999999999998</v>
      </c>
      <c r="H156">
        <f>G156*H$144</f>
        <v>0.17249999999999999</v>
      </c>
      <c r="I156" s="8">
        <f>C156*H156</f>
        <v>7.8832499999999976</v>
      </c>
      <c r="J156" s="8">
        <f>D156*H156</f>
        <v>-1.8975</v>
      </c>
    </row>
    <row r="159" spans="2:14" x14ac:dyDescent="0.3">
      <c r="B159" t="s">
        <v>158</v>
      </c>
    </row>
    <row r="161" spans="2:8" x14ac:dyDescent="0.3">
      <c r="B161" t="s">
        <v>130</v>
      </c>
      <c r="C161">
        <v>39.799999999999997</v>
      </c>
      <c r="D161" t="s">
        <v>145</v>
      </c>
      <c r="F161" t="s">
        <v>128</v>
      </c>
    </row>
    <row r="162" spans="2:8" x14ac:dyDescent="0.3">
      <c r="C162">
        <v>3600</v>
      </c>
      <c r="D162" t="s">
        <v>162</v>
      </c>
      <c r="F162" t="s">
        <v>43</v>
      </c>
      <c r="G162">
        <v>4.5</v>
      </c>
      <c r="H162" t="s">
        <v>127</v>
      </c>
    </row>
    <row r="163" spans="2:8" x14ac:dyDescent="0.3">
      <c r="B163" t="s">
        <v>163</v>
      </c>
      <c r="C163">
        <v>0.7</v>
      </c>
      <c r="D163" t="s">
        <v>152</v>
      </c>
      <c r="F163" t="s">
        <v>126</v>
      </c>
      <c r="G163">
        <v>5</v>
      </c>
      <c r="H163" t="s">
        <v>127</v>
      </c>
    </row>
    <row r="165" spans="2:8" x14ac:dyDescent="0.3">
      <c r="B165" s="9" t="s">
        <v>165</v>
      </c>
    </row>
    <row r="166" spans="2:8" x14ac:dyDescent="0.3">
      <c r="B166" t="s">
        <v>159</v>
      </c>
      <c r="C166">
        <v>685</v>
      </c>
      <c r="D166" t="s">
        <v>140</v>
      </c>
    </row>
    <row r="167" spans="2:8" x14ac:dyDescent="0.3">
      <c r="C167">
        <v>0.65</v>
      </c>
      <c r="D167" t="s">
        <v>157</v>
      </c>
    </row>
    <row r="168" spans="2:8" x14ac:dyDescent="0.3">
      <c r="B168" t="s">
        <v>160</v>
      </c>
      <c r="C168">
        <v>0.98</v>
      </c>
      <c r="D168" t="s">
        <v>157</v>
      </c>
    </row>
    <row r="169" spans="2:8" x14ac:dyDescent="0.3">
      <c r="B169" t="s">
        <v>161</v>
      </c>
      <c r="C169">
        <f>C166*(C168-C167)</f>
        <v>226.04999999999998</v>
      </c>
      <c r="D169" t="s">
        <v>2227</v>
      </c>
    </row>
    <row r="170" spans="2:8" x14ac:dyDescent="0.3">
      <c r="B170" t="s">
        <v>2228</v>
      </c>
      <c r="C170">
        <f>C169*E139</f>
        <v>904.19999999999993</v>
      </c>
      <c r="D170" t="s">
        <v>166</v>
      </c>
    </row>
    <row r="171" spans="2:8" x14ac:dyDescent="0.3">
      <c r="B171" t="s">
        <v>155</v>
      </c>
      <c r="C171">
        <v>147</v>
      </c>
      <c r="D171" t="s">
        <v>166</v>
      </c>
    </row>
    <row r="173" spans="2:8" x14ac:dyDescent="0.3">
      <c r="B173" s="9" t="s">
        <v>167</v>
      </c>
    </row>
    <row r="174" spans="2:8" x14ac:dyDescent="0.3">
      <c r="C174" s="6" t="s">
        <v>133</v>
      </c>
      <c r="D174" s="6" t="s">
        <v>40</v>
      </c>
    </row>
    <row r="175" spans="2:8" x14ac:dyDescent="0.3">
      <c r="B175" t="s">
        <v>15</v>
      </c>
      <c r="C175" s="14">
        <v>295</v>
      </c>
      <c r="D175" s="14">
        <v>295</v>
      </c>
      <c r="E175" t="s">
        <v>134</v>
      </c>
    </row>
    <row r="176" spans="2:8" x14ac:dyDescent="0.3">
      <c r="B176" t="s">
        <v>136</v>
      </c>
      <c r="C176" s="14">
        <v>314.3</v>
      </c>
      <c r="D176" s="14">
        <v>314.3</v>
      </c>
      <c r="E176" t="s">
        <v>137</v>
      </c>
    </row>
    <row r="177" spans="2:7" x14ac:dyDescent="0.3">
      <c r="C177" s="10">
        <f>C175/C176</f>
        <v>0.93859370028635059</v>
      </c>
      <c r="D177" s="10">
        <f>D175/D176</f>
        <v>0.93859370028635059</v>
      </c>
      <c r="E177" t="s">
        <v>138</v>
      </c>
    </row>
    <row r="178" spans="2:7" x14ac:dyDescent="0.3">
      <c r="C178">
        <f>C181*C182</f>
        <v>418.6</v>
      </c>
      <c r="D178" s="18">
        <v>417.6</v>
      </c>
      <c r="E178" t="s">
        <v>131</v>
      </c>
      <c r="G178" t="s">
        <v>146</v>
      </c>
    </row>
    <row r="179" spans="2:7" x14ac:dyDescent="0.3">
      <c r="B179" t="s">
        <v>135</v>
      </c>
      <c r="C179" s="8">
        <f>C178*C177</f>
        <v>392.89532293986639</v>
      </c>
      <c r="D179" s="8">
        <f>D178*D177</f>
        <v>391.95672923958</v>
      </c>
      <c r="E179" t="s">
        <v>141</v>
      </c>
    </row>
    <row r="180" spans="2:7" x14ac:dyDescent="0.3">
      <c r="B180" t="s">
        <v>139</v>
      </c>
      <c r="C180" s="14">
        <v>444</v>
      </c>
      <c r="E180" t="s">
        <v>141</v>
      </c>
    </row>
    <row r="181" spans="2:7" x14ac:dyDescent="0.3">
      <c r="C181" s="14">
        <v>0.65</v>
      </c>
      <c r="D181" s="14">
        <v>0.65</v>
      </c>
      <c r="E181" t="s">
        <v>129</v>
      </c>
      <c r="G181" t="s">
        <v>146</v>
      </c>
    </row>
    <row r="182" spans="2:7" x14ac:dyDescent="0.3">
      <c r="C182" s="18">
        <v>644</v>
      </c>
      <c r="D182" s="8">
        <f>D178/D181</f>
        <v>642.46153846153845</v>
      </c>
      <c r="E182" t="s">
        <v>132</v>
      </c>
      <c r="G182" s="16" t="s">
        <v>146</v>
      </c>
    </row>
    <row r="183" spans="2:7" x14ac:dyDescent="0.3">
      <c r="B183" t="s">
        <v>135</v>
      </c>
      <c r="C183" s="8">
        <f>C182*C177</f>
        <v>604.45434298440978</v>
      </c>
      <c r="D183" s="8">
        <f>D182*D177</f>
        <v>603.01035267627697</v>
      </c>
      <c r="E183" t="s">
        <v>140</v>
      </c>
    </row>
    <row r="184" spans="2:7" x14ac:dyDescent="0.3">
      <c r="B184" t="s">
        <v>139</v>
      </c>
      <c r="C184" s="17">
        <v>685</v>
      </c>
      <c r="E184" t="s">
        <v>140</v>
      </c>
    </row>
    <row r="185" spans="2:7" x14ac:dyDescent="0.3">
      <c r="B185" t="s">
        <v>119</v>
      </c>
      <c r="C185" s="14">
        <v>0.98</v>
      </c>
      <c r="D185" s="14">
        <v>0.98</v>
      </c>
      <c r="E185" t="s">
        <v>129</v>
      </c>
    </row>
    <row r="186" spans="2:7" x14ac:dyDescent="0.3">
      <c r="B186" t="s">
        <v>135</v>
      </c>
      <c r="C186" s="8">
        <f>C182*C185</f>
        <v>631.12</v>
      </c>
      <c r="D186" s="8">
        <f>D182*D185</f>
        <v>629.6123076923077</v>
      </c>
      <c r="E186" t="s">
        <v>131</v>
      </c>
    </row>
    <row r="187" spans="2:7" x14ac:dyDescent="0.3">
      <c r="B187" t="s">
        <v>139</v>
      </c>
      <c r="C187" s="14">
        <v>637.1</v>
      </c>
      <c r="E187" t="s">
        <v>131</v>
      </c>
    </row>
    <row r="188" spans="2:7" x14ac:dyDescent="0.3">
      <c r="B188" t="s">
        <v>135</v>
      </c>
      <c r="C188" s="8">
        <f>C187*C177</f>
        <v>597.978046452434</v>
      </c>
      <c r="D188" s="8">
        <f>D186*D177</f>
        <v>590.95014562275139</v>
      </c>
      <c r="E188" t="s">
        <v>141</v>
      </c>
    </row>
    <row r="189" spans="2:7" x14ac:dyDescent="0.3">
      <c r="B189" t="s">
        <v>139</v>
      </c>
      <c r="C189" s="14">
        <v>678</v>
      </c>
      <c r="E189" t="s">
        <v>141</v>
      </c>
    </row>
    <row r="190" spans="2:7" x14ac:dyDescent="0.3">
      <c r="B190" t="s">
        <v>142</v>
      </c>
      <c r="C190" s="8">
        <f>C186-C178</f>
        <v>212.51999999999998</v>
      </c>
      <c r="D190" s="8">
        <f>D186-D178</f>
        <v>212.01230769230767</v>
      </c>
      <c r="E190" t="s">
        <v>131</v>
      </c>
    </row>
    <row r="191" spans="2:7" x14ac:dyDescent="0.3">
      <c r="B191" s="6" t="s">
        <v>40</v>
      </c>
      <c r="C191" s="10">
        <f>C190/C178*C181</f>
        <v>0.33</v>
      </c>
      <c r="D191">
        <f>D190/D178*D181</f>
        <v>0.33</v>
      </c>
      <c r="E191" t="s">
        <v>129</v>
      </c>
    </row>
    <row r="192" spans="2:7" x14ac:dyDescent="0.3">
      <c r="C192" s="8">
        <f>C190*C177</f>
        <v>199.46993318485522</v>
      </c>
      <c r="D192" s="8">
        <f>D190*D177</f>
        <v>198.99341638317136</v>
      </c>
      <c r="E192" t="s">
        <v>141</v>
      </c>
    </row>
    <row r="193" spans="2:5" x14ac:dyDescent="0.3">
      <c r="B193" t="s">
        <v>143</v>
      </c>
      <c r="C193" s="8">
        <f>C192*E139</f>
        <v>797.87973273942089</v>
      </c>
      <c r="D193" s="8">
        <f>D192*E139</f>
        <v>795.97366553268546</v>
      </c>
      <c r="E193" t="s">
        <v>166</v>
      </c>
    </row>
    <row r="194" spans="2:5" x14ac:dyDescent="0.3">
      <c r="B194" t="s">
        <v>139</v>
      </c>
      <c r="C194" s="14">
        <v>147</v>
      </c>
      <c r="E194" t="s">
        <v>166</v>
      </c>
    </row>
    <row r="195" spans="2:5" x14ac:dyDescent="0.3">
      <c r="C195" s="8" t="s">
        <v>156</v>
      </c>
      <c r="D195" s="8"/>
    </row>
    <row r="196" spans="2:5" x14ac:dyDescent="0.3">
      <c r="B196" t="s">
        <v>144</v>
      </c>
      <c r="C196" s="16">
        <f>C188*$C161</f>
        <v>23799.526248806873</v>
      </c>
      <c r="D196" s="16">
        <f>D188*$C161</f>
        <v>23519.815795785504</v>
      </c>
      <c r="E196" t="s">
        <v>147</v>
      </c>
    </row>
    <row r="197" spans="2:5" x14ac:dyDescent="0.3">
      <c r="B197" t="s">
        <v>139</v>
      </c>
      <c r="C197">
        <v>26436</v>
      </c>
      <c r="E197" t="s">
        <v>147</v>
      </c>
    </row>
    <row r="198" spans="2:5" x14ac:dyDescent="0.3">
      <c r="B198" t="s">
        <v>151</v>
      </c>
      <c r="C198" s="14">
        <v>0.98</v>
      </c>
      <c r="D198" s="14">
        <v>0.98</v>
      </c>
    </row>
    <row r="199" spans="2:5" x14ac:dyDescent="0.3">
      <c r="B199" t="s">
        <v>148</v>
      </c>
      <c r="C199" s="3">
        <f>C196*C198/$C162</f>
        <v>6.4787599232863151</v>
      </c>
      <c r="D199" s="3">
        <f>D196*D198/$C162</f>
        <v>6.4026165221860536</v>
      </c>
      <c r="E199" t="s">
        <v>152</v>
      </c>
    </row>
    <row r="200" spans="2:5" x14ac:dyDescent="0.3">
      <c r="B200" t="s">
        <v>139</v>
      </c>
      <c r="C200" s="14">
        <v>7.3</v>
      </c>
      <c r="E200" t="s">
        <v>152</v>
      </c>
    </row>
    <row r="201" spans="2:5" x14ac:dyDescent="0.3">
      <c r="B201" t="s">
        <v>153</v>
      </c>
      <c r="C201" s="3">
        <f>C199-$C163</f>
        <v>5.7787599232863149</v>
      </c>
      <c r="D201" s="3">
        <f>D199-$C163</f>
        <v>5.7026165221860534</v>
      </c>
    </row>
    <row r="202" spans="2:5" x14ac:dyDescent="0.3">
      <c r="B202" t="s">
        <v>139</v>
      </c>
      <c r="C202" s="14">
        <v>6.6</v>
      </c>
    </row>
    <row r="203" spans="2:5" x14ac:dyDescent="0.3">
      <c r="B203" t="s">
        <v>150</v>
      </c>
      <c r="C203" s="14">
        <v>0.35</v>
      </c>
      <c r="D203" s="14">
        <v>0.35</v>
      </c>
    </row>
    <row r="204" spans="2:5" x14ac:dyDescent="0.3">
      <c r="B204" t="s">
        <v>149</v>
      </c>
      <c r="C204" s="8">
        <f>C196*C203/$C162</f>
        <v>2.3138428297451124</v>
      </c>
      <c r="D204" s="8">
        <f>D196*D203/$C162</f>
        <v>2.2866487579235906</v>
      </c>
      <c r="E204" t="s">
        <v>152</v>
      </c>
    </row>
    <row r="205" spans="2:5" x14ac:dyDescent="0.3">
      <c r="B205" t="s">
        <v>139</v>
      </c>
      <c r="C205" s="14">
        <v>2.6</v>
      </c>
      <c r="E205" t="s">
        <v>152</v>
      </c>
    </row>
    <row r="206" spans="2:5" x14ac:dyDescent="0.3">
      <c r="B206" t="s">
        <v>154</v>
      </c>
      <c r="C206" s="8">
        <f>C204-$C163</f>
        <v>1.6138428297451124</v>
      </c>
      <c r="D206" s="8">
        <f>D204-$C163</f>
        <v>1.5866487579235906</v>
      </c>
    </row>
    <row r="207" spans="2:5" x14ac:dyDescent="0.3">
      <c r="B207" t="s">
        <v>139</v>
      </c>
      <c r="C207" s="14">
        <v>1.8</v>
      </c>
    </row>
    <row r="210" spans="4:13" x14ac:dyDescent="0.3">
      <c r="D210" t="s">
        <v>224</v>
      </c>
    </row>
    <row r="211" spans="4:13" x14ac:dyDescent="0.3">
      <c r="D211" t="s">
        <v>225</v>
      </c>
    </row>
    <row r="212" spans="4:13" x14ac:dyDescent="0.3">
      <c r="D212" t="s">
        <v>226</v>
      </c>
    </row>
    <row r="213" spans="4:13" x14ac:dyDescent="0.3">
      <c r="D213" t="s">
        <v>227</v>
      </c>
    </row>
    <row r="215" spans="4:13" x14ac:dyDescent="0.3">
      <c r="D215" t="s">
        <v>200</v>
      </c>
      <c r="G215" t="s">
        <v>200</v>
      </c>
      <c r="J215" t="s">
        <v>201</v>
      </c>
      <c r="M215" t="s">
        <v>201</v>
      </c>
    </row>
    <row r="216" spans="4:13" x14ac:dyDescent="0.3">
      <c r="D216" t="s">
        <v>228</v>
      </c>
      <c r="G216" t="s">
        <v>228</v>
      </c>
      <c r="J216" t="s">
        <v>229</v>
      </c>
      <c r="M216" t="s">
        <v>229</v>
      </c>
    </row>
    <row r="217" spans="4:13" x14ac:dyDescent="0.3">
      <c r="D217" t="s">
        <v>230</v>
      </c>
      <c r="G217" t="s">
        <v>230</v>
      </c>
      <c r="J217" t="s">
        <v>231</v>
      </c>
      <c r="M217" t="s">
        <v>231</v>
      </c>
    </row>
    <row r="219" spans="4:13" x14ac:dyDescent="0.3">
      <c r="D219" t="s">
        <v>232</v>
      </c>
      <c r="G219" t="s">
        <v>233</v>
      </c>
      <c r="J219" t="s">
        <v>232</v>
      </c>
      <c r="M219" t="s">
        <v>233</v>
      </c>
    </row>
    <row r="220" spans="4:13" x14ac:dyDescent="0.3">
      <c r="D220" t="s">
        <v>234</v>
      </c>
      <c r="G220" t="s">
        <v>235</v>
      </c>
      <c r="J220" t="s">
        <v>234</v>
      </c>
      <c r="M220" t="s">
        <v>235</v>
      </c>
    </row>
    <row r="222" spans="4:13" x14ac:dyDescent="0.3">
      <c r="D222" t="s">
        <v>236</v>
      </c>
      <c r="G222" t="s">
        <v>256</v>
      </c>
      <c r="J222" t="s">
        <v>237</v>
      </c>
      <c r="M222" t="s">
        <v>238</v>
      </c>
    </row>
    <row r="223" spans="4:13" x14ac:dyDescent="0.3">
      <c r="D223" t="s">
        <v>239</v>
      </c>
      <c r="G223" t="s">
        <v>254</v>
      </c>
      <c r="J223" t="s">
        <v>240</v>
      </c>
      <c r="M223" t="s">
        <v>241</v>
      </c>
    </row>
    <row r="224" spans="4:13" x14ac:dyDescent="0.3">
      <c r="D224" t="s">
        <v>242</v>
      </c>
      <c r="G224" t="s">
        <v>242</v>
      </c>
      <c r="J224" t="s">
        <v>243</v>
      </c>
      <c r="M224" t="s">
        <v>243</v>
      </c>
    </row>
    <row r="225" spans="4:15" x14ac:dyDescent="0.3">
      <c r="D225" t="s">
        <v>244</v>
      </c>
      <c r="G225" t="s">
        <v>257</v>
      </c>
      <c r="J225" t="s">
        <v>245</v>
      </c>
      <c r="M225" t="s">
        <v>246</v>
      </c>
    </row>
    <row r="226" spans="4:15" x14ac:dyDescent="0.3">
      <c r="D226" t="s">
        <v>197</v>
      </c>
      <c r="J226" t="s">
        <v>247</v>
      </c>
      <c r="M226" t="s">
        <v>197</v>
      </c>
    </row>
    <row r="227" spans="4:15" x14ac:dyDescent="0.3">
      <c r="D227" t="s">
        <v>2342</v>
      </c>
    </row>
    <row r="229" spans="4:15" x14ac:dyDescent="0.3">
      <c r="E229" s="8"/>
      <c r="F229" s="8"/>
      <c r="G229" s="8"/>
    </row>
    <row r="230" spans="4:15" x14ac:dyDescent="0.3">
      <c r="E230" t="s">
        <v>199</v>
      </c>
      <c r="G230" t="s">
        <v>200</v>
      </c>
      <c r="I230" t="s">
        <v>255</v>
      </c>
      <c r="K230" t="s">
        <v>201</v>
      </c>
      <c r="M230" t="s">
        <v>248</v>
      </c>
    </row>
    <row r="231" spans="4:15" x14ac:dyDescent="0.3">
      <c r="E231" t="s">
        <v>64</v>
      </c>
      <c r="F231" t="s">
        <v>70</v>
      </c>
      <c r="G231" t="s">
        <v>64</v>
      </c>
      <c r="H231" t="s">
        <v>70</v>
      </c>
      <c r="I231" t="s">
        <v>64</v>
      </c>
      <c r="J231" t="s">
        <v>70</v>
      </c>
      <c r="K231" t="s">
        <v>64</v>
      </c>
      <c r="L231" t="s">
        <v>70</v>
      </c>
      <c r="M231" t="s">
        <v>64</v>
      </c>
      <c r="N231" t="s">
        <v>70</v>
      </c>
    </row>
    <row r="232" spans="4:15" x14ac:dyDescent="0.3">
      <c r="D232" t="s">
        <v>249</v>
      </c>
      <c r="E232" s="8"/>
      <c r="F232" s="8"/>
      <c r="G232" s="8">
        <v>0.5</v>
      </c>
      <c r="H232" s="8">
        <v>0.5</v>
      </c>
      <c r="I232" s="8">
        <v>0.5</v>
      </c>
      <c r="J232" s="8">
        <v>0.5</v>
      </c>
      <c r="K232" s="8">
        <v>0.5</v>
      </c>
      <c r="L232" s="8">
        <v>0.5</v>
      </c>
      <c r="M232" s="8">
        <v>0.5</v>
      </c>
      <c r="N232" s="8">
        <v>0.5</v>
      </c>
      <c r="O232" t="s">
        <v>22</v>
      </c>
    </row>
    <row r="233" spans="4:15" x14ac:dyDescent="0.3">
      <c r="D233" t="s">
        <v>250</v>
      </c>
      <c r="E233" s="21"/>
      <c r="F233" s="21"/>
      <c r="G233" s="21">
        <v>4</v>
      </c>
      <c r="H233" s="21">
        <f>G233</f>
        <v>4</v>
      </c>
      <c r="I233" s="21">
        <v>8.1999999999999993</v>
      </c>
      <c r="J233" s="21">
        <f>I233</f>
        <v>8.1999999999999993</v>
      </c>
      <c r="K233" s="21">
        <v>-2.4</v>
      </c>
      <c r="L233" s="21">
        <f>K233</f>
        <v>-2.4</v>
      </c>
      <c r="M233" s="21">
        <v>2.2000000000000002</v>
      </c>
      <c r="N233" s="21">
        <f>M233</f>
        <v>2.2000000000000002</v>
      </c>
      <c r="O233" t="s">
        <v>30</v>
      </c>
    </row>
    <row r="234" spans="4:15" x14ac:dyDescent="0.3">
      <c r="E234" s="8"/>
      <c r="F234" s="8"/>
      <c r="G234" s="8">
        <f t="shared" ref="G234:N234" si="2">G232*G233</f>
        <v>2</v>
      </c>
      <c r="H234" s="8">
        <f t="shared" si="2"/>
        <v>2</v>
      </c>
      <c r="I234" s="8">
        <f t="shared" si="2"/>
        <v>4.0999999999999996</v>
      </c>
      <c r="J234" s="8">
        <f t="shared" si="2"/>
        <v>4.0999999999999996</v>
      </c>
      <c r="K234" s="8">
        <f t="shared" si="2"/>
        <v>-1.2</v>
      </c>
      <c r="L234" s="8">
        <f t="shared" si="2"/>
        <v>-1.2</v>
      </c>
      <c r="M234" s="8">
        <f t="shared" si="2"/>
        <v>1.1000000000000001</v>
      </c>
      <c r="N234" s="8">
        <f t="shared" si="2"/>
        <v>1.1000000000000001</v>
      </c>
      <c r="O234" t="s">
        <v>16</v>
      </c>
    </row>
    <row r="235" spans="4:15" x14ac:dyDescent="0.3">
      <c r="D235" t="s">
        <v>251</v>
      </c>
      <c r="E235" s="8">
        <v>1</v>
      </c>
      <c r="F235" s="8">
        <v>1</v>
      </c>
      <c r="G235" s="8">
        <f t="shared" ref="G235:N235" si="3">G232</f>
        <v>0.5</v>
      </c>
      <c r="H235" s="8">
        <f t="shared" si="3"/>
        <v>0.5</v>
      </c>
      <c r="I235" s="8">
        <f t="shared" si="3"/>
        <v>0.5</v>
      </c>
      <c r="J235" s="8">
        <f t="shared" si="3"/>
        <v>0.5</v>
      </c>
      <c r="K235" s="8">
        <f t="shared" si="3"/>
        <v>0.5</v>
      </c>
      <c r="L235" s="8">
        <f t="shared" si="3"/>
        <v>0.5</v>
      </c>
      <c r="M235" s="8">
        <f t="shared" si="3"/>
        <v>0.5</v>
      </c>
      <c r="N235" s="8">
        <f t="shared" si="3"/>
        <v>0.5</v>
      </c>
      <c r="O235" t="s">
        <v>22</v>
      </c>
    </row>
    <row r="236" spans="4:15" x14ac:dyDescent="0.3">
      <c r="D236" t="s">
        <v>14</v>
      </c>
      <c r="E236" s="22">
        <v>6</v>
      </c>
      <c r="F236" s="22">
        <v>9</v>
      </c>
      <c r="G236" s="21">
        <v>12.6</v>
      </c>
      <c r="H236" s="21">
        <f>G236</f>
        <v>12.6</v>
      </c>
      <c r="I236" s="21">
        <v>8.4</v>
      </c>
      <c r="J236" s="21">
        <f>I236</f>
        <v>8.4</v>
      </c>
      <c r="K236" s="21">
        <v>13.8</v>
      </c>
      <c r="L236" s="21">
        <f>K236</f>
        <v>13.8</v>
      </c>
      <c r="M236" s="21">
        <v>9.1999999999999993</v>
      </c>
      <c r="N236" s="21">
        <f>M236</f>
        <v>9.1999999999999993</v>
      </c>
      <c r="O236" t="s">
        <v>30</v>
      </c>
    </row>
    <row r="237" spans="4:15" x14ac:dyDescent="0.3">
      <c r="E237" s="8">
        <f t="shared" ref="E237:N237" si="4">E235*E236</f>
        <v>6</v>
      </c>
      <c r="F237" s="8">
        <f t="shared" si="4"/>
        <v>9</v>
      </c>
      <c r="G237" s="8">
        <f t="shared" si="4"/>
        <v>6.3</v>
      </c>
      <c r="H237" s="8">
        <f t="shared" si="4"/>
        <v>6.3</v>
      </c>
      <c r="I237" s="8">
        <f t="shared" si="4"/>
        <v>4.2</v>
      </c>
      <c r="J237" s="8">
        <f t="shared" si="4"/>
        <v>4.2</v>
      </c>
      <c r="K237" s="8">
        <f t="shared" si="4"/>
        <v>6.9</v>
      </c>
      <c r="L237" s="8">
        <f t="shared" si="4"/>
        <v>6.9</v>
      </c>
      <c r="M237" s="8">
        <f t="shared" si="4"/>
        <v>4.5999999999999996</v>
      </c>
      <c r="N237" s="8">
        <f t="shared" si="4"/>
        <v>4.5999999999999996</v>
      </c>
      <c r="O237" t="s">
        <v>16</v>
      </c>
    </row>
    <row r="238" spans="4:15" x14ac:dyDescent="0.3">
      <c r="D238" t="s">
        <v>252</v>
      </c>
      <c r="E238" s="22">
        <v>0</v>
      </c>
      <c r="F238" s="8">
        <f>F237-E237</f>
        <v>3</v>
      </c>
      <c r="G238" s="8">
        <v>0</v>
      </c>
      <c r="H238" s="22">
        <v>2.1</v>
      </c>
      <c r="I238" s="8">
        <v>0</v>
      </c>
      <c r="J238" s="22">
        <v>2.1</v>
      </c>
      <c r="K238" s="8">
        <v>0</v>
      </c>
      <c r="L238" s="22">
        <v>2.2999999999999998</v>
      </c>
      <c r="M238" s="8">
        <v>0</v>
      </c>
      <c r="N238" s="22">
        <v>2.2999999999999998</v>
      </c>
      <c r="O238" t="s">
        <v>16</v>
      </c>
    </row>
    <row r="239" spans="4:15" x14ac:dyDescent="0.3">
      <c r="D239" t="s">
        <v>8</v>
      </c>
      <c r="E239" s="8"/>
      <c r="F239" s="8">
        <f>E237/F238</f>
        <v>2</v>
      </c>
      <c r="G239" s="8"/>
      <c r="H239" s="8">
        <f>H237/H238</f>
        <v>3</v>
      </c>
      <c r="I239" s="8"/>
      <c r="J239" s="8">
        <f>J237/J238</f>
        <v>2</v>
      </c>
      <c r="K239" s="8"/>
      <c r="L239" s="8">
        <f>L237/L238</f>
        <v>3.0000000000000004</v>
      </c>
      <c r="M239" s="8"/>
      <c r="N239" s="8">
        <f>N237/N238</f>
        <v>2</v>
      </c>
    </row>
    <row r="240" spans="4:15" x14ac:dyDescent="0.3">
      <c r="D240" t="s">
        <v>253</v>
      </c>
      <c r="E240" s="8"/>
      <c r="F240" s="8"/>
      <c r="G240" s="8">
        <f t="shared" ref="G240:N240" si="5">(G234+G237+G238)/(G232+G235)</f>
        <v>8.3000000000000007</v>
      </c>
      <c r="H240" s="8">
        <f t="shared" si="5"/>
        <v>10.4</v>
      </c>
      <c r="I240" s="8">
        <f t="shared" si="5"/>
        <v>8.3000000000000007</v>
      </c>
      <c r="J240" s="8">
        <f t="shared" si="5"/>
        <v>10.4</v>
      </c>
      <c r="K240" s="8">
        <f t="shared" si="5"/>
        <v>5.7</v>
      </c>
      <c r="L240" s="8">
        <f t="shared" si="5"/>
        <v>8</v>
      </c>
      <c r="M240" s="8">
        <f t="shared" si="5"/>
        <v>5.6999999999999993</v>
      </c>
      <c r="N240" s="8">
        <f t="shared" si="5"/>
        <v>7.9999999999999991</v>
      </c>
      <c r="O240" t="s">
        <v>30</v>
      </c>
    </row>
    <row r="241" spans="4:14" x14ac:dyDescent="0.3">
      <c r="D241" s="6" t="s">
        <v>40</v>
      </c>
      <c r="E241" s="8">
        <v>6</v>
      </c>
      <c r="F241" s="8">
        <v>9</v>
      </c>
      <c r="G241" s="8">
        <v>8.3000000000000007</v>
      </c>
      <c r="H241">
        <v>10.4</v>
      </c>
      <c r="I241" s="8">
        <v>8.3000000000000007</v>
      </c>
      <c r="J241">
        <v>10.4</v>
      </c>
      <c r="K241" s="8">
        <v>5.7</v>
      </c>
      <c r="L241" s="8">
        <v>8</v>
      </c>
      <c r="M241" s="8">
        <v>5.7</v>
      </c>
      <c r="N241" s="8">
        <v>8</v>
      </c>
    </row>
  </sheetData>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8C59-5AD9-4601-9F50-2C246001F3A0}">
  <dimension ref="B2:Q156"/>
  <sheetViews>
    <sheetView workbookViewId="0"/>
  </sheetViews>
  <sheetFormatPr defaultColWidth="8.88671875" defaultRowHeight="14.4" x14ac:dyDescent="0.3"/>
  <cols>
    <col min="1" max="1" width="8.88671875" style="148"/>
    <col min="2" max="2" width="14.77734375" style="148" customWidth="1"/>
    <col min="3" max="16384" width="8.88671875" style="148"/>
  </cols>
  <sheetData>
    <row r="2" spans="2:5" x14ac:dyDescent="0.3">
      <c r="B2" s="102" t="s">
        <v>1773</v>
      </c>
    </row>
    <row r="3" spans="2:5" x14ac:dyDescent="0.3">
      <c r="B3" s="148" t="s">
        <v>1549</v>
      </c>
    </row>
    <row r="4" spans="2:5" x14ac:dyDescent="0.3">
      <c r="B4" s="148" t="s">
        <v>1198</v>
      </c>
    </row>
    <row r="6" spans="2:5" x14ac:dyDescent="0.3">
      <c r="B6" s="148" t="s">
        <v>114</v>
      </c>
      <c r="D6" s="148" t="s">
        <v>1420</v>
      </c>
    </row>
    <row r="7" spans="2:5" x14ac:dyDescent="0.3">
      <c r="B7" s="148" t="s">
        <v>667</v>
      </c>
      <c r="C7" s="148" t="s">
        <v>503</v>
      </c>
      <c r="D7" s="148">
        <v>37</v>
      </c>
      <c r="E7" s="148">
        <v>55</v>
      </c>
    </row>
    <row r="8" spans="2:5" x14ac:dyDescent="0.3">
      <c r="B8" s="148" t="s">
        <v>26</v>
      </c>
      <c r="C8" s="148" t="s">
        <v>566</v>
      </c>
      <c r="D8" s="148">
        <v>25</v>
      </c>
      <c r="E8" s="148">
        <v>15</v>
      </c>
    </row>
    <row r="9" spans="2:5" x14ac:dyDescent="0.3">
      <c r="B9" s="148" t="s">
        <v>1324</v>
      </c>
    </row>
    <row r="10" spans="2:5" x14ac:dyDescent="0.3">
      <c r="B10" s="148" t="s">
        <v>956</v>
      </c>
      <c r="C10" s="148" t="s">
        <v>22</v>
      </c>
      <c r="D10" s="148">
        <v>2</v>
      </c>
      <c r="E10" s="148">
        <v>2</v>
      </c>
    </row>
    <row r="11" spans="2:5" x14ac:dyDescent="0.3">
      <c r="B11" s="148" t="s">
        <v>32</v>
      </c>
      <c r="C11" s="148" t="s">
        <v>22</v>
      </c>
      <c r="D11" s="148">
        <v>1.5</v>
      </c>
      <c r="E11" s="148">
        <v>1.5</v>
      </c>
    </row>
    <row r="12" spans="2:5" x14ac:dyDescent="0.3">
      <c r="B12" s="148" t="s">
        <v>326</v>
      </c>
      <c r="D12" s="148" t="s">
        <v>1427</v>
      </c>
    </row>
    <row r="13" spans="2:5" x14ac:dyDescent="0.3">
      <c r="B13" s="148" t="s">
        <v>344</v>
      </c>
      <c r="D13" s="148" t="s">
        <v>665</v>
      </c>
    </row>
    <row r="14" spans="2:5" x14ac:dyDescent="0.3">
      <c r="B14" s="148" t="s">
        <v>1332</v>
      </c>
      <c r="D14" s="148" t="s">
        <v>342</v>
      </c>
    </row>
    <row r="15" spans="2:5" x14ac:dyDescent="0.3">
      <c r="B15" s="148" t="s">
        <v>1330</v>
      </c>
      <c r="D15" s="148" t="s">
        <v>1333</v>
      </c>
    </row>
    <row r="16" spans="2:5" s="133" customFormat="1" x14ac:dyDescent="0.3">
      <c r="B16" s="133" t="s">
        <v>1968</v>
      </c>
      <c r="D16" s="133" t="s">
        <v>1969</v>
      </c>
      <c r="E16" s="133" t="s">
        <v>2094</v>
      </c>
    </row>
    <row r="17" spans="2:15" x14ac:dyDescent="0.3">
      <c r="B17" s="148" t="s">
        <v>1541</v>
      </c>
      <c r="D17" s="148" t="s">
        <v>1547</v>
      </c>
    </row>
    <row r="18" spans="2:15" x14ac:dyDescent="0.3">
      <c r="B18" s="148" t="s">
        <v>1599</v>
      </c>
      <c r="D18" s="148" t="s">
        <v>2131</v>
      </c>
    </row>
    <row r="20" spans="2:15" x14ac:dyDescent="0.3">
      <c r="B20" s="148" t="s">
        <v>1195</v>
      </c>
      <c r="C20" s="148" t="s">
        <v>203</v>
      </c>
      <c r="D20" s="148">
        <v>4</v>
      </c>
    </row>
    <row r="22" spans="2:15" x14ac:dyDescent="0.3">
      <c r="B22" s="148" t="s">
        <v>1205</v>
      </c>
    </row>
    <row r="24" spans="2:15" x14ac:dyDescent="0.3">
      <c r="B24" s="148" t="s">
        <v>287</v>
      </c>
      <c r="D24" s="148" t="s">
        <v>1197</v>
      </c>
      <c r="H24" s="148" t="s">
        <v>1199</v>
      </c>
      <c r="O24" s="148" t="s">
        <v>1201</v>
      </c>
    </row>
    <row r="25" spans="2:15" x14ac:dyDescent="0.3">
      <c r="B25" s="148" t="s">
        <v>1196</v>
      </c>
      <c r="D25" s="148">
        <v>0</v>
      </c>
      <c r="E25" s="148">
        <v>38</v>
      </c>
      <c r="F25" s="148">
        <v>39</v>
      </c>
      <c r="G25" s="148">
        <v>41</v>
      </c>
      <c r="H25" s="148">
        <v>0</v>
      </c>
      <c r="I25" s="148">
        <v>23</v>
      </c>
      <c r="J25" s="148">
        <v>38</v>
      </c>
      <c r="K25" s="148">
        <v>41</v>
      </c>
      <c r="L25" s="148">
        <v>44</v>
      </c>
      <c r="M25" s="148">
        <v>54</v>
      </c>
      <c r="N25" s="148">
        <v>57</v>
      </c>
      <c r="O25" s="148">
        <v>78</v>
      </c>
    </row>
    <row r="27" spans="2:15" x14ac:dyDescent="0.3">
      <c r="B27" s="148" t="s">
        <v>1200</v>
      </c>
      <c r="D27" s="148">
        <v>2</v>
      </c>
      <c r="E27" s="148">
        <v>4</v>
      </c>
      <c r="F27" s="148">
        <v>4</v>
      </c>
      <c r="G27" s="148">
        <v>2</v>
      </c>
      <c r="H27" s="148">
        <v>2</v>
      </c>
      <c r="I27" s="148">
        <v>4</v>
      </c>
      <c r="J27" s="148">
        <v>4</v>
      </c>
      <c r="K27" s="148">
        <v>4</v>
      </c>
      <c r="L27" s="148">
        <v>2</v>
      </c>
      <c r="M27" s="148">
        <v>4</v>
      </c>
      <c r="N27" s="148">
        <v>2</v>
      </c>
    </row>
    <row r="28" spans="2:15" x14ac:dyDescent="0.3">
      <c r="B28" s="148" t="s">
        <v>33</v>
      </c>
      <c r="C28" s="148" t="s">
        <v>270</v>
      </c>
      <c r="D28" s="148">
        <v>2.2000000000000002</v>
      </c>
      <c r="E28" s="148">
        <v>1.1000000000000001</v>
      </c>
      <c r="F28" s="148">
        <v>0.4</v>
      </c>
      <c r="G28" s="148">
        <v>2.2000000000000002</v>
      </c>
      <c r="H28" s="148">
        <v>2.2000000000000002</v>
      </c>
      <c r="I28" s="148">
        <v>2.2000000000000002</v>
      </c>
      <c r="J28" s="148">
        <v>1.1000000000000001</v>
      </c>
      <c r="K28" s="148">
        <v>2.2000000000000002</v>
      </c>
      <c r="L28" s="148">
        <v>2.2000000000000002</v>
      </c>
      <c r="M28" s="148">
        <v>2.2000000000000002</v>
      </c>
      <c r="N28" s="148">
        <v>2.2000000000000002</v>
      </c>
    </row>
    <row r="29" spans="2:15" x14ac:dyDescent="0.3">
      <c r="D29" s="148" t="s">
        <v>1202</v>
      </c>
      <c r="E29" s="148" t="s">
        <v>1203</v>
      </c>
      <c r="F29" s="148" t="s">
        <v>1203</v>
      </c>
      <c r="G29" s="148" t="s">
        <v>1204</v>
      </c>
      <c r="H29" s="148" t="s">
        <v>1202</v>
      </c>
      <c r="I29" s="148" t="s">
        <v>1202</v>
      </c>
      <c r="J29" s="148" t="s">
        <v>1203</v>
      </c>
      <c r="K29" s="148" t="s">
        <v>1204</v>
      </c>
      <c r="L29" s="148" t="s">
        <v>1204</v>
      </c>
      <c r="M29" s="148" t="s">
        <v>1204</v>
      </c>
      <c r="N29" s="148" t="s">
        <v>1204</v>
      </c>
    </row>
    <row r="31" spans="2:15" x14ac:dyDescent="0.3">
      <c r="B31" s="148" t="s">
        <v>93</v>
      </c>
      <c r="D31" s="148">
        <f>D27</f>
        <v>2</v>
      </c>
      <c r="E31" s="148">
        <f>H27</f>
        <v>2</v>
      </c>
      <c r="F31" s="148">
        <f>H27</f>
        <v>2</v>
      </c>
      <c r="G31" s="148">
        <f>L27</f>
        <v>2</v>
      </c>
      <c r="H31" s="148">
        <f>N27</f>
        <v>2</v>
      </c>
    </row>
    <row r="32" spans="2:15" x14ac:dyDescent="0.3">
      <c r="B32" s="148" t="s">
        <v>33</v>
      </c>
      <c r="C32" s="148" t="s">
        <v>270</v>
      </c>
      <c r="D32" s="148">
        <f>D28</f>
        <v>2.2000000000000002</v>
      </c>
      <c r="E32" s="148">
        <f>H28</f>
        <v>2.2000000000000002</v>
      </c>
      <c r="F32" s="148">
        <f>H28</f>
        <v>2.2000000000000002</v>
      </c>
      <c r="G32" s="148">
        <f>L28</f>
        <v>2.2000000000000002</v>
      </c>
      <c r="H32" s="148">
        <f>N28</f>
        <v>2.2000000000000002</v>
      </c>
    </row>
    <row r="33" spans="2:10" x14ac:dyDescent="0.3">
      <c r="B33" s="148" t="s">
        <v>26</v>
      </c>
      <c r="C33" s="148" t="s">
        <v>566</v>
      </c>
      <c r="D33" s="148">
        <f>$D8</f>
        <v>25</v>
      </c>
      <c r="E33" s="148">
        <f>$D8</f>
        <v>25</v>
      </c>
      <c r="F33" s="148">
        <f>$E8</f>
        <v>15</v>
      </c>
      <c r="G33" s="148">
        <f>$E8</f>
        <v>15</v>
      </c>
      <c r="H33" s="148">
        <f>$E8</f>
        <v>15</v>
      </c>
    </row>
    <row r="35" spans="2:10" x14ac:dyDescent="0.3">
      <c r="D35" s="148" t="s">
        <v>1197</v>
      </c>
      <c r="F35" s="148" t="s">
        <v>1199</v>
      </c>
    </row>
    <row r="36" spans="2:10" x14ac:dyDescent="0.3">
      <c r="D36" s="148" t="s">
        <v>1510</v>
      </c>
      <c r="E36" s="148" t="s">
        <v>1203</v>
      </c>
      <c r="F36" s="148" t="s">
        <v>1510</v>
      </c>
      <c r="G36" s="148" t="s">
        <v>1203</v>
      </c>
      <c r="H36" s="148" t="s">
        <v>1203</v>
      </c>
    </row>
    <row r="37" spans="2:10" x14ac:dyDescent="0.3">
      <c r="B37" s="148" t="s">
        <v>1501</v>
      </c>
      <c r="D37" s="148" t="s">
        <v>1497</v>
      </c>
      <c r="E37" s="148" t="s">
        <v>1496</v>
      </c>
      <c r="F37" s="148" t="s">
        <v>1498</v>
      </c>
      <c r="G37" s="148" t="s">
        <v>1499</v>
      </c>
      <c r="H37" s="148" t="s">
        <v>1500</v>
      </c>
    </row>
    <row r="38" spans="2:10" x14ac:dyDescent="0.3">
      <c r="B38" s="148" t="s">
        <v>308</v>
      </c>
      <c r="C38" s="148" t="s">
        <v>338</v>
      </c>
      <c r="D38" s="91">
        <f>AVERAGE(C$79:C$115)/(1000*$D$11)</f>
        <v>1.6191351351351351</v>
      </c>
      <c r="E38" s="91">
        <f>AVERAGE(C$119:C$156)/(1000*$D$11)</f>
        <v>1.5582280701754385</v>
      </c>
      <c r="F38" s="91">
        <f>AVERAGE(D$79:D$101)/(1000*$E$11)</f>
        <v>1.2574492753623188</v>
      </c>
      <c r="G38" s="91">
        <f>AVERAGE(D$122:D$132)/(1000*$E$11)</f>
        <v>1.0150303030303029</v>
      </c>
      <c r="H38" s="91">
        <f>AVERAGE(D$135:D$156)/(1000*$E$11)</f>
        <v>1.088060606060606</v>
      </c>
    </row>
    <row r="39" spans="2:10" x14ac:dyDescent="0.3">
      <c r="B39" s="148" t="s">
        <v>3</v>
      </c>
      <c r="C39" s="148" t="s">
        <v>302</v>
      </c>
      <c r="D39" s="37">
        <f>AVERAGE(E$79:E$115)*100</f>
        <v>58.243243243243249</v>
      </c>
      <c r="E39" s="37">
        <f>AVERAGE(E$119:E$156)*100</f>
        <v>61.447368421052637</v>
      </c>
      <c r="F39" s="39">
        <f>AVERAGE(F$79:F$101)*100</f>
        <v>66.952173913043495</v>
      </c>
      <c r="G39" s="39">
        <f>AVERAGE(F$122:F$132)*100</f>
        <v>76.290909090909096</v>
      </c>
      <c r="H39" s="39">
        <f>AVERAGE(F$135:F$156)*100</f>
        <v>67.713636363636382</v>
      </c>
    </row>
    <row r="40" spans="2:10" x14ac:dyDescent="0.3">
      <c r="B40" s="148" t="s">
        <v>40</v>
      </c>
      <c r="C40" s="148" t="s">
        <v>302</v>
      </c>
      <c r="D40" s="37">
        <f>100*D41/D38</f>
        <v>58.159177405354882</v>
      </c>
      <c r="E40" s="37">
        <f t="shared" ref="E40:H40" si="0">100*E41/E38</f>
        <v>61.714835789639601</v>
      </c>
      <c r="F40" s="165">
        <f t="shared" si="0"/>
        <v>66.916002028491079</v>
      </c>
      <c r="G40" s="165">
        <f t="shared" si="0"/>
        <v>74.659660855027468</v>
      </c>
      <c r="H40" s="165">
        <f t="shared" si="0"/>
        <v>65.763382164540744</v>
      </c>
      <c r="J40" s="148" t="s">
        <v>197</v>
      </c>
    </row>
    <row r="41" spans="2:10" x14ac:dyDescent="0.3">
      <c r="B41" s="148" t="s">
        <v>3</v>
      </c>
      <c r="C41" s="148" t="s">
        <v>338</v>
      </c>
      <c r="D41" s="91">
        <f>AVERAGE(I$79:I$115)/1000</f>
        <v>0.94167567567567567</v>
      </c>
      <c r="E41" s="91">
        <f>AVERAGE(I$119:I$156)/1000</f>
        <v>0.96165789473684204</v>
      </c>
      <c r="F41" s="91">
        <f>AVERAGE(J$79:J$101)/1000</f>
        <v>0.84143478260869564</v>
      </c>
      <c r="G41" s="91">
        <f>AVERAGE(J$122:J$132)/1000</f>
        <v>0.75781818181818184</v>
      </c>
      <c r="H41" s="91">
        <f>AVERAGE(J$135:J$156)/1000</f>
        <v>0.71554545454545448</v>
      </c>
    </row>
    <row r="42" spans="2:10" x14ac:dyDescent="0.3">
      <c r="B42" s="148" t="s">
        <v>558</v>
      </c>
      <c r="C42" s="148" t="s">
        <v>1207</v>
      </c>
      <c r="D42" s="148" t="s">
        <v>1208</v>
      </c>
      <c r="G42" s="148" t="s">
        <v>1208</v>
      </c>
    </row>
    <row r="44" spans="2:10" x14ac:dyDescent="0.3">
      <c r="D44" s="148" t="s">
        <v>1197</v>
      </c>
      <c r="F44" s="148" t="s">
        <v>1199</v>
      </c>
    </row>
    <row r="45" spans="2:10" x14ac:dyDescent="0.3">
      <c r="D45" s="148" t="s">
        <v>1510</v>
      </c>
      <c r="E45" s="148" t="s">
        <v>1203</v>
      </c>
      <c r="F45" s="148" t="s">
        <v>1510</v>
      </c>
      <c r="G45" s="148" t="s">
        <v>1203</v>
      </c>
      <c r="H45" s="148" t="s">
        <v>1203</v>
      </c>
    </row>
    <row r="46" spans="2:10" x14ac:dyDescent="0.3">
      <c r="B46" s="148" t="s">
        <v>1502</v>
      </c>
      <c r="D46" s="148" t="s">
        <v>1497</v>
      </c>
      <c r="E46" s="148" t="s">
        <v>1496</v>
      </c>
      <c r="F46" s="148" t="s">
        <v>1498</v>
      </c>
      <c r="G46" s="148" t="s">
        <v>1499</v>
      </c>
      <c r="H46" s="148" t="s">
        <v>1500</v>
      </c>
    </row>
    <row r="47" spans="2:10" x14ac:dyDescent="0.3">
      <c r="B47" s="148" t="s">
        <v>308</v>
      </c>
      <c r="C47" s="148" t="s">
        <v>338</v>
      </c>
      <c r="D47" s="91">
        <f>AVERAGE(C$106:C$115)/(1000*$D$11)</f>
        <v>1.5760000000000001</v>
      </c>
      <c r="E47" s="91">
        <f>AVERAGE(C$146:C$155)/(1000*$D$11)</f>
        <v>1.4873999999999998</v>
      </c>
      <c r="F47" s="91">
        <f>AVERAGE(D$92:D$101)/(1000*$E$11)</f>
        <v>1.2860666666666667</v>
      </c>
      <c r="G47" s="91">
        <f>AVERAGE(D$123:D$132)/(1000*$E$11)</f>
        <v>0.97466666666666668</v>
      </c>
      <c r="H47" s="91">
        <f>AVERAGE(D$146:D$155)/(1000*$E$11)</f>
        <v>0.88046666666666673</v>
      </c>
    </row>
    <row r="48" spans="2:10" x14ac:dyDescent="0.3">
      <c r="B48" s="148" t="s">
        <v>3</v>
      </c>
      <c r="C48" s="148" t="s">
        <v>302</v>
      </c>
      <c r="D48" s="37">
        <f>AVERAGE(E$106:E$115)*100</f>
        <v>58.36</v>
      </c>
      <c r="E48" s="37">
        <f>AVERAGE(E$146:E$155)*100</f>
        <v>61.899999999999991</v>
      </c>
      <c r="F48" s="39">
        <f>AVERAGE(F$92:F$101)*100</f>
        <v>63.67</v>
      </c>
      <c r="G48" s="39">
        <f>AVERAGE(F$123:F$132)*100</f>
        <v>78.240000000000009</v>
      </c>
      <c r="H48" s="39">
        <f>AVERAGE(F$146:F$155)*100</f>
        <v>75.900000000000006</v>
      </c>
    </row>
    <row r="49" spans="2:10" x14ac:dyDescent="0.3">
      <c r="B49" s="148" t="s">
        <v>40</v>
      </c>
      <c r="C49" s="148" t="s">
        <v>302</v>
      </c>
      <c r="D49" s="37">
        <f>100*D50/D47</f>
        <v>57.76015228426396</v>
      </c>
      <c r="E49" s="37">
        <f t="shared" ref="E49:H49" si="1">100*E50/E47</f>
        <v>61.926852225359696</v>
      </c>
      <c r="F49" s="39">
        <f t="shared" si="1"/>
        <v>63.565911564978485</v>
      </c>
      <c r="G49" s="39">
        <f t="shared" si="1"/>
        <v>77.257181942544449</v>
      </c>
      <c r="H49" s="39">
        <f t="shared" si="1"/>
        <v>75.902930264253797</v>
      </c>
      <c r="J49" s="148" t="s">
        <v>197</v>
      </c>
    </row>
    <row r="50" spans="2:10" x14ac:dyDescent="0.3">
      <c r="B50" s="148" t="s">
        <v>3</v>
      </c>
      <c r="C50" s="148" t="s">
        <v>338</v>
      </c>
      <c r="D50" s="91">
        <f>AVERAGE(I$106:I$115)/1000</f>
        <v>0.9103</v>
      </c>
      <c r="E50" s="91">
        <f>AVERAGE(I$146:I$155)/1000</f>
        <v>0.92110000000000003</v>
      </c>
      <c r="F50" s="91">
        <f>AVERAGE(J$92:J$101)/1000</f>
        <v>0.8175</v>
      </c>
      <c r="G50" s="91">
        <f>AVERAGE(J$123:J$132)/1000</f>
        <v>0.753</v>
      </c>
      <c r="H50" s="91">
        <f>AVERAGE(J$146:J$155)/1000</f>
        <v>0.66830000000000001</v>
      </c>
    </row>
    <row r="51" spans="2:10" x14ac:dyDescent="0.3">
      <c r="B51" s="148" t="s">
        <v>1503</v>
      </c>
      <c r="C51" s="148" t="s">
        <v>302</v>
      </c>
      <c r="D51" s="39">
        <v>25</v>
      </c>
      <c r="E51" s="39">
        <v>27</v>
      </c>
      <c r="F51" s="39">
        <v>25</v>
      </c>
      <c r="G51" s="39">
        <v>12</v>
      </c>
      <c r="H51" s="91">
        <v>18</v>
      </c>
      <c r="J51" s="148" t="s">
        <v>1505</v>
      </c>
    </row>
    <row r="52" spans="2:10" x14ac:dyDescent="0.3">
      <c r="B52" s="148" t="s">
        <v>1504</v>
      </c>
      <c r="C52" s="148" t="s">
        <v>302</v>
      </c>
      <c r="D52" s="39">
        <v>13</v>
      </c>
      <c r="E52" s="39">
        <v>10</v>
      </c>
      <c r="F52" s="39">
        <v>5</v>
      </c>
      <c r="G52" s="39">
        <v>5</v>
      </c>
      <c r="H52" s="39">
        <v>4</v>
      </c>
      <c r="J52" s="148" t="s">
        <v>1505</v>
      </c>
    </row>
    <row r="53" spans="2:10" x14ac:dyDescent="0.3">
      <c r="B53" s="148" t="s">
        <v>40</v>
      </c>
      <c r="C53" s="148" t="s">
        <v>302</v>
      </c>
      <c r="D53" s="39">
        <f>D48+D51+D52</f>
        <v>96.36</v>
      </c>
      <c r="E53" s="39">
        <f>E48+E51+E52</f>
        <v>98.899999999999991</v>
      </c>
      <c r="F53" s="39">
        <f>F48+F51+F52</f>
        <v>93.67</v>
      </c>
      <c r="G53" s="39">
        <f>G48+G51+G52</f>
        <v>95.240000000000009</v>
      </c>
      <c r="H53" s="39">
        <f>H48+H51+H52</f>
        <v>97.9</v>
      </c>
      <c r="J53" s="148" t="s">
        <v>1509</v>
      </c>
    </row>
    <row r="54" spans="2:10" x14ac:dyDescent="0.3">
      <c r="B54" s="148" t="s">
        <v>1506</v>
      </c>
    </row>
    <row r="57" spans="2:10" x14ac:dyDescent="0.3">
      <c r="B57" s="6" t="s">
        <v>359</v>
      </c>
    </row>
    <row r="58" spans="2:10" x14ac:dyDescent="0.3">
      <c r="B58" s="148" t="s">
        <v>1795</v>
      </c>
    </row>
    <row r="59" spans="2:10" x14ac:dyDescent="0.3">
      <c r="B59" s="148" t="s">
        <v>1791</v>
      </c>
    </row>
    <row r="60" spans="2:10" x14ac:dyDescent="0.3">
      <c r="B60" s="148" t="s">
        <v>33</v>
      </c>
      <c r="C60" s="148" t="s">
        <v>270</v>
      </c>
      <c r="D60" s="148">
        <f t="shared" ref="D60:H61" si="2">D32</f>
        <v>2.2000000000000002</v>
      </c>
      <c r="E60" s="148">
        <f t="shared" si="2"/>
        <v>2.2000000000000002</v>
      </c>
      <c r="F60" s="148">
        <f t="shared" si="2"/>
        <v>2.2000000000000002</v>
      </c>
      <c r="G60" s="148">
        <f t="shared" si="2"/>
        <v>2.2000000000000002</v>
      </c>
      <c r="H60" s="148">
        <f t="shared" si="2"/>
        <v>2.2000000000000002</v>
      </c>
    </row>
    <row r="61" spans="2:10" x14ac:dyDescent="0.3">
      <c r="B61" s="148" t="s">
        <v>26</v>
      </c>
      <c r="C61" s="148" t="s">
        <v>25</v>
      </c>
      <c r="D61" s="148">
        <f t="shared" si="2"/>
        <v>25</v>
      </c>
      <c r="E61" s="148">
        <f t="shared" si="2"/>
        <v>25</v>
      </c>
      <c r="F61" s="148">
        <f t="shared" si="2"/>
        <v>15</v>
      </c>
      <c r="G61" s="148">
        <f t="shared" si="2"/>
        <v>15</v>
      </c>
      <c r="H61" s="148">
        <f t="shared" si="2"/>
        <v>15</v>
      </c>
    </row>
    <row r="62" spans="2:10" x14ac:dyDescent="0.3">
      <c r="B62" s="148" t="s">
        <v>351</v>
      </c>
      <c r="C62" s="148" t="s">
        <v>377</v>
      </c>
      <c r="D62" s="91">
        <f>D65/D60</f>
        <v>0.41377272727272724</v>
      </c>
      <c r="E62" s="91">
        <f t="shared" ref="E62:H62" si="3">E65/E60</f>
        <v>0.41868181818181816</v>
      </c>
      <c r="F62" s="91">
        <f t="shared" si="3"/>
        <v>0.37159090909090908</v>
      </c>
      <c r="G62" s="91">
        <f t="shared" si="3"/>
        <v>0.34227272727272723</v>
      </c>
      <c r="H62" s="91">
        <f t="shared" si="3"/>
        <v>0.30377272727272725</v>
      </c>
    </row>
    <row r="63" spans="2:10" x14ac:dyDescent="0.3">
      <c r="B63" s="148" t="s">
        <v>352</v>
      </c>
      <c r="C63" s="148" t="s">
        <v>377</v>
      </c>
      <c r="D63" s="166"/>
      <c r="E63" s="166"/>
      <c r="F63" s="166"/>
      <c r="G63" s="166"/>
      <c r="H63" s="166"/>
    </row>
    <row r="64" spans="2:10" x14ac:dyDescent="0.3">
      <c r="B64" s="148" t="s">
        <v>353</v>
      </c>
      <c r="C64" s="148" t="s">
        <v>92</v>
      </c>
      <c r="D64" s="166"/>
      <c r="E64" s="166"/>
      <c r="F64" s="166"/>
      <c r="G64" s="166"/>
      <c r="H64" s="166"/>
    </row>
    <row r="65" spans="2:17" x14ac:dyDescent="0.3">
      <c r="B65" s="148" t="s">
        <v>293</v>
      </c>
      <c r="C65" s="148" t="s">
        <v>338</v>
      </c>
      <c r="D65" s="91">
        <f>D50</f>
        <v>0.9103</v>
      </c>
      <c r="E65" s="91">
        <f t="shared" ref="E65:H65" si="4">E50</f>
        <v>0.92110000000000003</v>
      </c>
      <c r="F65" s="91">
        <f t="shared" si="4"/>
        <v>0.8175</v>
      </c>
      <c r="G65" s="91">
        <f t="shared" si="4"/>
        <v>0.753</v>
      </c>
      <c r="H65" s="91">
        <f t="shared" si="4"/>
        <v>0.66830000000000001</v>
      </c>
    </row>
    <row r="66" spans="2:17" x14ac:dyDescent="0.3">
      <c r="B66" s="148" t="s">
        <v>402</v>
      </c>
      <c r="C66" s="148" t="s">
        <v>338</v>
      </c>
      <c r="D66" s="166"/>
      <c r="E66" s="166"/>
      <c r="F66" s="166"/>
      <c r="G66" s="166"/>
      <c r="H66" s="166"/>
    </row>
    <row r="67" spans="2:17" x14ac:dyDescent="0.3">
      <c r="B67" s="148" t="s">
        <v>3</v>
      </c>
      <c r="C67" s="148" t="s">
        <v>302</v>
      </c>
      <c r="D67" s="37">
        <f>D48</f>
        <v>58.36</v>
      </c>
      <c r="E67" s="37">
        <f t="shared" ref="E67:H67" si="5">E48</f>
        <v>61.899999999999991</v>
      </c>
      <c r="F67" s="37">
        <f t="shared" si="5"/>
        <v>63.67</v>
      </c>
      <c r="G67" s="37">
        <f t="shared" si="5"/>
        <v>78.240000000000009</v>
      </c>
      <c r="H67" s="37">
        <f t="shared" si="5"/>
        <v>75.900000000000006</v>
      </c>
    </row>
    <row r="68" spans="2:17" x14ac:dyDescent="0.3">
      <c r="B68" s="148" t="s">
        <v>277</v>
      </c>
      <c r="C68" s="148" t="s">
        <v>302</v>
      </c>
      <c r="J68" s="148" t="s">
        <v>1511</v>
      </c>
    </row>
    <row r="69" spans="2:17" x14ac:dyDescent="0.3">
      <c r="B69" s="148" t="s">
        <v>13</v>
      </c>
      <c r="C69" s="148" t="s">
        <v>302</v>
      </c>
    </row>
    <row r="70" spans="2:17" x14ac:dyDescent="0.3">
      <c r="B70" s="148" t="s">
        <v>35</v>
      </c>
    </row>
    <row r="71" spans="2:17" x14ac:dyDescent="0.3">
      <c r="B71" s="148" t="s">
        <v>52</v>
      </c>
      <c r="C71" s="148" t="s">
        <v>621</v>
      </c>
    </row>
    <row r="72" spans="2:17" x14ac:dyDescent="0.3">
      <c r="B72" s="148" t="s">
        <v>558</v>
      </c>
      <c r="C72" s="148" t="s">
        <v>621</v>
      </c>
    </row>
    <row r="74" spans="2:17" x14ac:dyDescent="0.3">
      <c r="B74" s="148" t="s">
        <v>2226</v>
      </c>
    </row>
    <row r="76" spans="2:17" x14ac:dyDescent="0.3">
      <c r="B76" s="148" t="s">
        <v>1548</v>
      </c>
    </row>
    <row r="77" spans="2:17" x14ac:dyDescent="0.3">
      <c r="B77" s="168" t="s">
        <v>25</v>
      </c>
      <c r="C77" s="529" t="s">
        <v>1490</v>
      </c>
      <c r="D77" s="530"/>
      <c r="E77" s="529" t="s">
        <v>1491</v>
      </c>
      <c r="F77" s="530"/>
      <c r="G77" s="529" t="s">
        <v>1492</v>
      </c>
      <c r="H77" s="530"/>
      <c r="I77" s="529" t="s">
        <v>1493</v>
      </c>
      <c r="J77" s="531"/>
      <c r="L77" s="148" t="s">
        <v>1507</v>
      </c>
    </row>
    <row r="78" spans="2:17" x14ac:dyDescent="0.3">
      <c r="B78" s="169"/>
      <c r="C78" s="170" t="s">
        <v>1494</v>
      </c>
      <c r="D78" s="170" t="s">
        <v>1495</v>
      </c>
      <c r="E78" s="170" t="s">
        <v>1494</v>
      </c>
      <c r="F78" s="170" t="s">
        <v>1495</v>
      </c>
      <c r="G78" s="170" t="s">
        <v>1494</v>
      </c>
      <c r="H78" s="170" t="s">
        <v>1495</v>
      </c>
      <c r="I78" s="170" t="s">
        <v>1494</v>
      </c>
      <c r="J78" s="171" t="s">
        <v>1495</v>
      </c>
      <c r="M78" s="167" t="s">
        <v>1508</v>
      </c>
      <c r="O78" s="167" t="s">
        <v>1508</v>
      </c>
    </row>
    <row r="79" spans="2:17" x14ac:dyDescent="0.3">
      <c r="B79" s="172">
        <v>1</v>
      </c>
      <c r="C79" s="172">
        <v>2500</v>
      </c>
      <c r="D79" s="172">
        <v>1960</v>
      </c>
      <c r="E79" s="173">
        <v>0.58799999999999997</v>
      </c>
      <c r="F79" s="173">
        <v>0.74099999999999999</v>
      </c>
      <c r="G79" s="172">
        <v>1493</v>
      </c>
      <c r="H79" s="172">
        <v>1452</v>
      </c>
      <c r="I79" s="172">
        <v>995</v>
      </c>
      <c r="J79" s="172">
        <v>968</v>
      </c>
      <c r="L79" s="38">
        <f>C79*E79</f>
        <v>1470</v>
      </c>
      <c r="M79" s="37">
        <f>G79/L79</f>
        <v>1.0156462585034014</v>
      </c>
      <c r="N79" s="38">
        <f>D79*F79</f>
        <v>1452.36</v>
      </c>
      <c r="O79" s="37">
        <f>H79/N79</f>
        <v>0.99975212757167653</v>
      </c>
      <c r="Q79" s="39">
        <f>H79/J79</f>
        <v>1.5</v>
      </c>
    </row>
    <row r="80" spans="2:17" x14ac:dyDescent="0.3">
      <c r="B80" s="172">
        <v>2</v>
      </c>
      <c r="C80" s="172">
        <v>2470</v>
      </c>
      <c r="D80" s="172">
        <v>2090</v>
      </c>
      <c r="E80" s="173">
        <v>0.58799999999999997</v>
      </c>
      <c r="F80" s="173">
        <v>0.74099999999999999</v>
      </c>
      <c r="G80" s="172">
        <v>1418</v>
      </c>
      <c r="H80" s="172">
        <v>1549</v>
      </c>
      <c r="I80" s="172">
        <v>945</v>
      </c>
      <c r="J80" s="172">
        <v>1032</v>
      </c>
      <c r="L80" s="38">
        <f t="shared" ref="L80:L143" si="6">C80*E80</f>
        <v>1452.36</v>
      </c>
      <c r="M80" s="37">
        <f t="shared" ref="M80:M143" si="7">G80/L80</f>
        <v>0.97634195378556288</v>
      </c>
      <c r="N80" s="38">
        <f t="shared" ref="N80:N143" si="8">D80*F80</f>
        <v>1548.69</v>
      </c>
      <c r="O80" s="37">
        <f t="shared" ref="O80:O143" si="9">H80/N80</f>
        <v>1.0002001691752385</v>
      </c>
      <c r="Q80" s="39">
        <f t="shared" ref="Q80:Q143" si="10">H80/J80</f>
        <v>1.500968992248062</v>
      </c>
    </row>
    <row r="81" spans="2:17" x14ac:dyDescent="0.3">
      <c r="B81" s="172">
        <v>3</v>
      </c>
      <c r="C81" s="172">
        <v>2410</v>
      </c>
      <c r="D81" s="172">
        <v>1860</v>
      </c>
      <c r="E81" s="173">
        <v>0.58899999999999997</v>
      </c>
      <c r="F81" s="173">
        <v>0.745</v>
      </c>
      <c r="G81" s="172">
        <v>1383</v>
      </c>
      <c r="H81" s="172">
        <v>1386</v>
      </c>
      <c r="I81" s="172">
        <v>922</v>
      </c>
      <c r="J81" s="172">
        <v>924</v>
      </c>
      <c r="L81" s="38">
        <f t="shared" si="6"/>
        <v>1419.49</v>
      </c>
      <c r="M81" s="37">
        <f t="shared" si="7"/>
        <v>0.97429358431549362</v>
      </c>
      <c r="N81" s="38">
        <f t="shared" si="8"/>
        <v>1385.7</v>
      </c>
      <c r="O81" s="37">
        <f t="shared" si="9"/>
        <v>1.0002164970772893</v>
      </c>
      <c r="Q81" s="39">
        <f t="shared" si="10"/>
        <v>1.5</v>
      </c>
    </row>
    <row r="82" spans="2:17" x14ac:dyDescent="0.3">
      <c r="B82" s="172">
        <v>4</v>
      </c>
      <c r="C82" s="172">
        <v>2410</v>
      </c>
      <c r="D82" s="172">
        <v>1945</v>
      </c>
      <c r="E82" s="173">
        <v>0.58799999999999997</v>
      </c>
      <c r="F82" s="173">
        <v>0.74099999999999999</v>
      </c>
      <c r="G82" s="172">
        <v>1383</v>
      </c>
      <c r="H82" s="172">
        <v>1441</v>
      </c>
      <c r="I82" s="172">
        <v>922</v>
      </c>
      <c r="J82" s="172">
        <v>961</v>
      </c>
      <c r="L82" s="38">
        <f t="shared" si="6"/>
        <v>1417.08</v>
      </c>
      <c r="M82" s="37">
        <f t="shared" si="7"/>
        <v>0.97595054619358124</v>
      </c>
      <c r="N82" s="38">
        <f t="shared" si="8"/>
        <v>1441.2449999999999</v>
      </c>
      <c r="O82" s="37">
        <f t="shared" si="9"/>
        <v>0.99983000808328915</v>
      </c>
      <c r="Q82" s="39">
        <f t="shared" si="10"/>
        <v>1.4994797086368366</v>
      </c>
    </row>
    <row r="83" spans="2:17" x14ac:dyDescent="0.3">
      <c r="B83" s="172">
        <v>5</v>
      </c>
      <c r="C83" s="172">
        <v>2410</v>
      </c>
      <c r="D83" s="172">
        <v>1930</v>
      </c>
      <c r="E83" s="173">
        <v>0.59299999999999997</v>
      </c>
      <c r="F83" s="173">
        <v>0.67400000000000004</v>
      </c>
      <c r="G83" s="172">
        <v>1417</v>
      </c>
      <c r="H83" s="172">
        <v>1301</v>
      </c>
      <c r="I83" s="172">
        <v>945</v>
      </c>
      <c r="J83" s="172">
        <v>867</v>
      </c>
      <c r="L83" s="38">
        <f t="shared" si="6"/>
        <v>1429.1299999999999</v>
      </c>
      <c r="M83" s="37">
        <f t="shared" si="7"/>
        <v>0.99151231868339484</v>
      </c>
      <c r="N83" s="38">
        <f t="shared" si="8"/>
        <v>1300.8200000000002</v>
      </c>
      <c r="O83" s="37">
        <f t="shared" si="9"/>
        <v>1.0001383742562382</v>
      </c>
      <c r="Q83" s="39">
        <f t="shared" si="10"/>
        <v>1.5005767012687428</v>
      </c>
    </row>
    <row r="84" spans="2:17" x14ac:dyDescent="0.3">
      <c r="B84" s="172">
        <v>6</v>
      </c>
      <c r="C84" s="172">
        <v>2460</v>
      </c>
      <c r="D84" s="172">
        <v>1847</v>
      </c>
      <c r="E84" s="173">
        <v>0.59299999999999997</v>
      </c>
      <c r="F84" s="173">
        <v>0.67400000000000004</v>
      </c>
      <c r="G84" s="172">
        <v>1446</v>
      </c>
      <c r="H84" s="172">
        <v>1245</v>
      </c>
      <c r="I84" s="172">
        <v>964</v>
      </c>
      <c r="J84" s="172">
        <v>830</v>
      </c>
      <c r="L84" s="38">
        <f t="shared" si="6"/>
        <v>1458.78</v>
      </c>
      <c r="M84" s="37">
        <f t="shared" si="7"/>
        <v>0.99123925471969732</v>
      </c>
      <c r="N84" s="38">
        <f t="shared" si="8"/>
        <v>1244.8780000000002</v>
      </c>
      <c r="O84" s="37">
        <f t="shared" si="9"/>
        <v>1.0000980015712382</v>
      </c>
      <c r="Q84" s="39">
        <f t="shared" si="10"/>
        <v>1.5</v>
      </c>
    </row>
    <row r="85" spans="2:17" x14ac:dyDescent="0.3">
      <c r="B85" s="172">
        <v>7</v>
      </c>
      <c r="C85" s="172">
        <v>2590</v>
      </c>
      <c r="D85" s="172">
        <v>1847</v>
      </c>
      <c r="E85" s="173">
        <v>0.59299999999999997</v>
      </c>
      <c r="F85" s="173">
        <v>0.67400000000000004</v>
      </c>
      <c r="G85" s="172">
        <v>1526</v>
      </c>
      <c r="H85" s="172">
        <v>1245</v>
      </c>
      <c r="I85" s="172">
        <v>1017</v>
      </c>
      <c r="J85" s="172">
        <v>830</v>
      </c>
      <c r="L85" s="38">
        <f t="shared" si="6"/>
        <v>1535.87</v>
      </c>
      <c r="M85" s="37">
        <f t="shared" si="7"/>
        <v>0.9935736748552938</v>
      </c>
      <c r="N85" s="38">
        <f t="shared" si="8"/>
        <v>1244.8780000000002</v>
      </c>
      <c r="O85" s="37">
        <f t="shared" si="9"/>
        <v>1.0000980015712382</v>
      </c>
      <c r="Q85" s="39">
        <f t="shared" si="10"/>
        <v>1.5</v>
      </c>
    </row>
    <row r="86" spans="2:17" x14ac:dyDescent="0.3">
      <c r="B86" s="172">
        <v>8</v>
      </c>
      <c r="C86" s="172">
        <v>2610</v>
      </c>
      <c r="D86" s="172">
        <v>1847</v>
      </c>
      <c r="E86" s="173">
        <v>0.59299999999999997</v>
      </c>
      <c r="F86" s="173">
        <v>0.67400000000000004</v>
      </c>
      <c r="G86" s="172">
        <v>1535</v>
      </c>
      <c r="H86" s="172">
        <v>1245</v>
      </c>
      <c r="I86" s="172">
        <v>1023</v>
      </c>
      <c r="J86" s="172">
        <v>830</v>
      </c>
      <c r="L86" s="38">
        <f t="shared" si="6"/>
        <v>1547.73</v>
      </c>
      <c r="M86" s="37">
        <f t="shared" si="7"/>
        <v>0.99177505120402132</v>
      </c>
      <c r="N86" s="38">
        <f t="shared" si="8"/>
        <v>1244.8780000000002</v>
      </c>
      <c r="O86" s="37">
        <f t="shared" si="9"/>
        <v>1.0000980015712382</v>
      </c>
      <c r="Q86" s="39">
        <f t="shared" si="10"/>
        <v>1.5</v>
      </c>
    </row>
    <row r="87" spans="2:17" x14ac:dyDescent="0.3">
      <c r="B87" s="172">
        <v>9</v>
      </c>
      <c r="C87" s="172">
        <v>2610</v>
      </c>
      <c r="D87" s="172">
        <v>1680</v>
      </c>
      <c r="E87" s="173">
        <v>0.59299999999999997</v>
      </c>
      <c r="F87" s="173">
        <v>0.68</v>
      </c>
      <c r="G87" s="172">
        <v>1548</v>
      </c>
      <c r="H87" s="172">
        <v>1142</v>
      </c>
      <c r="I87" s="172">
        <v>1032</v>
      </c>
      <c r="J87" s="172">
        <v>762</v>
      </c>
      <c r="L87" s="38">
        <f t="shared" si="6"/>
        <v>1547.73</v>
      </c>
      <c r="M87" s="37">
        <f t="shared" si="7"/>
        <v>1.0001744490318079</v>
      </c>
      <c r="N87" s="38">
        <f t="shared" si="8"/>
        <v>1142.4000000000001</v>
      </c>
      <c r="O87" s="37">
        <f t="shared" si="9"/>
        <v>0.99964985994397748</v>
      </c>
      <c r="Q87" s="39">
        <f t="shared" si="10"/>
        <v>1.4986876640419948</v>
      </c>
    </row>
    <row r="88" spans="2:17" x14ac:dyDescent="0.3">
      <c r="B88" s="172">
        <v>10</v>
      </c>
      <c r="C88" s="172">
        <v>2497</v>
      </c>
      <c r="D88" s="172">
        <v>1870</v>
      </c>
      <c r="E88" s="173">
        <v>0.59299999999999997</v>
      </c>
      <c r="F88" s="173">
        <v>0.67400000000000004</v>
      </c>
      <c r="G88" s="172">
        <v>1481</v>
      </c>
      <c r="H88" s="172">
        <v>1260</v>
      </c>
      <c r="I88" s="172">
        <v>987</v>
      </c>
      <c r="J88" s="172">
        <v>840</v>
      </c>
      <c r="L88" s="38">
        <f t="shared" si="6"/>
        <v>1480.721</v>
      </c>
      <c r="M88" s="37">
        <f t="shared" si="7"/>
        <v>1.0001884217215802</v>
      </c>
      <c r="N88" s="38">
        <f t="shared" si="8"/>
        <v>1260.3800000000001</v>
      </c>
      <c r="O88" s="37">
        <f t="shared" si="9"/>
        <v>0.99969850362589052</v>
      </c>
      <c r="Q88" s="39">
        <f t="shared" si="10"/>
        <v>1.5</v>
      </c>
    </row>
    <row r="89" spans="2:17" x14ac:dyDescent="0.3">
      <c r="B89" s="172">
        <v>11</v>
      </c>
      <c r="C89" s="172">
        <v>2497</v>
      </c>
      <c r="D89" s="172">
        <v>1760</v>
      </c>
      <c r="E89" s="173">
        <v>0.59299999999999997</v>
      </c>
      <c r="F89" s="173">
        <v>0.67400000000000004</v>
      </c>
      <c r="G89" s="172">
        <v>1481</v>
      </c>
      <c r="H89" s="172">
        <v>1186</v>
      </c>
      <c r="I89" s="172">
        <v>987</v>
      </c>
      <c r="J89" s="172">
        <v>791</v>
      </c>
      <c r="L89" s="38">
        <f t="shared" si="6"/>
        <v>1480.721</v>
      </c>
      <c r="M89" s="37">
        <f t="shared" si="7"/>
        <v>1.0001884217215802</v>
      </c>
      <c r="N89" s="38">
        <f t="shared" si="8"/>
        <v>1186.24</v>
      </c>
      <c r="O89" s="37">
        <f t="shared" si="9"/>
        <v>0.99979768006474234</v>
      </c>
      <c r="Q89" s="39">
        <f t="shared" si="10"/>
        <v>1.4993678887484196</v>
      </c>
    </row>
    <row r="90" spans="2:17" x14ac:dyDescent="0.3">
      <c r="B90" s="172">
        <v>12</v>
      </c>
      <c r="C90" s="172">
        <v>2497</v>
      </c>
      <c r="D90" s="172">
        <v>1745</v>
      </c>
      <c r="E90" s="173">
        <v>0.58299999999999996</v>
      </c>
      <c r="F90" s="173">
        <v>0.67</v>
      </c>
      <c r="G90" s="172">
        <v>1481</v>
      </c>
      <c r="H90" s="172">
        <v>1169</v>
      </c>
      <c r="I90" s="172">
        <v>987</v>
      </c>
      <c r="J90" s="172">
        <v>779</v>
      </c>
      <c r="L90" s="38">
        <f t="shared" si="6"/>
        <v>1455.751</v>
      </c>
      <c r="M90" s="37">
        <f t="shared" si="7"/>
        <v>1.0173443123171477</v>
      </c>
      <c r="N90" s="38">
        <f t="shared" si="8"/>
        <v>1169.1500000000001</v>
      </c>
      <c r="O90" s="37">
        <f t="shared" si="9"/>
        <v>0.99987170166360173</v>
      </c>
      <c r="Q90" s="39">
        <f t="shared" si="10"/>
        <v>1.5006418485237485</v>
      </c>
    </row>
    <row r="91" spans="2:17" x14ac:dyDescent="0.3">
      <c r="B91" s="172">
        <v>13</v>
      </c>
      <c r="C91" s="172">
        <v>2430</v>
      </c>
      <c r="D91" s="172">
        <v>1710</v>
      </c>
      <c r="E91" s="173">
        <v>0.58299999999999996</v>
      </c>
      <c r="F91" s="173">
        <v>0.67</v>
      </c>
      <c r="G91" s="172">
        <v>1441</v>
      </c>
      <c r="H91" s="172">
        <v>1146</v>
      </c>
      <c r="I91" s="172">
        <v>961</v>
      </c>
      <c r="J91" s="172">
        <v>764</v>
      </c>
      <c r="L91" s="38">
        <f t="shared" si="6"/>
        <v>1416.6899999999998</v>
      </c>
      <c r="M91" s="37">
        <f t="shared" si="7"/>
        <v>1.0171597173693612</v>
      </c>
      <c r="N91" s="38">
        <f t="shared" si="8"/>
        <v>1145.7</v>
      </c>
      <c r="O91" s="37">
        <f t="shared" si="9"/>
        <v>1.0002618486514794</v>
      </c>
      <c r="Q91" s="39">
        <f t="shared" si="10"/>
        <v>1.5</v>
      </c>
    </row>
    <row r="92" spans="2:17" x14ac:dyDescent="0.3">
      <c r="B92" s="172">
        <v>14</v>
      </c>
      <c r="C92" s="172">
        <v>2420</v>
      </c>
      <c r="D92" s="172">
        <v>1980</v>
      </c>
      <c r="E92" s="173">
        <v>0.58299999999999996</v>
      </c>
      <c r="F92" s="173">
        <v>0.67</v>
      </c>
      <c r="G92" s="172">
        <v>1435</v>
      </c>
      <c r="H92" s="172">
        <v>1327</v>
      </c>
      <c r="I92" s="172">
        <v>957</v>
      </c>
      <c r="J92" s="172">
        <v>884</v>
      </c>
      <c r="L92" s="38">
        <f t="shared" si="6"/>
        <v>1410.86</v>
      </c>
      <c r="M92" s="37">
        <f t="shared" si="7"/>
        <v>1.0171101314092115</v>
      </c>
      <c r="N92" s="38">
        <f t="shared" si="8"/>
        <v>1326.6000000000001</v>
      </c>
      <c r="O92" s="37">
        <f t="shared" si="9"/>
        <v>1.0003015226895824</v>
      </c>
      <c r="Q92" s="39">
        <f t="shared" si="10"/>
        <v>1.501131221719457</v>
      </c>
    </row>
    <row r="93" spans="2:17" x14ac:dyDescent="0.3">
      <c r="B93" s="172">
        <v>15</v>
      </c>
      <c r="C93" s="172">
        <v>2310</v>
      </c>
      <c r="D93" s="172">
        <v>1830</v>
      </c>
      <c r="E93" s="173">
        <v>0.58299999999999996</v>
      </c>
      <c r="F93" s="173">
        <v>0.66100000000000003</v>
      </c>
      <c r="G93" s="172">
        <v>1370</v>
      </c>
      <c r="H93" s="172">
        <v>1210</v>
      </c>
      <c r="I93" s="172">
        <v>913</v>
      </c>
      <c r="J93" s="172">
        <v>806</v>
      </c>
      <c r="L93" s="38">
        <f t="shared" si="6"/>
        <v>1346.73</v>
      </c>
      <c r="M93" s="37">
        <f t="shared" si="7"/>
        <v>1.0172788903492163</v>
      </c>
      <c r="N93" s="38">
        <f t="shared" si="8"/>
        <v>1209.6300000000001</v>
      </c>
      <c r="O93" s="37">
        <f t="shared" si="9"/>
        <v>1.00030587865711</v>
      </c>
      <c r="Q93" s="39">
        <f t="shared" si="10"/>
        <v>1.501240694789082</v>
      </c>
    </row>
    <row r="94" spans="2:17" x14ac:dyDescent="0.3">
      <c r="B94" s="172">
        <v>16</v>
      </c>
      <c r="C94" s="172">
        <v>2300</v>
      </c>
      <c r="D94" s="172">
        <v>1790</v>
      </c>
      <c r="E94" s="173">
        <v>0.59299999999999997</v>
      </c>
      <c r="F94" s="173">
        <v>0.67400000000000004</v>
      </c>
      <c r="G94" s="172">
        <v>1341</v>
      </c>
      <c r="H94" s="172">
        <v>1206</v>
      </c>
      <c r="I94" s="172">
        <v>894</v>
      </c>
      <c r="J94" s="172">
        <v>804</v>
      </c>
      <c r="L94" s="38">
        <f t="shared" si="6"/>
        <v>1363.8999999999999</v>
      </c>
      <c r="M94" s="37">
        <f t="shared" si="7"/>
        <v>0.98320991275020175</v>
      </c>
      <c r="N94" s="38">
        <f t="shared" si="8"/>
        <v>1206.46</v>
      </c>
      <c r="O94" s="37">
        <f t="shared" si="9"/>
        <v>0.99961871922815504</v>
      </c>
      <c r="Q94" s="39">
        <f t="shared" si="10"/>
        <v>1.5</v>
      </c>
    </row>
    <row r="95" spans="2:17" x14ac:dyDescent="0.3">
      <c r="B95" s="172">
        <v>17</v>
      </c>
      <c r="C95" s="172">
        <v>2350</v>
      </c>
      <c r="D95" s="172">
        <v>2340</v>
      </c>
      <c r="E95" s="173">
        <v>0.56399999999999995</v>
      </c>
      <c r="F95" s="174">
        <v>0.61099999999999999</v>
      </c>
      <c r="G95" s="172">
        <v>1370</v>
      </c>
      <c r="H95" s="172">
        <v>1430</v>
      </c>
      <c r="I95" s="172">
        <v>913</v>
      </c>
      <c r="J95" s="172">
        <v>953</v>
      </c>
      <c r="L95" s="38">
        <f t="shared" si="6"/>
        <v>1325.3999999999999</v>
      </c>
      <c r="M95" s="37">
        <f t="shared" si="7"/>
        <v>1.0336502188018712</v>
      </c>
      <c r="N95" s="38">
        <f t="shared" si="8"/>
        <v>1429.74</v>
      </c>
      <c r="O95" s="37">
        <f t="shared" si="9"/>
        <v>1.000181851245681</v>
      </c>
      <c r="Q95" s="39">
        <f t="shared" si="10"/>
        <v>1.5005246589716683</v>
      </c>
    </row>
    <row r="96" spans="2:17" x14ac:dyDescent="0.3">
      <c r="B96" s="172">
        <v>18</v>
      </c>
      <c r="C96" s="172">
        <v>2510</v>
      </c>
      <c r="D96" s="172">
        <v>1990</v>
      </c>
      <c r="E96" s="173">
        <v>0.56399999999999995</v>
      </c>
      <c r="F96" s="173">
        <v>0.61099999999999999</v>
      </c>
      <c r="G96" s="172">
        <v>1463</v>
      </c>
      <c r="H96" s="172">
        <v>1216</v>
      </c>
      <c r="I96" s="172">
        <v>976</v>
      </c>
      <c r="J96" s="172">
        <v>811</v>
      </c>
      <c r="L96" s="38">
        <f t="shared" si="6"/>
        <v>1415.6399999999999</v>
      </c>
      <c r="M96" s="37">
        <f t="shared" si="7"/>
        <v>1.0334548331496709</v>
      </c>
      <c r="N96" s="38">
        <f t="shared" si="8"/>
        <v>1215.8899999999999</v>
      </c>
      <c r="O96" s="37">
        <f t="shared" si="9"/>
        <v>1.000090468710163</v>
      </c>
      <c r="Q96" s="39">
        <f t="shared" si="10"/>
        <v>1.4993834771886561</v>
      </c>
    </row>
    <row r="97" spans="2:17" x14ac:dyDescent="0.3">
      <c r="B97" s="172">
        <v>19</v>
      </c>
      <c r="C97" s="172">
        <v>2310</v>
      </c>
      <c r="D97" s="172">
        <v>1980</v>
      </c>
      <c r="E97" s="173">
        <v>0.57299999999999995</v>
      </c>
      <c r="F97" s="173">
        <v>0.628</v>
      </c>
      <c r="G97" s="172">
        <v>1347</v>
      </c>
      <c r="H97" s="172">
        <v>1243</v>
      </c>
      <c r="I97" s="172">
        <v>898</v>
      </c>
      <c r="J97" s="172">
        <v>829</v>
      </c>
      <c r="L97" s="38">
        <f t="shared" si="6"/>
        <v>1323.6299999999999</v>
      </c>
      <c r="M97" s="37">
        <f t="shared" si="7"/>
        <v>1.017655991477981</v>
      </c>
      <c r="N97" s="38">
        <f t="shared" si="8"/>
        <v>1243.44</v>
      </c>
      <c r="O97" s="37">
        <f t="shared" si="9"/>
        <v>0.99964614295824483</v>
      </c>
      <c r="Q97" s="39">
        <f t="shared" si="10"/>
        <v>1.4993968636911943</v>
      </c>
    </row>
    <row r="98" spans="2:17" x14ac:dyDescent="0.3">
      <c r="B98" s="172">
        <v>20</v>
      </c>
      <c r="C98" s="172">
        <v>2490</v>
      </c>
      <c r="D98" s="172">
        <v>1917</v>
      </c>
      <c r="E98" s="173">
        <v>0.57299999999999995</v>
      </c>
      <c r="F98" s="173">
        <v>0.628</v>
      </c>
      <c r="G98" s="172">
        <v>1477</v>
      </c>
      <c r="H98" s="172">
        <v>1204</v>
      </c>
      <c r="I98" s="172">
        <v>984</v>
      </c>
      <c r="J98" s="172">
        <v>802</v>
      </c>
      <c r="L98" s="38">
        <f t="shared" si="6"/>
        <v>1426.77</v>
      </c>
      <c r="M98" s="37">
        <f t="shared" si="7"/>
        <v>1.0352053940018364</v>
      </c>
      <c r="N98" s="38">
        <f t="shared" si="8"/>
        <v>1203.876</v>
      </c>
      <c r="O98" s="37">
        <f t="shared" si="9"/>
        <v>1.0001030006412621</v>
      </c>
      <c r="Q98" s="39">
        <f t="shared" si="10"/>
        <v>1.5012468827930174</v>
      </c>
    </row>
    <row r="99" spans="2:17" x14ac:dyDescent="0.3">
      <c r="B99" s="172">
        <v>21</v>
      </c>
      <c r="C99" s="172">
        <v>2590</v>
      </c>
      <c r="D99" s="172">
        <v>1917</v>
      </c>
      <c r="E99" s="173">
        <v>0.57299999999999995</v>
      </c>
      <c r="F99" s="173">
        <v>0.628</v>
      </c>
      <c r="G99" s="172">
        <v>1461</v>
      </c>
      <c r="H99" s="172">
        <v>1204</v>
      </c>
      <c r="I99" s="172">
        <v>974</v>
      </c>
      <c r="J99" s="172">
        <v>802</v>
      </c>
      <c r="L99" s="38">
        <f t="shared" si="6"/>
        <v>1484.07</v>
      </c>
      <c r="M99" s="37">
        <f t="shared" si="7"/>
        <v>0.98445491115648187</v>
      </c>
      <c r="N99" s="38">
        <f t="shared" si="8"/>
        <v>1203.876</v>
      </c>
      <c r="O99" s="37">
        <f t="shared" si="9"/>
        <v>1.0001030006412621</v>
      </c>
      <c r="Q99" s="39">
        <f t="shared" si="10"/>
        <v>1.5012468827930174</v>
      </c>
    </row>
    <row r="100" spans="2:17" x14ac:dyDescent="0.3">
      <c r="B100" s="172">
        <v>22</v>
      </c>
      <c r="C100" s="172">
        <v>2420</v>
      </c>
      <c r="D100" s="172">
        <v>1917</v>
      </c>
      <c r="E100" s="173">
        <v>0.57299999999999995</v>
      </c>
      <c r="F100" s="173">
        <v>0.628</v>
      </c>
      <c r="G100" s="172">
        <v>1365</v>
      </c>
      <c r="H100" s="172">
        <v>1204</v>
      </c>
      <c r="I100" s="172">
        <v>910</v>
      </c>
      <c r="J100" s="172">
        <v>802</v>
      </c>
      <c r="L100" s="38">
        <f t="shared" si="6"/>
        <v>1386.6599999999999</v>
      </c>
      <c r="M100" s="37">
        <f t="shared" si="7"/>
        <v>0.98437973259486833</v>
      </c>
      <c r="N100" s="38">
        <f t="shared" si="8"/>
        <v>1203.876</v>
      </c>
      <c r="O100" s="37">
        <f t="shared" si="9"/>
        <v>1.0001030006412621</v>
      </c>
      <c r="Q100" s="39">
        <f t="shared" si="10"/>
        <v>1.5012468827930174</v>
      </c>
    </row>
    <row r="101" spans="2:17" x14ac:dyDescent="0.3">
      <c r="B101" s="172">
        <v>23</v>
      </c>
      <c r="C101" s="172">
        <v>2610</v>
      </c>
      <c r="D101" s="172">
        <v>1630</v>
      </c>
      <c r="E101" s="173">
        <v>0.57299999999999995</v>
      </c>
      <c r="F101" s="173">
        <v>0.628</v>
      </c>
      <c r="G101" s="172">
        <v>1496</v>
      </c>
      <c r="H101" s="172">
        <v>1024</v>
      </c>
      <c r="I101" s="172">
        <v>997</v>
      </c>
      <c r="J101" s="172">
        <v>682</v>
      </c>
      <c r="L101" s="38">
        <f t="shared" si="6"/>
        <v>1495.53</v>
      </c>
      <c r="M101" s="37">
        <f t="shared" si="7"/>
        <v>1.0003142698575087</v>
      </c>
      <c r="N101" s="38">
        <f t="shared" si="8"/>
        <v>1023.64</v>
      </c>
      <c r="O101" s="37">
        <f t="shared" si="9"/>
        <v>1.0003516861396584</v>
      </c>
      <c r="Q101" s="39">
        <f t="shared" si="10"/>
        <v>1.501466275659824</v>
      </c>
    </row>
    <row r="102" spans="2:17" x14ac:dyDescent="0.3">
      <c r="B102" s="172">
        <v>24</v>
      </c>
      <c r="C102" s="172">
        <v>2367</v>
      </c>
      <c r="D102" s="172">
        <v>1830</v>
      </c>
      <c r="E102" s="173">
        <v>0.57299999999999995</v>
      </c>
      <c r="F102" s="173">
        <v>0.628</v>
      </c>
      <c r="G102" s="172">
        <v>1356</v>
      </c>
      <c r="H102" s="172">
        <v>1149</v>
      </c>
      <c r="I102" s="172">
        <v>904</v>
      </c>
      <c r="J102" s="172">
        <v>766</v>
      </c>
      <c r="L102" s="38">
        <f t="shared" si="6"/>
        <v>1356.2909999999999</v>
      </c>
      <c r="M102" s="37">
        <f t="shared" si="7"/>
        <v>0.99978544427412708</v>
      </c>
      <c r="N102" s="38">
        <f t="shared" si="8"/>
        <v>1149.24</v>
      </c>
      <c r="O102" s="37">
        <f t="shared" si="9"/>
        <v>0.99979116633601339</v>
      </c>
      <c r="Q102" s="39">
        <f t="shared" si="10"/>
        <v>1.5</v>
      </c>
    </row>
    <row r="103" spans="2:17" x14ac:dyDescent="0.3">
      <c r="B103" s="172">
        <v>25</v>
      </c>
      <c r="C103" s="172">
        <v>2367</v>
      </c>
      <c r="D103" s="172">
        <v>2330</v>
      </c>
      <c r="E103" s="173">
        <v>0.57299999999999995</v>
      </c>
      <c r="F103" s="173">
        <v>0.628</v>
      </c>
      <c r="G103" s="172">
        <v>1356</v>
      </c>
      <c r="H103" s="172">
        <v>1463</v>
      </c>
      <c r="I103" s="172">
        <v>904</v>
      </c>
      <c r="J103" s="172">
        <v>975</v>
      </c>
      <c r="L103" s="38">
        <f t="shared" si="6"/>
        <v>1356.2909999999999</v>
      </c>
      <c r="M103" s="37">
        <f t="shared" si="7"/>
        <v>0.99978544427412708</v>
      </c>
      <c r="N103" s="38">
        <f t="shared" si="8"/>
        <v>1463.24</v>
      </c>
      <c r="O103" s="37">
        <f t="shared" si="9"/>
        <v>0.99983598042699762</v>
      </c>
      <c r="Q103" s="39">
        <f t="shared" si="10"/>
        <v>1.5005128205128204</v>
      </c>
    </row>
    <row r="104" spans="2:17" x14ac:dyDescent="0.3">
      <c r="B104" s="172">
        <v>26</v>
      </c>
      <c r="C104" s="172">
        <v>2367</v>
      </c>
      <c r="D104" s="172">
        <v>2180</v>
      </c>
      <c r="E104" s="173">
        <v>0.57299999999999995</v>
      </c>
      <c r="F104" s="173">
        <v>0.628</v>
      </c>
      <c r="G104" s="172">
        <v>1356</v>
      </c>
      <c r="H104" s="172">
        <v>1369</v>
      </c>
      <c r="I104" s="172">
        <v>904</v>
      </c>
      <c r="J104" s="172">
        <v>913</v>
      </c>
      <c r="L104" s="38">
        <f t="shared" si="6"/>
        <v>1356.2909999999999</v>
      </c>
      <c r="M104" s="37">
        <f t="shared" si="7"/>
        <v>0.99978544427412708</v>
      </c>
      <c r="N104" s="38">
        <f t="shared" si="8"/>
        <v>1369.04</v>
      </c>
      <c r="O104" s="37">
        <f t="shared" si="9"/>
        <v>0.99997078244609361</v>
      </c>
      <c r="Q104" s="39">
        <f t="shared" si="10"/>
        <v>1.4994523548740417</v>
      </c>
    </row>
    <row r="105" spans="2:17" x14ac:dyDescent="0.3">
      <c r="B105" s="172">
        <v>27</v>
      </c>
      <c r="C105" s="172">
        <v>2420</v>
      </c>
      <c r="D105" s="172">
        <v>2240</v>
      </c>
      <c r="E105" s="173">
        <v>0.57299999999999995</v>
      </c>
      <c r="F105" s="173">
        <v>0.628</v>
      </c>
      <c r="G105" s="172">
        <v>1387</v>
      </c>
      <c r="H105" s="172">
        <v>1407</v>
      </c>
      <c r="I105" s="172">
        <v>924</v>
      </c>
      <c r="J105" s="172">
        <v>938</v>
      </c>
      <c r="L105" s="38">
        <f t="shared" si="6"/>
        <v>1386.6599999999999</v>
      </c>
      <c r="M105" s="37">
        <f t="shared" si="7"/>
        <v>1.0002451934865073</v>
      </c>
      <c r="N105" s="38">
        <f t="shared" si="8"/>
        <v>1406.72</v>
      </c>
      <c r="O105" s="37">
        <f t="shared" si="9"/>
        <v>1.0001990445859872</v>
      </c>
      <c r="Q105" s="39">
        <f t="shared" si="10"/>
        <v>1.5</v>
      </c>
    </row>
    <row r="106" spans="2:17" x14ac:dyDescent="0.3">
      <c r="B106" s="172">
        <v>28</v>
      </c>
      <c r="C106" s="172">
        <v>2230</v>
      </c>
      <c r="D106" s="172">
        <v>1970</v>
      </c>
      <c r="E106" s="173">
        <v>0.57299999999999995</v>
      </c>
      <c r="F106" s="173">
        <v>0.628</v>
      </c>
      <c r="G106" s="172">
        <v>1278</v>
      </c>
      <c r="H106" s="172">
        <v>1237</v>
      </c>
      <c r="I106" s="172">
        <v>852</v>
      </c>
      <c r="J106" s="172">
        <v>825</v>
      </c>
      <c r="L106" s="38">
        <f t="shared" si="6"/>
        <v>1277.79</v>
      </c>
      <c r="M106" s="37">
        <f t="shared" si="7"/>
        <v>1.0001643462540792</v>
      </c>
      <c r="N106" s="38">
        <f t="shared" si="8"/>
        <v>1237.1600000000001</v>
      </c>
      <c r="O106" s="37">
        <f t="shared" si="9"/>
        <v>0.99987067153803866</v>
      </c>
      <c r="Q106" s="39">
        <f t="shared" si="10"/>
        <v>1.4993939393939395</v>
      </c>
    </row>
    <row r="107" spans="2:17" x14ac:dyDescent="0.3">
      <c r="B107" s="172">
        <v>29</v>
      </c>
      <c r="C107" s="172">
        <v>2410</v>
      </c>
      <c r="D107" s="172">
        <v>2060</v>
      </c>
      <c r="E107" s="173">
        <v>0.57299999999999995</v>
      </c>
      <c r="F107" s="173">
        <v>0.628</v>
      </c>
      <c r="G107" s="172">
        <v>1381</v>
      </c>
      <c r="H107" s="172">
        <v>1294</v>
      </c>
      <c r="I107" s="172">
        <v>921</v>
      </c>
      <c r="J107" s="172">
        <v>862</v>
      </c>
      <c r="L107" s="38">
        <f t="shared" si="6"/>
        <v>1380.9299999999998</v>
      </c>
      <c r="M107" s="37">
        <f t="shared" si="7"/>
        <v>1.0000506904767079</v>
      </c>
      <c r="N107" s="38">
        <f t="shared" si="8"/>
        <v>1293.68</v>
      </c>
      <c r="O107" s="37">
        <f t="shared" si="9"/>
        <v>1.0002473563787027</v>
      </c>
      <c r="Q107" s="39">
        <f t="shared" si="10"/>
        <v>1.5011600928074247</v>
      </c>
    </row>
    <row r="108" spans="2:17" x14ac:dyDescent="0.3">
      <c r="B108" s="172">
        <v>30</v>
      </c>
      <c r="C108" s="172">
        <v>2430</v>
      </c>
      <c r="D108" s="172">
        <v>2290</v>
      </c>
      <c r="E108" s="173">
        <v>0.57299999999999995</v>
      </c>
      <c r="F108" s="173">
        <v>0.628</v>
      </c>
      <c r="G108" s="172">
        <v>1392</v>
      </c>
      <c r="H108" s="172">
        <v>1438</v>
      </c>
      <c r="I108" s="172">
        <v>928</v>
      </c>
      <c r="J108" s="172">
        <v>959</v>
      </c>
      <c r="L108" s="38">
        <f t="shared" si="6"/>
        <v>1392.3899999999999</v>
      </c>
      <c r="M108" s="37">
        <f t="shared" si="7"/>
        <v>0.99971990606080208</v>
      </c>
      <c r="N108" s="38">
        <f t="shared" si="8"/>
        <v>1438.1200000000001</v>
      </c>
      <c r="O108" s="37">
        <f t="shared" si="9"/>
        <v>0.99991655772814503</v>
      </c>
      <c r="Q108" s="39">
        <f t="shared" si="10"/>
        <v>1.4994786235662148</v>
      </c>
    </row>
    <row r="109" spans="2:17" x14ac:dyDescent="0.3">
      <c r="B109" s="172">
        <v>31</v>
      </c>
      <c r="C109" s="172">
        <v>2360</v>
      </c>
      <c r="D109" s="172">
        <v>2235</v>
      </c>
      <c r="E109" s="173">
        <v>0.57299999999999995</v>
      </c>
      <c r="F109" s="173">
        <v>0.628</v>
      </c>
      <c r="G109" s="172">
        <v>1352</v>
      </c>
      <c r="H109" s="172">
        <v>1404</v>
      </c>
      <c r="I109" s="172">
        <v>902</v>
      </c>
      <c r="J109" s="172">
        <v>936</v>
      </c>
      <c r="L109" s="38">
        <f t="shared" si="6"/>
        <v>1352.28</v>
      </c>
      <c r="M109" s="37">
        <f t="shared" si="7"/>
        <v>0.99979294229005833</v>
      </c>
      <c r="N109" s="38">
        <f t="shared" si="8"/>
        <v>1403.58</v>
      </c>
      <c r="O109" s="37">
        <f t="shared" si="9"/>
        <v>1.0002992348138333</v>
      </c>
      <c r="Q109" s="39">
        <f t="shared" si="10"/>
        <v>1.5</v>
      </c>
    </row>
    <row r="110" spans="2:17" x14ac:dyDescent="0.3">
      <c r="B110" s="172">
        <v>32</v>
      </c>
      <c r="C110" s="172">
        <v>2410</v>
      </c>
      <c r="D110" s="172">
        <v>2235</v>
      </c>
      <c r="E110" s="173">
        <v>0.57299999999999995</v>
      </c>
      <c r="F110" s="173">
        <v>0.628</v>
      </c>
      <c r="G110" s="172">
        <v>1381</v>
      </c>
      <c r="H110" s="172">
        <v>1404</v>
      </c>
      <c r="I110" s="172">
        <v>921</v>
      </c>
      <c r="J110" s="172">
        <v>936</v>
      </c>
      <c r="L110" s="38">
        <f t="shared" si="6"/>
        <v>1380.9299999999998</v>
      </c>
      <c r="M110" s="37">
        <f t="shared" si="7"/>
        <v>1.0000506904767079</v>
      </c>
      <c r="N110" s="38">
        <f t="shared" si="8"/>
        <v>1403.58</v>
      </c>
      <c r="O110" s="37">
        <f t="shared" si="9"/>
        <v>1.0002992348138333</v>
      </c>
      <c r="Q110" s="39">
        <f t="shared" si="10"/>
        <v>1.5</v>
      </c>
    </row>
    <row r="111" spans="2:17" x14ac:dyDescent="0.3">
      <c r="B111" s="172">
        <v>33</v>
      </c>
      <c r="C111" s="172">
        <v>2330</v>
      </c>
      <c r="D111" s="172">
        <v>2220</v>
      </c>
      <c r="E111" s="173">
        <v>0.61899999999999999</v>
      </c>
      <c r="F111" s="173">
        <v>0.66300000000000003</v>
      </c>
      <c r="G111" s="172">
        <v>1335</v>
      </c>
      <c r="H111" s="172">
        <v>1472</v>
      </c>
      <c r="I111" s="172">
        <v>890</v>
      </c>
      <c r="J111" s="172">
        <v>981</v>
      </c>
      <c r="L111" s="38">
        <f t="shared" si="6"/>
        <v>1442.27</v>
      </c>
      <c r="M111" s="37">
        <f t="shared" si="7"/>
        <v>0.92562418964548943</v>
      </c>
      <c r="N111" s="38">
        <f t="shared" si="8"/>
        <v>1471.8600000000001</v>
      </c>
      <c r="O111" s="37">
        <f t="shared" si="9"/>
        <v>1.0000951177421764</v>
      </c>
      <c r="Q111" s="39">
        <f t="shared" si="10"/>
        <v>1.5005096839959224</v>
      </c>
    </row>
    <row r="112" spans="2:17" x14ac:dyDescent="0.3">
      <c r="B112" s="172">
        <v>34</v>
      </c>
      <c r="C112" s="172">
        <v>2500</v>
      </c>
      <c r="D112" s="172">
        <v>2120</v>
      </c>
      <c r="E112" s="173">
        <v>0.61899999999999999</v>
      </c>
      <c r="F112" s="173">
        <v>0.66300000000000003</v>
      </c>
      <c r="G112" s="172">
        <v>1433</v>
      </c>
      <c r="H112" s="172">
        <v>1406</v>
      </c>
      <c r="I112" s="172">
        <v>955</v>
      </c>
      <c r="J112" s="172">
        <v>937</v>
      </c>
      <c r="L112" s="38">
        <f t="shared" si="6"/>
        <v>1547.5</v>
      </c>
      <c r="M112" s="37">
        <f t="shared" si="7"/>
        <v>0.92600969305331182</v>
      </c>
      <c r="N112" s="38">
        <f t="shared" si="8"/>
        <v>1405.5600000000002</v>
      </c>
      <c r="O112" s="37">
        <f t="shared" si="9"/>
        <v>1.000313042488403</v>
      </c>
      <c r="Q112" s="39">
        <f t="shared" si="10"/>
        <v>1.5005336179295625</v>
      </c>
    </row>
    <row r="113" spans="2:17" x14ac:dyDescent="0.3">
      <c r="B113" s="172">
        <v>35</v>
      </c>
      <c r="C113" s="172">
        <v>2310</v>
      </c>
      <c r="D113" s="172">
        <v>1970</v>
      </c>
      <c r="E113" s="173">
        <v>0.61899999999999999</v>
      </c>
      <c r="F113" s="173">
        <v>0.66300000000000003</v>
      </c>
      <c r="G113" s="172">
        <v>1324</v>
      </c>
      <c r="H113" s="172">
        <v>1306</v>
      </c>
      <c r="I113" s="172">
        <v>882</v>
      </c>
      <c r="J113" s="172">
        <v>871</v>
      </c>
      <c r="L113" s="38">
        <f t="shared" si="6"/>
        <v>1429.89</v>
      </c>
      <c r="M113" s="37">
        <f t="shared" si="7"/>
        <v>0.92594535243969811</v>
      </c>
      <c r="N113" s="38">
        <f t="shared" si="8"/>
        <v>1306.1100000000001</v>
      </c>
      <c r="O113" s="37">
        <f t="shared" si="9"/>
        <v>0.99991578044728224</v>
      </c>
      <c r="Q113" s="39">
        <f t="shared" si="10"/>
        <v>1.4994259471871412</v>
      </c>
    </row>
    <row r="114" spans="2:17" x14ac:dyDescent="0.3">
      <c r="B114" s="172">
        <v>36</v>
      </c>
      <c r="C114" s="172">
        <v>2310</v>
      </c>
      <c r="D114" s="172">
        <v>2120</v>
      </c>
      <c r="E114" s="173">
        <v>0.55700000000000005</v>
      </c>
      <c r="F114" s="173">
        <v>0.66600000000000004</v>
      </c>
      <c r="G114" s="172">
        <v>1324</v>
      </c>
      <c r="H114" s="172">
        <v>1412</v>
      </c>
      <c r="I114" s="172">
        <v>882</v>
      </c>
      <c r="J114" s="172">
        <v>941</v>
      </c>
      <c r="L114" s="38">
        <f t="shared" si="6"/>
        <v>1286.67</v>
      </c>
      <c r="M114" s="37">
        <f t="shared" si="7"/>
        <v>1.0290128782049788</v>
      </c>
      <c r="N114" s="38">
        <f t="shared" si="8"/>
        <v>1411.92</v>
      </c>
      <c r="O114" s="37">
        <f t="shared" si="9"/>
        <v>1.0000566604340189</v>
      </c>
      <c r="Q114" s="39">
        <f t="shared" si="10"/>
        <v>1.5005313496280552</v>
      </c>
    </row>
    <row r="115" spans="2:17" x14ac:dyDescent="0.3">
      <c r="B115" s="172">
        <v>37</v>
      </c>
      <c r="C115" s="172">
        <v>2350</v>
      </c>
      <c r="D115" s="172">
        <v>1860</v>
      </c>
      <c r="E115" s="173">
        <v>0.55700000000000005</v>
      </c>
      <c r="F115" s="173">
        <v>0.66600000000000004</v>
      </c>
      <c r="G115" s="172">
        <v>1455</v>
      </c>
      <c r="H115" s="172">
        <v>1239</v>
      </c>
      <c r="I115" s="172">
        <v>970</v>
      </c>
      <c r="J115" s="172">
        <v>826</v>
      </c>
      <c r="L115" s="38">
        <f t="shared" si="6"/>
        <v>1308.95</v>
      </c>
      <c r="M115" s="37">
        <f t="shared" si="7"/>
        <v>1.1115779823522671</v>
      </c>
      <c r="N115" s="38">
        <f t="shared" si="8"/>
        <v>1238.76</v>
      </c>
      <c r="O115" s="37">
        <f t="shared" si="9"/>
        <v>1.000193742129226</v>
      </c>
      <c r="Q115" s="39">
        <f t="shared" si="10"/>
        <v>1.5</v>
      </c>
    </row>
    <row r="116" spans="2:17" x14ac:dyDescent="0.3">
      <c r="B116" s="172">
        <v>38</v>
      </c>
      <c r="C116" s="172">
        <v>2260</v>
      </c>
      <c r="D116" s="172">
        <v>1820</v>
      </c>
      <c r="E116" s="173">
        <v>0.58899999999999997</v>
      </c>
      <c r="F116" s="173">
        <v>0.59799999999999998</v>
      </c>
      <c r="G116" s="172">
        <v>1399</v>
      </c>
      <c r="H116" s="172">
        <v>1088</v>
      </c>
      <c r="I116" s="172">
        <v>933</v>
      </c>
      <c r="J116" s="172">
        <v>726</v>
      </c>
      <c r="L116" s="38">
        <f t="shared" si="6"/>
        <v>1331.1399999999999</v>
      </c>
      <c r="M116" s="37">
        <f t="shared" si="7"/>
        <v>1.0509788602250703</v>
      </c>
      <c r="N116" s="38">
        <f t="shared" si="8"/>
        <v>1088.3599999999999</v>
      </c>
      <c r="O116" s="37">
        <f t="shared" si="9"/>
        <v>0.99966922709397632</v>
      </c>
      <c r="Q116" s="39">
        <f t="shared" si="10"/>
        <v>1.4986225895316805</v>
      </c>
    </row>
    <row r="117" spans="2:17" x14ac:dyDescent="0.3">
      <c r="B117" s="172">
        <v>39</v>
      </c>
      <c r="C117" s="172">
        <v>1820</v>
      </c>
      <c r="D117" s="172">
        <v>3280</v>
      </c>
      <c r="E117" s="173">
        <v>0.58899999999999997</v>
      </c>
      <c r="F117" s="173">
        <v>0.59799999999999998</v>
      </c>
      <c r="G117" s="172">
        <v>1127</v>
      </c>
      <c r="H117" s="172">
        <v>1961</v>
      </c>
      <c r="I117" s="172">
        <v>751</v>
      </c>
      <c r="J117" s="172">
        <v>1308</v>
      </c>
      <c r="L117" s="38">
        <f t="shared" si="6"/>
        <v>1071.98</v>
      </c>
      <c r="M117" s="37">
        <f t="shared" si="7"/>
        <v>1.0513255844325453</v>
      </c>
      <c r="N117" s="38">
        <f t="shared" si="8"/>
        <v>1961.4399999999998</v>
      </c>
      <c r="O117" s="37">
        <f t="shared" si="9"/>
        <v>0.99977567501427533</v>
      </c>
      <c r="Q117" s="39">
        <f t="shared" si="10"/>
        <v>1.4992354740061162</v>
      </c>
    </row>
    <row r="118" spans="2:17" x14ac:dyDescent="0.3">
      <c r="B118" s="172">
        <v>40</v>
      </c>
      <c r="C118" s="172">
        <v>1300</v>
      </c>
      <c r="D118" s="172">
        <v>2930</v>
      </c>
      <c r="E118" s="173">
        <v>0.623</v>
      </c>
      <c r="F118" s="173">
        <v>0.314</v>
      </c>
      <c r="G118" s="172">
        <v>724</v>
      </c>
      <c r="H118" s="172">
        <v>920</v>
      </c>
      <c r="I118" s="172">
        <v>483</v>
      </c>
      <c r="J118" s="172">
        <v>613</v>
      </c>
      <c r="L118" s="38">
        <f t="shared" si="6"/>
        <v>809.9</v>
      </c>
      <c r="M118" s="37">
        <f t="shared" si="7"/>
        <v>0.89393752315100627</v>
      </c>
      <c r="N118" s="38">
        <f t="shared" si="8"/>
        <v>920.02</v>
      </c>
      <c r="O118" s="37">
        <f t="shared" si="9"/>
        <v>0.99997826134214474</v>
      </c>
      <c r="Q118" s="39">
        <f t="shared" si="10"/>
        <v>1.500815660685155</v>
      </c>
    </row>
    <row r="119" spans="2:17" x14ac:dyDescent="0.3">
      <c r="B119" s="172">
        <v>41</v>
      </c>
      <c r="C119" s="172">
        <v>1270</v>
      </c>
      <c r="D119" s="172">
        <v>2353</v>
      </c>
      <c r="E119" s="173">
        <v>0.623</v>
      </c>
      <c r="F119" s="173">
        <v>0.314</v>
      </c>
      <c r="G119" s="172">
        <v>707</v>
      </c>
      <c r="H119" s="172">
        <v>739</v>
      </c>
      <c r="I119" s="172">
        <v>472</v>
      </c>
      <c r="J119" s="172">
        <v>493</v>
      </c>
      <c r="L119" s="38">
        <f t="shared" si="6"/>
        <v>791.21</v>
      </c>
      <c r="M119" s="37">
        <f t="shared" si="7"/>
        <v>0.89356807927098991</v>
      </c>
      <c r="N119" s="38">
        <f t="shared" si="8"/>
        <v>738.84199999999998</v>
      </c>
      <c r="O119" s="37">
        <f t="shared" si="9"/>
        <v>1.0002138481569809</v>
      </c>
      <c r="Q119" s="39">
        <f t="shared" si="10"/>
        <v>1.4989858012170385</v>
      </c>
    </row>
    <row r="120" spans="2:17" x14ac:dyDescent="0.3">
      <c r="B120" s="172">
        <v>42</v>
      </c>
      <c r="C120" s="172">
        <v>1990</v>
      </c>
      <c r="D120" s="172">
        <v>2511</v>
      </c>
      <c r="E120" s="173">
        <v>0.623</v>
      </c>
      <c r="F120" s="173">
        <v>0.314</v>
      </c>
      <c r="G120" s="172">
        <v>1172</v>
      </c>
      <c r="H120" s="172">
        <v>789</v>
      </c>
      <c r="I120" s="172">
        <v>781</v>
      </c>
      <c r="J120" s="172">
        <v>526</v>
      </c>
      <c r="L120" s="38">
        <f t="shared" si="6"/>
        <v>1239.77</v>
      </c>
      <c r="M120" s="37">
        <f t="shared" si="7"/>
        <v>0.94533663502101195</v>
      </c>
      <c r="N120" s="38">
        <f t="shared" si="8"/>
        <v>788.45399999999995</v>
      </c>
      <c r="O120" s="37">
        <f t="shared" si="9"/>
        <v>1.0006924944258004</v>
      </c>
      <c r="Q120" s="39">
        <f t="shared" si="10"/>
        <v>1.5</v>
      </c>
    </row>
    <row r="121" spans="2:17" x14ac:dyDescent="0.3">
      <c r="B121" s="172">
        <v>43</v>
      </c>
      <c r="C121" s="172">
        <v>2390</v>
      </c>
      <c r="D121" s="172">
        <v>2391</v>
      </c>
      <c r="E121" s="173">
        <v>0.623</v>
      </c>
      <c r="F121" s="173">
        <v>0.314</v>
      </c>
      <c r="G121" s="172">
        <v>1408</v>
      </c>
      <c r="H121" s="172">
        <v>751</v>
      </c>
      <c r="I121" s="172">
        <v>938</v>
      </c>
      <c r="J121" s="172">
        <v>501</v>
      </c>
      <c r="L121" s="38">
        <f t="shared" si="6"/>
        <v>1488.97</v>
      </c>
      <c r="M121" s="37">
        <f t="shared" si="7"/>
        <v>0.94562012666474138</v>
      </c>
      <c r="N121" s="38">
        <f t="shared" si="8"/>
        <v>750.774</v>
      </c>
      <c r="O121" s="37">
        <f t="shared" si="9"/>
        <v>1.0003010226779296</v>
      </c>
      <c r="Q121" s="39">
        <f t="shared" si="10"/>
        <v>1.4990019960079841</v>
      </c>
    </row>
    <row r="122" spans="2:17" x14ac:dyDescent="0.3">
      <c r="B122" s="172">
        <v>44</v>
      </c>
      <c r="C122" s="172">
        <v>2450</v>
      </c>
      <c r="D122" s="172">
        <v>2128</v>
      </c>
      <c r="E122" s="173">
        <v>0.63200000000000001</v>
      </c>
      <c r="F122" s="173">
        <v>0.56799999999999995</v>
      </c>
      <c r="G122" s="172">
        <v>1526</v>
      </c>
      <c r="H122" s="172">
        <v>1209</v>
      </c>
      <c r="I122" s="172">
        <v>1018</v>
      </c>
      <c r="J122" s="172">
        <v>806</v>
      </c>
      <c r="L122" s="38">
        <f t="shared" si="6"/>
        <v>1548.4</v>
      </c>
      <c r="M122" s="37">
        <f t="shared" si="7"/>
        <v>0.98553345388788416</v>
      </c>
      <c r="N122" s="38">
        <f t="shared" si="8"/>
        <v>1208.704</v>
      </c>
      <c r="O122" s="37">
        <f t="shared" si="9"/>
        <v>1.0002448903950016</v>
      </c>
      <c r="Q122" s="39">
        <f t="shared" si="10"/>
        <v>1.5</v>
      </c>
    </row>
    <row r="123" spans="2:17" x14ac:dyDescent="0.3">
      <c r="B123" s="172">
        <v>45</v>
      </c>
      <c r="C123" s="172">
        <v>2598</v>
      </c>
      <c r="D123" s="172">
        <v>2070</v>
      </c>
      <c r="E123" s="173">
        <v>0.63200000000000001</v>
      </c>
      <c r="F123" s="173">
        <v>0.56799999999999995</v>
      </c>
      <c r="G123" s="172">
        <v>1618</v>
      </c>
      <c r="H123" s="172">
        <v>1176</v>
      </c>
      <c r="I123" s="172">
        <v>1079</v>
      </c>
      <c r="J123" s="172">
        <v>784</v>
      </c>
      <c r="L123" s="38">
        <f t="shared" si="6"/>
        <v>1641.9359999999999</v>
      </c>
      <c r="M123" s="37">
        <f t="shared" si="7"/>
        <v>0.98542208709718293</v>
      </c>
      <c r="N123" s="38">
        <f t="shared" si="8"/>
        <v>1175.76</v>
      </c>
      <c r="O123" s="37">
        <f t="shared" si="9"/>
        <v>1.0002041232904675</v>
      </c>
      <c r="Q123" s="39">
        <f t="shared" si="10"/>
        <v>1.5</v>
      </c>
    </row>
    <row r="124" spans="2:17" x14ac:dyDescent="0.3">
      <c r="B124" s="172">
        <v>46</v>
      </c>
      <c r="C124" s="172">
        <v>2501</v>
      </c>
      <c r="D124" s="172">
        <v>1420</v>
      </c>
      <c r="E124" s="173">
        <v>0.623</v>
      </c>
      <c r="F124" s="173">
        <v>0.81200000000000006</v>
      </c>
      <c r="G124" s="172">
        <v>1558</v>
      </c>
      <c r="H124" s="172">
        <v>1153</v>
      </c>
      <c r="I124" s="172">
        <v>1039</v>
      </c>
      <c r="J124" s="172">
        <v>769</v>
      </c>
      <c r="L124" s="38">
        <f t="shared" si="6"/>
        <v>1558.123</v>
      </c>
      <c r="M124" s="37">
        <f t="shared" si="7"/>
        <v>0.99992105886377391</v>
      </c>
      <c r="N124" s="38">
        <f t="shared" si="8"/>
        <v>1153.0400000000002</v>
      </c>
      <c r="O124" s="37">
        <f t="shared" si="9"/>
        <v>0.99996530909595482</v>
      </c>
      <c r="Q124" s="39">
        <f t="shared" si="10"/>
        <v>1.4993498049414824</v>
      </c>
    </row>
    <row r="125" spans="2:17" x14ac:dyDescent="0.3">
      <c r="B125" s="172">
        <v>47</v>
      </c>
      <c r="C125" s="172">
        <v>2519</v>
      </c>
      <c r="D125" s="172">
        <v>1580</v>
      </c>
      <c r="E125" s="173">
        <v>0.623</v>
      </c>
      <c r="F125" s="173">
        <v>0.81200000000000006</v>
      </c>
      <c r="G125" s="172">
        <v>1569</v>
      </c>
      <c r="H125" s="172">
        <v>1283</v>
      </c>
      <c r="I125" s="172">
        <v>1046</v>
      </c>
      <c r="J125" s="172">
        <v>855</v>
      </c>
      <c r="L125" s="38">
        <f t="shared" si="6"/>
        <v>1569.337</v>
      </c>
      <c r="M125" s="37">
        <f t="shared" si="7"/>
        <v>0.99978525963511977</v>
      </c>
      <c r="N125" s="38">
        <f t="shared" si="8"/>
        <v>1282.96</v>
      </c>
      <c r="O125" s="37">
        <f t="shared" si="9"/>
        <v>1.0000311779011037</v>
      </c>
      <c r="Q125" s="39">
        <f t="shared" si="10"/>
        <v>1.5005847953216374</v>
      </c>
    </row>
    <row r="126" spans="2:17" x14ac:dyDescent="0.3">
      <c r="B126" s="172">
        <v>48</v>
      </c>
      <c r="C126" s="172">
        <v>2553</v>
      </c>
      <c r="D126" s="172">
        <v>1360</v>
      </c>
      <c r="E126" s="173">
        <v>0.623</v>
      </c>
      <c r="F126" s="173">
        <v>0.81200000000000006</v>
      </c>
      <c r="G126" s="172">
        <v>1614</v>
      </c>
      <c r="H126" s="172">
        <v>1104</v>
      </c>
      <c r="I126" s="172">
        <v>1076</v>
      </c>
      <c r="J126" s="172">
        <v>736</v>
      </c>
      <c r="L126" s="38">
        <f t="shared" si="6"/>
        <v>1590.519</v>
      </c>
      <c r="M126" s="37">
        <f t="shared" si="7"/>
        <v>1.0147631056277857</v>
      </c>
      <c r="N126" s="38">
        <f t="shared" si="8"/>
        <v>1104.3200000000002</v>
      </c>
      <c r="O126" s="37">
        <f t="shared" si="9"/>
        <v>0.99971022891915373</v>
      </c>
      <c r="Q126" s="39">
        <f t="shared" si="10"/>
        <v>1.5</v>
      </c>
    </row>
    <row r="127" spans="2:17" x14ac:dyDescent="0.3">
      <c r="B127" s="172">
        <v>49</v>
      </c>
      <c r="C127" s="172">
        <v>2530</v>
      </c>
      <c r="D127" s="172">
        <v>1435</v>
      </c>
      <c r="E127" s="173">
        <v>0.623</v>
      </c>
      <c r="F127" s="173">
        <v>0.81200000000000006</v>
      </c>
      <c r="G127" s="172">
        <v>1599</v>
      </c>
      <c r="H127" s="172">
        <v>1165</v>
      </c>
      <c r="I127" s="172">
        <v>1066</v>
      </c>
      <c r="J127" s="172">
        <v>777</v>
      </c>
      <c r="L127" s="38">
        <f t="shared" si="6"/>
        <v>1576.19</v>
      </c>
      <c r="M127" s="37">
        <f t="shared" si="7"/>
        <v>1.0144716055805454</v>
      </c>
      <c r="N127" s="38">
        <f t="shared" si="8"/>
        <v>1165.22</v>
      </c>
      <c r="O127" s="37">
        <f t="shared" si="9"/>
        <v>0.99981119445254973</v>
      </c>
      <c r="Q127" s="39">
        <f t="shared" si="10"/>
        <v>1.4993564993564994</v>
      </c>
    </row>
    <row r="128" spans="2:17" x14ac:dyDescent="0.3">
      <c r="B128" s="172">
        <v>50</v>
      </c>
      <c r="C128" s="172">
        <v>2510</v>
      </c>
      <c r="D128" s="172">
        <v>1435</v>
      </c>
      <c r="E128" s="173">
        <v>0.59799999999999998</v>
      </c>
      <c r="F128" s="173">
        <v>0.79800000000000004</v>
      </c>
      <c r="G128" s="172">
        <v>1564</v>
      </c>
      <c r="H128" s="172">
        <v>1145</v>
      </c>
      <c r="I128" s="172">
        <v>1042</v>
      </c>
      <c r="J128" s="172">
        <v>763</v>
      </c>
      <c r="L128" s="38">
        <f t="shared" si="6"/>
        <v>1500.98</v>
      </c>
      <c r="M128" s="37">
        <f t="shared" si="7"/>
        <v>1.0419859025436715</v>
      </c>
      <c r="N128" s="38">
        <f t="shared" si="8"/>
        <v>1145.1300000000001</v>
      </c>
      <c r="O128" s="37">
        <f t="shared" si="9"/>
        <v>0.99988647577130974</v>
      </c>
      <c r="Q128" s="39">
        <f t="shared" si="10"/>
        <v>1.5006553079947575</v>
      </c>
    </row>
    <row r="129" spans="2:17" x14ac:dyDescent="0.3">
      <c r="B129" s="172">
        <v>51</v>
      </c>
      <c r="C129" s="172">
        <v>2770</v>
      </c>
      <c r="D129" s="172">
        <v>1430</v>
      </c>
      <c r="E129" s="173">
        <v>0.59799999999999998</v>
      </c>
      <c r="F129" s="173">
        <v>0.79800000000000004</v>
      </c>
      <c r="G129" s="172">
        <v>1726</v>
      </c>
      <c r="H129" s="172">
        <v>1141</v>
      </c>
      <c r="I129" s="172">
        <v>1150</v>
      </c>
      <c r="J129" s="172">
        <v>761</v>
      </c>
      <c r="L129" s="38">
        <f t="shared" si="6"/>
        <v>1656.46</v>
      </c>
      <c r="M129" s="37">
        <f t="shared" si="7"/>
        <v>1.0419810922086861</v>
      </c>
      <c r="N129" s="38">
        <f t="shared" si="8"/>
        <v>1141.1400000000001</v>
      </c>
      <c r="O129" s="37">
        <f t="shared" si="9"/>
        <v>0.99987731566678928</v>
      </c>
      <c r="Q129" s="39">
        <f t="shared" si="10"/>
        <v>1.4993429697766096</v>
      </c>
    </row>
    <row r="130" spans="2:17" x14ac:dyDescent="0.3">
      <c r="B130" s="172">
        <v>52</v>
      </c>
      <c r="C130" s="172">
        <v>2590</v>
      </c>
      <c r="D130" s="172">
        <v>1350</v>
      </c>
      <c r="E130" s="173">
        <v>0.61899999999999999</v>
      </c>
      <c r="F130" s="173">
        <v>0.79800000000000004</v>
      </c>
      <c r="G130" s="172">
        <v>1614</v>
      </c>
      <c r="H130" s="172">
        <v>1077</v>
      </c>
      <c r="I130" s="172">
        <v>1076</v>
      </c>
      <c r="J130" s="172">
        <v>718</v>
      </c>
      <c r="L130" s="38">
        <f t="shared" si="6"/>
        <v>1603.21</v>
      </c>
      <c r="M130" s="37">
        <f t="shared" si="7"/>
        <v>1.0067302474410713</v>
      </c>
      <c r="N130" s="38">
        <f t="shared" si="8"/>
        <v>1077.3</v>
      </c>
      <c r="O130" s="37">
        <f t="shared" si="9"/>
        <v>0.99972152603731557</v>
      </c>
      <c r="Q130" s="39">
        <f t="shared" si="10"/>
        <v>1.5</v>
      </c>
    </row>
    <row r="131" spans="2:17" x14ac:dyDescent="0.3">
      <c r="B131" s="172">
        <v>53</v>
      </c>
      <c r="C131" s="172">
        <v>2505</v>
      </c>
      <c r="D131" s="172">
        <v>1270</v>
      </c>
      <c r="E131" s="173">
        <v>0.61899999999999999</v>
      </c>
      <c r="F131" s="173">
        <v>0.79800000000000004</v>
      </c>
      <c r="G131" s="172">
        <v>1561</v>
      </c>
      <c r="H131" s="172">
        <v>1013</v>
      </c>
      <c r="I131" s="172">
        <v>1040</v>
      </c>
      <c r="J131" s="172">
        <v>676</v>
      </c>
      <c r="L131" s="38">
        <f t="shared" si="6"/>
        <v>1550.595</v>
      </c>
      <c r="M131" s="37">
        <f t="shared" si="7"/>
        <v>1.0067103273259619</v>
      </c>
      <c r="N131" s="38">
        <f t="shared" si="8"/>
        <v>1013.46</v>
      </c>
      <c r="O131" s="37">
        <f t="shared" si="9"/>
        <v>0.99954610936790789</v>
      </c>
      <c r="Q131" s="39">
        <f t="shared" si="10"/>
        <v>1.4985207100591715</v>
      </c>
    </row>
    <row r="132" spans="2:17" x14ac:dyDescent="0.3">
      <c r="B132" s="172">
        <v>54</v>
      </c>
      <c r="C132" s="172">
        <v>2505</v>
      </c>
      <c r="D132" s="172">
        <v>1270</v>
      </c>
      <c r="E132" s="173">
        <v>0.61199999999999999</v>
      </c>
      <c r="F132" s="173">
        <v>0.81599999999999995</v>
      </c>
      <c r="G132" s="172">
        <v>1498</v>
      </c>
      <c r="H132" s="172">
        <v>1036</v>
      </c>
      <c r="I132" s="172">
        <v>999</v>
      </c>
      <c r="J132" s="172">
        <v>691</v>
      </c>
      <c r="L132" s="38">
        <f t="shared" si="6"/>
        <v>1533.06</v>
      </c>
      <c r="M132" s="37">
        <f t="shared" si="7"/>
        <v>0.97713070590844453</v>
      </c>
      <c r="N132" s="38">
        <f t="shared" si="8"/>
        <v>1036.32</v>
      </c>
      <c r="O132" s="37">
        <f t="shared" si="9"/>
        <v>0.99969121506870473</v>
      </c>
      <c r="Q132" s="39">
        <f t="shared" si="10"/>
        <v>1.4992764109985528</v>
      </c>
    </row>
    <row r="133" spans="2:17" x14ac:dyDescent="0.3">
      <c r="B133" s="172">
        <v>55</v>
      </c>
      <c r="C133" s="172">
        <v>2420</v>
      </c>
      <c r="D133" s="172">
        <v>2013</v>
      </c>
      <c r="E133" s="173">
        <v>0.61199999999999999</v>
      </c>
      <c r="F133" s="173">
        <v>0.81599999999999995</v>
      </c>
      <c r="G133" s="172">
        <v>1447</v>
      </c>
      <c r="H133" s="172">
        <v>1643</v>
      </c>
      <c r="I133" s="172">
        <v>965</v>
      </c>
      <c r="J133" s="172">
        <v>1095</v>
      </c>
      <c r="L133" s="38">
        <f t="shared" si="6"/>
        <v>1481.04</v>
      </c>
      <c r="M133" s="37">
        <f t="shared" si="7"/>
        <v>0.97701615081294224</v>
      </c>
      <c r="N133" s="38">
        <f t="shared" si="8"/>
        <v>1642.6079999999999</v>
      </c>
      <c r="O133" s="37">
        <f t="shared" si="9"/>
        <v>1.000238644886668</v>
      </c>
      <c r="Q133" s="39">
        <f t="shared" si="10"/>
        <v>1.5004566210045662</v>
      </c>
    </row>
    <row r="134" spans="2:17" x14ac:dyDescent="0.3">
      <c r="B134" s="172">
        <v>56</v>
      </c>
      <c r="C134" s="172">
        <v>2290</v>
      </c>
      <c r="D134" s="172">
        <v>2013</v>
      </c>
      <c r="E134" s="173">
        <v>0.61199999999999999</v>
      </c>
      <c r="F134" s="173">
        <v>0.81599999999999995</v>
      </c>
      <c r="G134" s="172">
        <v>1418</v>
      </c>
      <c r="H134" s="172">
        <v>1643</v>
      </c>
      <c r="I134" s="172">
        <v>945</v>
      </c>
      <c r="J134" s="172">
        <v>1095</v>
      </c>
      <c r="L134" s="38">
        <f t="shared" si="6"/>
        <v>1401.48</v>
      </c>
      <c r="M134" s="37">
        <f t="shared" si="7"/>
        <v>1.0117875388874618</v>
      </c>
      <c r="N134" s="38">
        <f t="shared" si="8"/>
        <v>1642.6079999999999</v>
      </c>
      <c r="O134" s="37">
        <f t="shared" si="9"/>
        <v>1.000238644886668</v>
      </c>
      <c r="Q134" s="39">
        <f t="shared" si="10"/>
        <v>1.5004566210045662</v>
      </c>
    </row>
    <row r="135" spans="2:17" x14ac:dyDescent="0.3">
      <c r="B135" s="172">
        <v>57</v>
      </c>
      <c r="C135" s="172">
        <v>2320</v>
      </c>
      <c r="D135" s="172">
        <v>2013</v>
      </c>
      <c r="E135" s="173">
        <v>0.624</v>
      </c>
      <c r="F135" s="173">
        <v>0.63100000000000001</v>
      </c>
      <c r="G135" s="172">
        <v>1436</v>
      </c>
      <c r="H135" s="172">
        <v>1270</v>
      </c>
      <c r="I135" s="172">
        <v>957</v>
      </c>
      <c r="J135" s="172">
        <v>847</v>
      </c>
      <c r="L135" s="38">
        <f t="shared" si="6"/>
        <v>1447.68</v>
      </c>
      <c r="M135" s="37">
        <f t="shared" si="7"/>
        <v>0.99193191865605657</v>
      </c>
      <c r="N135" s="38">
        <f t="shared" si="8"/>
        <v>1270.203</v>
      </c>
      <c r="O135" s="37">
        <f t="shared" si="9"/>
        <v>0.99984018302586286</v>
      </c>
      <c r="Q135" s="39">
        <f t="shared" si="10"/>
        <v>1.499409681227863</v>
      </c>
    </row>
    <row r="136" spans="2:17" x14ac:dyDescent="0.3">
      <c r="B136" s="172">
        <v>58</v>
      </c>
      <c r="C136" s="172">
        <v>2330</v>
      </c>
      <c r="D136" s="172">
        <v>2230</v>
      </c>
      <c r="E136" s="173">
        <v>0.624</v>
      </c>
      <c r="F136" s="173">
        <v>0.63100000000000001</v>
      </c>
      <c r="G136" s="172">
        <v>1426</v>
      </c>
      <c r="H136" s="172">
        <v>1407</v>
      </c>
      <c r="I136" s="172">
        <v>951</v>
      </c>
      <c r="J136" s="172">
        <v>938</v>
      </c>
      <c r="L136" s="38">
        <f t="shared" si="6"/>
        <v>1453.92</v>
      </c>
      <c r="M136" s="37">
        <f t="shared" si="7"/>
        <v>0.98079674259931771</v>
      </c>
      <c r="N136" s="38">
        <f t="shared" si="8"/>
        <v>1407.13</v>
      </c>
      <c r="O136" s="37">
        <f t="shared" si="9"/>
        <v>0.99990761336905609</v>
      </c>
      <c r="Q136" s="39">
        <f t="shared" si="10"/>
        <v>1.5</v>
      </c>
    </row>
    <row r="137" spans="2:17" x14ac:dyDescent="0.3">
      <c r="B137" s="172">
        <v>59</v>
      </c>
      <c r="C137" s="172">
        <v>2378</v>
      </c>
      <c r="D137" s="172">
        <v>2410</v>
      </c>
      <c r="E137" s="173">
        <v>0.621</v>
      </c>
      <c r="F137" s="173">
        <v>0.50800000000000001</v>
      </c>
      <c r="G137" s="172">
        <v>1456</v>
      </c>
      <c r="H137" s="172">
        <v>1224</v>
      </c>
      <c r="I137" s="172">
        <v>970</v>
      </c>
      <c r="J137" s="172">
        <v>816</v>
      </c>
      <c r="L137" s="38">
        <f t="shared" si="6"/>
        <v>1476.7380000000001</v>
      </c>
      <c r="M137" s="37">
        <f t="shared" si="7"/>
        <v>0.98595688605561715</v>
      </c>
      <c r="N137" s="38">
        <f t="shared" si="8"/>
        <v>1224.28</v>
      </c>
      <c r="O137" s="37">
        <f t="shared" si="9"/>
        <v>0.99977129414839749</v>
      </c>
      <c r="Q137" s="39">
        <f t="shared" si="10"/>
        <v>1.5</v>
      </c>
    </row>
    <row r="138" spans="2:17" x14ac:dyDescent="0.3">
      <c r="B138" s="172">
        <v>60</v>
      </c>
      <c r="C138" s="172">
        <v>2378</v>
      </c>
      <c r="D138" s="172">
        <v>2463</v>
      </c>
      <c r="E138" s="173">
        <v>0.621</v>
      </c>
      <c r="F138" s="173">
        <v>0.50800000000000001</v>
      </c>
      <c r="G138" s="172">
        <v>1456</v>
      </c>
      <c r="H138" s="172">
        <v>1251</v>
      </c>
      <c r="I138" s="172">
        <v>970</v>
      </c>
      <c r="J138" s="172">
        <v>834</v>
      </c>
      <c r="L138" s="38">
        <f t="shared" si="6"/>
        <v>1476.7380000000001</v>
      </c>
      <c r="M138" s="37">
        <f t="shared" si="7"/>
        <v>0.98595688605561715</v>
      </c>
      <c r="N138" s="38">
        <f t="shared" si="8"/>
        <v>1251.204</v>
      </c>
      <c r="O138" s="37">
        <f t="shared" si="9"/>
        <v>0.99983695704297626</v>
      </c>
      <c r="Q138" s="39">
        <f t="shared" si="10"/>
        <v>1.5</v>
      </c>
    </row>
    <row r="139" spans="2:17" x14ac:dyDescent="0.3">
      <c r="B139" s="172">
        <v>61</v>
      </c>
      <c r="C139" s="172">
        <v>2378</v>
      </c>
      <c r="D139" s="172">
        <v>1760</v>
      </c>
      <c r="E139" s="173">
        <v>0.621</v>
      </c>
      <c r="F139" s="173">
        <v>0.50800000000000001</v>
      </c>
      <c r="G139" s="172">
        <v>1484</v>
      </c>
      <c r="H139" s="172">
        <v>894</v>
      </c>
      <c r="I139" s="172">
        <v>989</v>
      </c>
      <c r="J139" s="172">
        <v>596</v>
      </c>
      <c r="L139" s="38">
        <f t="shared" si="6"/>
        <v>1476.7380000000001</v>
      </c>
      <c r="M139" s="37">
        <f t="shared" si="7"/>
        <v>1.0049175954028406</v>
      </c>
      <c r="N139" s="38">
        <f t="shared" si="8"/>
        <v>894.08</v>
      </c>
      <c r="O139" s="37">
        <f t="shared" si="9"/>
        <v>0.9999105225483178</v>
      </c>
      <c r="Q139" s="39">
        <f t="shared" si="10"/>
        <v>1.5</v>
      </c>
    </row>
    <row r="140" spans="2:17" x14ac:dyDescent="0.3">
      <c r="B140" s="172">
        <v>62</v>
      </c>
      <c r="C140" s="172">
        <v>2240</v>
      </c>
      <c r="D140" s="172">
        <v>1820</v>
      </c>
      <c r="E140" s="173">
        <v>0.621</v>
      </c>
      <c r="F140" s="173">
        <v>0.50800000000000001</v>
      </c>
      <c r="G140" s="172">
        <v>1398</v>
      </c>
      <c r="H140" s="172">
        <v>925</v>
      </c>
      <c r="I140" s="172">
        <v>932</v>
      </c>
      <c r="J140" s="172">
        <v>616</v>
      </c>
      <c r="L140" s="38">
        <f t="shared" si="6"/>
        <v>1391.04</v>
      </c>
      <c r="M140" s="37">
        <f t="shared" si="7"/>
        <v>1.0050034506556247</v>
      </c>
      <c r="N140" s="38">
        <f t="shared" si="8"/>
        <v>924.56000000000006</v>
      </c>
      <c r="O140" s="37">
        <f t="shared" si="9"/>
        <v>1.0004759020507052</v>
      </c>
      <c r="Q140" s="39">
        <f t="shared" si="10"/>
        <v>1.5016233766233766</v>
      </c>
    </row>
    <row r="141" spans="2:17" x14ac:dyDescent="0.3">
      <c r="B141" s="172">
        <v>63</v>
      </c>
      <c r="C141" s="172">
        <v>2131</v>
      </c>
      <c r="D141" s="172">
        <v>1820</v>
      </c>
      <c r="E141" s="173">
        <v>0.621</v>
      </c>
      <c r="F141" s="173">
        <v>0.50800000000000001</v>
      </c>
      <c r="G141" s="172">
        <v>1323</v>
      </c>
      <c r="H141" s="172">
        <v>925</v>
      </c>
      <c r="I141" s="172">
        <v>882</v>
      </c>
      <c r="J141" s="172">
        <v>616</v>
      </c>
      <c r="L141" s="38">
        <f t="shared" si="6"/>
        <v>1323.3509999999999</v>
      </c>
      <c r="M141" s="37">
        <f t="shared" si="7"/>
        <v>0.99973476424622043</v>
      </c>
      <c r="N141" s="38">
        <f t="shared" si="8"/>
        <v>924.56000000000006</v>
      </c>
      <c r="O141" s="37">
        <f t="shared" si="9"/>
        <v>1.0004759020507052</v>
      </c>
      <c r="Q141" s="39">
        <f t="shared" si="10"/>
        <v>1.5016233766233766</v>
      </c>
    </row>
    <row r="142" spans="2:17" x14ac:dyDescent="0.3">
      <c r="B142" s="172">
        <v>64</v>
      </c>
      <c r="C142" s="172">
        <v>2202</v>
      </c>
      <c r="D142" s="172">
        <v>1820</v>
      </c>
      <c r="E142" s="173">
        <v>0.621</v>
      </c>
      <c r="F142" s="173">
        <v>0.50800000000000001</v>
      </c>
      <c r="G142" s="172">
        <v>1367</v>
      </c>
      <c r="H142" s="172">
        <v>925</v>
      </c>
      <c r="I142" s="172">
        <v>912</v>
      </c>
      <c r="J142" s="172">
        <v>616</v>
      </c>
      <c r="L142" s="38">
        <f t="shared" si="6"/>
        <v>1367.442</v>
      </c>
      <c r="M142" s="37">
        <f t="shared" si="7"/>
        <v>0.99967676874046574</v>
      </c>
      <c r="N142" s="38">
        <f t="shared" si="8"/>
        <v>924.56000000000006</v>
      </c>
      <c r="O142" s="37">
        <f t="shared" si="9"/>
        <v>1.0004759020507052</v>
      </c>
      <c r="Q142" s="39">
        <f t="shared" si="10"/>
        <v>1.5016233766233766</v>
      </c>
    </row>
    <row r="143" spans="2:17" x14ac:dyDescent="0.3">
      <c r="B143" s="172">
        <v>65</v>
      </c>
      <c r="C143" s="172">
        <v>2280</v>
      </c>
      <c r="D143" s="172">
        <v>1600</v>
      </c>
      <c r="E143" s="173">
        <v>0.61899999999999999</v>
      </c>
      <c r="F143" s="173">
        <v>0.75900000000000001</v>
      </c>
      <c r="G143" s="172">
        <v>1416</v>
      </c>
      <c r="H143" s="172">
        <v>1214</v>
      </c>
      <c r="I143" s="172">
        <v>944</v>
      </c>
      <c r="J143" s="172">
        <v>810</v>
      </c>
      <c r="L143" s="38">
        <f t="shared" si="6"/>
        <v>1411.32</v>
      </c>
      <c r="M143" s="37">
        <f t="shared" si="7"/>
        <v>1.0033160445540346</v>
      </c>
      <c r="N143" s="38">
        <f t="shared" si="8"/>
        <v>1214.4000000000001</v>
      </c>
      <c r="O143" s="37">
        <f t="shared" si="9"/>
        <v>0.99967061923583656</v>
      </c>
      <c r="Q143" s="39">
        <f t="shared" si="10"/>
        <v>1.4987654320987653</v>
      </c>
    </row>
    <row r="144" spans="2:17" x14ac:dyDescent="0.3">
      <c r="B144" s="172">
        <v>66</v>
      </c>
      <c r="C144" s="172">
        <v>2040</v>
      </c>
      <c r="D144" s="172">
        <v>1600</v>
      </c>
      <c r="E144" s="173">
        <v>0.61899999999999999</v>
      </c>
      <c r="F144" s="173">
        <v>0.75900000000000001</v>
      </c>
      <c r="G144" s="172">
        <v>1267</v>
      </c>
      <c r="H144" s="172">
        <v>1214</v>
      </c>
      <c r="I144" s="172">
        <v>845</v>
      </c>
      <c r="J144" s="172">
        <v>810</v>
      </c>
      <c r="L144" s="38">
        <f t="shared" ref="L144:L156" si="11">C144*E144</f>
        <v>1262.76</v>
      </c>
      <c r="M144" s="37">
        <f t="shared" ref="M144:M156" si="12">G144/L144</f>
        <v>1.0033577243498368</v>
      </c>
      <c r="N144" s="38">
        <f t="shared" ref="N144:N156" si="13">D144*F144</f>
        <v>1214.4000000000001</v>
      </c>
      <c r="O144" s="37">
        <f t="shared" ref="O144:O156" si="14">H144/N144</f>
        <v>0.99967061923583656</v>
      </c>
      <c r="Q144" s="39">
        <f t="shared" ref="Q144:Q156" si="15">H144/J144</f>
        <v>1.4987654320987653</v>
      </c>
    </row>
    <row r="145" spans="2:17" x14ac:dyDescent="0.3">
      <c r="B145" s="172">
        <v>67</v>
      </c>
      <c r="C145" s="172">
        <v>2040</v>
      </c>
      <c r="D145" s="172">
        <v>1590</v>
      </c>
      <c r="E145" s="173">
        <v>0.61899999999999999</v>
      </c>
      <c r="F145" s="173">
        <v>0.75900000000000001</v>
      </c>
      <c r="G145" s="172">
        <v>1267</v>
      </c>
      <c r="H145" s="172">
        <v>1207</v>
      </c>
      <c r="I145" s="172">
        <v>845</v>
      </c>
      <c r="J145" s="172">
        <v>805</v>
      </c>
      <c r="L145" s="38">
        <f t="shared" si="11"/>
        <v>1262.76</v>
      </c>
      <c r="M145" s="37">
        <f t="shared" si="12"/>
        <v>1.0033577243498368</v>
      </c>
      <c r="N145" s="38">
        <f t="shared" si="13"/>
        <v>1206.81</v>
      </c>
      <c r="O145" s="37">
        <f t="shared" si="14"/>
        <v>1.0001574398621158</v>
      </c>
      <c r="Q145" s="39">
        <f t="shared" si="15"/>
        <v>1.4993788819875777</v>
      </c>
    </row>
    <row r="146" spans="2:17" x14ac:dyDescent="0.3">
      <c r="B146" s="172">
        <v>68</v>
      </c>
      <c r="C146" s="172">
        <v>2040</v>
      </c>
      <c r="D146" s="172">
        <v>1390</v>
      </c>
      <c r="E146" s="173">
        <v>0.61899999999999999</v>
      </c>
      <c r="F146" s="173">
        <v>0.75900000000000001</v>
      </c>
      <c r="G146" s="172">
        <v>1267</v>
      </c>
      <c r="H146" s="172">
        <v>1055</v>
      </c>
      <c r="I146" s="172">
        <v>845</v>
      </c>
      <c r="J146" s="172">
        <v>703</v>
      </c>
      <c r="L146" s="38">
        <f t="shared" si="11"/>
        <v>1262.76</v>
      </c>
      <c r="M146" s="37">
        <f t="shared" si="12"/>
        <v>1.0033577243498368</v>
      </c>
      <c r="N146" s="38">
        <f t="shared" si="13"/>
        <v>1055.01</v>
      </c>
      <c r="O146" s="37">
        <f t="shared" si="14"/>
        <v>0.99999052141685862</v>
      </c>
      <c r="Q146" s="39">
        <f t="shared" si="15"/>
        <v>1.5007112375533429</v>
      </c>
    </row>
    <row r="147" spans="2:17" x14ac:dyDescent="0.3">
      <c r="B147" s="172">
        <v>69</v>
      </c>
      <c r="C147" s="172">
        <v>2340</v>
      </c>
      <c r="D147" s="172">
        <v>1227</v>
      </c>
      <c r="E147" s="173">
        <v>0.61899999999999999</v>
      </c>
      <c r="F147" s="173">
        <v>0.75900000000000001</v>
      </c>
      <c r="G147" s="172">
        <v>1448</v>
      </c>
      <c r="H147" s="172">
        <v>931</v>
      </c>
      <c r="I147" s="172">
        <v>966</v>
      </c>
      <c r="J147" s="172">
        <v>621</v>
      </c>
      <c r="L147" s="38">
        <f t="shared" si="11"/>
        <v>1448.46</v>
      </c>
      <c r="M147" s="37">
        <f t="shared" si="12"/>
        <v>0.99968242133024032</v>
      </c>
      <c r="N147" s="38">
        <f t="shared" si="13"/>
        <v>931.29300000000001</v>
      </c>
      <c r="O147" s="37">
        <f t="shared" si="14"/>
        <v>0.99968538365476811</v>
      </c>
      <c r="Q147" s="39">
        <f t="shared" si="15"/>
        <v>1.499194847020934</v>
      </c>
    </row>
    <row r="148" spans="2:17" x14ac:dyDescent="0.3">
      <c r="B148" s="172">
        <v>70</v>
      </c>
      <c r="C148" s="172">
        <v>2430</v>
      </c>
      <c r="D148" s="172">
        <v>1227</v>
      </c>
      <c r="E148" s="173">
        <v>0.61899999999999999</v>
      </c>
      <c r="F148" s="173">
        <v>0.75900000000000001</v>
      </c>
      <c r="G148" s="172">
        <v>1504</v>
      </c>
      <c r="H148" s="172">
        <v>931</v>
      </c>
      <c r="I148" s="172">
        <v>1003</v>
      </c>
      <c r="J148" s="172">
        <v>621</v>
      </c>
      <c r="L148" s="38">
        <f t="shared" si="11"/>
        <v>1504.17</v>
      </c>
      <c r="M148" s="37">
        <f t="shared" si="12"/>
        <v>0.99988698085987615</v>
      </c>
      <c r="N148" s="38">
        <f t="shared" si="13"/>
        <v>931.29300000000001</v>
      </c>
      <c r="O148" s="37">
        <f t="shared" si="14"/>
        <v>0.99968538365476811</v>
      </c>
      <c r="Q148" s="39">
        <f t="shared" si="15"/>
        <v>1.499194847020934</v>
      </c>
    </row>
    <row r="149" spans="2:17" x14ac:dyDescent="0.3">
      <c r="B149" s="172">
        <v>71</v>
      </c>
      <c r="C149" s="172">
        <v>2240</v>
      </c>
      <c r="D149" s="172">
        <v>1227</v>
      </c>
      <c r="E149" s="173">
        <v>0.61899999999999999</v>
      </c>
      <c r="F149" s="173">
        <v>0.75900000000000001</v>
      </c>
      <c r="G149" s="172">
        <v>1387</v>
      </c>
      <c r="H149" s="172">
        <v>931</v>
      </c>
      <c r="I149" s="172">
        <v>924</v>
      </c>
      <c r="J149" s="172">
        <v>621</v>
      </c>
      <c r="L149" s="38">
        <f t="shared" si="11"/>
        <v>1386.56</v>
      </c>
      <c r="M149" s="37">
        <f t="shared" si="12"/>
        <v>1.0003173321024694</v>
      </c>
      <c r="N149" s="38">
        <f t="shared" si="13"/>
        <v>931.29300000000001</v>
      </c>
      <c r="O149" s="37">
        <f t="shared" si="14"/>
        <v>0.99968538365476811</v>
      </c>
      <c r="Q149" s="39">
        <f t="shared" si="15"/>
        <v>1.499194847020934</v>
      </c>
    </row>
    <row r="150" spans="2:17" x14ac:dyDescent="0.3">
      <c r="B150" s="172">
        <v>72</v>
      </c>
      <c r="C150" s="172">
        <v>2180</v>
      </c>
      <c r="D150" s="172">
        <v>1060</v>
      </c>
      <c r="E150" s="173">
        <v>0.61899999999999999</v>
      </c>
      <c r="F150" s="173">
        <v>0.75900000000000001</v>
      </c>
      <c r="G150" s="172">
        <v>1349</v>
      </c>
      <c r="H150" s="172">
        <v>805</v>
      </c>
      <c r="I150" s="172">
        <v>900</v>
      </c>
      <c r="J150" s="172">
        <v>536</v>
      </c>
      <c r="L150" s="38">
        <f t="shared" si="11"/>
        <v>1349.42</v>
      </c>
      <c r="M150" s="37">
        <f t="shared" si="12"/>
        <v>0.99968875516888733</v>
      </c>
      <c r="N150" s="38">
        <f t="shared" si="13"/>
        <v>804.54</v>
      </c>
      <c r="O150" s="37">
        <f t="shared" si="14"/>
        <v>1.0005717552887365</v>
      </c>
      <c r="Q150" s="39">
        <f t="shared" si="15"/>
        <v>1.5018656716417911</v>
      </c>
    </row>
    <row r="151" spans="2:17" x14ac:dyDescent="0.3">
      <c r="B151" s="172">
        <v>73</v>
      </c>
      <c r="C151" s="172">
        <v>2217</v>
      </c>
      <c r="D151" s="172">
        <v>1100</v>
      </c>
      <c r="E151" s="173">
        <v>0.61899999999999999</v>
      </c>
      <c r="F151" s="173">
        <v>0.75900000000000001</v>
      </c>
      <c r="G151" s="172">
        <v>1372</v>
      </c>
      <c r="H151" s="172">
        <v>835</v>
      </c>
      <c r="I151" s="172">
        <v>915</v>
      </c>
      <c r="J151" s="172">
        <v>557</v>
      </c>
      <c r="L151" s="38">
        <f t="shared" si="11"/>
        <v>1372.3230000000001</v>
      </c>
      <c r="M151" s="37">
        <f t="shared" si="12"/>
        <v>0.99976463267029692</v>
      </c>
      <c r="N151" s="38">
        <f t="shared" si="13"/>
        <v>834.9</v>
      </c>
      <c r="O151" s="37">
        <f t="shared" si="14"/>
        <v>1.0001197748233321</v>
      </c>
      <c r="Q151" s="39">
        <f t="shared" si="15"/>
        <v>1.4991023339317773</v>
      </c>
    </row>
    <row r="152" spans="2:17" x14ac:dyDescent="0.3">
      <c r="B152" s="172">
        <v>74</v>
      </c>
      <c r="C152" s="172">
        <v>2217</v>
      </c>
      <c r="D152" s="172">
        <v>1530</v>
      </c>
      <c r="E152" s="173">
        <v>0.61899999999999999</v>
      </c>
      <c r="F152" s="173">
        <v>0.75900000000000001</v>
      </c>
      <c r="G152" s="172">
        <v>1372</v>
      </c>
      <c r="H152" s="172">
        <v>1161</v>
      </c>
      <c r="I152" s="172">
        <v>915</v>
      </c>
      <c r="J152" s="172">
        <v>774</v>
      </c>
      <c r="L152" s="38">
        <f t="shared" si="11"/>
        <v>1372.3230000000001</v>
      </c>
      <c r="M152" s="37">
        <f t="shared" si="12"/>
        <v>0.99976463267029692</v>
      </c>
      <c r="N152" s="38">
        <f t="shared" si="13"/>
        <v>1161.27</v>
      </c>
      <c r="O152" s="37">
        <f>H152/N152</f>
        <v>0.99976749593117886</v>
      </c>
      <c r="Q152" s="39">
        <f t="shared" si="15"/>
        <v>1.5</v>
      </c>
    </row>
    <row r="153" spans="2:17" x14ac:dyDescent="0.3">
      <c r="B153" s="172">
        <v>75</v>
      </c>
      <c r="C153" s="172">
        <v>2217</v>
      </c>
      <c r="D153" s="172">
        <v>1300</v>
      </c>
      <c r="E153" s="173">
        <v>0.61899999999999999</v>
      </c>
      <c r="F153" s="173">
        <v>0.75900000000000001</v>
      </c>
      <c r="G153" s="172">
        <v>1372</v>
      </c>
      <c r="H153" s="172">
        <v>987</v>
      </c>
      <c r="I153" s="172">
        <v>915</v>
      </c>
      <c r="J153" s="172">
        <v>658</v>
      </c>
      <c r="L153" s="38">
        <f t="shared" si="11"/>
        <v>1372.3230000000001</v>
      </c>
      <c r="M153" s="37">
        <f t="shared" si="12"/>
        <v>0.99976463267029692</v>
      </c>
      <c r="N153" s="38">
        <f t="shared" si="13"/>
        <v>986.7</v>
      </c>
      <c r="O153" s="37">
        <f t="shared" si="14"/>
        <v>1.0003040437823045</v>
      </c>
      <c r="Q153" s="39">
        <f t="shared" si="15"/>
        <v>1.5</v>
      </c>
    </row>
    <row r="154" spans="2:17" x14ac:dyDescent="0.3">
      <c r="B154" s="172">
        <v>76</v>
      </c>
      <c r="C154" s="172">
        <v>2220</v>
      </c>
      <c r="D154" s="172">
        <v>1573</v>
      </c>
      <c r="E154" s="173">
        <v>0.61899999999999999</v>
      </c>
      <c r="F154" s="173">
        <v>0.75900000000000001</v>
      </c>
      <c r="G154" s="172">
        <v>1374</v>
      </c>
      <c r="H154" s="172">
        <v>1194</v>
      </c>
      <c r="I154" s="172">
        <v>916</v>
      </c>
      <c r="J154" s="172">
        <v>796</v>
      </c>
      <c r="L154" s="38">
        <f t="shared" si="11"/>
        <v>1374.18</v>
      </c>
      <c r="M154" s="37">
        <f t="shared" si="12"/>
        <v>0.99986901279308382</v>
      </c>
      <c r="N154" s="38">
        <f t="shared" si="13"/>
        <v>1193.9069999999999</v>
      </c>
      <c r="O154" s="37">
        <f t="shared" si="14"/>
        <v>1.0000778955144749</v>
      </c>
      <c r="Q154" s="39">
        <f t="shared" si="15"/>
        <v>1.5</v>
      </c>
    </row>
    <row r="155" spans="2:17" x14ac:dyDescent="0.3">
      <c r="B155" s="172">
        <v>77</v>
      </c>
      <c r="C155" s="172">
        <v>2210</v>
      </c>
      <c r="D155" s="172">
        <v>1573</v>
      </c>
      <c r="E155" s="173">
        <v>0.61899999999999999</v>
      </c>
      <c r="F155" s="173">
        <v>0.75900000000000001</v>
      </c>
      <c r="G155" s="172">
        <v>1368</v>
      </c>
      <c r="H155" s="172">
        <v>1194</v>
      </c>
      <c r="I155" s="172">
        <v>912</v>
      </c>
      <c r="J155" s="172">
        <v>796</v>
      </c>
      <c r="L155" s="38">
        <f t="shared" si="11"/>
        <v>1367.99</v>
      </c>
      <c r="M155" s="37">
        <f t="shared" si="12"/>
        <v>1.000007309994956</v>
      </c>
      <c r="N155" s="38">
        <f t="shared" si="13"/>
        <v>1193.9069999999999</v>
      </c>
      <c r="O155" s="37">
        <f t="shared" si="14"/>
        <v>1.0000778955144749</v>
      </c>
      <c r="Q155" s="39">
        <f t="shared" si="15"/>
        <v>1.5</v>
      </c>
    </row>
    <row r="156" spans="2:17" x14ac:dyDescent="0.3">
      <c r="B156" s="172">
        <v>78</v>
      </c>
      <c r="C156" s="172">
        <v>3400</v>
      </c>
      <c r="D156" s="172">
        <v>1573</v>
      </c>
      <c r="E156" s="173">
        <v>0.434</v>
      </c>
      <c r="F156" s="173">
        <v>0.72</v>
      </c>
      <c r="G156" s="172">
        <v>2105</v>
      </c>
      <c r="H156" s="172">
        <v>1133</v>
      </c>
      <c r="I156" s="172">
        <v>1403</v>
      </c>
      <c r="J156" s="172">
        <v>755</v>
      </c>
      <c r="L156" s="38">
        <f t="shared" si="11"/>
        <v>1475.6</v>
      </c>
      <c r="M156" s="37">
        <f t="shared" si="12"/>
        <v>1.4265383572783954</v>
      </c>
      <c r="N156" s="38">
        <f t="shared" si="13"/>
        <v>1132.56</v>
      </c>
      <c r="O156" s="37">
        <f t="shared" si="14"/>
        <v>1.0003885003885005</v>
      </c>
      <c r="Q156" s="39">
        <f t="shared" si="15"/>
        <v>1.5006622516556292</v>
      </c>
    </row>
  </sheetData>
  <mergeCells count="4">
    <mergeCell ref="C77:D77"/>
    <mergeCell ref="E77:F77"/>
    <mergeCell ref="G77:H77"/>
    <mergeCell ref="I77:J77"/>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D063-83D6-43A1-A371-FDC632C49FB9}">
  <dimension ref="B2:K35"/>
  <sheetViews>
    <sheetView workbookViewId="0"/>
  </sheetViews>
  <sheetFormatPr defaultRowHeight="14.4" x14ac:dyDescent="0.3"/>
  <cols>
    <col min="3" max="3" width="10.77734375" bestFit="1" customWidth="1"/>
  </cols>
  <sheetData>
    <row r="2" spans="2:11" x14ac:dyDescent="0.3">
      <c r="B2" s="14" t="s">
        <v>1787</v>
      </c>
    </row>
    <row r="3" spans="2:11" x14ac:dyDescent="0.3">
      <c r="B3" t="s">
        <v>1140</v>
      </c>
    </row>
    <row r="4" spans="2:11" x14ac:dyDescent="0.3">
      <c r="B4" s="83" t="s">
        <v>1152</v>
      </c>
    </row>
    <row r="6" spans="2:11" x14ac:dyDescent="0.3">
      <c r="B6" t="s">
        <v>287</v>
      </c>
      <c r="C6" t="s">
        <v>1141</v>
      </c>
    </row>
    <row r="7" spans="2:11" x14ac:dyDescent="0.3">
      <c r="B7" t="s">
        <v>738</v>
      </c>
      <c r="D7">
        <v>1</v>
      </c>
      <c r="E7">
        <v>2</v>
      </c>
      <c r="F7">
        <v>3</v>
      </c>
      <c r="G7">
        <v>4</v>
      </c>
      <c r="H7">
        <v>5</v>
      </c>
      <c r="I7">
        <v>6</v>
      </c>
      <c r="J7">
        <v>7</v>
      </c>
      <c r="K7" t="s">
        <v>827</v>
      </c>
    </row>
    <row r="8" spans="2:11" x14ac:dyDescent="0.3">
      <c r="B8" t="s">
        <v>159</v>
      </c>
      <c r="C8" t="s">
        <v>566</v>
      </c>
      <c r="D8">
        <v>0</v>
      </c>
      <c r="E8">
        <v>10</v>
      </c>
      <c r="F8">
        <v>20</v>
      </c>
      <c r="G8">
        <v>32</v>
      </c>
      <c r="H8">
        <v>37</v>
      </c>
      <c r="I8">
        <v>42</v>
      </c>
      <c r="J8">
        <v>54</v>
      </c>
      <c r="K8">
        <v>75</v>
      </c>
    </row>
    <row r="9" spans="2:11" x14ac:dyDescent="0.3">
      <c r="B9" t="s">
        <v>33</v>
      </c>
      <c r="C9" t="s">
        <v>361</v>
      </c>
      <c r="D9">
        <v>1</v>
      </c>
      <c r="E9">
        <v>2</v>
      </c>
      <c r="F9">
        <v>3</v>
      </c>
      <c r="G9">
        <v>4</v>
      </c>
      <c r="H9">
        <v>5</v>
      </c>
      <c r="I9">
        <v>2.5</v>
      </c>
      <c r="J9">
        <v>2.5</v>
      </c>
    </row>
    <row r="10" spans="2:11" x14ac:dyDescent="0.3">
      <c r="B10" t="s">
        <v>344</v>
      </c>
      <c r="C10" t="s">
        <v>347</v>
      </c>
      <c r="D10">
        <v>48</v>
      </c>
      <c r="E10">
        <v>48</v>
      </c>
      <c r="F10" t="s">
        <v>1142</v>
      </c>
      <c r="G10">
        <v>112</v>
      </c>
      <c r="H10">
        <v>136</v>
      </c>
    </row>
    <row r="11" spans="2:11" x14ac:dyDescent="0.3">
      <c r="B11" t="s">
        <v>1143</v>
      </c>
      <c r="D11" t="s">
        <v>1144</v>
      </c>
      <c r="E11" t="s">
        <v>1144</v>
      </c>
      <c r="F11" t="s">
        <v>1144</v>
      </c>
      <c r="G11" t="s">
        <v>1144</v>
      </c>
      <c r="H11" t="s">
        <v>1144</v>
      </c>
      <c r="I11" t="s">
        <v>1145</v>
      </c>
      <c r="J11" t="s">
        <v>1146</v>
      </c>
    </row>
    <row r="12" spans="2:11" x14ac:dyDescent="0.3">
      <c r="B12" t="s">
        <v>1147</v>
      </c>
      <c r="C12" t="s">
        <v>834</v>
      </c>
      <c r="D12">
        <v>0.13</v>
      </c>
      <c r="E12">
        <v>0.23</v>
      </c>
      <c r="F12">
        <v>0.35</v>
      </c>
      <c r="G12">
        <v>0.46</v>
      </c>
      <c r="H12">
        <v>0.57999999999999996</v>
      </c>
      <c r="I12">
        <v>0.63</v>
      </c>
    </row>
    <row r="13" spans="2:11" x14ac:dyDescent="0.3">
      <c r="B13" t="s">
        <v>1148</v>
      </c>
      <c r="C13" t="s">
        <v>708</v>
      </c>
      <c r="D13">
        <v>2.04</v>
      </c>
      <c r="E13">
        <v>3.84</v>
      </c>
      <c r="F13">
        <v>5.8</v>
      </c>
      <c r="G13">
        <v>7.68</v>
      </c>
      <c r="H13">
        <v>9.64</v>
      </c>
      <c r="I13">
        <v>7.84</v>
      </c>
      <c r="J13">
        <v>8.1300000000000008</v>
      </c>
    </row>
    <row r="14" spans="2:11" x14ac:dyDescent="0.3">
      <c r="B14" t="s">
        <v>1149</v>
      </c>
      <c r="C14" t="s">
        <v>302</v>
      </c>
      <c r="D14">
        <v>94.9</v>
      </c>
      <c r="E14">
        <v>89.7</v>
      </c>
      <c r="F14">
        <v>85.6</v>
      </c>
      <c r="G14">
        <v>83.9</v>
      </c>
      <c r="H14">
        <v>80.8</v>
      </c>
    </row>
    <row r="15" spans="2:11" x14ac:dyDescent="0.3">
      <c r="B15" t="s">
        <v>1150</v>
      </c>
      <c r="C15" t="s">
        <v>302</v>
      </c>
      <c r="D15">
        <v>95.9</v>
      </c>
      <c r="E15">
        <v>98.8</v>
      </c>
      <c r="F15">
        <v>96.9</v>
      </c>
      <c r="G15">
        <v>98.1</v>
      </c>
      <c r="H15">
        <v>97</v>
      </c>
    </row>
    <row r="16" spans="2:11" x14ac:dyDescent="0.3">
      <c r="B16" t="s">
        <v>3</v>
      </c>
      <c r="C16" t="s">
        <v>302</v>
      </c>
      <c r="D16">
        <v>94.9</v>
      </c>
      <c r="E16">
        <v>93</v>
      </c>
      <c r="F16">
        <v>92.9</v>
      </c>
      <c r="G16">
        <v>92.7</v>
      </c>
      <c r="H16">
        <v>92.9</v>
      </c>
      <c r="I16">
        <v>92.8</v>
      </c>
      <c r="J16">
        <v>92.2</v>
      </c>
    </row>
    <row r="19" spans="2:10" x14ac:dyDescent="0.3">
      <c r="B19" s="40" t="s">
        <v>359</v>
      </c>
      <c r="C19" s="12"/>
    </row>
    <row r="20" spans="2:10" x14ac:dyDescent="0.3">
      <c r="B20" s="12" t="s">
        <v>1795</v>
      </c>
      <c r="C20" s="12"/>
      <c r="D20">
        <v>1</v>
      </c>
      <c r="E20">
        <v>2</v>
      </c>
      <c r="F20">
        <v>3</v>
      </c>
      <c r="G20">
        <v>4</v>
      </c>
      <c r="H20">
        <v>5</v>
      </c>
      <c r="I20">
        <v>6</v>
      </c>
      <c r="J20">
        <v>7</v>
      </c>
    </row>
    <row r="21" spans="2:10" s="133" customFormat="1" x14ac:dyDescent="0.3">
      <c r="B21" s="103" t="s">
        <v>1791</v>
      </c>
      <c r="C21" s="103"/>
    </row>
    <row r="22" spans="2:10" x14ac:dyDescent="0.3">
      <c r="B22" s="12" t="s">
        <v>33</v>
      </c>
      <c r="C22" t="s">
        <v>361</v>
      </c>
      <c r="D22">
        <f>D9</f>
        <v>1</v>
      </c>
      <c r="E22">
        <f t="shared" ref="E22:J22" si="0">E9</f>
        <v>2</v>
      </c>
      <c r="F22">
        <f t="shared" si="0"/>
        <v>3</v>
      </c>
      <c r="G22">
        <f t="shared" si="0"/>
        <v>4</v>
      </c>
      <c r="H22">
        <f t="shared" si="0"/>
        <v>5</v>
      </c>
      <c r="I22">
        <f t="shared" si="0"/>
        <v>2.5</v>
      </c>
      <c r="J22">
        <f t="shared" si="0"/>
        <v>2.5</v>
      </c>
    </row>
    <row r="23" spans="2:10" x14ac:dyDescent="0.3">
      <c r="B23" s="12" t="s">
        <v>26</v>
      </c>
      <c r="C23" s="12" t="s">
        <v>25</v>
      </c>
      <c r="D23" t="s">
        <v>1151</v>
      </c>
      <c r="E23" t="s">
        <v>1151</v>
      </c>
      <c r="F23" t="s">
        <v>1151</v>
      </c>
      <c r="G23" t="s">
        <v>1151</v>
      </c>
      <c r="H23" t="s">
        <v>1151</v>
      </c>
      <c r="I23" t="s">
        <v>1151</v>
      </c>
      <c r="J23" t="s">
        <v>1151</v>
      </c>
    </row>
    <row r="24" spans="2:10" x14ac:dyDescent="0.3">
      <c r="B24" s="12" t="s">
        <v>351</v>
      </c>
      <c r="C24" s="12" t="s">
        <v>377</v>
      </c>
    </row>
    <row r="25" spans="2:10" x14ac:dyDescent="0.3">
      <c r="B25" s="12" t="s">
        <v>352</v>
      </c>
      <c r="C25" s="12" t="s">
        <v>377</v>
      </c>
    </row>
    <row r="26" spans="2:10" x14ac:dyDescent="0.3">
      <c r="B26" s="12" t="s">
        <v>383</v>
      </c>
      <c r="C26" s="12" t="s">
        <v>92</v>
      </c>
    </row>
    <row r="27" spans="2:10" x14ac:dyDescent="0.3">
      <c r="B27" s="12" t="s">
        <v>293</v>
      </c>
      <c r="C27" s="12" t="s">
        <v>338</v>
      </c>
    </row>
    <row r="28" spans="2:10" x14ac:dyDescent="0.3">
      <c r="B28" s="12" t="s">
        <v>402</v>
      </c>
      <c r="C28" s="12" t="s">
        <v>338</v>
      </c>
    </row>
    <row r="29" spans="2:10" x14ac:dyDescent="0.3">
      <c r="B29" t="s">
        <v>3</v>
      </c>
      <c r="C29" t="s">
        <v>302</v>
      </c>
    </row>
    <row r="30" spans="2:10" x14ac:dyDescent="0.3">
      <c r="B30" t="s">
        <v>277</v>
      </c>
      <c r="C30" t="s">
        <v>302</v>
      </c>
    </row>
    <row r="31" spans="2:10" x14ac:dyDescent="0.3">
      <c r="B31" t="s">
        <v>13</v>
      </c>
      <c r="C31" t="s">
        <v>302</v>
      </c>
    </row>
    <row r="32" spans="2:10" x14ac:dyDescent="0.3">
      <c r="B32" s="12" t="s">
        <v>35</v>
      </c>
      <c r="C32" s="12"/>
    </row>
    <row r="33" spans="2:3" x14ac:dyDescent="0.3">
      <c r="B33" s="12" t="s">
        <v>52</v>
      </c>
      <c r="C33" s="12" t="s">
        <v>621</v>
      </c>
    </row>
    <row r="34" spans="2:3" x14ac:dyDescent="0.3">
      <c r="B34" s="12" t="s">
        <v>558</v>
      </c>
      <c r="C34" s="12" t="s">
        <v>621</v>
      </c>
    </row>
    <row r="35" spans="2:3" x14ac:dyDescent="0.3">
      <c r="B35" s="12" t="s">
        <v>757</v>
      </c>
      <c r="C35" s="12" t="s">
        <v>758</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3DC1-9880-4FBD-B32B-EEDB73A89CE0}">
  <dimension ref="B2:I20"/>
  <sheetViews>
    <sheetView zoomScaleNormal="100" workbookViewId="0"/>
  </sheetViews>
  <sheetFormatPr defaultRowHeight="14.4" x14ac:dyDescent="0.3"/>
  <sheetData>
    <row r="2" spans="2:9" x14ac:dyDescent="0.3">
      <c r="B2" s="14" t="s">
        <v>1788</v>
      </c>
    </row>
    <row r="3" spans="2:9" x14ac:dyDescent="0.3">
      <c r="B3" t="s">
        <v>686</v>
      </c>
    </row>
    <row r="4" spans="2:9" x14ac:dyDescent="0.3">
      <c r="B4" t="s">
        <v>687</v>
      </c>
    </row>
    <row r="7" spans="2:9" x14ac:dyDescent="0.3">
      <c r="B7" t="s">
        <v>691</v>
      </c>
    </row>
    <row r="8" spans="2:9" x14ac:dyDescent="0.3">
      <c r="C8" t="s">
        <v>688</v>
      </c>
      <c r="E8">
        <v>0</v>
      </c>
      <c r="F8">
        <v>0</v>
      </c>
      <c r="G8">
        <v>0.25</v>
      </c>
      <c r="H8">
        <v>0.5</v>
      </c>
      <c r="I8">
        <v>1</v>
      </c>
    </row>
    <row r="9" spans="2:9" x14ac:dyDescent="0.3">
      <c r="B9" t="s">
        <v>485</v>
      </c>
      <c r="C9" t="s">
        <v>689</v>
      </c>
      <c r="D9" t="s">
        <v>693</v>
      </c>
      <c r="E9">
        <v>1</v>
      </c>
      <c r="F9">
        <v>7</v>
      </c>
      <c r="G9" s="66">
        <v>7</v>
      </c>
      <c r="H9" s="66">
        <v>7</v>
      </c>
      <c r="I9" s="66">
        <v>7</v>
      </c>
    </row>
    <row r="10" spans="2:9" x14ac:dyDescent="0.3">
      <c r="C10" t="s">
        <v>690</v>
      </c>
      <c r="E10">
        <v>8.01</v>
      </c>
      <c r="F10">
        <v>7.95</v>
      </c>
      <c r="G10">
        <v>7.95</v>
      </c>
      <c r="H10">
        <v>7.95</v>
      </c>
      <c r="I10">
        <v>7.95</v>
      </c>
    </row>
    <row r="11" spans="2:9" x14ac:dyDescent="0.3">
      <c r="C11" t="s">
        <v>692</v>
      </c>
      <c r="D11" t="s">
        <v>47</v>
      </c>
      <c r="E11">
        <v>12.7</v>
      </c>
      <c r="F11">
        <v>89.2</v>
      </c>
      <c r="G11">
        <v>89.2</v>
      </c>
      <c r="H11">
        <v>89.2</v>
      </c>
      <c r="I11">
        <v>89.2</v>
      </c>
    </row>
    <row r="12" spans="2:9" x14ac:dyDescent="0.3">
      <c r="B12" t="s">
        <v>486</v>
      </c>
      <c r="C12" t="s">
        <v>689</v>
      </c>
      <c r="D12" t="s">
        <v>693</v>
      </c>
      <c r="E12">
        <v>1</v>
      </c>
      <c r="F12">
        <v>7</v>
      </c>
      <c r="G12" s="66">
        <v>7</v>
      </c>
      <c r="H12" s="66">
        <v>7</v>
      </c>
      <c r="I12" s="66">
        <v>7</v>
      </c>
    </row>
    <row r="13" spans="2:9" x14ac:dyDescent="0.3">
      <c r="C13" t="s">
        <v>690</v>
      </c>
      <c r="E13">
        <v>8.0500000000000007</v>
      </c>
      <c r="F13">
        <v>7.97</v>
      </c>
      <c r="G13">
        <v>7.97</v>
      </c>
      <c r="H13">
        <v>7.97</v>
      </c>
      <c r="I13">
        <v>7.97</v>
      </c>
    </row>
    <row r="14" spans="2:9" x14ac:dyDescent="0.3">
      <c r="C14" t="s">
        <v>692</v>
      </c>
      <c r="D14" t="s">
        <v>47</v>
      </c>
      <c r="E14">
        <v>37.6</v>
      </c>
      <c r="F14">
        <v>263.39999999999998</v>
      </c>
      <c r="G14">
        <v>263.39999999999998</v>
      </c>
      <c r="H14">
        <v>263.39999999999998</v>
      </c>
      <c r="I14">
        <v>263.39999999999998</v>
      </c>
    </row>
    <row r="16" spans="2:9" x14ac:dyDescent="0.3">
      <c r="B16" t="s">
        <v>307</v>
      </c>
      <c r="C16" t="s">
        <v>688</v>
      </c>
      <c r="E16">
        <v>0</v>
      </c>
      <c r="F16">
        <v>0</v>
      </c>
      <c r="G16">
        <v>0.25</v>
      </c>
      <c r="H16">
        <v>0.5</v>
      </c>
      <c r="I16">
        <v>1</v>
      </c>
    </row>
    <row r="17" spans="2:9" x14ac:dyDescent="0.3">
      <c r="B17" t="s">
        <v>485</v>
      </c>
      <c r="C17" t="s">
        <v>351</v>
      </c>
      <c r="D17" t="s">
        <v>303</v>
      </c>
      <c r="E17" s="8">
        <v>253.5</v>
      </c>
      <c r="F17" s="8">
        <v>88.8</v>
      </c>
      <c r="G17" s="8">
        <v>163.4</v>
      </c>
      <c r="H17" s="8">
        <v>181</v>
      </c>
      <c r="I17" s="8">
        <v>153.80000000000001</v>
      </c>
    </row>
    <row r="18" spans="2:9" x14ac:dyDescent="0.3">
      <c r="C18" t="s">
        <v>277</v>
      </c>
      <c r="D18" t="s">
        <v>302</v>
      </c>
      <c r="E18" s="8">
        <v>29.7</v>
      </c>
      <c r="F18" s="8">
        <v>38.1</v>
      </c>
      <c r="G18" s="8">
        <v>29.9</v>
      </c>
      <c r="H18" s="8">
        <v>22.4</v>
      </c>
      <c r="I18" s="8">
        <v>23</v>
      </c>
    </row>
    <row r="19" spans="2:9" x14ac:dyDescent="0.3">
      <c r="B19" t="s">
        <v>486</v>
      </c>
      <c r="C19" t="s">
        <v>351</v>
      </c>
      <c r="D19" t="s">
        <v>303</v>
      </c>
      <c r="E19" s="8">
        <v>239.8</v>
      </c>
      <c r="F19" s="8">
        <v>133.80000000000001</v>
      </c>
      <c r="G19" s="8">
        <v>202.9</v>
      </c>
      <c r="H19" s="8">
        <v>229.5</v>
      </c>
      <c r="I19" s="8">
        <v>209.6</v>
      </c>
    </row>
    <row r="20" spans="2:9" x14ac:dyDescent="0.3">
      <c r="C20" t="s">
        <v>277</v>
      </c>
      <c r="D20" t="s">
        <v>302</v>
      </c>
      <c r="E20" s="8">
        <v>30.5</v>
      </c>
      <c r="F20" s="8">
        <v>40</v>
      </c>
      <c r="G20" s="8">
        <v>28.6</v>
      </c>
      <c r="H20" s="8">
        <v>25</v>
      </c>
      <c r="I20" s="8">
        <v>19.8</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DF34-12D9-4F82-A3B4-3370BE9E73C6}">
  <dimension ref="A1:S35"/>
  <sheetViews>
    <sheetView zoomScaleNormal="100" workbookViewId="0"/>
  </sheetViews>
  <sheetFormatPr defaultRowHeight="14.4" x14ac:dyDescent="0.3"/>
  <cols>
    <col min="1" max="1" width="8.88671875" style="133"/>
    <col min="2" max="2" width="18.6640625" bestFit="1" customWidth="1"/>
    <col min="3" max="3" width="17.6640625" bestFit="1" customWidth="1"/>
    <col min="4" max="4" width="3" bestFit="1" customWidth="1"/>
    <col min="5" max="5" width="9.109375" customWidth="1"/>
    <col min="6" max="6" width="11.77734375" customWidth="1"/>
    <col min="7" max="7" width="13.109375" customWidth="1"/>
    <col min="8" max="9" width="8.21875" bestFit="1" customWidth="1"/>
    <col min="10" max="10" width="12.77734375" bestFit="1" customWidth="1"/>
  </cols>
  <sheetData>
    <row r="1" spans="2:12" s="133" customFormat="1" x14ac:dyDescent="0.3"/>
    <row r="2" spans="2:12" x14ac:dyDescent="0.3">
      <c r="B2" s="102" t="s">
        <v>2323</v>
      </c>
      <c r="C2" s="133"/>
      <c r="D2" s="133"/>
      <c r="E2" s="133"/>
      <c r="F2" s="133"/>
      <c r="G2" s="133"/>
      <c r="H2" s="133"/>
      <c r="I2" s="133"/>
      <c r="J2" s="133"/>
    </row>
    <row r="3" spans="2:12" x14ac:dyDescent="0.3">
      <c r="B3" s="133"/>
      <c r="C3" s="133"/>
      <c r="D3" s="133"/>
      <c r="E3" s="133"/>
      <c r="F3" s="133"/>
      <c r="G3" s="133"/>
      <c r="H3" s="133"/>
      <c r="I3" s="133"/>
      <c r="J3" s="133"/>
    </row>
    <row r="4" spans="2:12" s="133" customFormat="1" x14ac:dyDescent="0.3">
      <c r="C4" s="102" t="s">
        <v>2322</v>
      </c>
      <c r="D4" s="102"/>
    </row>
    <row r="5" spans="2:12" s="133" customFormat="1" x14ac:dyDescent="0.3">
      <c r="C5" s="133" t="s">
        <v>667</v>
      </c>
      <c r="D5" s="133">
        <v>37</v>
      </c>
      <c r="E5" s="134">
        <f>0.09018+2729.92/(273.15+D5)</f>
        <v>8.8921145477994532</v>
      </c>
      <c r="F5" s="133" t="s">
        <v>2022</v>
      </c>
    </row>
    <row r="6" spans="2:12" s="133" customFormat="1" x14ac:dyDescent="0.3"/>
    <row r="7" spans="2:12" s="109" customFormat="1" ht="28.8" x14ac:dyDescent="0.3">
      <c r="E7" s="493" t="s">
        <v>2018</v>
      </c>
      <c r="F7" s="493" t="s">
        <v>2023</v>
      </c>
      <c r="G7" s="493" t="s">
        <v>37</v>
      </c>
      <c r="H7" s="493" t="s">
        <v>2024</v>
      </c>
      <c r="I7" s="493" t="s">
        <v>218</v>
      </c>
      <c r="J7" s="492" t="s">
        <v>1469</v>
      </c>
    </row>
    <row r="8" spans="2:12" s="133" customFormat="1" x14ac:dyDescent="0.3">
      <c r="C8" s="133" t="s">
        <v>35</v>
      </c>
      <c r="E8" s="198">
        <f>E18</f>
        <v>7.5</v>
      </c>
      <c r="F8" s="198">
        <f t="shared" ref="F8" si="0">F18</f>
        <v>7.5</v>
      </c>
      <c r="G8" s="198">
        <v>7.9</v>
      </c>
      <c r="H8" s="198">
        <f>H18</f>
        <v>7.5</v>
      </c>
      <c r="I8" s="198">
        <f>I18</f>
        <v>7.5</v>
      </c>
      <c r="J8" s="53">
        <f>J18</f>
        <v>7.3</v>
      </c>
    </row>
    <row r="9" spans="2:12" s="133" customFormat="1" x14ac:dyDescent="0.3">
      <c r="C9" s="133" t="s">
        <v>36</v>
      </c>
      <c r="E9" s="134">
        <f>1-E17/100</f>
        <v>0.4</v>
      </c>
      <c r="F9" s="134">
        <f t="shared" ref="F9:G9" si="1">1-F17/100</f>
        <v>0.44999999999999996</v>
      </c>
      <c r="G9" s="134">
        <f t="shared" si="1"/>
        <v>0.44999999999999996</v>
      </c>
      <c r="H9" s="13">
        <f>1-H17/100</f>
        <v>0.44999999999999996</v>
      </c>
      <c r="I9" s="134">
        <f>1-I17/100</f>
        <v>0.35</v>
      </c>
      <c r="J9" s="46">
        <f>1-J17/100</f>
        <v>0.75</v>
      </c>
    </row>
    <row r="10" spans="2:12" s="133" customFormat="1" x14ac:dyDescent="0.3">
      <c r="C10" s="6" t="s">
        <v>42</v>
      </c>
      <c r="D10" s="6"/>
      <c r="E10" s="7">
        <f t="shared" ref="E10:J10" si="2">(POWER(10,-E8))^2/((POWER(10,-$E5)+POWER(10,-E8))*E9)</f>
        <v>7.5976828754135275E-8</v>
      </c>
      <c r="F10" s="7">
        <f t="shared" si="2"/>
        <v>6.7534958892564696E-8</v>
      </c>
      <c r="G10" s="7">
        <f t="shared" si="2"/>
        <v>2.5390543426371811E-8</v>
      </c>
      <c r="H10" s="7">
        <f t="shared" si="2"/>
        <v>6.7534958892564696E-8</v>
      </c>
      <c r="I10" s="7">
        <f t="shared" si="2"/>
        <v>8.6830661433297474E-8</v>
      </c>
      <c r="J10" s="45">
        <f t="shared" si="2"/>
        <v>6.5158273745193823E-8</v>
      </c>
    </row>
    <row r="11" spans="2:12" s="133" customFormat="1" x14ac:dyDescent="0.3">
      <c r="C11" s="133" t="s">
        <v>39</v>
      </c>
      <c r="E11" s="10">
        <f t="shared" ref="E11:J11" si="3">(((10^(-E13))^2)/(10^(-$E5)+10^(-E13)))/E10</f>
        <v>6.9021989646969539E-2</v>
      </c>
      <c r="F11" s="10">
        <f t="shared" si="3"/>
        <v>7.7649738352840725E-2</v>
      </c>
      <c r="G11" s="10">
        <f t="shared" si="3"/>
        <v>0.206536417894497</v>
      </c>
      <c r="H11" s="10">
        <f t="shared" si="3"/>
        <v>7.7649738352840725E-2</v>
      </c>
      <c r="I11" s="10">
        <f t="shared" si="3"/>
        <v>0.10208010020791682</v>
      </c>
      <c r="J11" s="79">
        <f t="shared" si="3"/>
        <v>1.3446834733299225E-2</v>
      </c>
    </row>
    <row r="12" spans="2:12" s="133" customFormat="1" x14ac:dyDescent="0.3">
      <c r="C12" s="133" t="s">
        <v>38</v>
      </c>
      <c r="E12" s="199">
        <f t="shared" ref="E12:J12" si="4">-LOG((E10*E11+SQRT((E10*E11)^2+4*POWER(10,-$E5)*E10*E11))/2)</f>
        <v>8.1999999999999993</v>
      </c>
      <c r="F12" s="199">
        <f t="shared" si="4"/>
        <v>8.1999999999999993</v>
      </c>
      <c r="G12" s="199">
        <f t="shared" si="4"/>
        <v>8.1999999999999993</v>
      </c>
      <c r="H12" s="199">
        <f t="shared" si="4"/>
        <v>8.1999999999999993</v>
      </c>
      <c r="I12" s="199">
        <f t="shared" si="4"/>
        <v>8</v>
      </c>
      <c r="J12" s="79">
        <f t="shared" si="4"/>
        <v>8.8000000000000025</v>
      </c>
      <c r="L12" s="24" t="s">
        <v>2043</v>
      </c>
    </row>
    <row r="13" spans="2:12" s="133" customFormat="1" x14ac:dyDescent="0.3">
      <c r="C13" s="133" t="s">
        <v>2042</v>
      </c>
      <c r="E13" s="198">
        <v>8.1999999999999993</v>
      </c>
      <c r="F13" s="198">
        <v>8.1999999999999993</v>
      </c>
      <c r="G13" s="133">
        <v>8.1999999999999993</v>
      </c>
      <c r="H13" s="133">
        <v>8.1999999999999993</v>
      </c>
      <c r="I13" s="133">
        <v>8</v>
      </c>
      <c r="J13" s="24">
        <v>8.8000000000000007</v>
      </c>
    </row>
    <row r="14" spans="2:12" x14ac:dyDescent="0.3">
      <c r="J14" s="133"/>
    </row>
    <row r="15" spans="2:12" ht="28.8" x14ac:dyDescent="0.3">
      <c r="B15" s="133" t="s">
        <v>1311</v>
      </c>
      <c r="C15" s="133"/>
      <c r="E15" s="491" t="s">
        <v>2018</v>
      </c>
      <c r="F15" s="491" t="s">
        <v>2019</v>
      </c>
      <c r="G15" s="491" t="s">
        <v>2020</v>
      </c>
      <c r="H15" s="491" t="s">
        <v>223</v>
      </c>
      <c r="I15" s="491" t="s">
        <v>219</v>
      </c>
      <c r="J15" s="492" t="s">
        <v>2021</v>
      </c>
    </row>
    <row r="16" spans="2:12" x14ac:dyDescent="0.3">
      <c r="B16" s="133" t="s">
        <v>2025</v>
      </c>
      <c r="C16" s="133" t="s">
        <v>351</v>
      </c>
      <c r="D16" t="s">
        <v>2029</v>
      </c>
      <c r="E16" s="31">
        <v>0.19</v>
      </c>
      <c r="F16" s="31">
        <v>0.35</v>
      </c>
      <c r="G16" s="31">
        <v>0.45</v>
      </c>
      <c r="H16" s="31">
        <v>0.3</v>
      </c>
      <c r="I16" s="31">
        <v>0.26</v>
      </c>
      <c r="J16" s="24">
        <v>300</v>
      </c>
    </row>
    <row r="17" spans="2:14" x14ac:dyDescent="0.3">
      <c r="B17" s="133"/>
      <c r="C17" s="133" t="s">
        <v>3</v>
      </c>
      <c r="D17" t="s">
        <v>302</v>
      </c>
      <c r="E17" s="103">
        <v>60</v>
      </c>
      <c r="F17" s="103">
        <v>55</v>
      </c>
      <c r="G17" s="103">
        <v>55</v>
      </c>
      <c r="H17" s="103">
        <v>55</v>
      </c>
      <c r="I17" s="103">
        <v>65</v>
      </c>
      <c r="J17" s="24">
        <v>25</v>
      </c>
    </row>
    <row r="18" spans="2:14" x14ac:dyDescent="0.3">
      <c r="B18" s="133"/>
      <c r="C18" s="133" t="s">
        <v>35</v>
      </c>
      <c r="E18" s="41">
        <v>7.5</v>
      </c>
      <c r="F18" s="41">
        <v>7.5</v>
      </c>
      <c r="G18" s="41">
        <v>7.9</v>
      </c>
      <c r="H18" s="41">
        <v>7.5</v>
      </c>
      <c r="I18" s="41">
        <v>7.5</v>
      </c>
      <c r="J18" s="53">
        <v>7.3</v>
      </c>
    </row>
    <row r="19" spans="2:14" s="133" customFormat="1" x14ac:dyDescent="0.3">
      <c r="C19" s="6" t="s">
        <v>42</v>
      </c>
      <c r="E19" s="5">
        <f>E10</f>
        <v>7.5976828754135275E-8</v>
      </c>
      <c r="F19" s="5">
        <f t="shared" ref="F19:J19" si="5">F10</f>
        <v>6.7534958892564696E-8</v>
      </c>
      <c r="G19" s="5">
        <f t="shared" si="5"/>
        <v>2.5390543426371811E-8</v>
      </c>
      <c r="H19" s="5">
        <f t="shared" si="5"/>
        <v>6.7534958892564696E-8</v>
      </c>
      <c r="I19" s="5">
        <f t="shared" si="5"/>
        <v>8.6830661433297474E-8</v>
      </c>
      <c r="J19" s="45">
        <f t="shared" si="5"/>
        <v>6.5158273745193823E-8</v>
      </c>
    </row>
    <row r="20" spans="2:14" s="133" customFormat="1" x14ac:dyDescent="0.3">
      <c r="B20" s="133" t="s">
        <v>2026</v>
      </c>
      <c r="C20" s="133" t="s">
        <v>2030</v>
      </c>
      <c r="E20" s="41">
        <f>E13</f>
        <v>8.1999999999999993</v>
      </c>
      <c r="F20" s="41">
        <f t="shared" ref="F20:J20" si="6">F13</f>
        <v>8.1999999999999993</v>
      </c>
      <c r="G20" s="41">
        <f t="shared" si="6"/>
        <v>8.1999999999999993</v>
      </c>
      <c r="H20" s="41">
        <f t="shared" si="6"/>
        <v>8.1999999999999993</v>
      </c>
      <c r="I20" s="41">
        <f t="shared" si="6"/>
        <v>8</v>
      </c>
      <c r="J20" s="41">
        <f t="shared" si="6"/>
        <v>8.8000000000000007</v>
      </c>
    </row>
    <row r="21" spans="2:14" x14ac:dyDescent="0.3">
      <c r="C21" s="133" t="s">
        <v>2031</v>
      </c>
      <c r="D21" t="s">
        <v>302</v>
      </c>
      <c r="E21" s="32">
        <f t="shared" ref="E21:J21" si="7">100*(1-E11)</f>
        <v>93.09780103530305</v>
      </c>
      <c r="F21" s="32">
        <f t="shared" si="7"/>
        <v>92.235026164715933</v>
      </c>
      <c r="G21" s="32">
        <f t="shared" si="7"/>
        <v>79.346358210550292</v>
      </c>
      <c r="H21" s="32">
        <f t="shared" si="7"/>
        <v>92.235026164715933</v>
      </c>
      <c r="I21" s="32">
        <f t="shared" si="7"/>
        <v>89.791989979208324</v>
      </c>
      <c r="J21" s="182">
        <f t="shared" si="7"/>
        <v>98.655316526670077</v>
      </c>
    </row>
    <row r="22" spans="2:14" x14ac:dyDescent="0.3">
      <c r="C22" s="133" t="s">
        <v>2032</v>
      </c>
      <c r="D22" s="133" t="s">
        <v>2029</v>
      </c>
      <c r="E22" s="31">
        <f>E16*E21/E17</f>
        <v>0.29480970327845962</v>
      </c>
      <c r="F22" s="31">
        <f t="shared" ref="F22:J22" si="8">F16*F21/F17</f>
        <v>0.58695016650273768</v>
      </c>
      <c r="G22" s="31">
        <f t="shared" si="8"/>
        <v>0.64919747626813884</v>
      </c>
      <c r="H22" s="31">
        <f t="shared" si="8"/>
        <v>0.50310014271663239</v>
      </c>
      <c r="I22" s="31">
        <f t="shared" si="8"/>
        <v>0.35916795991683331</v>
      </c>
      <c r="J22" s="182">
        <f t="shared" si="8"/>
        <v>1183.863798320041</v>
      </c>
    </row>
    <row r="23" spans="2:14" x14ac:dyDescent="0.3">
      <c r="D23" s="133"/>
      <c r="E23" s="133"/>
      <c r="F23" s="133"/>
      <c r="G23" s="133"/>
      <c r="H23" s="133"/>
      <c r="I23" s="133"/>
      <c r="J23" s="133"/>
    </row>
    <row r="24" spans="2:14" s="133" customFormat="1" x14ac:dyDescent="0.3">
      <c r="E24" s="2"/>
    </row>
    <row r="27" spans="2:14" x14ac:dyDescent="0.3">
      <c r="E27" s="133" t="s">
        <v>1311</v>
      </c>
      <c r="F27" s="133" t="s">
        <v>2025</v>
      </c>
      <c r="G27" s="133"/>
      <c r="H27" s="133"/>
      <c r="I27" s="133"/>
      <c r="J27" s="133" t="s">
        <v>2026</v>
      </c>
      <c r="K27" s="133"/>
      <c r="L27" s="133"/>
    </row>
    <row r="28" spans="2:14" x14ac:dyDescent="0.3">
      <c r="E28" s="133"/>
      <c r="F28" s="133" t="s">
        <v>351</v>
      </c>
      <c r="G28" s="133" t="s">
        <v>3</v>
      </c>
      <c r="H28" s="133" t="s">
        <v>35</v>
      </c>
      <c r="I28" s="6" t="s">
        <v>42</v>
      </c>
      <c r="J28" s="133" t="s">
        <v>2030</v>
      </c>
      <c r="K28" s="133" t="s">
        <v>2031</v>
      </c>
      <c r="L28" s="133" t="s">
        <v>2032</v>
      </c>
    </row>
    <row r="29" spans="2:14" x14ac:dyDescent="0.3">
      <c r="E29" s="133"/>
      <c r="F29" s="133" t="s">
        <v>2029</v>
      </c>
      <c r="G29" s="133" t="s">
        <v>302</v>
      </c>
      <c r="H29" s="133"/>
      <c r="I29" s="133"/>
      <c r="J29" s="133"/>
      <c r="K29" s="133" t="s">
        <v>302</v>
      </c>
      <c r="L29" s="133" t="s">
        <v>2029</v>
      </c>
      <c r="N29" t="s">
        <v>353</v>
      </c>
    </row>
    <row r="30" spans="2:14" x14ac:dyDescent="0.3">
      <c r="E30" s="133" t="s">
        <v>2018</v>
      </c>
      <c r="F30" s="10">
        <v>0.19</v>
      </c>
      <c r="G30" s="133">
        <v>60</v>
      </c>
      <c r="H30" s="198">
        <v>7.5</v>
      </c>
      <c r="I30" s="2">
        <v>7.5976828754135275E-8</v>
      </c>
      <c r="J30" s="198">
        <v>8.1999999999999993</v>
      </c>
      <c r="K30" s="16">
        <v>93.09780103530305</v>
      </c>
      <c r="L30" s="10">
        <v>0.29480970327845962</v>
      </c>
      <c r="N30" s="59">
        <f>(K30-G30)/G30</f>
        <v>0.55163001725505079</v>
      </c>
    </row>
    <row r="31" spans="2:14" x14ac:dyDescent="0.3">
      <c r="E31" s="133" t="s">
        <v>2019</v>
      </c>
      <c r="F31" s="10">
        <v>0.35</v>
      </c>
      <c r="G31" s="133">
        <v>55</v>
      </c>
      <c r="H31" s="198">
        <v>7.5</v>
      </c>
      <c r="I31" s="2">
        <v>6.7534958892564696E-8</v>
      </c>
      <c r="J31" s="198">
        <v>8.1999999999999993</v>
      </c>
      <c r="K31" s="16">
        <v>92.235026164715933</v>
      </c>
      <c r="L31" s="10">
        <v>0.58695016650273768</v>
      </c>
      <c r="N31" s="59">
        <f t="shared" ref="N31:N34" si="9">(K31-G31)/G31</f>
        <v>0.67700047572210786</v>
      </c>
    </row>
    <row r="32" spans="2:14" x14ac:dyDescent="0.3">
      <c r="E32" s="133" t="s">
        <v>2020</v>
      </c>
      <c r="F32" s="10">
        <v>0.45</v>
      </c>
      <c r="G32" s="133">
        <v>55</v>
      </c>
      <c r="H32" s="198">
        <v>7.9</v>
      </c>
      <c r="I32" s="2">
        <v>2.5390543426371811E-8</v>
      </c>
      <c r="J32" s="198">
        <v>8.1999999999999993</v>
      </c>
      <c r="K32" s="16">
        <v>79.346358210550292</v>
      </c>
      <c r="L32" s="10">
        <v>0.64919747626813884</v>
      </c>
      <c r="N32" s="59">
        <f t="shared" si="9"/>
        <v>0.44266105837364167</v>
      </c>
    </row>
    <row r="33" spans="3:19" x14ac:dyDescent="0.3">
      <c r="E33" s="133" t="s">
        <v>223</v>
      </c>
      <c r="F33" s="10">
        <v>0.3</v>
      </c>
      <c r="G33" s="133">
        <v>55</v>
      </c>
      <c r="H33" s="198">
        <v>7.5</v>
      </c>
      <c r="I33" s="2">
        <v>6.7534958892564696E-8</v>
      </c>
      <c r="J33" s="198">
        <v>8.1999999999999993</v>
      </c>
      <c r="K33" s="16">
        <v>92.235026164715933</v>
      </c>
      <c r="L33" s="10">
        <v>0.50310014271663239</v>
      </c>
      <c r="N33" s="59">
        <f t="shared" si="9"/>
        <v>0.67700047572210786</v>
      </c>
    </row>
    <row r="34" spans="3:19" x14ac:dyDescent="0.3">
      <c r="E34" s="133" t="s">
        <v>219</v>
      </c>
      <c r="F34" s="10">
        <v>0.26</v>
      </c>
      <c r="G34" s="133">
        <v>65</v>
      </c>
      <c r="H34" s="198">
        <v>7.5</v>
      </c>
      <c r="I34" s="2">
        <v>8.6830661433297474E-8</v>
      </c>
      <c r="J34" s="198">
        <v>8</v>
      </c>
      <c r="K34" s="16">
        <v>89.791989979208324</v>
      </c>
      <c r="L34" s="10">
        <v>0.35916795991683331</v>
      </c>
      <c r="N34" s="59">
        <f t="shared" si="9"/>
        <v>0.38141523044935882</v>
      </c>
    </row>
    <row r="35" spans="3:19" x14ac:dyDescent="0.3">
      <c r="C35" s="133"/>
      <c r="D35" s="133"/>
      <c r="E35" s="133"/>
      <c r="F35" s="133"/>
      <c r="G35" s="133"/>
      <c r="H35" s="133"/>
      <c r="I35" s="133"/>
      <c r="J35" s="133"/>
      <c r="K35" s="133"/>
      <c r="L35" s="133"/>
      <c r="M35" s="133"/>
      <c r="N35" s="133"/>
      <c r="O35" s="133"/>
      <c r="P35" s="133"/>
      <c r="Q35" s="133"/>
      <c r="R35" s="133"/>
      <c r="S35" s="133"/>
    </row>
  </sheetData>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F27E-2B13-4804-827D-1A4D5BE08842}">
  <dimension ref="A1:AR154"/>
  <sheetViews>
    <sheetView zoomScaleNormal="100" workbookViewId="0">
      <pane xSplit="4" ySplit="4" topLeftCell="AJ5" activePane="bottomRight" state="frozen"/>
      <selection pane="topRight" activeCell="C1" sqref="C1"/>
      <selection pane="bottomLeft" activeCell="A5" sqref="A5"/>
      <selection pane="bottomRight"/>
    </sheetView>
  </sheetViews>
  <sheetFormatPr defaultColWidth="12.109375" defaultRowHeight="14.4" x14ac:dyDescent="0.3"/>
  <cols>
    <col min="1" max="1" width="12.109375" style="109"/>
    <col min="2" max="2" width="25.109375" style="430" customWidth="1"/>
    <col min="3" max="3" width="3" style="109" bestFit="1" customWidth="1"/>
    <col min="4" max="4" width="22.88671875" style="109" customWidth="1"/>
    <col min="5" max="5" width="5.5546875" style="407" bestFit="1" customWidth="1"/>
    <col min="6" max="6" width="18.77734375" style="109" customWidth="1"/>
    <col min="7" max="7" width="8.88671875" style="406" bestFit="1" customWidth="1"/>
    <col min="8" max="8" width="10.6640625" style="407" bestFit="1" customWidth="1"/>
    <col min="9" max="9" width="12.109375" style="435"/>
    <col min="10" max="10" width="12.109375" style="406"/>
    <col min="11" max="13" width="12.109375" style="437"/>
    <col min="14" max="14" width="29.109375" style="437" customWidth="1"/>
    <col min="15" max="15" width="12.109375" style="437"/>
    <col min="16" max="16" width="20" style="440" customWidth="1"/>
    <col min="17" max="17" width="17" style="437" customWidth="1"/>
    <col min="18" max="18" width="3" style="407" bestFit="1" customWidth="1"/>
    <col min="19" max="19" width="12.109375" style="407" customWidth="1"/>
    <col min="20" max="21" width="8.88671875" style="407" customWidth="1"/>
    <col min="22" max="22" width="10.6640625" style="407" customWidth="1"/>
    <col min="23" max="23" width="11.77734375" style="410" customWidth="1"/>
    <col min="24" max="24" width="8.5546875" style="411" customWidth="1"/>
    <col min="25" max="26" width="12.21875" style="412" customWidth="1"/>
    <col min="27" max="28" width="12.109375" style="413" customWidth="1"/>
    <col min="29" max="29" width="5.5546875" style="413" customWidth="1"/>
    <col min="30" max="30" width="6.5546875" style="411" customWidth="1"/>
    <col min="31" max="32" width="6.5546875" style="406" customWidth="1"/>
    <col min="33" max="36" width="6.88671875" style="407" customWidth="1"/>
    <col min="37" max="37" width="6.88671875" style="445" customWidth="1"/>
    <col min="38" max="44" width="6.88671875" style="407" customWidth="1"/>
    <col min="45" max="16384" width="12.109375" style="109"/>
  </cols>
  <sheetData>
    <row r="1" spans="1:44" x14ac:dyDescent="0.3">
      <c r="D1" s="430"/>
      <c r="P1" s="439"/>
      <c r="AE1" s="406" t="s">
        <v>2080</v>
      </c>
      <c r="AF1" s="406" t="s">
        <v>2080</v>
      </c>
      <c r="AG1" s="407" t="s">
        <v>2080</v>
      </c>
      <c r="AH1" s="407" t="s">
        <v>2080</v>
      </c>
    </row>
    <row r="2" spans="1:44" x14ac:dyDescent="0.3">
      <c r="B2" s="431" t="s">
        <v>2329</v>
      </c>
      <c r="L2" s="430"/>
      <c r="S2" s="446" t="s">
        <v>1346</v>
      </c>
      <c r="V2" s="446" t="s">
        <v>1347</v>
      </c>
    </row>
    <row r="3" spans="1:44" ht="15.6" x14ac:dyDescent="0.3">
      <c r="D3" s="109" t="s">
        <v>1311</v>
      </c>
      <c r="E3" s="407" t="s">
        <v>667</v>
      </c>
      <c r="F3" s="109" t="s">
        <v>1184</v>
      </c>
      <c r="G3" s="406" t="s">
        <v>956</v>
      </c>
      <c r="H3" s="407" t="s">
        <v>32</v>
      </c>
      <c r="I3" s="435" t="s">
        <v>326</v>
      </c>
      <c r="J3" s="406" t="s">
        <v>344</v>
      </c>
      <c r="K3" s="437" t="s">
        <v>1332</v>
      </c>
      <c r="L3" s="437" t="s">
        <v>1330</v>
      </c>
      <c r="M3" s="437" t="s">
        <v>2082</v>
      </c>
      <c r="N3" s="437" t="s">
        <v>1541</v>
      </c>
      <c r="O3" s="437" t="s">
        <v>1599</v>
      </c>
      <c r="P3" s="441" t="s">
        <v>1795</v>
      </c>
      <c r="Q3" s="438" t="s">
        <v>1791</v>
      </c>
      <c r="R3" s="408" t="s">
        <v>2092</v>
      </c>
      <c r="S3" s="407" t="s">
        <v>33</v>
      </c>
      <c r="T3" s="407" t="s">
        <v>26</v>
      </c>
      <c r="U3" s="407" t="s">
        <v>321</v>
      </c>
      <c r="V3" s="407" t="s">
        <v>351</v>
      </c>
      <c r="W3" s="410" t="s">
        <v>2135</v>
      </c>
      <c r="X3" s="411" t="s">
        <v>2136</v>
      </c>
      <c r="Y3" s="412" t="s">
        <v>293</v>
      </c>
      <c r="Z3" s="412" t="s">
        <v>402</v>
      </c>
      <c r="AA3" s="413" t="s">
        <v>3</v>
      </c>
      <c r="AB3" s="413" t="s">
        <v>277</v>
      </c>
      <c r="AC3" s="413" t="s">
        <v>13</v>
      </c>
      <c r="AD3" s="411" t="s">
        <v>35</v>
      </c>
      <c r="AE3" s="406" t="s">
        <v>52</v>
      </c>
      <c r="AF3" s="406" t="s">
        <v>558</v>
      </c>
      <c r="AG3" s="459" t="s">
        <v>1328</v>
      </c>
      <c r="AH3" s="459" t="s">
        <v>402</v>
      </c>
      <c r="AI3" s="459" t="s">
        <v>2086</v>
      </c>
      <c r="AJ3" s="459" t="s">
        <v>93</v>
      </c>
      <c r="AK3" s="459" t="s">
        <v>462</v>
      </c>
      <c r="AL3" s="459" t="s">
        <v>2085</v>
      </c>
      <c r="AM3" s="459" t="s">
        <v>2087</v>
      </c>
      <c r="AN3" s="459" t="s">
        <v>2088</v>
      </c>
      <c r="AO3" s="459" t="s">
        <v>2096</v>
      </c>
      <c r="AP3" s="459" t="s">
        <v>2097</v>
      </c>
      <c r="AQ3" s="459" t="s">
        <v>2081</v>
      </c>
      <c r="AR3" s="459" t="s">
        <v>2137</v>
      </c>
    </row>
    <row r="4" spans="1:44" x14ac:dyDescent="0.3">
      <c r="E4" s="407" t="s">
        <v>503</v>
      </c>
      <c r="G4" s="406" t="s">
        <v>22</v>
      </c>
      <c r="H4" s="408" t="s">
        <v>22</v>
      </c>
      <c r="S4" s="408" t="s">
        <v>270</v>
      </c>
      <c r="T4" s="407" t="s">
        <v>25</v>
      </c>
      <c r="U4" s="407" t="s">
        <v>338</v>
      </c>
      <c r="V4" s="408" t="s">
        <v>377</v>
      </c>
      <c r="W4" s="410" t="s">
        <v>377</v>
      </c>
      <c r="X4" s="411" t="s">
        <v>302</v>
      </c>
      <c r="Y4" s="412" t="s">
        <v>338</v>
      </c>
      <c r="Z4" s="412" t="s">
        <v>338</v>
      </c>
      <c r="AA4" s="413" t="s">
        <v>302</v>
      </c>
      <c r="AB4" s="413" t="s">
        <v>302</v>
      </c>
      <c r="AC4" s="413" t="s">
        <v>302</v>
      </c>
      <c r="AE4" s="406" t="s">
        <v>621</v>
      </c>
      <c r="AF4" s="406" t="s">
        <v>621</v>
      </c>
      <c r="AK4" s="414"/>
    </row>
    <row r="5" spans="1:44" x14ac:dyDescent="0.3">
      <c r="B5" s="432" t="s">
        <v>2018</v>
      </c>
      <c r="C5" s="188"/>
      <c r="D5" s="188"/>
      <c r="E5" s="434"/>
      <c r="F5" s="188"/>
      <c r="G5" s="434"/>
      <c r="H5" s="434"/>
      <c r="I5" s="436"/>
      <c r="J5" s="434"/>
      <c r="K5" s="436"/>
      <c r="L5" s="436"/>
      <c r="M5" s="436"/>
      <c r="N5" s="436"/>
      <c r="O5" s="436"/>
      <c r="P5" s="442"/>
      <c r="Q5" s="436"/>
      <c r="R5" s="434"/>
      <c r="S5" s="434"/>
      <c r="T5" s="434"/>
      <c r="U5" s="447"/>
      <c r="V5" s="447"/>
      <c r="W5" s="447"/>
      <c r="X5" s="448"/>
      <c r="Y5" s="449"/>
      <c r="Z5" s="449"/>
      <c r="AA5" s="450"/>
      <c r="AB5" s="450"/>
      <c r="AC5" s="450"/>
      <c r="AD5" s="449"/>
      <c r="AE5" s="434"/>
      <c r="AF5" s="434"/>
      <c r="AG5" s="434"/>
      <c r="AH5" s="434"/>
      <c r="AI5" s="434"/>
      <c r="AJ5" s="434"/>
      <c r="AK5" s="451"/>
      <c r="AL5" s="434"/>
      <c r="AM5" s="434"/>
      <c r="AN5" s="434"/>
      <c r="AO5" s="434"/>
      <c r="AP5" s="434"/>
      <c r="AQ5" s="434"/>
      <c r="AR5" s="434"/>
    </row>
    <row r="6" spans="1:44" x14ac:dyDescent="0.3">
      <c r="A6" s="110"/>
      <c r="B6" s="433" t="str">
        <f>Luo!B2</f>
        <v>Luo et al., 2012a</v>
      </c>
      <c r="C6" s="110">
        <v>1</v>
      </c>
      <c r="D6" s="110" t="str">
        <f>Luo!$D6</f>
        <v>CM</v>
      </c>
      <c r="E6" s="408">
        <f>Luo!$D7</f>
        <v>55</v>
      </c>
      <c r="F6" s="110" t="str">
        <f>Luo!$D8</f>
        <v>CSTR</v>
      </c>
      <c r="G6" s="408">
        <f>Luo!$D9</f>
        <v>4.5</v>
      </c>
      <c r="H6" s="408">
        <f>Luo!$D10</f>
        <v>3.5</v>
      </c>
      <c r="I6" s="438" t="str">
        <f>Luo!$D11</f>
        <v>Mechanical</v>
      </c>
      <c r="J6" s="408" t="str">
        <f>Luo!$D12</f>
        <v>No</v>
      </c>
      <c r="K6" s="438" t="str">
        <f>Luo!$D13</f>
        <v>Ceramic</v>
      </c>
      <c r="L6" s="438" t="str">
        <f>Luo!$D14</f>
        <v>Continuous</v>
      </c>
      <c r="M6" s="438" t="str">
        <f>Luo!$D15</f>
        <v>Parallel</v>
      </c>
      <c r="N6" s="438" t="str">
        <f>Luo!$D16</f>
        <v>With/without H2</v>
      </c>
      <c r="O6" s="438" t="str">
        <f>Luo!$D17</f>
        <v>Diluted feed</v>
      </c>
      <c r="P6" s="441" t="str">
        <f>Luo!$E83</f>
        <v>-</v>
      </c>
      <c r="Q6" s="496" t="str">
        <f>Luo!$E84</f>
        <v>No H2</v>
      </c>
      <c r="R6" s="497">
        <f>C6</f>
        <v>1</v>
      </c>
      <c r="S6" s="418">
        <f>Luo!$E85</f>
        <v>6.24</v>
      </c>
      <c r="T6" s="418">
        <f>Luo!$E86</f>
        <v>14.583333333333334</v>
      </c>
      <c r="U6" s="416"/>
      <c r="V6" s="416">
        <f>Luo!$E88</f>
        <v>5.9615384615384619E-2</v>
      </c>
      <c r="W6" s="416"/>
      <c r="X6" s="454"/>
      <c r="Y6" s="417">
        <f>Luo!$E91</f>
        <v>0.372</v>
      </c>
      <c r="Z6" s="417"/>
      <c r="AA6" s="418">
        <f>Luo!$E93</f>
        <v>62</v>
      </c>
      <c r="AB6" s="418">
        <f>Luo!$E94</f>
        <v>38</v>
      </c>
      <c r="AC6" s="418"/>
      <c r="AD6" s="417">
        <f>Luo!$E96</f>
        <v>8</v>
      </c>
      <c r="AE6" s="416">
        <f>Luo!$E97</f>
        <v>8.638722896899341E-2</v>
      </c>
      <c r="AF6" s="416">
        <f>Luo!$E98</f>
        <v>8.7100000000000007E-3</v>
      </c>
      <c r="AG6" s="408"/>
      <c r="AH6" s="408"/>
      <c r="AI6" s="408"/>
      <c r="AJ6" s="408"/>
      <c r="AK6" s="452"/>
      <c r="AL6" s="408"/>
      <c r="AM6" s="408"/>
      <c r="AN6" s="408"/>
      <c r="AO6" s="408"/>
      <c r="AP6" s="408"/>
      <c r="AQ6" s="408"/>
      <c r="AR6" s="408"/>
    </row>
    <row r="7" spans="1:44" x14ac:dyDescent="0.3">
      <c r="A7" s="110"/>
      <c r="B7" s="433"/>
      <c r="C7" s="110"/>
      <c r="D7" s="110"/>
      <c r="E7" s="408"/>
      <c r="F7" s="110"/>
      <c r="G7" s="408"/>
      <c r="H7" s="408"/>
      <c r="I7" s="438"/>
      <c r="J7" s="408"/>
      <c r="K7" s="438"/>
      <c r="L7" s="438"/>
      <c r="M7" s="438"/>
      <c r="N7" s="438"/>
      <c r="O7" s="438"/>
      <c r="P7" s="441" t="str">
        <f>Luo!$D83</f>
        <v>-</v>
      </c>
      <c r="Q7" s="444" t="str">
        <f>Luo!$D84</f>
        <v>With H2</v>
      </c>
      <c r="R7" s="417"/>
      <c r="S7" s="418"/>
      <c r="T7" s="408"/>
      <c r="U7" s="417">
        <f>Luo!$D87</f>
        <v>0.68640000000000012</v>
      </c>
      <c r="V7" s="416">
        <f>Luo!$D88</f>
        <v>7.2692307692307681E-2</v>
      </c>
      <c r="W7" s="416">
        <f>Luo!$D89</f>
        <v>1.3076923076923062E-2</v>
      </c>
      <c r="X7" s="454">
        <f>Luo!$D90</f>
        <v>0.21935483870967717</v>
      </c>
      <c r="Y7" s="417">
        <f>Luo!$D91</f>
        <v>0.45359999999999995</v>
      </c>
      <c r="Z7" s="417">
        <f>Luo!$D92</f>
        <v>8.159999999999995E-2</v>
      </c>
      <c r="AA7" s="418">
        <f>Luo!$D93</f>
        <v>65</v>
      </c>
      <c r="AB7" s="418">
        <f>Luo!$D94</f>
        <v>15</v>
      </c>
      <c r="AC7" s="418">
        <f>Luo!$D95</f>
        <v>20</v>
      </c>
      <c r="AD7" s="417">
        <f>Luo!$D96</f>
        <v>8.3000000000000007</v>
      </c>
      <c r="AE7" s="416">
        <f>Luo!$D97</f>
        <v>9.1384837256455839E-2</v>
      </c>
      <c r="AF7" s="416">
        <f>Luo!$D98</f>
        <v>2.8799999999999999E-2</v>
      </c>
      <c r="AG7" s="417">
        <f>Luo!$D69</f>
        <v>0.13668</v>
      </c>
      <c r="AH7" s="417">
        <f>Luo!$D70</f>
        <v>8.1599999999999964E-2</v>
      </c>
      <c r="AI7" s="417">
        <f>Luo!$D71</f>
        <v>0.12480000000000001</v>
      </c>
      <c r="AJ7" s="418">
        <f>Luo!$D72</f>
        <v>2.9985321870413091</v>
      </c>
      <c r="AK7" s="452">
        <f>Luo!$D73</f>
        <v>0.79650349650349639</v>
      </c>
      <c r="AL7" s="417">
        <f>Luo!$D74</f>
        <v>0.59701492537313405</v>
      </c>
      <c r="AM7" s="417">
        <f>Luo!$D75</f>
        <v>0.91308165057067614</v>
      </c>
      <c r="AN7" s="417">
        <f>Luo!$D76</f>
        <v>0.65384615384615352</v>
      </c>
      <c r="AO7" s="417">
        <f>Luo!$D77</f>
        <v>0.35646886139651901</v>
      </c>
      <c r="AP7" s="417">
        <f>Luo!$D78</f>
        <v>0.92749003984063738</v>
      </c>
      <c r="AQ7" s="417">
        <f>Luo!$D79</f>
        <v>6.7000000000000028</v>
      </c>
      <c r="AR7" s="418">
        <f>Luo!$D80</f>
        <v>4.3807692307692303</v>
      </c>
    </row>
    <row r="8" spans="1:44" x14ac:dyDescent="0.3">
      <c r="A8" s="110"/>
      <c r="B8" s="433" t="str">
        <f>Bass!B2</f>
        <v>Bassani et al., 2015</v>
      </c>
      <c r="C8" s="110">
        <v>21</v>
      </c>
      <c r="D8" s="110" t="str">
        <f>Bass!$D6</f>
        <v>CM</v>
      </c>
      <c r="E8" s="408">
        <f>Bass!$D7</f>
        <v>35</v>
      </c>
      <c r="F8" s="110" t="str">
        <f>Bass!$D8</f>
        <v>2-stage CSTR</v>
      </c>
      <c r="G8" s="408" t="str">
        <f>Bass!$D9</f>
        <v>n/r</v>
      </c>
      <c r="H8" s="408" t="str">
        <f>Bass!$D10</f>
        <v>1.5 and 2</v>
      </c>
      <c r="I8" s="438" t="str">
        <f>Bass!$D11</f>
        <v>Magnetic</v>
      </c>
      <c r="J8" s="408" t="str">
        <f>Bass!$D12</f>
        <v>No</v>
      </c>
      <c r="K8" s="438" t="str">
        <f>Bass!$D13</f>
        <v>Diffuser</v>
      </c>
      <c r="L8" s="438" t="str">
        <f>Bass!$D14</f>
        <v>Continuous</v>
      </c>
      <c r="M8" s="438" t="str">
        <f>Bass!$D15</f>
        <v>Sequential</v>
      </c>
      <c r="N8" s="438" t="str">
        <f>Bass!$D16</f>
        <v>Temp - meso and thermo</v>
      </c>
      <c r="O8" s="438" t="str">
        <f>Bass!$D17</f>
        <v>1 set of reactors at each temp</v>
      </c>
      <c r="P8" s="441" t="str">
        <f>Bass!$D81</f>
        <v>Control period</v>
      </c>
      <c r="Q8" s="438" t="str">
        <f>Bass!$D82</f>
        <v>No H2</v>
      </c>
      <c r="R8" s="497">
        <f>C8</f>
        <v>21</v>
      </c>
      <c r="S8" s="408">
        <f>Bass!$D83</f>
        <v>0.6</v>
      </c>
      <c r="T8" s="408" t="str">
        <f>Bass!$D84</f>
        <v>25 and 33</v>
      </c>
      <c r="U8" s="417"/>
      <c r="V8" s="416">
        <f>Bass!$D86</f>
        <v>0.111</v>
      </c>
      <c r="W8" s="416"/>
      <c r="X8" s="454"/>
      <c r="Y8" s="417">
        <f>Bass!$D89</f>
        <v>6.6000000000000003E-2</v>
      </c>
      <c r="Z8" s="417"/>
      <c r="AA8" s="418">
        <f>Bass!$D91</f>
        <v>69.7</v>
      </c>
      <c r="AB8" s="418">
        <f>Bass!$D92</f>
        <v>30.3</v>
      </c>
      <c r="AC8" s="418"/>
      <c r="AD8" s="417">
        <f>Bass!$D94</f>
        <v>7.73</v>
      </c>
      <c r="AE8" s="417" t="str">
        <f>Bass!$D95</f>
        <v>n/r</v>
      </c>
      <c r="AF8" s="417" t="str">
        <f>Bass!$D96</f>
        <v>TVFA</v>
      </c>
      <c r="AG8" s="417"/>
      <c r="AH8" s="417"/>
      <c r="AI8" s="417"/>
      <c r="AJ8" s="418"/>
      <c r="AK8" s="452"/>
      <c r="AL8" s="417"/>
      <c r="AM8" s="417"/>
      <c r="AN8" s="417"/>
      <c r="AO8" s="417"/>
      <c r="AP8" s="417"/>
      <c r="AQ8" s="417"/>
      <c r="AR8" s="418"/>
    </row>
    <row r="9" spans="1:44" x14ac:dyDescent="0.3">
      <c r="A9" s="110"/>
      <c r="B9" s="498"/>
      <c r="C9" s="110"/>
      <c r="D9" s="110"/>
      <c r="E9" s="408"/>
      <c r="F9" s="110"/>
      <c r="G9" s="408"/>
      <c r="H9" s="408"/>
      <c r="I9" s="438"/>
      <c r="J9" s="408"/>
      <c r="K9" s="438"/>
      <c r="L9" s="438"/>
      <c r="M9" s="438"/>
      <c r="N9" s="438"/>
      <c r="O9" s="438"/>
      <c r="P9" s="441" t="str">
        <f>Bass!$E81</f>
        <v>-</v>
      </c>
      <c r="Q9" s="438" t="str">
        <f>Bass!$E82</f>
        <v>With H2</v>
      </c>
      <c r="R9" s="408"/>
      <c r="S9" s="408"/>
      <c r="T9" s="408"/>
      <c r="U9" s="417">
        <f>Bass!$E85</f>
        <v>0.192</v>
      </c>
      <c r="V9" s="416">
        <f>Bass!$E86</f>
        <v>0.16800000000000001</v>
      </c>
      <c r="W9" s="416">
        <f>Bass!$E87</f>
        <v>5.7000000000000009E-2</v>
      </c>
      <c r="X9" s="454">
        <f>Bass!$E88</f>
        <v>0.5135135135135136</v>
      </c>
      <c r="Y9" s="417">
        <f>Bass!$E89</f>
        <v>0.1</v>
      </c>
      <c r="Z9" s="417">
        <f>Bass!$E90</f>
        <v>3.4000000000000002E-2</v>
      </c>
      <c r="AA9" s="418">
        <f>Bass!$E91</f>
        <v>88.9</v>
      </c>
      <c r="AB9" s="418">
        <f>Bass!$E92</f>
        <v>8.8000000000000007</v>
      </c>
      <c r="AC9" s="418">
        <f>Bass!$E93</f>
        <v>2.2999999999999998</v>
      </c>
      <c r="AD9" s="417">
        <f>Bass!$E94</f>
        <v>8.17</v>
      </c>
      <c r="AE9" s="417" t="str">
        <f>Bass!$E95</f>
        <v>n/r</v>
      </c>
      <c r="AF9" s="417" t="str">
        <f>Bass!$E96</f>
        <v>TVFA</v>
      </c>
      <c r="AG9" s="417">
        <f>Bass!$E67</f>
        <v>4.73675E-2</v>
      </c>
      <c r="AH9" s="417">
        <f>Bass!$E68</f>
        <v>3.4000000000000002E-2</v>
      </c>
      <c r="AI9" s="417">
        <f>Bass!$E69</f>
        <v>1.8574118730808602E-2</v>
      </c>
      <c r="AJ9" s="418">
        <f>Bass!$E70</f>
        <v>6.7410996418790807</v>
      </c>
      <c r="AK9" s="452">
        <f>Bass!$E71</f>
        <v>0.98682291666666666</v>
      </c>
      <c r="AL9" s="417">
        <f>Bass!$E72</f>
        <v>0.7177917348392886</v>
      </c>
      <c r="AM9" s="417">
        <f>Bass!$E73</f>
        <v>0.39212790902641265</v>
      </c>
      <c r="AN9" s="417">
        <f>Bass!$E74</f>
        <v>1.8305040735851834</v>
      </c>
      <c r="AO9" s="417">
        <f>Bass!$E75</f>
        <v>1.1937363949160873</v>
      </c>
      <c r="AP9" s="417">
        <f>Bass!$E76</f>
        <v>1.1578947368421053</v>
      </c>
      <c r="AQ9" s="417">
        <f>Bass!$E77</f>
        <v>5.5726470588235291</v>
      </c>
      <c r="AR9" s="418">
        <f>Bass!$E78</f>
        <v>10.200753141828962</v>
      </c>
    </row>
    <row r="10" spans="1:44" x14ac:dyDescent="0.3">
      <c r="A10" s="110"/>
      <c r="B10" s="433"/>
      <c r="C10" s="110"/>
      <c r="D10" s="110"/>
      <c r="E10" s="408">
        <f>Bass!F7</f>
        <v>55</v>
      </c>
      <c r="F10" s="110"/>
      <c r="G10" s="408"/>
      <c r="H10" s="408"/>
      <c r="I10" s="438"/>
      <c r="J10" s="408"/>
      <c r="K10" s="438"/>
      <c r="L10" s="438"/>
      <c r="M10" s="438"/>
      <c r="N10" s="438"/>
      <c r="O10" s="438"/>
      <c r="P10" s="441" t="str">
        <f>Bass!$F81</f>
        <v>Control period</v>
      </c>
      <c r="Q10" s="438" t="str">
        <f>Bass!$F82</f>
        <v>No H2</v>
      </c>
      <c r="R10" s="408"/>
      <c r="S10" s="408">
        <f>Bass!$F83</f>
        <v>1</v>
      </c>
      <c r="T10" s="408" t="str">
        <f>Bass!$F84</f>
        <v>15 and 20</v>
      </c>
      <c r="U10" s="417"/>
      <c r="V10" s="416">
        <f>Bass!$F86</f>
        <v>0.249</v>
      </c>
      <c r="W10" s="416"/>
      <c r="X10" s="454"/>
      <c r="Y10" s="417">
        <f>Bass!$F89</f>
        <v>0.247</v>
      </c>
      <c r="Z10" s="417"/>
      <c r="AA10" s="418">
        <f>Bass!$F91</f>
        <v>67.099999999999994</v>
      </c>
      <c r="AB10" s="418">
        <f>Bass!$F92</f>
        <v>32.9</v>
      </c>
      <c r="AC10" s="418"/>
      <c r="AD10" s="417">
        <f>Bass!$F94</f>
        <v>7.89</v>
      </c>
      <c r="AE10" s="417" t="str">
        <f>Bass!$F95</f>
        <v>n/r</v>
      </c>
      <c r="AF10" s="417" t="str">
        <f>Bass!$F96</f>
        <v>TVFA</v>
      </c>
      <c r="AG10" s="417"/>
      <c r="AH10" s="417"/>
      <c r="AI10" s="417"/>
      <c r="AJ10" s="418"/>
      <c r="AK10" s="452"/>
      <c r="AL10" s="417"/>
      <c r="AM10" s="417"/>
      <c r="AN10" s="417"/>
      <c r="AO10" s="417"/>
      <c r="AP10" s="417"/>
      <c r="AQ10" s="417"/>
      <c r="AR10" s="418"/>
    </row>
    <row r="11" spans="1:44" x14ac:dyDescent="0.3">
      <c r="A11" s="110"/>
      <c r="B11" s="433"/>
      <c r="C11" s="110"/>
      <c r="D11" s="110"/>
      <c r="E11" s="408"/>
      <c r="F11" s="110"/>
      <c r="G11" s="408"/>
      <c r="H11" s="408"/>
      <c r="I11" s="438"/>
      <c r="J11" s="408"/>
      <c r="K11" s="438"/>
      <c r="L11" s="438"/>
      <c r="M11" s="438"/>
      <c r="N11" s="438"/>
      <c r="O11" s="438"/>
      <c r="P11" s="441" t="str">
        <f>Bass!$G$81</f>
        <v>-</v>
      </c>
      <c r="Q11" s="438" t="str">
        <f>Bass!$G$82</f>
        <v>With H2</v>
      </c>
      <c r="R11" s="408"/>
      <c r="S11" s="408"/>
      <c r="T11" s="408"/>
      <c r="U11" s="417">
        <f>Bass!$G$85</f>
        <v>0.51</v>
      </c>
      <c r="V11" s="416">
        <f>Bass!$G$86</f>
        <v>0.35899999999999999</v>
      </c>
      <c r="W11" s="416">
        <f>Bass!$G$87</f>
        <v>0.10999999999999999</v>
      </c>
      <c r="X11" s="454">
        <f>Bass!$G$88</f>
        <v>0.44176706827309231</v>
      </c>
      <c r="Y11" s="417">
        <f>Bass!$G$89</f>
        <v>0.35899999999999999</v>
      </c>
      <c r="Z11" s="417">
        <f>Bass!$G$90</f>
        <v>0.11199999999999999</v>
      </c>
      <c r="AA11" s="418">
        <f>Bass!$G$91</f>
        <v>85.1</v>
      </c>
      <c r="AB11" s="418">
        <f>Bass!$G$92</f>
        <v>6.6</v>
      </c>
      <c r="AC11" s="418">
        <f>Bass!$G$93</f>
        <v>8.3000000000000007</v>
      </c>
      <c r="AD11" s="417">
        <f>Bass!$G$94</f>
        <v>8.49</v>
      </c>
      <c r="AE11" s="417" t="str">
        <f>Bass!$G$95</f>
        <v>n/r</v>
      </c>
      <c r="AF11" s="417" t="str">
        <f>Bass!$G$96</f>
        <v>TVFA</v>
      </c>
      <c r="AG11" s="417">
        <f>Bass!$G$67</f>
        <v>0.11951125</v>
      </c>
      <c r="AH11" s="417">
        <f>Bass!$G$68</f>
        <v>0.11199999999999999</v>
      </c>
      <c r="AI11" s="417">
        <f>Bass!$G$69</f>
        <v>9.3362076335877842E-2</v>
      </c>
      <c r="AJ11" s="418">
        <f>Bass!$G$70</f>
        <v>4.2123694991410074</v>
      </c>
      <c r="AK11" s="452">
        <f>Bass!$G$71</f>
        <v>0.93734313725490193</v>
      </c>
      <c r="AL11" s="417">
        <f>Bass!$G$72</f>
        <v>0.93715026828018277</v>
      </c>
      <c r="AM11" s="417">
        <f>Bass!$G$73</f>
        <v>0.78119906147645379</v>
      </c>
      <c r="AN11" s="417">
        <f>Bass!$G$74</f>
        <v>1.1996305608828863</v>
      </c>
      <c r="AO11" s="417">
        <f>Bass!$G$75</f>
        <v>0.92506938020351526</v>
      </c>
      <c r="AP11" s="417">
        <f>Bass!$G$76</f>
        <v>1.0516304347826086</v>
      </c>
      <c r="AQ11" s="417">
        <f>Bass!$G$77</f>
        <v>4.268258928571429</v>
      </c>
      <c r="AR11" s="418">
        <f>Bass!$G$78</f>
        <v>5.1203338524755306</v>
      </c>
    </row>
    <row r="12" spans="1:44" x14ac:dyDescent="0.3">
      <c r="A12" s="110"/>
      <c r="B12" s="433" t="str">
        <f>Treu!B2</f>
        <v>Treu et al., 2018</v>
      </c>
      <c r="C12" s="110">
        <v>22</v>
      </c>
      <c r="D12" s="110" t="str">
        <f>Treu!$D6</f>
        <v>CM</v>
      </c>
      <c r="E12" s="408">
        <f>Treu!$D7</f>
        <v>55</v>
      </c>
      <c r="F12" s="110" t="str">
        <f>Treu!$D8</f>
        <v>2-stage CSTR</v>
      </c>
      <c r="G12" s="408" t="str">
        <f>Treu!$D9</f>
        <v>n/r</v>
      </c>
      <c r="H12" s="408" t="str">
        <f>Treu!$D10</f>
        <v>1.5 and 2</v>
      </c>
      <c r="I12" s="438" t="str">
        <f>Treu!$D11</f>
        <v>Stirred</v>
      </c>
      <c r="J12" s="408" t="str">
        <f>Treu!$D12</f>
        <v>No</v>
      </c>
      <c r="K12" s="438" t="str">
        <f>Treu!$D13</f>
        <v>Diffuser</v>
      </c>
      <c r="L12" s="438" t="str">
        <f>Treu!$D14</f>
        <v>Continuous</v>
      </c>
      <c r="M12" s="438" t="str">
        <f>Treu!$D15</f>
        <v>Sequential</v>
      </c>
      <c r="N12" s="438" t="str">
        <f>Treu!$D16</f>
        <v>H2 addition</v>
      </c>
      <c r="O12" s="438" t="str">
        <f>Treu!$D17</f>
        <v>1 reactor</v>
      </c>
      <c r="P12" s="441" t="str">
        <f>Treu!$D64</f>
        <v>Control period</v>
      </c>
      <c r="Q12" s="496" t="str">
        <f>Treu!$D65</f>
        <v>No H2</v>
      </c>
      <c r="R12" s="497">
        <f>C12</f>
        <v>22</v>
      </c>
      <c r="S12" s="418">
        <f>Treu!$D66</f>
        <v>0.98854961832061072</v>
      </c>
      <c r="T12" s="408" t="str">
        <f>Treu!$D67</f>
        <v>15 and 20</v>
      </c>
      <c r="U12" s="417"/>
      <c r="V12" s="416">
        <f>Treu!$D69</f>
        <v>0.26200000000000001</v>
      </c>
      <c r="W12" s="416"/>
      <c r="X12" s="454"/>
      <c r="Y12" s="417">
        <f>Treu!$D72</f>
        <v>0.25900000000000001</v>
      </c>
      <c r="Z12" s="417"/>
      <c r="AA12" s="418">
        <f>Treu!$D74</f>
        <v>66.900000000000006</v>
      </c>
      <c r="AB12" s="418">
        <f>Treu!$D75</f>
        <v>33.1</v>
      </c>
      <c r="AC12" s="418"/>
      <c r="AD12" s="417">
        <f>Treu!$D77</f>
        <v>7.9</v>
      </c>
      <c r="AE12" s="417" t="str">
        <f>Treu!$D78</f>
        <v>n/r</v>
      </c>
      <c r="AF12" s="417" t="str">
        <f>Treu!$D79</f>
        <v>TVFA and Hac</v>
      </c>
      <c r="AG12" s="417"/>
      <c r="AH12" s="417"/>
      <c r="AI12" s="417"/>
      <c r="AJ12" s="418"/>
      <c r="AK12" s="452"/>
      <c r="AL12" s="417"/>
      <c r="AM12" s="417"/>
      <c r="AN12" s="417"/>
      <c r="AO12" s="417"/>
      <c r="AP12" s="417"/>
      <c r="AQ12" s="417"/>
      <c r="AR12" s="418"/>
    </row>
    <row r="13" spans="1:44" x14ac:dyDescent="0.3">
      <c r="A13" s="110"/>
      <c r="B13" s="433"/>
      <c r="C13" s="110"/>
      <c r="D13" s="110"/>
      <c r="E13" s="408"/>
      <c r="F13" s="110"/>
      <c r="G13" s="408"/>
      <c r="H13" s="408"/>
      <c r="I13" s="438"/>
      <c r="J13" s="408"/>
      <c r="K13" s="438"/>
      <c r="L13" s="438"/>
      <c r="M13" s="438"/>
      <c r="N13" s="438"/>
      <c r="O13" s="438"/>
      <c r="P13" s="441" t="str">
        <f>Treu!$E64</f>
        <v>Initial value</v>
      </c>
      <c r="Q13" s="438" t="str">
        <f>Treu!$E65</f>
        <v>With H2</v>
      </c>
      <c r="R13" s="408"/>
      <c r="S13" s="418"/>
      <c r="T13" s="408"/>
      <c r="U13" s="417">
        <f>Treu!$E68</f>
        <v>0.51238800000000007</v>
      </c>
      <c r="V13" s="416">
        <f>Treu!$E69</f>
        <v>0.37630888030888032</v>
      </c>
      <c r="W13" s="416">
        <f>Treu!$E70</f>
        <v>0.11430888030888031</v>
      </c>
      <c r="X13" s="454">
        <f>Treu!$E71</f>
        <v>0.43629343629343631</v>
      </c>
      <c r="Y13" s="417">
        <f>Treu!$E72</f>
        <v>0.372</v>
      </c>
      <c r="Z13" s="417">
        <f>Treu!$E73</f>
        <v>0.11299999999999999</v>
      </c>
      <c r="AA13" s="418">
        <f>Treu!$E74</f>
        <v>86.5</v>
      </c>
      <c r="AB13" s="418">
        <f>Treu!$E75</f>
        <v>6.6</v>
      </c>
      <c r="AC13" s="418">
        <f>Treu!$E76</f>
        <v>6.9</v>
      </c>
      <c r="AD13" s="417">
        <f>Treu!$E77</f>
        <v>8.49</v>
      </c>
      <c r="AE13" s="417" t="str">
        <f>Treu!$E78</f>
        <v>n/r</v>
      </c>
      <c r="AF13" s="417" t="str">
        <f>Treu!$E79</f>
        <v>TVFA and Hac</v>
      </c>
      <c r="AG13" s="417">
        <f>Treu!$E50</f>
        <v>0.23621747581910585</v>
      </c>
      <c r="AH13" s="417">
        <f>Treu!$E51</f>
        <v>0.11299999999999999</v>
      </c>
      <c r="AI13" s="417">
        <f>Treu!$E52</f>
        <v>9.9849000000000021E-2</v>
      </c>
      <c r="AJ13" s="418">
        <f>Treu!$E53</f>
        <v>4</v>
      </c>
      <c r="AK13" s="452">
        <f>Treu!$E54</f>
        <v>0.9448699032764234</v>
      </c>
      <c r="AL13" s="417">
        <f>Treu!$E55</f>
        <v>0.47837273515925138</v>
      </c>
      <c r="AM13" s="417">
        <f>Treu!$E56</f>
        <v>0.4226994622381956</v>
      </c>
      <c r="AN13" s="417">
        <f>Treu!$E57</f>
        <v>1.131708880409418</v>
      </c>
      <c r="AO13" s="417">
        <f>Treu!$E58</f>
        <v>0.88214400024981054</v>
      </c>
      <c r="AP13" s="417">
        <f>Treu!$E59</f>
        <v>1.10694735428071</v>
      </c>
      <c r="AQ13" s="417">
        <f>Treu!$E60</f>
        <v>4.2844247787610632</v>
      </c>
      <c r="AR13" s="418">
        <f>Treu!$E61</f>
        <v>4.8487215695700501</v>
      </c>
    </row>
    <row r="14" spans="1:44" x14ac:dyDescent="0.3">
      <c r="A14" s="110"/>
      <c r="B14" s="433"/>
      <c r="C14" s="110"/>
      <c r="D14" s="110"/>
      <c r="E14" s="408"/>
      <c r="F14" s="110"/>
      <c r="G14" s="408"/>
      <c r="H14" s="408"/>
      <c r="I14" s="438"/>
      <c r="J14" s="408"/>
      <c r="K14" s="438"/>
      <c r="L14" s="438"/>
      <c r="M14" s="438"/>
      <c r="N14" s="438"/>
      <c r="O14" s="438"/>
      <c r="P14" s="441" t="str">
        <f>Treu!$F64</f>
        <v>After 2 years</v>
      </c>
      <c r="Q14" s="438" t="str">
        <f>Treu!$F65</f>
        <v>With H2</v>
      </c>
      <c r="R14" s="408"/>
      <c r="S14" s="418"/>
      <c r="T14" s="408"/>
      <c r="U14" s="417">
        <f>Treu!$F68</f>
        <v>0.51238800000000007</v>
      </c>
      <c r="V14" s="416">
        <f>Treu!$F69</f>
        <v>0.49980793369210358</v>
      </c>
      <c r="W14" s="416">
        <f>Treu!$F70</f>
        <v>0.23780793369210357</v>
      </c>
      <c r="X14" s="454">
        <f>Treu!$F71</f>
        <v>0.90766386905383034</v>
      </c>
      <c r="Y14" s="417">
        <f>Treu!$F72</f>
        <v>0.34399999999999997</v>
      </c>
      <c r="Z14" s="417">
        <f>Treu!$F73</f>
        <v>8.4999999999999964E-2</v>
      </c>
      <c r="AA14" s="418">
        <f>Treu!$F74</f>
        <v>98.7</v>
      </c>
      <c r="AB14" s="418">
        <f>Treu!$F75</f>
        <v>0.9</v>
      </c>
      <c r="AC14" s="418">
        <f>Treu!$F76</f>
        <v>0.4</v>
      </c>
      <c r="AD14" s="417">
        <f>Treu!$F77</f>
        <v>8.7100000000000009</v>
      </c>
      <c r="AE14" s="417" t="str">
        <f>Treu!$F78</f>
        <v>n/r</v>
      </c>
      <c r="AF14" s="417" t="str">
        <f>Treu!$F79</f>
        <v>TVFA and Hac</v>
      </c>
      <c r="AG14" s="417">
        <f>Treu!$F50</f>
        <v>0.24844112274292141</v>
      </c>
      <c r="AH14" s="417">
        <f>Treu!$F51</f>
        <v>8.4999999999999964E-2</v>
      </c>
      <c r="AI14" s="417">
        <f>Treu!$F52</f>
        <v>0.12490200000000001</v>
      </c>
      <c r="AJ14" s="418">
        <f>Treu!$F53</f>
        <v>4</v>
      </c>
      <c r="AK14" s="452">
        <f>Treu!$F54</f>
        <v>0.99376449097168562</v>
      </c>
      <c r="AL14" s="417">
        <f>Treu!$F55</f>
        <v>0.34213337575339786</v>
      </c>
      <c r="AM14" s="417">
        <f>Treu!$F56</f>
        <v>0.50274285762765791</v>
      </c>
      <c r="AN14" s="417">
        <f>Treu!$F57</f>
        <v>0.68053353829402219</v>
      </c>
      <c r="AO14" s="417">
        <f>Treu!$F58</f>
        <v>0.66355964620560948</v>
      </c>
      <c r="AP14" s="417">
        <f>Treu!$F59</f>
        <v>0.81772058548971283</v>
      </c>
      <c r="AQ14" s="417">
        <f>Treu!$F60</f>
        <v>5.9905058823529451</v>
      </c>
      <c r="AR14" s="418">
        <f>Treu!$F61</f>
        <v>4.076740164288803</v>
      </c>
    </row>
    <row r="15" spans="1:44" x14ac:dyDescent="0.3">
      <c r="A15" s="110"/>
      <c r="B15" s="433" t="str">
        <f>Wahid!B97</f>
        <v>Wahid and Horn, 2021a</v>
      </c>
      <c r="C15" s="110">
        <v>23</v>
      </c>
      <c r="D15" s="110" t="str">
        <f>Wahid!$D101</f>
        <v>CM</v>
      </c>
      <c r="E15" s="408">
        <f>Wahid!$D102</f>
        <v>55</v>
      </c>
      <c r="F15" s="110" t="str">
        <f>Wahid!$D103</f>
        <v>2-stage CSTR</v>
      </c>
      <c r="G15" s="408" t="str">
        <f>Wahid!$D104</f>
        <v>10 and 10</v>
      </c>
      <c r="H15" s="408" t="str">
        <f>Wahid!$D105</f>
        <v>6 and 6</v>
      </c>
      <c r="I15" s="438" t="str">
        <f>Wahid!$D106</f>
        <v>Impeller</v>
      </c>
      <c r="J15" s="408" t="str">
        <f>Wahid!$D107</f>
        <v>Yes</v>
      </c>
      <c r="K15" s="438" t="str">
        <f>Wahid!$D108</f>
        <v>Diffuser</v>
      </c>
      <c r="L15" s="438" t="str">
        <f>Wahid!$D109</f>
        <v>Continuous</v>
      </c>
      <c r="M15" s="438" t="str">
        <f>Wahid!$D110</f>
        <v>Sequential</v>
      </c>
      <c r="N15" s="438" t="str">
        <f>Wahid!$D111</f>
        <v>Mixing and gas recirc</v>
      </c>
      <c r="O15" s="438" t="str">
        <f>Wahid!$D112</f>
        <v>1 set of reactors</v>
      </c>
      <c r="P15" s="441" t="str">
        <f>Wahid!$D200</f>
        <v>-</v>
      </c>
      <c r="Q15" s="444" t="str">
        <f>Wahid!$D201</f>
        <v>No  H2</v>
      </c>
      <c r="R15" s="497">
        <f>C15</f>
        <v>23</v>
      </c>
      <c r="S15" s="417">
        <f>Wahid!$D202</f>
        <v>3.0898358236487731</v>
      </c>
      <c r="T15" s="409" t="str">
        <f>Wahid!$D203</f>
        <v>15 and 20</v>
      </c>
      <c r="U15" s="417"/>
      <c r="V15" s="416">
        <f>Wahid!$D205</f>
        <v>0.21684</v>
      </c>
      <c r="W15" s="416"/>
      <c r="X15" s="454"/>
      <c r="Y15" s="417">
        <f>Wahid!$D208</f>
        <v>0.67</v>
      </c>
      <c r="Z15" s="417"/>
      <c r="AA15" s="418">
        <f>Wahid!$D210</f>
        <v>62.22</v>
      </c>
      <c r="AB15" s="418">
        <f>Wahid!$D211</f>
        <v>37.78</v>
      </c>
      <c r="AC15" s="418"/>
      <c r="AD15" s="417">
        <f>Wahid!$D213</f>
        <v>7.86</v>
      </c>
      <c r="AE15" s="416">
        <f>Wahid!$D214</f>
        <v>9.6382445543918269E-2</v>
      </c>
      <c r="AF15" s="416">
        <f>Wahid!$D215</f>
        <v>5.4024330952323965E-3</v>
      </c>
      <c r="AG15" s="499"/>
      <c r="AH15" s="499"/>
      <c r="AI15" s="499"/>
      <c r="AJ15" s="500"/>
      <c r="AK15" s="452"/>
      <c r="AL15" s="499"/>
      <c r="AM15" s="499"/>
      <c r="AN15" s="499"/>
      <c r="AO15" s="499"/>
      <c r="AP15" s="499"/>
      <c r="AQ15" s="499"/>
      <c r="AR15" s="500"/>
    </row>
    <row r="16" spans="1:44" x14ac:dyDescent="0.3">
      <c r="A16" s="110"/>
      <c r="B16" s="498"/>
      <c r="C16" s="110"/>
      <c r="D16" s="110"/>
      <c r="E16" s="408"/>
      <c r="F16" s="110"/>
      <c r="G16" s="408"/>
      <c r="H16" s="408"/>
      <c r="I16" s="438"/>
      <c r="J16" s="408"/>
      <c r="K16" s="438"/>
      <c r="L16" s="438"/>
      <c r="M16" s="438"/>
      <c r="N16" s="438"/>
      <c r="O16" s="438"/>
      <c r="P16" s="441" t="str">
        <f>Wahid!$H200</f>
        <v>Highest SMP etc</v>
      </c>
      <c r="Q16" s="444" t="str">
        <f>Wahid!$H201</f>
        <v>With H2</v>
      </c>
      <c r="R16" s="417"/>
      <c r="S16" s="408"/>
      <c r="T16" s="408"/>
      <c r="U16" s="417">
        <f>Wahid!$H204</f>
        <v>1.66</v>
      </c>
      <c r="V16" s="416">
        <f>Wahid!$H205</f>
        <v>0.41108999999999996</v>
      </c>
      <c r="W16" s="416">
        <f>Wahid!$H206</f>
        <v>0.19424999999999995</v>
      </c>
      <c r="X16" s="454">
        <f>Wahid!$H207</f>
        <v>0.89582180409518519</v>
      </c>
      <c r="Y16" s="417">
        <f>Wahid!$H208</f>
        <v>0.9</v>
      </c>
      <c r="Z16" s="417">
        <f>Wahid!$H209</f>
        <v>0.22999999999999998</v>
      </c>
      <c r="AA16" s="418">
        <f>Wahid!$H210</f>
        <v>40.26</v>
      </c>
      <c r="AB16" s="418">
        <f>Wahid!$H211</f>
        <v>11.92</v>
      </c>
      <c r="AC16" s="418">
        <f>Wahid!$H212</f>
        <v>47.69</v>
      </c>
      <c r="AD16" s="417">
        <f>Wahid!$H213</f>
        <v>8.41</v>
      </c>
      <c r="AE16" s="416">
        <f>Wahid!$H214</f>
        <v>0.14278880821321224</v>
      </c>
      <c r="AF16" s="416">
        <f>Wahid!$H215</f>
        <v>1.2156445829919689E-2</v>
      </c>
      <c r="AG16" s="417">
        <f>Wahid!$H185</f>
        <v>8.9842479466838973E-2</v>
      </c>
      <c r="AH16" s="417">
        <f>Wahid!$H186</f>
        <v>0.22999999999999998</v>
      </c>
      <c r="AI16" s="417">
        <f>Wahid!$H187</f>
        <v>-3.3475499399055142E-2</v>
      </c>
      <c r="AJ16" s="418">
        <f>Wahid!$H188</f>
        <v>4</v>
      </c>
      <c r="AK16" s="452">
        <f>Wahid!$H189</f>
        <v>0.35936991786735589</v>
      </c>
      <c r="AL16" s="417">
        <f>Wahid!$H190</f>
        <v>2.5600362029733765</v>
      </c>
      <c r="AM16" s="417">
        <f>Wahid!$H191</f>
        <v>-0.372602132061716</v>
      </c>
      <c r="AN16" s="417">
        <f>Wahid!$H192</f>
        <v>-6.8706966028561123</v>
      </c>
      <c r="AO16" s="417">
        <f>Wahid!$H193</f>
        <v>0.57386094781332453</v>
      </c>
      <c r="AP16" s="417">
        <f>Wahid!$H194</f>
        <v>1.083248303934871</v>
      </c>
      <c r="AQ16" s="417">
        <f>Wahid!$H195</f>
        <v>6.64</v>
      </c>
      <c r="AR16" s="418">
        <f>Wahid!$H196</f>
        <v>-17.820617298293353</v>
      </c>
    </row>
    <row r="17" spans="1:44" x14ac:dyDescent="0.3">
      <c r="A17" s="110"/>
      <c r="B17" s="433" t="str">
        <f>Lebranch!B2</f>
        <v>Lebranchu et al., 2020</v>
      </c>
      <c r="C17" s="110">
        <v>24</v>
      </c>
      <c r="D17" s="110" t="str">
        <f>Lebranch!$D6</f>
        <v>CM</v>
      </c>
      <c r="E17" s="408">
        <f>Lebranch!$D7</f>
        <v>40</v>
      </c>
      <c r="F17" s="110" t="str">
        <f>Lebranch!$D8</f>
        <v>CSTR</v>
      </c>
      <c r="G17" s="408">
        <f>Lebranch!$D9</f>
        <v>142</v>
      </c>
      <c r="H17" s="408">
        <f>Lebranch!$D10</f>
        <v>100</v>
      </c>
      <c r="I17" s="438" t="str">
        <f>Lebranch!$D11</f>
        <v>Helical</v>
      </c>
      <c r="J17" s="408" t="str">
        <f>Lebranch!$D12</f>
        <v>No</v>
      </c>
      <c r="K17" s="438" t="str">
        <f>Lebranch!$D13</f>
        <v>Silicone tube</v>
      </c>
      <c r="L17" s="438" t="str">
        <f>Lebranch!$D14</f>
        <v>Continuous</v>
      </c>
      <c r="M17" s="438" t="str">
        <f>Lebranch!$D15</f>
        <v>Sequential</v>
      </c>
      <c r="N17" s="438" t="str">
        <f>Lebranch!$D16</f>
        <v>H2 addition</v>
      </c>
      <c r="O17" s="438" t="str">
        <f>Lebranch!$D17</f>
        <v>1 reactor</v>
      </c>
      <c r="P17" s="441" t="str">
        <f>Lebranch!$D82</f>
        <v>Control period</v>
      </c>
      <c r="Q17" s="438" t="str">
        <f>Lebranch!$D83</f>
        <v>No H2</v>
      </c>
      <c r="R17" s="497">
        <f>C17</f>
        <v>24</v>
      </c>
      <c r="S17" s="408">
        <f>Lebranch!$D84</f>
        <v>3.85</v>
      </c>
      <c r="T17" s="408">
        <f>Lebranch!$D85</f>
        <v>28</v>
      </c>
      <c r="U17" s="417"/>
      <c r="V17" s="416">
        <f>Lebranch!$D87</f>
        <v>0.18606545454545456</v>
      </c>
      <c r="W17" s="416"/>
      <c r="X17" s="454"/>
      <c r="Y17" s="417">
        <f>Lebranch!$D90</f>
        <v>0.7163520000000001</v>
      </c>
      <c r="Z17" s="417"/>
      <c r="AA17" s="418">
        <f>Lebranch!$D92</f>
        <v>57.4</v>
      </c>
      <c r="AB17" s="418">
        <f>Lebranch!$D93</f>
        <v>42.4</v>
      </c>
      <c r="AC17" s="418"/>
      <c r="AD17" s="417">
        <f>Lebranch!$D95</f>
        <v>7.45</v>
      </c>
      <c r="AE17" s="417" t="str">
        <f>Lebranch!$D96</f>
        <v>n/r</v>
      </c>
      <c r="AF17" s="417" t="str">
        <f>Lebranch!$D97</f>
        <v>n/r</v>
      </c>
      <c r="AG17" s="417"/>
      <c r="AH17" s="417"/>
      <c r="AI17" s="417"/>
      <c r="AJ17" s="418"/>
      <c r="AK17" s="452"/>
      <c r="AL17" s="417"/>
      <c r="AM17" s="417"/>
      <c r="AN17" s="417"/>
      <c r="AO17" s="417"/>
      <c r="AP17" s="417"/>
      <c r="AQ17" s="417"/>
      <c r="AR17" s="418"/>
    </row>
    <row r="18" spans="1:44" x14ac:dyDescent="0.3">
      <c r="A18" s="110"/>
      <c r="B18" s="498"/>
      <c r="C18" s="110"/>
      <c r="D18" s="110"/>
      <c r="E18" s="408"/>
      <c r="F18" s="110"/>
      <c r="G18" s="408"/>
      <c r="H18" s="408"/>
      <c r="I18" s="438"/>
      <c r="J18" s="408"/>
      <c r="K18" s="438"/>
      <c r="L18" s="438"/>
      <c r="M18" s="438"/>
      <c r="N18" s="438"/>
      <c r="O18" s="438"/>
      <c r="P18" s="441" t="str">
        <f>Lebranch!$G$82</f>
        <v>Best performance</v>
      </c>
      <c r="Q18" s="438" t="str">
        <f>Lebranch!$G$83</f>
        <v>With H2</v>
      </c>
      <c r="R18" s="408"/>
      <c r="S18" s="408"/>
      <c r="T18" s="408"/>
      <c r="U18" s="417">
        <f>Lebranch!$G$86</f>
        <v>0.44640000000000002</v>
      </c>
      <c r="V18" s="416">
        <f>Lebranch!$G$87</f>
        <v>0.22123636363636368</v>
      </c>
      <c r="W18" s="416">
        <f>Lebranch!$G$88</f>
        <v>3.5170909090909114E-2</v>
      </c>
      <c r="X18" s="454">
        <f>Lebranch!$G$89</f>
        <v>0.18902439024390255</v>
      </c>
      <c r="Y18" s="417">
        <f>Lebranch!$G$90</f>
        <v>0.85176000000000018</v>
      </c>
      <c r="Z18" s="417">
        <f>Lebranch!$G$91</f>
        <v>0.13540800000000008</v>
      </c>
      <c r="AA18" s="418">
        <f>Lebranch!$G$92</f>
        <v>68.25</v>
      </c>
      <c r="AB18" s="418">
        <f>Lebranch!$G$93</f>
        <v>31.549999999999997</v>
      </c>
      <c r="AC18" s="418">
        <f>Lebranch!$G$94</f>
        <v>0.04</v>
      </c>
      <c r="AD18" s="417">
        <f>Lebranch!$G$95</f>
        <v>7.7</v>
      </c>
      <c r="AE18" s="417" t="str">
        <f>Lebranch!$G$96</f>
        <v>n/r</v>
      </c>
      <c r="AF18" s="417" t="str">
        <f>Lebranch!$G$97</f>
        <v>n/r</v>
      </c>
      <c r="AG18" s="417">
        <f>Lebranch!$G$68</f>
        <v>0.108445</v>
      </c>
      <c r="AH18" s="417">
        <f>Lebranch!$G$69</f>
        <v>0.13540800000000008</v>
      </c>
      <c r="AI18" s="417">
        <f>Lebranch!$G$70</f>
        <v>0.13540800000000003</v>
      </c>
      <c r="AJ18" s="418">
        <f>Lebranch!$G$71</f>
        <v>0.84361393323657463</v>
      </c>
      <c r="AK18" s="452">
        <f>Lebranch!$G$72</f>
        <v>0.9717293906810035</v>
      </c>
      <c r="AL18" s="417">
        <f>Lebranch!$G$73</f>
        <v>1.2486329475771136</v>
      </c>
      <c r="AM18" s="417">
        <f>Lebranch!$G$74</f>
        <v>1.2486329475771132</v>
      </c>
      <c r="AN18" s="417">
        <f>Lebranch!$G$75</f>
        <v>1.0000000000000004</v>
      </c>
      <c r="AO18" s="417">
        <f>Lebranch!$G$76</f>
        <v>0.25589622641509446</v>
      </c>
      <c r="AP18" s="417">
        <f>Lebranch!$G$77</f>
        <v>1</v>
      </c>
      <c r="AQ18" s="417">
        <f>Lebranch!$G$78</f>
        <v>3.2035034857615483</v>
      </c>
      <c r="AR18" s="418">
        <f>Lebranch!$G$79</f>
        <v>3.2035034857615496</v>
      </c>
    </row>
    <row r="19" spans="1:44" x14ac:dyDescent="0.3">
      <c r="A19" s="110"/>
      <c r="B19" s="498"/>
      <c r="C19" s="110"/>
      <c r="D19" s="110"/>
      <c r="E19" s="408"/>
      <c r="F19" s="110"/>
      <c r="G19" s="408"/>
      <c r="H19" s="408"/>
      <c r="I19" s="438"/>
      <c r="J19" s="408"/>
      <c r="K19" s="438"/>
      <c r="L19" s="438"/>
      <c r="M19" s="438"/>
      <c r="N19" s="438"/>
      <c r="O19" s="438"/>
      <c r="P19" s="441" t="str">
        <f>Lebranch!$M82</f>
        <v>-</v>
      </c>
      <c r="Q19" s="438" t="str">
        <f>Lebranch!$M83</f>
        <v>With H2+CO2</v>
      </c>
      <c r="R19" s="408"/>
      <c r="S19" s="408"/>
      <c r="T19" s="408"/>
      <c r="U19" s="417">
        <f>Lebranch!$M86</f>
        <v>0.6048</v>
      </c>
      <c r="V19" s="416">
        <f>Lebranch!$M87</f>
        <v>0.23563636363636362</v>
      </c>
      <c r="W19" s="416">
        <f>Lebranch!$M88</f>
        <v>4.9570909090909054E-2</v>
      </c>
      <c r="X19" s="454">
        <f>Lebranch!$M89</f>
        <v>0.26641651031894914</v>
      </c>
      <c r="Y19" s="417">
        <f>Lebranch!$M90</f>
        <v>0.9071999999999999</v>
      </c>
      <c r="Z19" s="417">
        <f>Lebranch!$M91</f>
        <v>0.1908479999999998</v>
      </c>
      <c r="AA19" s="418">
        <f>Lebranch!$M92</f>
        <v>67.5</v>
      </c>
      <c r="AB19" s="418">
        <f>Lebranch!$M93</f>
        <v>32.5</v>
      </c>
      <c r="AC19" s="418">
        <f>Lebranch!$M94</f>
        <v>0</v>
      </c>
      <c r="AD19" s="417">
        <f>Lebranch!$M95</f>
        <v>7.8</v>
      </c>
      <c r="AE19" s="417" t="str">
        <f>Lebranch!$M96</f>
        <v>n/r</v>
      </c>
      <c r="AF19" s="417" t="str">
        <f>Lebranch!$M97</f>
        <v>n/r</v>
      </c>
      <c r="AG19" s="417">
        <f>Lebranch!$M68</f>
        <v>0.1512</v>
      </c>
      <c r="AH19" s="417">
        <f>Lebranch!$M69</f>
        <v>0.1908479999999998</v>
      </c>
      <c r="AI19" s="417">
        <f>Lebranch!$M70</f>
        <v>9.2352000000000156E-2</v>
      </c>
      <c r="AJ19" s="418">
        <f>Lebranch!$M71</f>
        <v>1.0435646844459168</v>
      </c>
      <c r="AK19" s="452">
        <f>Lebranch!$M72</f>
        <v>1</v>
      </c>
      <c r="AL19" s="417">
        <f>Lebranch!$M73</f>
        <v>1.2622222222222208</v>
      </c>
      <c r="AM19" s="417">
        <f>Lebranch!$M74</f>
        <v>0.61079365079365178</v>
      </c>
      <c r="AN19" s="417">
        <f>Lebranch!$M75</f>
        <v>2.0665280665280608</v>
      </c>
      <c r="AO19" s="417">
        <f>Lebranch!$M76</f>
        <v>0.3606676342525395</v>
      </c>
      <c r="AP19" s="417">
        <f>Lebranch!$M77</f>
        <v>1.0769230769230766</v>
      </c>
      <c r="AQ19" s="417">
        <f>Lebranch!$M78</f>
        <v>3.1690140845070456</v>
      </c>
      <c r="AR19" s="418">
        <f>Lebranch!$M79</f>
        <v>6.5488565488565378</v>
      </c>
    </row>
    <row r="20" spans="1:44" x14ac:dyDescent="0.3">
      <c r="A20" s="110"/>
      <c r="B20" s="433" t="str">
        <f>Zhu!B2</f>
        <v>Zhu et al., 2019a</v>
      </c>
      <c r="C20" s="110">
        <v>25</v>
      </c>
      <c r="D20" s="110" t="str">
        <f>Zhu!$D6</f>
        <v>PM</v>
      </c>
      <c r="E20" s="408">
        <f>Zhu!$D7</f>
        <v>55</v>
      </c>
      <c r="F20" s="110" t="str">
        <f>Zhu!$D8</f>
        <v>CSTR</v>
      </c>
      <c r="G20" s="408" t="str">
        <f>Zhu!$D9</f>
        <v>n/r</v>
      </c>
      <c r="H20" s="408">
        <f>Zhu!$D10</f>
        <v>11.2</v>
      </c>
      <c r="I20" s="438" t="str">
        <f>Zhu!$D11</f>
        <v>Mechanical</v>
      </c>
      <c r="J20" s="408" t="str">
        <f>Zhu!$D12</f>
        <v>No</v>
      </c>
      <c r="K20" s="438" t="str">
        <f>Zhu!$D13</f>
        <v>Distributor</v>
      </c>
      <c r="L20" s="438" t="str">
        <f>Zhu!$D14</f>
        <v>Continuous</v>
      </c>
      <c r="M20" s="438" t="str">
        <f>Zhu!$D15</f>
        <v>Sequential</v>
      </c>
      <c r="N20" s="438" t="str">
        <f>Zhu!$D16</f>
        <v>Mixing, sodium formate</v>
      </c>
      <c r="O20" s="438" t="str">
        <f>Zhu!$D17</f>
        <v>1 reactor</v>
      </c>
      <c r="P20" s="441" t="str">
        <f>Zhu!$D81</f>
        <v>Control period</v>
      </c>
      <c r="Q20" s="443" t="str">
        <f>Zhu!$D82</f>
        <v>No H2</v>
      </c>
      <c r="R20" s="497">
        <f>C20</f>
        <v>25</v>
      </c>
      <c r="S20" s="408">
        <f>Zhu!$D83</f>
        <v>2</v>
      </c>
      <c r="T20" s="408">
        <f>Zhu!$D84</f>
        <v>25</v>
      </c>
      <c r="U20" s="417"/>
      <c r="V20" s="416">
        <f>Zhu!$D86</f>
        <v>0.2223</v>
      </c>
      <c r="W20" s="416"/>
      <c r="X20" s="417"/>
      <c r="Y20" s="417">
        <f>Zhu!$D89</f>
        <v>0.4446</v>
      </c>
      <c r="Z20" s="417"/>
      <c r="AA20" s="418">
        <f>Zhu!$D91</f>
        <v>66</v>
      </c>
      <c r="AB20" s="418">
        <f>Zhu!$D92</f>
        <v>34</v>
      </c>
      <c r="AC20" s="418"/>
      <c r="AD20" s="417">
        <f>Zhu!$D94</f>
        <v>7.63</v>
      </c>
      <c r="AE20" s="416">
        <f>Zhu!$D95</f>
        <v>0.1119464256391584</v>
      </c>
      <c r="AF20" s="416">
        <f>Zhu!$D96</f>
        <v>4.1867190167464478E-2</v>
      </c>
      <c r="AG20" s="417"/>
      <c r="AH20" s="417"/>
      <c r="AI20" s="417"/>
      <c r="AJ20" s="418"/>
      <c r="AK20" s="452"/>
      <c r="AL20" s="417"/>
      <c r="AM20" s="417"/>
      <c r="AN20" s="417"/>
      <c r="AO20" s="417"/>
      <c r="AP20" s="417"/>
      <c r="AQ20" s="417"/>
      <c r="AR20" s="418"/>
    </row>
    <row r="21" spans="1:44" x14ac:dyDescent="0.3">
      <c r="A21" s="110"/>
      <c r="B21" s="433"/>
      <c r="C21" s="110"/>
      <c r="D21" s="110"/>
      <c r="E21" s="408"/>
      <c r="F21" s="110"/>
      <c r="G21" s="408"/>
      <c r="H21" s="408"/>
      <c r="I21" s="438"/>
      <c r="J21" s="408"/>
      <c r="K21" s="438"/>
      <c r="L21" s="438"/>
      <c r="M21" s="438"/>
      <c r="N21" s="438"/>
      <c r="O21" s="438"/>
      <c r="P21" s="441" t="str">
        <f>Zhu!$G$81</f>
        <v>Continuous mixing</v>
      </c>
      <c r="Q21" s="443" t="str">
        <f>Zhu!$G$82</f>
        <v>With H2</v>
      </c>
      <c r="R21" s="416"/>
      <c r="S21" s="408"/>
      <c r="T21" s="408"/>
      <c r="U21" s="417">
        <f>Zhu!$G$85</f>
        <v>0.95040000000000013</v>
      </c>
      <c r="V21" s="416">
        <f>Zhu!$G$86</f>
        <v>0.253</v>
      </c>
      <c r="W21" s="416">
        <f>Zhu!$G$87</f>
        <v>3.0700000000000005E-2</v>
      </c>
      <c r="X21" s="454">
        <f>Zhu!$G$88</f>
        <v>0.12540849673202614</v>
      </c>
      <c r="Y21" s="417">
        <f>Zhu!$G$89</f>
        <v>0.50600000000000001</v>
      </c>
      <c r="Z21" s="417">
        <f>Zhu!$G$90</f>
        <v>1.5350000000000003E-2</v>
      </c>
      <c r="AA21" s="418">
        <f>Zhu!$G$91</f>
        <v>46.945967567394185</v>
      </c>
      <c r="AB21" s="418">
        <f>Zhu!$G$92</f>
        <v>14.662913754645427</v>
      </c>
      <c r="AC21" s="418">
        <f>Zhu!$G$93</f>
        <v>38.391118677960385</v>
      </c>
      <c r="AD21" s="417">
        <f>Zhu!$G$94</f>
        <v>7.73</v>
      </c>
      <c r="AE21" s="416">
        <f>Zhu!$G$95</f>
        <v>9.6311051139811657E-2</v>
      </c>
      <c r="AF21" s="416">
        <f>Zhu!$G$96</f>
        <v>2.6123739046378026E-2</v>
      </c>
      <c r="AG21" s="454">
        <f>Zhu!$G$67</f>
        <v>0.13415178571428571</v>
      </c>
      <c r="AH21" s="454">
        <f>Zhu!$G$68</f>
        <v>6.140000000000001E-2</v>
      </c>
      <c r="AI21" s="454">
        <f>Zhu!$G$69</f>
        <v>7.0994368885707509E-2</v>
      </c>
      <c r="AJ21" s="455">
        <f>Zhu!$G$70</f>
        <v>4.1495594189092646</v>
      </c>
      <c r="AK21" s="452">
        <f>Zhu!$G$71</f>
        <v>0.56461189273689261</v>
      </c>
      <c r="AL21" s="454">
        <f>Zhu!$G$72</f>
        <v>2.184882503489995</v>
      </c>
      <c r="AM21" s="454">
        <f>Zhu!$G$73</f>
        <v>0.52920927222623904</v>
      </c>
      <c r="AN21" s="454">
        <f>Zhu!$G$74</f>
        <v>0.86485732549924776</v>
      </c>
      <c r="AO21" s="454">
        <f>Zhu!$G$75</f>
        <v>0.26807970151623406</v>
      </c>
      <c r="AP21" s="454">
        <f>Zhu!$G$76</f>
        <v>0.98575734713322782</v>
      </c>
      <c r="AQ21" s="454">
        <f>Zhu!$G$77</f>
        <v>8.7395300139599801</v>
      </c>
      <c r="AR21" s="455">
        <f>Zhu!$G$78</f>
        <v>7.5584465539938321</v>
      </c>
    </row>
    <row r="22" spans="1:44" x14ac:dyDescent="0.3">
      <c r="A22" s="110"/>
      <c r="B22" s="433"/>
      <c r="C22" s="110"/>
      <c r="D22" s="110"/>
      <c r="E22" s="408"/>
      <c r="F22" s="110"/>
      <c r="G22" s="408"/>
      <c r="H22" s="408"/>
      <c r="I22" s="438"/>
      <c r="J22" s="408"/>
      <c r="K22" s="438"/>
      <c r="L22" s="438"/>
      <c r="M22" s="438"/>
      <c r="N22" s="438"/>
      <c r="O22" s="438"/>
      <c r="P22" s="441" t="str">
        <f>Zhu!$H81</f>
        <v>Continuous mixing, HCOONa</v>
      </c>
      <c r="Q22" s="443" t="str">
        <f>Zhu!$H82</f>
        <v>With H2</v>
      </c>
      <c r="R22" s="416"/>
      <c r="S22" s="408"/>
      <c r="T22" s="408"/>
      <c r="U22" s="417">
        <f>Zhu!$H85</f>
        <v>0.95040000000000013</v>
      </c>
      <c r="V22" s="416">
        <f>Zhu!$H86</f>
        <v>0.29160000000000003</v>
      </c>
      <c r="W22" s="416">
        <f>Zhu!$H87</f>
        <v>6.9300000000000028E-2</v>
      </c>
      <c r="X22" s="454">
        <f>Zhu!$H88</f>
        <v>0.27391304347826095</v>
      </c>
      <c r="Y22" s="417">
        <f>Zhu!$H89</f>
        <v>0.58320000000000005</v>
      </c>
      <c r="Z22" s="417">
        <f>Zhu!$H90</f>
        <v>3.4650000000000014E-2</v>
      </c>
      <c r="AA22" s="418">
        <f>Zhu!$H91</f>
        <v>54.786851652380342</v>
      </c>
      <c r="AB22" s="418">
        <f>Zhu!$H92</f>
        <v>11.541055917087389</v>
      </c>
      <c r="AC22" s="418">
        <f>Zhu!$H93</f>
        <v>33.672092430532267</v>
      </c>
      <c r="AD22" s="417">
        <f>Zhu!$H94</f>
        <v>7.85</v>
      </c>
      <c r="AE22" s="416">
        <f>Zhu!$H95</f>
        <v>6.3683808463092656E-2</v>
      </c>
      <c r="AF22" s="416">
        <f>Zhu!$H96</f>
        <v>1.7610756380785707E-2</v>
      </c>
      <c r="AG22" s="454">
        <f>Zhu!$H67</f>
        <v>0.14799107142857143</v>
      </c>
      <c r="AH22" s="454">
        <f>Zhu!$H68</f>
        <v>0.13860000000000006</v>
      </c>
      <c r="AI22" s="454">
        <f>Zhu!$H69</f>
        <v>0.10618309487123041</v>
      </c>
      <c r="AJ22" s="455">
        <f>Zhu!$H70</f>
        <v>4.1495594189092646</v>
      </c>
      <c r="AK22" s="452">
        <f>Zhu!$H71</f>
        <v>0.62285804473304462</v>
      </c>
      <c r="AL22" s="454">
        <f>Zhu!$H72</f>
        <v>1.0677566481137906</v>
      </c>
      <c r="AM22" s="454">
        <f>Zhu!$H73</f>
        <v>0.71749662899413613</v>
      </c>
      <c r="AN22" s="454">
        <f>Zhu!$H74</f>
        <v>1.3052925248419442</v>
      </c>
      <c r="AO22" s="454">
        <f>Zhu!$H75</f>
        <v>0.60514408192426794</v>
      </c>
      <c r="AP22" s="454">
        <f>Zhu!$H76</f>
        <v>1.0481222613247594</v>
      </c>
      <c r="AQ22" s="454">
        <f>Zhu!$H77</f>
        <v>4.2710265924551623</v>
      </c>
      <c r="AR22" s="455">
        <f>Zhu!$H78</f>
        <v>5.5749390845328843</v>
      </c>
    </row>
    <row r="23" spans="1:44" x14ac:dyDescent="0.3">
      <c r="A23" s="110"/>
      <c r="B23" s="433" t="str">
        <f>Zhu!B100</f>
        <v>Zhu et al., 2019b</v>
      </c>
      <c r="C23" s="110">
        <v>26</v>
      </c>
      <c r="D23" s="110" t="str">
        <f>Zhu!$D104</f>
        <v>PM</v>
      </c>
      <c r="E23" s="408">
        <f>Zhu!$D105</f>
        <v>35</v>
      </c>
      <c r="F23" s="110" t="str">
        <f>Zhu!$D106</f>
        <v>CSTR</v>
      </c>
      <c r="G23" s="408" t="str">
        <f>Zhu!$D107</f>
        <v>n/r</v>
      </c>
      <c r="H23" s="408">
        <f>Zhu!$D108</f>
        <v>11.2</v>
      </c>
      <c r="I23" s="438" t="str">
        <f>Zhu!$D109</f>
        <v>Mechanical</v>
      </c>
      <c r="J23" s="408" t="str">
        <f>Zhu!$D110</f>
        <v>No</v>
      </c>
      <c r="K23" s="438" t="str">
        <f>Zhu!$D111</f>
        <v>Distributor</v>
      </c>
      <c r="L23" s="438" t="str">
        <f>Zhu!$D112</f>
        <v>Continuous</v>
      </c>
      <c r="M23" s="438" t="str">
        <f>Zhu!$D113</f>
        <v>Sequential</v>
      </c>
      <c r="N23" s="438" t="str">
        <f>Zhu!$D114</f>
        <v>Temperature and mixing</v>
      </c>
      <c r="O23" s="438" t="str">
        <f>Zhu!$D115</f>
        <v>1 reactor at each temp</v>
      </c>
      <c r="P23" s="441" t="str">
        <f>Zhu!$D$183</f>
        <v>Meso - intermittent mixing</v>
      </c>
      <c r="Q23" s="443" t="str">
        <f>Zhu!$D$184</f>
        <v>No H2</v>
      </c>
      <c r="R23" s="497">
        <f>C23</f>
        <v>26</v>
      </c>
      <c r="S23" s="408">
        <f>Zhu!$D$185</f>
        <v>2</v>
      </c>
      <c r="T23" s="408">
        <f>Zhu!$D$186</f>
        <v>25</v>
      </c>
      <c r="U23" s="417"/>
      <c r="V23" s="416">
        <f>Zhu!$D$188</f>
        <v>0.19700000000000001</v>
      </c>
      <c r="W23" s="416"/>
      <c r="X23" s="417"/>
      <c r="Y23" s="417">
        <f>Zhu!$D$191</f>
        <v>9.8500000000000004E-2</v>
      </c>
      <c r="Z23" s="417"/>
      <c r="AA23" s="418">
        <f>Zhu!$D$193</f>
        <v>62</v>
      </c>
      <c r="AB23" s="418">
        <f>Zhu!$D$194</f>
        <v>38</v>
      </c>
      <c r="AC23" s="418"/>
      <c r="AD23" s="417">
        <f>Zhu!$D$196</f>
        <v>7.36</v>
      </c>
      <c r="AE23" s="416">
        <f>Zhu!$D$197</f>
        <v>8.3817030421155583E-2</v>
      </c>
      <c r="AF23" s="408">
        <f>Zhu!$D$198</f>
        <v>2.221009333443626E-2</v>
      </c>
      <c r="AG23" s="417"/>
      <c r="AH23" s="417"/>
      <c r="AI23" s="417"/>
      <c r="AJ23" s="418"/>
      <c r="AK23" s="452"/>
      <c r="AL23" s="417"/>
      <c r="AM23" s="417"/>
      <c r="AN23" s="417"/>
      <c r="AO23" s="417"/>
      <c r="AP23" s="417"/>
      <c r="AQ23" s="417"/>
      <c r="AR23" s="418"/>
    </row>
    <row r="24" spans="1:44" x14ac:dyDescent="0.3">
      <c r="A24" s="110"/>
      <c r="B24" s="433"/>
      <c r="C24" s="110"/>
      <c r="D24" s="110"/>
      <c r="E24" s="408"/>
      <c r="F24" s="110"/>
      <c r="G24" s="408"/>
      <c r="H24" s="408"/>
      <c r="I24" s="438"/>
      <c r="J24" s="408"/>
      <c r="K24" s="438"/>
      <c r="L24" s="438"/>
      <c r="M24" s="438"/>
      <c r="N24" s="438"/>
      <c r="O24" s="438"/>
      <c r="P24" s="441" t="str">
        <f>Zhu!$E$183</f>
        <v>Meso - intermittent mixing</v>
      </c>
      <c r="Q24" s="443" t="str">
        <f>Zhu!$E$184</f>
        <v>With H2</v>
      </c>
      <c r="R24" s="416"/>
      <c r="S24" s="408">
        <f>Zhu!$E$185</f>
        <v>2</v>
      </c>
      <c r="T24" s="408"/>
      <c r="U24" s="417">
        <f>Zhu!$E$187</f>
        <v>0.13392857142857142</v>
      </c>
      <c r="V24" s="416">
        <f>Zhu!$E$188</f>
        <v>0.2</v>
      </c>
      <c r="W24" s="416">
        <f>Zhu!$E$189</f>
        <v>3.0000000000000027E-3</v>
      </c>
      <c r="X24" s="416">
        <f>Zhu!$E$190</f>
        <v>1.5228426395939099E-2</v>
      </c>
      <c r="Y24" s="417">
        <f>Zhu!$E$191</f>
        <v>0.1</v>
      </c>
      <c r="Z24" s="417">
        <f>Zhu!$E$192</f>
        <v>1.5000000000000013E-3</v>
      </c>
      <c r="AA24" s="418">
        <f>Zhu!$E$193</f>
        <v>59.794661190965094</v>
      </c>
      <c r="AB24" s="418">
        <f>Zhu!$E$194</f>
        <v>32.197125256673509</v>
      </c>
      <c r="AC24" s="418">
        <f>Zhu!$E$195</f>
        <v>8.0082135523613935</v>
      </c>
      <c r="AD24" s="417">
        <f>Zhu!$E$196</f>
        <v>7.4</v>
      </c>
      <c r="AE24" s="416">
        <f>Zhu!$E$197</f>
        <v>8.7172567414166069E-2</v>
      </c>
      <c r="AF24" s="408">
        <f>Zhu!$E$198</f>
        <v>2.2193933766344438E-2</v>
      </c>
      <c r="AG24" s="417">
        <f>Zhu!$E$169</f>
        <v>2.0089285714285716E-2</v>
      </c>
      <c r="AH24" s="417">
        <f>Zhu!$E$170</f>
        <v>6.0000000000000053E-3</v>
      </c>
      <c r="AI24" s="417">
        <f>Zhu!$E$171</f>
        <v>2.6099255583126563E-2</v>
      </c>
      <c r="AJ24" s="418">
        <f>Zhu!$E$172</f>
        <v>0.55460669440097699</v>
      </c>
      <c r="AK24" s="452">
        <f>Zhu!$E$173</f>
        <v>0.60000000000000009</v>
      </c>
      <c r="AL24" s="417">
        <f>Zhu!$E$174</f>
        <v>3.3482142857142829</v>
      </c>
      <c r="AM24" s="417">
        <f>Zhu!$E$175</f>
        <v>1.2991629445822999</v>
      </c>
      <c r="AN24" s="417">
        <f>Zhu!$E$176</f>
        <v>0.22989161437535663</v>
      </c>
      <c r="AO24" s="417">
        <f>Zhu!$E$177</f>
        <v>2.4846379909163791E-2</v>
      </c>
      <c r="AP24" s="417">
        <f>Zhu!$E$178</f>
        <v>0.96837172979304964</v>
      </c>
      <c r="AQ24" s="417">
        <f>Zhu!$E$179</f>
        <v>13.392857142857132</v>
      </c>
      <c r="AR24" s="418">
        <f>Zhu!$E$180</f>
        <v>3.0789055496699524</v>
      </c>
    </row>
    <row r="25" spans="1:44" x14ac:dyDescent="0.3">
      <c r="A25" s="110"/>
      <c r="B25" s="433"/>
      <c r="C25" s="110"/>
      <c r="D25" s="110"/>
      <c r="E25" s="408"/>
      <c r="F25" s="110"/>
      <c r="G25" s="408"/>
      <c r="H25" s="408"/>
      <c r="I25" s="438"/>
      <c r="J25" s="408"/>
      <c r="K25" s="438"/>
      <c r="L25" s="438"/>
      <c r="M25" s="438"/>
      <c r="N25" s="438"/>
      <c r="O25" s="438"/>
      <c r="P25" s="441" t="str">
        <f>Zhu!$G$183</f>
        <v>Meso - continuous mixing</v>
      </c>
      <c r="Q25" s="443" t="str">
        <f>Zhu!$G$184</f>
        <v>With H2</v>
      </c>
      <c r="R25" s="416"/>
      <c r="S25" s="408">
        <f>Zhu!$F185</f>
        <v>2</v>
      </c>
      <c r="T25" s="408"/>
      <c r="U25" s="417">
        <f>Zhu!$G$187</f>
        <v>0.6428571428571429</v>
      </c>
      <c r="V25" s="416">
        <f>Zhu!$G$188</f>
        <v>0.21</v>
      </c>
      <c r="W25" s="416">
        <f>Zhu!$G$189</f>
        <v>1.2999999999999984E-2</v>
      </c>
      <c r="X25" s="454">
        <f>Zhu!$G$190</f>
        <v>5.3061224489795854E-2</v>
      </c>
      <c r="Y25" s="417">
        <f>Zhu!$G$191</f>
        <v>0.105</v>
      </c>
      <c r="Z25" s="417">
        <f>Zhu!$G$192</f>
        <v>6.4999999999999919E-3</v>
      </c>
      <c r="AA25" s="418">
        <f>Zhu!$G$193</f>
        <v>39.134775374376041</v>
      </c>
      <c r="AB25" s="418">
        <f>Zhu!$G$194</f>
        <v>16.772046589018302</v>
      </c>
      <c r="AC25" s="418">
        <f>Zhu!$G$195</f>
        <v>44.093178036605664</v>
      </c>
      <c r="AD25" s="417">
        <f>Zhu!$G$196</f>
        <v>7.59</v>
      </c>
      <c r="AE25" s="416">
        <f>Zhu!$G$197</f>
        <v>9.4597585441253115E-2</v>
      </c>
      <c r="AF25" s="408">
        <f>Zhu!$G$198</f>
        <v>2.5900755259505897E-2</v>
      </c>
      <c r="AG25" s="417">
        <f>Zhu!$G$169</f>
        <v>4.2410714285714288E-2</v>
      </c>
      <c r="AH25" s="417">
        <f>Zhu!$G$170</f>
        <v>2.5999999999999968E-2</v>
      </c>
      <c r="AI25" s="417">
        <f>Zhu!$G$171</f>
        <v>6.1483870967741966E-2</v>
      </c>
      <c r="AJ25" s="418">
        <f>Zhu!$G$172</f>
        <v>2.66211213312469</v>
      </c>
      <c r="AK25" s="452">
        <f>Zhu!$G$173</f>
        <v>0.2638888888888889</v>
      </c>
      <c r="AL25" s="417">
        <f>Zhu!$G$174</f>
        <v>1.6311813186813209</v>
      </c>
      <c r="AM25" s="417">
        <f>Zhu!$G$175</f>
        <v>1.4497249575551789</v>
      </c>
      <c r="AN25" s="417">
        <f>Zhu!$G$176</f>
        <v>0.42287513116474218</v>
      </c>
      <c r="AO25" s="417">
        <f>Zhu!$G$177</f>
        <v>0.10766764627304287</v>
      </c>
      <c r="AP25" s="417">
        <f>Zhu!$G$178</f>
        <v>0.94416243654822329</v>
      </c>
      <c r="AQ25" s="417">
        <f>Zhu!$G$179</f>
        <v>6.5247252747252835</v>
      </c>
      <c r="AR25" s="418">
        <f>Zhu!$G$180</f>
        <v>2.7591440563633625</v>
      </c>
    </row>
    <row r="26" spans="1:44" x14ac:dyDescent="0.3">
      <c r="A26" s="110"/>
      <c r="B26" s="433"/>
      <c r="C26" s="110"/>
      <c r="D26" s="110"/>
      <c r="E26" s="408">
        <f>Zhu!E105</f>
        <v>55</v>
      </c>
      <c r="F26" s="110"/>
      <c r="G26" s="408"/>
      <c r="H26" s="408"/>
      <c r="I26" s="438"/>
      <c r="J26" s="408"/>
      <c r="K26" s="438"/>
      <c r="L26" s="438"/>
      <c r="M26" s="438"/>
      <c r="N26" s="438"/>
      <c r="O26" s="438"/>
      <c r="P26" s="441" t="str">
        <f>Zhu!$H183</f>
        <v>Thermo - intermittent mixing</v>
      </c>
      <c r="Q26" s="443" t="str">
        <f>Zhu!$H184</f>
        <v>No H2</v>
      </c>
      <c r="R26" s="416"/>
      <c r="S26" s="408">
        <f>Zhu!$H185</f>
        <v>2</v>
      </c>
      <c r="T26" s="408"/>
      <c r="U26" s="417"/>
      <c r="V26" s="416">
        <f>Zhu!$H188</f>
        <v>0.222</v>
      </c>
      <c r="W26" s="416">
        <f>Zhu!$H189</f>
        <v>2.4999999999999994E-2</v>
      </c>
      <c r="X26" s="454">
        <f>Zhu!$H190</f>
        <v>0.11904761904761903</v>
      </c>
      <c r="Y26" s="417">
        <f>Zhu!$H191</f>
        <v>0.111</v>
      </c>
      <c r="Z26" s="417">
        <f>Zhu!$H192</f>
        <v>1.2499999999999997E-2</v>
      </c>
      <c r="AA26" s="418">
        <f>Zhu!$H193</f>
        <v>66</v>
      </c>
      <c r="AB26" s="418">
        <f>Zhu!$H194</f>
        <v>34</v>
      </c>
      <c r="AC26" s="418"/>
      <c r="AD26" s="417">
        <f>Zhu!$H196</f>
        <v>7.63</v>
      </c>
      <c r="AE26" s="416">
        <f>Zhu!$H197</f>
        <v>0.1119464256391584</v>
      </c>
      <c r="AF26" s="408">
        <f>Zhu!$H198</f>
        <v>4.2272162143403742E-2</v>
      </c>
      <c r="AG26" s="417"/>
      <c r="AH26" s="417"/>
      <c r="AI26" s="417"/>
      <c r="AJ26" s="418"/>
      <c r="AK26" s="452"/>
      <c r="AL26" s="417"/>
      <c r="AM26" s="417"/>
      <c r="AN26" s="417"/>
      <c r="AO26" s="417"/>
      <c r="AP26" s="417"/>
      <c r="AQ26" s="417"/>
      <c r="AR26" s="418"/>
    </row>
    <row r="27" spans="1:44" x14ac:dyDescent="0.3">
      <c r="A27" s="110"/>
      <c r="B27" s="433"/>
      <c r="C27" s="110"/>
      <c r="D27" s="110"/>
      <c r="E27" s="408"/>
      <c r="F27" s="110"/>
      <c r="G27" s="408"/>
      <c r="H27" s="408"/>
      <c r="I27" s="438"/>
      <c r="J27" s="408"/>
      <c r="K27" s="438"/>
      <c r="L27" s="438"/>
      <c r="M27" s="438"/>
      <c r="N27" s="438"/>
      <c r="O27" s="438"/>
      <c r="P27" s="441" t="str">
        <f>Zhu!$K183</f>
        <v>Thermo - continuous mixing</v>
      </c>
      <c r="Q27" s="443" t="str">
        <f>Zhu!$K184</f>
        <v>With H2</v>
      </c>
      <c r="R27" s="416"/>
      <c r="S27" s="408">
        <f>Zhu!$K185</f>
        <v>2</v>
      </c>
      <c r="T27" s="408"/>
      <c r="U27" s="417">
        <f>Zhu!$K187</f>
        <v>0.66071428571428581</v>
      </c>
      <c r="V27" s="416">
        <f>Zhu!$K188</f>
        <v>0.245</v>
      </c>
      <c r="W27" s="416">
        <f>Zhu!$K189</f>
        <v>4.7999999999999987E-2</v>
      </c>
      <c r="X27" s="454">
        <f>Zhu!$K190</f>
        <v>0.19591836734693874</v>
      </c>
      <c r="Y27" s="417">
        <f>Zhu!$K191</f>
        <v>0.1225</v>
      </c>
      <c r="Z27" s="417">
        <f>Zhu!$K192</f>
        <v>2.3999999999999994E-2</v>
      </c>
      <c r="AA27" s="418">
        <f>Zhu!$K193</f>
        <v>68.293554562858958</v>
      </c>
      <c r="AB27" s="418">
        <f>Zhu!$K194</f>
        <v>19.262284620293553</v>
      </c>
      <c r="AC27" s="418">
        <f>Zhu!$K195</f>
        <v>12.44416081684748</v>
      </c>
      <c r="AD27" s="417">
        <f>Zhu!$K196</f>
        <v>7.77</v>
      </c>
      <c r="AE27" s="416">
        <f>Zhu!$K197</f>
        <v>0.10987598792006682</v>
      </c>
      <c r="AF27" s="408">
        <f>Zhu!$K198</f>
        <v>2.8057455077697822E-2</v>
      </c>
      <c r="AG27" s="417">
        <f>Zhu!$K169</f>
        <v>0.14285714285714288</v>
      </c>
      <c r="AH27" s="417">
        <f>Zhu!$K170</f>
        <v>4.5999999999999985E-2</v>
      </c>
      <c r="AI27" s="417">
        <f>Zhu!$K171</f>
        <v>9.0522144522144521E-2</v>
      </c>
      <c r="AJ27" s="418">
        <f>Zhu!$K172</f>
        <v>2.8886554621848743</v>
      </c>
      <c r="AK27" s="452">
        <f>Zhu!$K173</f>
        <v>0.86486486486486491</v>
      </c>
      <c r="AL27" s="417">
        <f>Zhu!$K174</f>
        <v>3.1055900621118027</v>
      </c>
      <c r="AM27" s="417">
        <f>Zhu!$K175</f>
        <v>0.63365501165501159</v>
      </c>
      <c r="AN27" s="417">
        <f>Zhu!$K176</f>
        <v>0.50816294999227463</v>
      </c>
      <c r="AO27" s="417">
        <f>Zhu!$K177</f>
        <v>0.20111287758346577</v>
      </c>
      <c r="AP27" s="417">
        <f>Zhu!$K178</f>
        <v>0.93381843381843377</v>
      </c>
      <c r="AQ27" s="417">
        <f>Zhu!$K179</f>
        <v>12.422360248447211</v>
      </c>
      <c r="AR27" s="418">
        <f>Zhu!$K180</f>
        <v>6.3125832297177009</v>
      </c>
    </row>
    <row r="28" spans="1:44" x14ac:dyDescent="0.3">
      <c r="A28" s="110"/>
      <c r="B28" s="433" t="str">
        <f>Zhu!B202</f>
        <v>Zhu et al., 2020</v>
      </c>
      <c r="C28" s="110">
        <v>27</v>
      </c>
      <c r="D28" s="110" t="str">
        <f>Zhu!$D207</f>
        <v>PM</v>
      </c>
      <c r="E28" s="408">
        <f>Zhu!$D208</f>
        <v>35</v>
      </c>
      <c r="F28" s="110" t="str">
        <f>Zhu!$D209</f>
        <v>CSTR</v>
      </c>
      <c r="G28" s="408" t="str">
        <f>Zhu!$D210</f>
        <v>n/r</v>
      </c>
      <c r="H28" s="408">
        <f>Zhu!$D211</f>
        <v>11.6</v>
      </c>
      <c r="I28" s="438" t="str">
        <f>Zhu!$D212</f>
        <v>Mechanical</v>
      </c>
      <c r="J28" s="408" t="str">
        <f>Zhu!$D213</f>
        <v>No</v>
      </c>
      <c r="K28" s="438" t="str">
        <f>Zhu!$D214</f>
        <v>Distributor</v>
      </c>
      <c r="L28" s="438" t="str">
        <f>Zhu!$D215</f>
        <v>Continuous</v>
      </c>
      <c r="M28" s="438" t="str">
        <f>Zhu!$D216</f>
        <v>Sequential</v>
      </c>
      <c r="N28" s="438" t="str">
        <f>Zhu!$D217</f>
        <v>H2 addition and mixing</v>
      </c>
      <c r="O28" s="438" t="str">
        <f>Zhu!$D218</f>
        <v>1 reactor</v>
      </c>
      <c r="P28" s="441" t="str">
        <f>Zhu!$D285</f>
        <v>Control period</v>
      </c>
      <c r="Q28" s="443" t="str">
        <f>Zhu!$D286</f>
        <v>No H2</v>
      </c>
      <c r="R28" s="497">
        <f>C28</f>
        <v>27</v>
      </c>
      <c r="S28" s="409">
        <f>Zhu!$D287</f>
        <v>2</v>
      </c>
      <c r="T28" s="408">
        <f>Zhu!$D288</f>
        <v>25</v>
      </c>
      <c r="U28" s="417"/>
      <c r="V28" s="416">
        <f>Zhu!$D290</f>
        <v>0.18934000000000001</v>
      </c>
      <c r="W28" s="416"/>
      <c r="X28" s="417"/>
      <c r="Y28" s="417">
        <f>Zhu!$D293</f>
        <v>0.39</v>
      </c>
      <c r="Z28" s="417"/>
      <c r="AA28" s="418">
        <f>Zhu!$D295</f>
        <v>62</v>
      </c>
      <c r="AB28" s="418">
        <f>Zhu!$D296</f>
        <v>38</v>
      </c>
      <c r="AC28" s="418"/>
      <c r="AD28" s="417">
        <f>Zhu!$D298</f>
        <v>7.36</v>
      </c>
      <c r="AE28" s="416">
        <f>Zhu!$D299</f>
        <v>8.3817030421155583E-2</v>
      </c>
      <c r="AF28" s="416">
        <f>Zhu!$D300</f>
        <v>2.2799999999999997E-2</v>
      </c>
      <c r="AG28" s="417"/>
      <c r="AH28" s="417"/>
      <c r="AI28" s="417"/>
      <c r="AJ28" s="418"/>
      <c r="AK28" s="452"/>
      <c r="AL28" s="417"/>
      <c r="AM28" s="417"/>
      <c r="AN28" s="417"/>
      <c r="AO28" s="417"/>
      <c r="AP28" s="417"/>
      <c r="AQ28" s="417"/>
      <c r="AR28" s="418"/>
    </row>
    <row r="29" spans="1:44" x14ac:dyDescent="0.3">
      <c r="A29" s="110"/>
      <c r="B29" s="433"/>
      <c r="C29" s="110"/>
      <c r="D29" s="110"/>
      <c r="E29" s="408"/>
      <c r="F29" s="110"/>
      <c r="G29" s="408"/>
      <c r="H29" s="408"/>
      <c r="I29" s="438"/>
      <c r="J29" s="408"/>
      <c r="K29" s="438"/>
      <c r="L29" s="438"/>
      <c r="M29" s="438"/>
      <c r="N29" s="438"/>
      <c r="O29" s="438"/>
      <c r="P29" s="441" t="str">
        <f>Zhu!$E285</f>
        <v>Low H2/CO2</v>
      </c>
      <c r="Q29" s="443" t="str">
        <f>Zhu!$E286</f>
        <v>With H2</v>
      </c>
      <c r="R29" s="416"/>
      <c r="S29" s="408"/>
      <c r="T29" s="408"/>
      <c r="U29" s="417">
        <f>Zhu!$E289</f>
        <v>0.18620689655172415</v>
      </c>
      <c r="V29" s="416">
        <f>Zhu!$E290</f>
        <v>0.20041999999999999</v>
      </c>
      <c r="W29" s="416">
        <f>Zhu!$E291</f>
        <v>1.1079999999999979E-2</v>
      </c>
      <c r="X29" s="417">
        <f>Zhu!$E292</f>
        <v>5.8519066230062207E-2</v>
      </c>
      <c r="Y29" s="417">
        <f>Zhu!$E293</f>
        <v>0.42</v>
      </c>
      <c r="Z29" s="417">
        <f>Zhu!$E294</f>
        <v>2.9999999999999971E-2</v>
      </c>
      <c r="AA29" s="418">
        <f>Zhu!$E295</f>
        <v>55.773159563226493</v>
      </c>
      <c r="AB29" s="418">
        <f>Zhu!$E296</f>
        <v>30.031701303275803</v>
      </c>
      <c r="AC29" s="418">
        <f>Zhu!$E297</f>
        <v>14.195139133497714</v>
      </c>
      <c r="AD29" s="417">
        <f>Zhu!$E298</f>
        <v>7.42</v>
      </c>
      <c r="AE29" s="416">
        <f>Zhu!$E299</f>
        <v>8.7172567414166069E-2</v>
      </c>
      <c r="AF29" s="416">
        <f>Zhu!$E300</f>
        <v>2.2200000000000004E-2</v>
      </c>
      <c r="AG29" s="454">
        <f>Zhu!$E271</f>
        <v>1.9827586206896553E-2</v>
      </c>
      <c r="AH29" s="454">
        <f>Zhu!$E272</f>
        <v>2.9999999999999971E-2</v>
      </c>
      <c r="AI29" s="454">
        <f>Zhu!$E273</f>
        <v>1.287841191066999E-2</v>
      </c>
      <c r="AJ29" s="455">
        <f>Zhu!$E274</f>
        <v>0.77900321094513469</v>
      </c>
      <c r="AK29" s="452">
        <f>Zhu!$E275</f>
        <v>0.42592592592592593</v>
      </c>
      <c r="AL29" s="454">
        <f>Zhu!$E276</f>
        <v>0.66091954022988575</v>
      </c>
      <c r="AM29" s="454">
        <f>Zhu!$E277</f>
        <v>0.64951990505987767</v>
      </c>
      <c r="AN29" s="454">
        <f>Zhu!$E278</f>
        <v>2.3294797687861224</v>
      </c>
      <c r="AO29" s="454">
        <f>Zhu!$E279</f>
        <v>0.12550607287449381</v>
      </c>
      <c r="AP29" s="454">
        <f>Zhu!$E280</f>
        <v>1.0389809568901911</v>
      </c>
      <c r="AQ29" s="454">
        <f>Zhu!$E281</f>
        <v>2.643678160919543</v>
      </c>
      <c r="AR29" s="455">
        <f>Zhu!$E282</f>
        <v>6.1583947910437775</v>
      </c>
    </row>
    <row r="30" spans="1:44" x14ac:dyDescent="0.3">
      <c r="A30" s="110"/>
      <c r="B30" s="433"/>
      <c r="C30" s="110"/>
      <c r="D30" s="110"/>
      <c r="E30" s="408"/>
      <c r="F30" s="110"/>
      <c r="G30" s="408"/>
      <c r="H30" s="408"/>
      <c r="I30" s="438"/>
      <c r="J30" s="408"/>
      <c r="K30" s="438"/>
      <c r="L30" s="438"/>
      <c r="M30" s="438"/>
      <c r="N30" s="438"/>
      <c r="O30" s="438"/>
      <c r="P30" s="441" t="str">
        <f>Zhu!$F285</f>
        <v>Intermittent mix</v>
      </c>
      <c r="Q30" s="443" t="str">
        <f>Zhu!$F286</f>
        <v>With H2</v>
      </c>
      <c r="R30" s="416"/>
      <c r="S30" s="408"/>
      <c r="T30" s="408"/>
      <c r="U30" s="417">
        <f>Zhu!$F289</f>
        <v>0.89379310344827589</v>
      </c>
      <c r="V30" s="416">
        <f>Zhu!$F290</f>
        <v>0.24465999999999999</v>
      </c>
      <c r="W30" s="416">
        <f>Zhu!$F291</f>
        <v>5.531999999999998E-2</v>
      </c>
      <c r="X30" s="417">
        <f>Zhu!$F292</f>
        <v>0.29217281081652041</v>
      </c>
      <c r="Y30" s="417">
        <f>Zhu!$F293</f>
        <v>0.51</v>
      </c>
      <c r="Z30" s="417">
        <f>Zhu!$F294</f>
        <v>0.12</v>
      </c>
      <c r="AA30" s="418">
        <f>Zhu!$F295</f>
        <v>32.502572196306026</v>
      </c>
      <c r="AB30" s="418">
        <f>Zhu!$F296</f>
        <v>16.743749313248557</v>
      </c>
      <c r="AC30" s="418">
        <f>Zhu!$F297</f>
        <v>50.753678490445417</v>
      </c>
      <c r="AD30" s="417">
        <f>Zhu!$F298</f>
        <v>7.63</v>
      </c>
      <c r="AE30" s="416">
        <f>Zhu!$F299</f>
        <v>9.6311051139811657E-2</v>
      </c>
      <c r="AF30" s="416">
        <f>Zhu!$F300</f>
        <v>2.3100000000000002E-2</v>
      </c>
      <c r="AG30" s="454">
        <f>Zhu!$F271</f>
        <v>2.4353448275862069E-2</v>
      </c>
      <c r="AH30" s="454">
        <f>Zhu!$F272</f>
        <v>0.12</v>
      </c>
      <c r="AI30" s="454">
        <f>Zhu!$F273</f>
        <v>-2.3695014662756558E-2</v>
      </c>
      <c r="AJ30" s="455">
        <f>Zhu!$F274</f>
        <v>3.7392154125366468</v>
      </c>
      <c r="AK30" s="452">
        <f>Zhu!$F275</f>
        <v>0.1089891975308642</v>
      </c>
      <c r="AL30" s="454">
        <f>Zhu!$F276</f>
        <v>0.20294540229885058</v>
      </c>
      <c r="AM30" s="454">
        <f>Zhu!$F277</f>
        <v>-0.97296343393973828</v>
      </c>
      <c r="AN30" s="454">
        <f>Zhu!$F278</f>
        <v>-5.0643564356435729</v>
      </c>
      <c r="AO30" s="454">
        <f>Zhu!$F279</f>
        <v>0.50202429149797567</v>
      </c>
      <c r="AP30" s="454">
        <f>Zhu!$F280</f>
        <v>1.2523885291930956</v>
      </c>
      <c r="AQ30" s="454">
        <f>Zhu!$F281</f>
        <v>0.81178160919540232</v>
      </c>
      <c r="AR30" s="455">
        <f>Zhu!$F282</f>
        <v>-4.1111514168658312</v>
      </c>
    </row>
    <row r="31" spans="1:44" x14ac:dyDescent="0.3">
      <c r="A31" s="110"/>
      <c r="B31" s="433" t="str">
        <f>Luo!B107</f>
        <v>Luo et al., 2013a</v>
      </c>
      <c r="C31" s="110">
        <v>29</v>
      </c>
      <c r="D31" s="110" t="str">
        <f>Luo!$D111</f>
        <v>CM + whey</v>
      </c>
      <c r="E31" s="408">
        <f>Luo!$D112</f>
        <v>55</v>
      </c>
      <c r="F31" s="110" t="str">
        <f>Luo!$D113</f>
        <v>CSTR</v>
      </c>
      <c r="G31" s="408">
        <f>Luo!$D114</f>
        <v>1</v>
      </c>
      <c r="H31" s="408">
        <f>Luo!$D115</f>
        <v>0.6</v>
      </c>
      <c r="I31" s="438" t="str">
        <f>Luo!$D116</f>
        <v xml:space="preserve">Magnetic </v>
      </c>
      <c r="J31" s="408" t="str">
        <f>Luo!$D117</f>
        <v>No</v>
      </c>
      <c r="K31" s="438" t="str">
        <f>Luo!$D118</f>
        <v>Column/ceramic</v>
      </c>
      <c r="L31" s="438" t="str">
        <f>Luo!$D119</f>
        <v>Continuous</v>
      </c>
      <c r="M31" s="438" t="str">
        <f>Luo!$D120</f>
        <v>Parallel</v>
      </c>
      <c r="N31" s="438" t="str">
        <f>Luo!$D121</f>
        <v>Diffuser and mixing speed</v>
      </c>
      <c r="O31" s="438" t="str">
        <f>Luo!$D122</f>
        <v>2 reactors</v>
      </c>
      <c r="P31" s="441" t="str">
        <f>Luo!$E$180</f>
        <v>150 rpm, column</v>
      </c>
      <c r="Q31" s="443" t="str">
        <f>Luo!$E$181</f>
        <v>No H2</v>
      </c>
      <c r="R31" s="497">
        <f>C31</f>
        <v>29</v>
      </c>
      <c r="S31" s="417">
        <f>Luo!$E$182</f>
        <v>1.6733333333333333</v>
      </c>
      <c r="T31" s="408">
        <f>Luo!$E$183</f>
        <v>15</v>
      </c>
      <c r="U31" s="417"/>
      <c r="V31" s="416">
        <f>Luo!$E$185</f>
        <v>0.28685258964143429</v>
      </c>
      <c r="W31" s="416"/>
      <c r="X31" s="417"/>
      <c r="Y31" s="417">
        <f>Luo!$E$188</f>
        <v>0.48</v>
      </c>
      <c r="Z31" s="417"/>
      <c r="AA31" s="418">
        <f>Luo!$E$190</f>
        <v>55</v>
      </c>
      <c r="AB31" s="418">
        <f>Luo!$E$191</f>
        <v>45</v>
      </c>
      <c r="AC31" s="418">
        <f>Luo!$E$192</f>
        <v>0</v>
      </c>
      <c r="AD31" s="417">
        <f>Luo!$E$193</f>
        <v>7.28</v>
      </c>
      <c r="AE31" s="416">
        <f>Luo!$E$194</f>
        <v>0</v>
      </c>
      <c r="AF31" s="416">
        <f>Luo!$E$195</f>
        <v>8.9999999999999987E-4</v>
      </c>
      <c r="AG31" s="417"/>
      <c r="AH31" s="417"/>
      <c r="AI31" s="417"/>
      <c r="AJ31" s="418"/>
      <c r="AK31" s="452"/>
      <c r="AL31" s="417"/>
      <c r="AM31" s="417"/>
      <c r="AN31" s="417"/>
      <c r="AO31" s="417"/>
      <c r="AP31" s="417"/>
      <c r="AQ31" s="417"/>
      <c r="AR31" s="418"/>
    </row>
    <row r="32" spans="1:44" x14ac:dyDescent="0.3">
      <c r="A32" s="110"/>
      <c r="B32" s="433"/>
      <c r="C32" s="110"/>
      <c r="D32" s="110"/>
      <c r="E32" s="408"/>
      <c r="F32" s="110"/>
      <c r="G32" s="408"/>
      <c r="H32" s="408"/>
      <c r="I32" s="438"/>
      <c r="J32" s="408"/>
      <c r="K32" s="438"/>
      <c r="L32" s="438"/>
      <c r="M32" s="438"/>
      <c r="N32" s="438"/>
      <c r="O32" s="438"/>
      <c r="P32" s="441" t="str">
        <f>Luo!$D$180</f>
        <v>150 rpm, column</v>
      </c>
      <c r="Q32" s="443" t="str">
        <f>Luo!$D$181</f>
        <v>With H2</v>
      </c>
      <c r="R32" s="416"/>
      <c r="S32" s="408"/>
      <c r="T32" s="408"/>
      <c r="U32" s="417">
        <f>Luo!$D$184</f>
        <v>1.7</v>
      </c>
      <c r="V32" s="416">
        <f>Luo!$D$185</f>
        <v>0.45239043824701197</v>
      </c>
      <c r="W32" s="416">
        <f>Luo!$D$186</f>
        <v>0.16553784860557769</v>
      </c>
      <c r="X32" s="417">
        <f>Luo!$D$187</f>
        <v>0.57708333333333328</v>
      </c>
      <c r="Y32" s="417">
        <f>Luo!$D$188</f>
        <v>0.75700000000000001</v>
      </c>
      <c r="Z32" s="417">
        <f>Luo!$D$189</f>
        <v>0.27700000000000002</v>
      </c>
      <c r="AA32" s="418">
        <f>Luo!$D$190</f>
        <v>53</v>
      </c>
      <c r="AB32" s="418">
        <f>Luo!$D$191</f>
        <v>13</v>
      </c>
      <c r="AC32" s="418">
        <f>Luo!$D$192</f>
        <v>34</v>
      </c>
      <c r="AD32" s="417">
        <f>Luo!$D$193</f>
        <v>7.74</v>
      </c>
      <c r="AE32" s="416">
        <f>Luo!$D$194</f>
        <v>0</v>
      </c>
      <c r="AF32" s="416">
        <f>Luo!$D$195</f>
        <v>2.9000000000000002E-3</v>
      </c>
      <c r="AG32" s="417">
        <f>Luo!$D$165</f>
        <v>0.303535</v>
      </c>
      <c r="AH32" s="417">
        <f>Luo!$D$166</f>
        <v>0.27700000000000002</v>
      </c>
      <c r="AI32" s="417">
        <f>Luo!$D$167</f>
        <v>0.20799999999999999</v>
      </c>
      <c r="AJ32" s="418">
        <f>Luo!$D$168</f>
        <v>4.3224002034070681</v>
      </c>
      <c r="AK32" s="452">
        <f>Luo!$D$169</f>
        <v>0.71420000000000006</v>
      </c>
      <c r="AL32" s="417">
        <f>Luo!$D$170</f>
        <v>0.91258009784703586</v>
      </c>
      <c r="AM32" s="417">
        <f>Luo!$D$171</f>
        <v>0.68525870163243119</v>
      </c>
      <c r="AN32" s="417">
        <f>Luo!$D$172</f>
        <v>1.3317307692307694</v>
      </c>
      <c r="AO32" s="417">
        <f>Luo!$D$173</f>
        <v>0.70429697431985772</v>
      </c>
      <c r="AP32" s="417">
        <f>Luo!$D$174</f>
        <v>1.0791075514874142</v>
      </c>
      <c r="AQ32" s="417">
        <f>Luo!$D$175</f>
        <v>4.3831768953068586</v>
      </c>
      <c r="AR32" s="418">
        <f>Luo!$D$176</f>
        <v>5.8372115384615384</v>
      </c>
    </row>
    <row r="33" spans="1:44" x14ac:dyDescent="0.3">
      <c r="A33" s="110"/>
      <c r="B33" s="433"/>
      <c r="C33" s="110"/>
      <c r="D33" s="110"/>
      <c r="E33" s="408"/>
      <c r="F33" s="110"/>
      <c r="G33" s="408"/>
      <c r="H33" s="408"/>
      <c r="I33" s="438"/>
      <c r="J33" s="408"/>
      <c r="K33" s="438"/>
      <c r="L33" s="438"/>
      <c r="M33" s="438"/>
      <c r="N33" s="438"/>
      <c r="O33" s="438"/>
      <c r="P33" s="441" t="str">
        <f>Luo!$G$180</f>
        <v>300 rpm, ceramic</v>
      </c>
      <c r="Q33" s="443" t="str">
        <f>Luo!$G$181</f>
        <v>No H2</v>
      </c>
      <c r="R33" s="416"/>
      <c r="S33" s="417">
        <f>Luo!$G$182</f>
        <v>1.6733333333333333</v>
      </c>
      <c r="T33" s="408">
        <f>Luo!$G$183</f>
        <v>15</v>
      </c>
      <c r="U33" s="417"/>
      <c r="V33" s="416">
        <f>Luo!$G$185</f>
        <v>0.29940239043824701</v>
      </c>
      <c r="W33" s="416"/>
      <c r="X33" s="417"/>
      <c r="Y33" s="417">
        <f>Luo!$G$188</f>
        <v>0.501</v>
      </c>
      <c r="Z33" s="417"/>
      <c r="AA33" s="418">
        <f>Luo!$G$190</f>
        <v>56</v>
      </c>
      <c r="AB33" s="418">
        <f>Luo!$G$191</f>
        <v>44</v>
      </c>
      <c r="AC33" s="418">
        <f>Luo!$G$192</f>
        <v>0</v>
      </c>
      <c r="AD33" s="417">
        <f>Luo!$G$193</f>
        <v>7.33</v>
      </c>
      <c r="AE33" s="416">
        <f>Luo!$G$194</f>
        <v>0</v>
      </c>
      <c r="AF33" s="416">
        <f>Luo!$G$195</f>
        <v>6.9999999999999999E-4</v>
      </c>
      <c r="AG33" s="417"/>
      <c r="AH33" s="417"/>
      <c r="AI33" s="417"/>
      <c r="AJ33" s="418"/>
      <c r="AK33" s="452"/>
      <c r="AL33" s="417"/>
      <c r="AM33" s="417"/>
      <c r="AN33" s="417"/>
      <c r="AO33" s="417"/>
      <c r="AP33" s="417"/>
      <c r="AQ33" s="417"/>
      <c r="AR33" s="418"/>
    </row>
    <row r="34" spans="1:44" x14ac:dyDescent="0.3">
      <c r="A34" s="110"/>
      <c r="B34" s="433"/>
      <c r="C34" s="110"/>
      <c r="D34" s="110"/>
      <c r="E34" s="408"/>
      <c r="F34" s="110"/>
      <c r="G34" s="408"/>
      <c r="H34" s="408"/>
      <c r="I34" s="438"/>
      <c r="J34" s="408"/>
      <c r="K34" s="438"/>
      <c r="L34" s="438"/>
      <c r="M34" s="438"/>
      <c r="N34" s="438"/>
      <c r="O34" s="438"/>
      <c r="P34" s="441" t="str">
        <f>Luo!$F$180</f>
        <v>300 rpm, ceramic</v>
      </c>
      <c r="Q34" s="443" t="str">
        <f>Luo!$F$181</f>
        <v>With H2</v>
      </c>
      <c r="R34" s="416"/>
      <c r="S34" s="408"/>
      <c r="T34" s="408"/>
      <c r="U34" s="417">
        <f>Luo!$F$184</f>
        <v>1.7</v>
      </c>
      <c r="V34" s="416">
        <f>Luo!$F$185</f>
        <v>0.50139442231075704</v>
      </c>
      <c r="W34" s="416">
        <f>Luo!$F$186</f>
        <v>0.20199203187251003</v>
      </c>
      <c r="X34" s="417">
        <f>Luo!$F$187</f>
        <v>0.67465069860279459</v>
      </c>
      <c r="Y34" s="417">
        <f>Luo!$F$188</f>
        <v>0.83899999999999997</v>
      </c>
      <c r="Z34" s="417">
        <f>Luo!$F$189</f>
        <v>0.33799999999999997</v>
      </c>
      <c r="AA34" s="418">
        <f>Luo!$F$190</f>
        <v>68</v>
      </c>
      <c r="AB34" s="418">
        <f>Luo!$F$191</f>
        <v>8.8000000000000007</v>
      </c>
      <c r="AC34" s="418">
        <f>Luo!$F$192</f>
        <v>23.2</v>
      </c>
      <c r="AD34" s="417">
        <f>Luo!$F$193</f>
        <v>7.84</v>
      </c>
      <c r="AE34" s="416">
        <f>Luo!$F$194</f>
        <v>0</v>
      </c>
      <c r="AF34" s="416">
        <f>Luo!$F$195</f>
        <v>3.0000000000000001E-3</v>
      </c>
      <c r="AG34" s="417">
        <f>Luo!$F$165</f>
        <v>0.35336999999999996</v>
      </c>
      <c r="AH34" s="417">
        <f>Luo!$F$166</f>
        <v>0.33800000000000002</v>
      </c>
      <c r="AI34" s="417">
        <f>Luo!$F$167</f>
        <v>0.28499999999999998</v>
      </c>
      <c r="AJ34" s="418">
        <f>Luo!$F$168</f>
        <v>4.3169121381411886</v>
      </c>
      <c r="AK34" s="452">
        <f>Luo!$F$169</f>
        <v>0.83145882352941169</v>
      </c>
      <c r="AL34" s="417">
        <f>Luo!$F$170</f>
        <v>0.95650451368254252</v>
      </c>
      <c r="AM34" s="417">
        <f>Luo!$F$171</f>
        <v>0.80652007810510229</v>
      </c>
      <c r="AN34" s="417">
        <f>Luo!$F$172</f>
        <v>1.1859649122807019</v>
      </c>
      <c r="AO34" s="417">
        <f>Luo!$F$173</f>
        <v>0.85830370746571871</v>
      </c>
      <c r="AP34" s="417">
        <f>Luo!$F$174</f>
        <v>1.0597541899441341</v>
      </c>
      <c r="AQ34" s="417">
        <f>Luo!$F$175</f>
        <v>4.18189349112426</v>
      </c>
      <c r="AR34" s="418">
        <f>Luo!$F$176</f>
        <v>4.9595789473684206</v>
      </c>
    </row>
    <row r="35" spans="1:44" x14ac:dyDescent="0.3">
      <c r="A35" s="110"/>
      <c r="B35" s="433"/>
      <c r="C35" s="110"/>
      <c r="D35" s="110"/>
      <c r="E35" s="408"/>
      <c r="F35" s="110"/>
      <c r="G35" s="408"/>
      <c r="H35" s="408"/>
      <c r="I35" s="438"/>
      <c r="J35" s="408"/>
      <c r="K35" s="438"/>
      <c r="L35" s="438"/>
      <c r="M35" s="438"/>
      <c r="N35" s="438"/>
      <c r="O35" s="438"/>
      <c r="P35" s="441" t="str">
        <f>Luo!$I$180</f>
        <v>150 rpm, ceramic</v>
      </c>
      <c r="Q35" s="443" t="str">
        <f>Luo!$I$181</f>
        <v>No H2</v>
      </c>
      <c r="R35" s="416"/>
      <c r="S35" s="417">
        <f>Luo!$I$182</f>
        <v>1.6733333333333333</v>
      </c>
      <c r="T35" s="408">
        <f>Luo!$I$183</f>
        <v>15</v>
      </c>
      <c r="U35" s="417"/>
      <c r="V35" s="416">
        <f>Luo!$I$185</f>
        <v>0.29521912350597612</v>
      </c>
      <c r="W35" s="416"/>
      <c r="X35" s="417"/>
      <c r="Y35" s="417">
        <f>Luo!$I$188</f>
        <v>0.49399999999999999</v>
      </c>
      <c r="Z35" s="417"/>
      <c r="AA35" s="418">
        <f>Luo!$I$190</f>
        <v>56.7</v>
      </c>
      <c r="AB35" s="418">
        <f>Luo!$I$191</f>
        <v>43.3</v>
      </c>
      <c r="AC35" s="418">
        <f>Luo!$I$192</f>
        <v>0</v>
      </c>
      <c r="AD35" s="417">
        <f>Luo!$I$193</f>
        <v>7.31</v>
      </c>
      <c r="AE35" s="416">
        <f>Luo!$I$194</f>
        <v>3.6768118114902153E-2</v>
      </c>
      <c r="AF35" s="416">
        <f>Luo!$I$195</f>
        <v>1E-3</v>
      </c>
      <c r="AG35" s="417"/>
      <c r="AH35" s="417"/>
      <c r="AI35" s="417"/>
      <c r="AJ35" s="418"/>
      <c r="AK35" s="452"/>
      <c r="AL35" s="417"/>
      <c r="AM35" s="417"/>
      <c r="AN35" s="417"/>
      <c r="AO35" s="417"/>
      <c r="AP35" s="417"/>
      <c r="AQ35" s="417"/>
      <c r="AR35" s="418"/>
    </row>
    <row r="36" spans="1:44" x14ac:dyDescent="0.3">
      <c r="A36" s="110"/>
      <c r="B36" s="433"/>
      <c r="C36" s="110"/>
      <c r="D36" s="110"/>
      <c r="E36" s="408"/>
      <c r="F36" s="110"/>
      <c r="G36" s="408"/>
      <c r="H36" s="408"/>
      <c r="I36" s="438"/>
      <c r="J36" s="408"/>
      <c r="K36" s="438"/>
      <c r="L36" s="438"/>
      <c r="M36" s="438"/>
      <c r="N36" s="438"/>
      <c r="O36" s="438"/>
      <c r="P36" s="441" t="str">
        <f>Luo!$H$180</f>
        <v>150 rpm, ceramic</v>
      </c>
      <c r="Q36" s="443" t="str">
        <f>Luo!$H$181</f>
        <v>With H2</v>
      </c>
      <c r="R36" s="416"/>
      <c r="S36" s="408"/>
      <c r="T36" s="408"/>
      <c r="U36" s="417">
        <f>Luo!$H$184</f>
        <v>1.7</v>
      </c>
      <c r="V36" s="416">
        <f>Luo!$H$185</f>
        <v>0.5288844621513944</v>
      </c>
      <c r="W36" s="416">
        <f>Luo!$H$186</f>
        <v>0.23366533864541827</v>
      </c>
      <c r="X36" s="417">
        <f>Luo!$H$187</f>
        <v>0.79149797570850178</v>
      </c>
      <c r="Y36" s="417">
        <f>Luo!$H$188</f>
        <v>0.88500000000000001</v>
      </c>
      <c r="Z36" s="417">
        <f>Luo!$H$189</f>
        <v>0.39100000000000001</v>
      </c>
      <c r="AA36" s="418">
        <f>Luo!$H$190</f>
        <v>75</v>
      </c>
      <c r="AB36" s="418">
        <f>Luo!$H$191</f>
        <v>6.6</v>
      </c>
      <c r="AC36" s="418">
        <f>Luo!$H$192</f>
        <v>18.399999999999999</v>
      </c>
      <c r="AD36" s="417">
        <f>Luo!$H$193</f>
        <v>7.89</v>
      </c>
      <c r="AE36" s="416">
        <f>Luo!$H$194</f>
        <v>3.7482062155968214E-2</v>
      </c>
      <c r="AF36" s="416">
        <f>Luo!$H$195</f>
        <v>3.0000000000000001E-3</v>
      </c>
      <c r="AG36" s="417">
        <f>Luo!$H$165</f>
        <v>0.37071999999999999</v>
      </c>
      <c r="AH36" s="417">
        <f>Luo!$H$166</f>
        <v>0.39100000000000001</v>
      </c>
      <c r="AI36" s="417">
        <f>Luo!$H$167</f>
        <v>0.3</v>
      </c>
      <c r="AJ36" s="418">
        <f>Luo!$H$168</f>
        <v>4.4972474200349737</v>
      </c>
      <c r="AK36" s="452">
        <f>Luo!$H$169</f>
        <v>0.87228235294117651</v>
      </c>
      <c r="AL36" s="417">
        <f>Luo!$H$170</f>
        <v>1.0547043590850238</v>
      </c>
      <c r="AM36" s="417">
        <f>Luo!$H$171</f>
        <v>0.80923608113940437</v>
      </c>
      <c r="AN36" s="417">
        <f>Luo!$H$172</f>
        <v>1.3033333333333335</v>
      </c>
      <c r="AO36" s="417">
        <f>Luo!$H$173</f>
        <v>1.0343669066080439</v>
      </c>
      <c r="AP36" s="417">
        <f>Luo!$H$174</f>
        <v>1.102955326460481</v>
      </c>
      <c r="AQ36" s="417">
        <f>Luo!$H$175</f>
        <v>3.7925319693094628</v>
      </c>
      <c r="AR36" s="418">
        <f>Luo!$H$176</f>
        <v>4.9429333333333334</v>
      </c>
    </row>
    <row r="37" spans="1:44" x14ac:dyDescent="0.3">
      <c r="A37" s="110"/>
      <c r="B37" s="433" t="str">
        <f>Luo!B199</f>
        <v>Luo and Angelidaki, 2013b</v>
      </c>
      <c r="C37" s="110">
        <v>30</v>
      </c>
      <c r="D37" s="110" t="str">
        <f>Luo!$D203</f>
        <v>CM + whey</v>
      </c>
      <c r="E37" s="408">
        <f>Luo!$D204</f>
        <v>55</v>
      </c>
      <c r="F37" s="110" t="str">
        <f>Luo!$D205</f>
        <v>CSTR</v>
      </c>
      <c r="G37" s="408">
        <f>Luo!$D206</f>
        <v>1</v>
      </c>
      <c r="H37" s="408">
        <f>Luo!$D207</f>
        <v>0.6</v>
      </c>
      <c r="I37" s="438" t="str">
        <f>Luo!$D208</f>
        <v xml:space="preserve">Magnetic </v>
      </c>
      <c r="J37" s="408" t="str">
        <f>Luo!$D209</f>
        <v>No</v>
      </c>
      <c r="K37" s="438" t="str">
        <f>Luo!$D210</f>
        <v>HFM</v>
      </c>
      <c r="L37" s="438" t="str">
        <f>Luo!$D211</f>
        <v>Continuous</v>
      </c>
      <c r="M37" s="438" t="str">
        <f>Luo!$D212</f>
        <v>Parallel</v>
      </c>
      <c r="N37" s="438" t="str">
        <f>Luo!$D213</f>
        <v>H2 addition</v>
      </c>
      <c r="O37" s="438" t="str">
        <f>Luo!$D214</f>
        <v>2 reactors</v>
      </c>
      <c r="P37" s="441" t="str">
        <f>Luo!$I279</f>
        <v>Control reactor</v>
      </c>
      <c r="Q37" s="443" t="str">
        <f>Luo!$I280</f>
        <v>No H2</v>
      </c>
      <c r="R37" s="497">
        <f>C37</f>
        <v>30</v>
      </c>
      <c r="S37" s="417">
        <f>Luo!$I281</f>
        <v>1.67</v>
      </c>
      <c r="T37" s="409">
        <f>Luo!$I282</f>
        <v>15</v>
      </c>
      <c r="U37" s="417"/>
      <c r="V37" s="416">
        <f>Luo!$I284</f>
        <v>0.28695209580838327</v>
      </c>
      <c r="W37" s="416"/>
      <c r="X37" s="417"/>
      <c r="Y37" s="417">
        <f>Luo!$I287</f>
        <v>0.47921000000000002</v>
      </c>
      <c r="Z37" s="417"/>
      <c r="AA37" s="418">
        <f>Luo!$I289</f>
        <v>55.4</v>
      </c>
      <c r="AB37" s="418">
        <f>Luo!$I290</f>
        <v>44.6</v>
      </c>
      <c r="AC37" s="418"/>
      <c r="AD37" s="417">
        <f>Luo!$I292</f>
        <v>7.3</v>
      </c>
      <c r="AE37" s="416">
        <f>Luo!$I293</f>
        <v>0</v>
      </c>
      <c r="AF37" s="416">
        <f>Luo!$I294</f>
        <v>1.9E-3</v>
      </c>
      <c r="AG37" s="417"/>
      <c r="AH37" s="417"/>
      <c r="AI37" s="417"/>
      <c r="AJ37" s="418"/>
      <c r="AK37" s="452"/>
      <c r="AL37" s="417"/>
      <c r="AM37" s="417"/>
      <c r="AN37" s="417"/>
      <c r="AO37" s="417"/>
      <c r="AP37" s="417"/>
      <c r="AQ37" s="417"/>
      <c r="AR37" s="418"/>
    </row>
    <row r="38" spans="1:44" x14ac:dyDescent="0.3">
      <c r="A38" s="110"/>
      <c r="B38" s="433"/>
      <c r="C38" s="110"/>
      <c r="D38" s="110"/>
      <c r="E38" s="408"/>
      <c r="F38" s="110"/>
      <c r="G38" s="408"/>
      <c r="H38" s="408"/>
      <c r="I38" s="438"/>
      <c r="J38" s="408"/>
      <c r="K38" s="438"/>
      <c r="L38" s="438"/>
      <c r="M38" s="438"/>
      <c r="N38" s="438"/>
      <c r="O38" s="438"/>
      <c r="P38" s="441" t="str">
        <f>Luo!$H279</f>
        <v>Best performance</v>
      </c>
      <c r="Q38" s="443" t="str">
        <f>Luo!$H280</f>
        <v>With H2</v>
      </c>
      <c r="R38" s="416"/>
      <c r="S38" s="408"/>
      <c r="T38" s="408"/>
      <c r="U38" s="417">
        <f>Luo!$H283</f>
        <v>1.76</v>
      </c>
      <c r="V38" s="416">
        <f>Luo!$H284</f>
        <v>0.51502694610778443</v>
      </c>
      <c r="W38" s="416">
        <f>Luo!$H285</f>
        <v>0.26402694610778443</v>
      </c>
      <c r="X38" s="417">
        <f>Luo!$H286</f>
        <v>0.92010809457231679</v>
      </c>
      <c r="Y38" s="417">
        <f>Luo!$H287</f>
        <v>0.86009500000000005</v>
      </c>
      <c r="Z38" s="417">
        <f>Luo!$H288</f>
        <v>0.38088500000000003</v>
      </c>
      <c r="AA38" s="418">
        <f>Luo!$H289</f>
        <v>96.1</v>
      </c>
      <c r="AB38" s="418">
        <f>Luo!$H290</f>
        <v>3.9</v>
      </c>
      <c r="AC38" s="418">
        <f>Luo!$H291</f>
        <v>0</v>
      </c>
      <c r="AD38" s="417">
        <f>Luo!$H292</f>
        <v>8.31</v>
      </c>
      <c r="AE38" s="416">
        <f>Luo!$H293</f>
        <v>0</v>
      </c>
      <c r="AF38" s="416">
        <f>Luo!$H294</f>
        <v>3.78E-2</v>
      </c>
      <c r="AG38" s="417">
        <f>Luo!$H264</f>
        <v>0.44</v>
      </c>
      <c r="AH38" s="417">
        <f>Luo!$H265</f>
        <v>0.44176166666666672</v>
      </c>
      <c r="AI38" s="417">
        <f>Luo!$H266</f>
        <v>0.350885</v>
      </c>
      <c r="AJ38" s="418">
        <f>Luo!$H267</f>
        <v>4.5620674460198547</v>
      </c>
      <c r="AK38" s="452">
        <f>Luo!$H268</f>
        <v>1</v>
      </c>
      <c r="AL38" s="417">
        <f>Luo!$H269</f>
        <v>1.004003787878788</v>
      </c>
      <c r="AM38" s="417">
        <f>Luo!$H270</f>
        <v>0.79746590909090909</v>
      </c>
      <c r="AN38" s="417">
        <f>Luo!$H271</f>
        <v>1.2589927374115928</v>
      </c>
      <c r="AO38" s="417">
        <f>Luo!$H272</f>
        <v>1.1450832490906107</v>
      </c>
      <c r="AP38" s="417">
        <f>Luo!$H273</f>
        <v>1.0346820809248556</v>
      </c>
      <c r="AQ38" s="417">
        <f>Luo!$H274</f>
        <v>3.9840487140501848</v>
      </c>
      <c r="AR38" s="418">
        <f>Luo!$H275</f>
        <v>5.0158883964831782</v>
      </c>
    </row>
    <row r="39" spans="1:44" x14ac:dyDescent="0.3">
      <c r="A39" s="110"/>
      <c r="B39" s="433" t="str">
        <f>Wahid!B220</f>
        <v>Wahid and Horn, 2021b</v>
      </c>
      <c r="C39" s="110">
        <v>31</v>
      </c>
      <c r="D39" s="110" t="str">
        <f>Wahid!$D224</f>
        <v>CM + whey</v>
      </c>
      <c r="E39" s="408">
        <f>Wahid!$D225</f>
        <v>55</v>
      </c>
      <c r="F39" s="110" t="str">
        <f>Wahid!$D226</f>
        <v>2-stage CSTR</v>
      </c>
      <c r="G39" s="408" t="str">
        <f>Wahid!$D227</f>
        <v>10 and 10</v>
      </c>
      <c r="H39" s="408" t="str">
        <f>Wahid!$D228</f>
        <v>6 and 6</v>
      </c>
      <c r="I39" s="438" t="str">
        <f>Wahid!$D229</f>
        <v>Impeller</v>
      </c>
      <c r="J39" s="408" t="str">
        <f>Wahid!$D230</f>
        <v>Yes</v>
      </c>
      <c r="K39" s="438" t="str">
        <f>Wahid!$D231</f>
        <v>Diffuser</v>
      </c>
      <c r="L39" s="438" t="str">
        <f>Wahid!$D232</f>
        <v>Continuous</v>
      </c>
      <c r="M39" s="438" t="str">
        <f>Wahid!$D233</f>
        <v>Sequential</v>
      </c>
      <c r="N39" s="438" t="str">
        <f>Wahid!$D234</f>
        <v>Stirring, CM/W ratio, Feed freq</v>
      </c>
      <c r="O39" s="438" t="str">
        <f>Wahid!$D235</f>
        <v>1 set of reactors</v>
      </c>
      <c r="P39" s="441" t="str">
        <f>Wahid!$E$342</f>
        <v>CM/W 9, 80 rpm, daily feed</v>
      </c>
      <c r="Q39" s="443" t="str">
        <f>Wahid!$E$343</f>
        <v>No H2</v>
      </c>
      <c r="R39" s="497">
        <f>C39</f>
        <v>31</v>
      </c>
      <c r="S39" s="417">
        <f>Wahid!$E$344</f>
        <v>4.13</v>
      </c>
      <c r="T39" s="409">
        <f>Wahid!$E$345</f>
        <v>20</v>
      </c>
      <c r="U39" s="417"/>
      <c r="V39" s="416">
        <f>Wahid!$E$347</f>
        <v>0.14349999999999999</v>
      </c>
      <c r="W39" s="416"/>
      <c r="X39" s="417"/>
      <c r="Y39" s="417">
        <f>Wahid!$E$350</f>
        <v>0.59265499999999993</v>
      </c>
      <c r="Z39" s="417"/>
      <c r="AA39" s="418">
        <f>Wahid!$E$352</f>
        <v>59.14</v>
      </c>
      <c r="AB39" s="418">
        <f>Wahid!$E$353</f>
        <v>40.86</v>
      </c>
      <c r="AC39" s="418"/>
      <c r="AD39" s="417">
        <f>Wahid!$E$355</f>
        <v>7.94</v>
      </c>
      <c r="AE39" s="416">
        <f>Wahid!$E$356</f>
        <v>0.17991389834864743</v>
      </c>
      <c r="AF39" s="416">
        <f>Wahid!$E$357</f>
        <v>1.712E-2</v>
      </c>
      <c r="AG39" s="417"/>
      <c r="AH39" s="417"/>
      <c r="AI39" s="417"/>
      <c r="AJ39" s="418"/>
      <c r="AK39" s="452"/>
      <c r="AL39" s="417"/>
      <c r="AM39" s="417"/>
      <c r="AN39" s="417"/>
      <c r="AO39" s="417"/>
      <c r="AP39" s="417"/>
      <c r="AQ39" s="417"/>
      <c r="AR39" s="418"/>
    </row>
    <row r="40" spans="1:44" x14ac:dyDescent="0.3">
      <c r="A40" s="110"/>
      <c r="B40" s="433"/>
      <c r="C40" s="110"/>
      <c r="D40" s="110"/>
      <c r="E40" s="408"/>
      <c r="F40" s="110"/>
      <c r="G40" s="408"/>
      <c r="H40" s="408"/>
      <c r="I40" s="438"/>
      <c r="J40" s="408"/>
      <c r="K40" s="438"/>
      <c r="L40" s="438"/>
      <c r="M40" s="438"/>
      <c r="N40" s="438"/>
      <c r="O40" s="438"/>
      <c r="P40" s="441" t="str">
        <f>Wahid!$O$342</f>
        <v>CM/W 9, 80 rpm, daily feed</v>
      </c>
      <c r="Q40" s="443" t="str">
        <f>Wahid!$O$343</f>
        <v>With H2</v>
      </c>
      <c r="R40" s="416"/>
      <c r="S40" s="408"/>
      <c r="T40" s="408"/>
      <c r="U40" s="417">
        <f>Wahid!$O346</f>
        <v>1.44</v>
      </c>
      <c r="V40" s="416">
        <f>Wahid!$O347</f>
        <v>0.1646</v>
      </c>
      <c r="W40" s="416">
        <f>Wahid!$O348</f>
        <v>3.0569999999999986E-2</v>
      </c>
      <c r="X40" s="417">
        <f>Wahid!$O349</f>
        <v>0.22808326494068479</v>
      </c>
      <c r="Y40" s="417">
        <f>Wahid!$O350</f>
        <v>0.67979800000000001</v>
      </c>
      <c r="Z40" s="417">
        <f>Wahid!$O351</f>
        <v>0.12625410000000004</v>
      </c>
      <c r="AA40" s="418">
        <f>Wahid!$O352</f>
        <v>38.65</v>
      </c>
      <c r="AB40" s="418">
        <f>Wahid!$O353</f>
        <v>19.11</v>
      </c>
      <c r="AC40" s="418">
        <f>Wahid!$O354</f>
        <v>42.24</v>
      </c>
      <c r="AD40" s="417">
        <f>Wahid!$O355</f>
        <v>7.95</v>
      </c>
      <c r="AE40" s="416">
        <f>Wahid!$O356</f>
        <v>0.19990433149849712</v>
      </c>
      <c r="AF40" s="416">
        <f>Wahid!$O357</f>
        <v>9.8140000000000005E-2</v>
      </c>
      <c r="AG40" s="417">
        <f>Wahid!$O326</f>
        <v>0.17425296398891965</v>
      </c>
      <c r="AH40" s="417">
        <f>Wahid!$O327</f>
        <v>9.0836653373129961E-2</v>
      </c>
      <c r="AI40" s="417">
        <f>Wahid!$O328</f>
        <v>7.0806153373130232E-2</v>
      </c>
      <c r="AJ40" s="418">
        <f>Wahid!$O329</f>
        <v>3.538562020353309</v>
      </c>
      <c r="AK40" s="452">
        <f>Wahid!$O330</f>
        <v>0.4840360110803324</v>
      </c>
      <c r="AL40" s="417">
        <f>Wahid!$O331</f>
        <v>0.52129186955411588</v>
      </c>
      <c r="AM40" s="417">
        <f>Wahid!$O332</f>
        <v>0.40634117063071956</v>
      </c>
      <c r="AN40" s="417">
        <f>Wahid!$O333</f>
        <v>1.2828920799361059</v>
      </c>
      <c r="AO40" s="417">
        <f>Wahid!$O334</f>
        <v>0.22321606366816388</v>
      </c>
      <c r="AP40" s="417">
        <f>Wahid!$O335</f>
        <v>1.0201119635081897</v>
      </c>
      <c r="AQ40" s="417">
        <f>Wahid!$O336</f>
        <v>7.6732445557253319</v>
      </c>
      <c r="AR40" s="418">
        <f>Wahid!$O337</f>
        <v>9.8439446679528722</v>
      </c>
    </row>
    <row r="41" spans="1:44" x14ac:dyDescent="0.3">
      <c r="A41" s="110"/>
      <c r="B41" s="433" t="str">
        <f>Khan!B2</f>
        <v>Khan et al., 2022</v>
      </c>
      <c r="C41" s="110">
        <v>33</v>
      </c>
      <c r="D41" s="110" t="str">
        <f>Khan!$D6</f>
        <v>CM + veg waste</v>
      </c>
      <c r="E41" s="408">
        <f>Khan!$D7</f>
        <v>37</v>
      </c>
      <c r="F41" s="110" t="str">
        <f>Khan!$D8</f>
        <v>2-stage</v>
      </c>
      <c r="G41" s="408" t="str">
        <f>Khan!$D9</f>
        <v>2.5 (total)</v>
      </c>
      <c r="H41" s="408" t="str">
        <f>Khan!$D10</f>
        <v>2 (total)</v>
      </c>
      <c r="I41" s="438" t="str">
        <f>Khan!$D11</f>
        <v>None/gas recirc</v>
      </c>
      <c r="J41" s="408" t="str">
        <f>Khan!$D12</f>
        <v>Yes</v>
      </c>
      <c r="K41" s="438" t="str">
        <f>Khan!$D13</f>
        <v>Sparger</v>
      </c>
      <c r="L41" s="438" t="str">
        <f>Khan!$D14</f>
        <v>Varied intervals</v>
      </c>
      <c r="M41" s="438" t="str">
        <f>Khan!$D15</f>
        <v>Sequential</v>
      </c>
      <c r="N41" s="438" t="str">
        <f>Khan!$D16</f>
        <v>H2 and gas recirc rates</v>
      </c>
      <c r="O41" s="438" t="str">
        <f>Khan!$D17</f>
        <v>1 reactor per condition</v>
      </c>
      <c r="P41" s="441" t="str">
        <f>Khan!$D101</f>
        <v>No recirc</v>
      </c>
      <c r="Q41" s="438" t="str">
        <f>Khan!$D102</f>
        <v>No H2</v>
      </c>
      <c r="R41" s="497">
        <f>C41</f>
        <v>33</v>
      </c>
      <c r="S41" s="408">
        <f>Khan!$D103</f>
        <v>3.5</v>
      </c>
      <c r="T41" s="408">
        <f>Khan!$D104</f>
        <v>10</v>
      </c>
      <c r="U41" s="417"/>
      <c r="V41" s="416">
        <f>Khan!$D106</f>
        <v>0.3</v>
      </c>
      <c r="W41" s="408"/>
      <c r="X41" s="408"/>
      <c r="Y41" s="417">
        <f>Khan!$D109</f>
        <v>1.05</v>
      </c>
      <c r="Z41" s="408"/>
      <c r="AA41" s="409">
        <f>Khan!$D111</f>
        <v>73</v>
      </c>
      <c r="AB41" s="409">
        <f>Khan!$D112</f>
        <v>27.000000000000004</v>
      </c>
      <c r="AC41" s="409"/>
      <c r="AD41" s="408">
        <f>Khan!$D114</f>
        <v>7.2</v>
      </c>
      <c r="AE41" s="408" t="str">
        <f>Khan!$D115</f>
        <v>n/r</v>
      </c>
      <c r="AF41" s="408" t="str">
        <f>Khan!$D116</f>
        <v>TVFA</v>
      </c>
      <c r="AG41" s="417"/>
      <c r="AH41" s="417"/>
      <c r="AI41" s="417"/>
      <c r="AJ41" s="418"/>
      <c r="AK41" s="452"/>
      <c r="AL41" s="417"/>
      <c r="AM41" s="417"/>
      <c r="AN41" s="417"/>
      <c r="AO41" s="417"/>
      <c r="AP41" s="417"/>
      <c r="AQ41" s="417"/>
      <c r="AR41" s="418"/>
    </row>
    <row r="42" spans="1:44" x14ac:dyDescent="0.3">
      <c r="A42" s="110"/>
      <c r="B42" s="433"/>
      <c r="C42" s="110"/>
      <c r="D42" s="110"/>
      <c r="E42" s="408"/>
      <c r="F42" s="110"/>
      <c r="G42" s="408"/>
      <c r="H42" s="408"/>
      <c r="I42" s="438"/>
      <c r="J42" s="408"/>
      <c r="K42" s="438"/>
      <c r="L42" s="438"/>
      <c r="M42" s="438"/>
      <c r="N42" s="438"/>
      <c r="O42" s="438"/>
      <c r="P42" s="441" t="str">
        <f>Khan!$F101</f>
        <v>No recirc</v>
      </c>
      <c r="Q42" s="438" t="str">
        <f>Khan!$F102</f>
        <v>With H2</v>
      </c>
      <c r="R42" s="408"/>
      <c r="S42" s="408">
        <f>Khan!$F103</f>
        <v>3.5</v>
      </c>
      <c r="T42" s="408">
        <f>Khan!$F104</f>
        <v>10</v>
      </c>
      <c r="U42" s="417">
        <f>Khan!$F105</f>
        <v>1.6</v>
      </c>
      <c r="V42" s="416">
        <f>Khan!$F106</f>
        <v>0.5</v>
      </c>
      <c r="W42" s="416">
        <f>Khan!$F107</f>
        <v>0.2</v>
      </c>
      <c r="X42" s="453">
        <f>Khan!$F108</f>
        <v>0.66666666666666674</v>
      </c>
      <c r="Y42" s="417">
        <f>Khan!$F109</f>
        <v>1.75</v>
      </c>
      <c r="Z42" s="408">
        <f>Khan!$F110</f>
        <v>0.7</v>
      </c>
      <c r="AA42" s="409">
        <f>Khan!$F111</f>
        <v>62.900453195811842</v>
      </c>
      <c r="AB42" s="409">
        <f>Khan!$F112</f>
        <v>5.46960462572277</v>
      </c>
      <c r="AC42" s="409">
        <f>Khan!$F113</f>
        <v>31.629942178465384</v>
      </c>
      <c r="AD42" s="418">
        <f>Khan!$F114</f>
        <v>7</v>
      </c>
      <c r="AE42" s="408" t="str">
        <f>Khan!$F115</f>
        <v>n/r</v>
      </c>
      <c r="AF42" s="408" t="str">
        <f>Khan!$F116</f>
        <v>TVFA</v>
      </c>
      <c r="AG42" s="454">
        <f>Khan!$F87</f>
        <v>0.18000000000000002</v>
      </c>
      <c r="AH42" s="454">
        <f>Khan!$F88</f>
        <v>0.7</v>
      </c>
      <c r="AI42" s="454">
        <f>Khan!$F89</f>
        <v>0.23618225134008342</v>
      </c>
      <c r="AJ42" s="455">
        <f>Khan!$F90</f>
        <v>4.1199294532627864</v>
      </c>
      <c r="AK42" s="452">
        <f>Khan!$F91</f>
        <v>0.45</v>
      </c>
      <c r="AL42" s="454">
        <f>Khan!$F92</f>
        <v>3.8888888888888884</v>
      </c>
      <c r="AM42" s="454">
        <f>Khan!$F93</f>
        <v>1.3121236185560188</v>
      </c>
      <c r="AN42" s="454">
        <f>Khan!$F94</f>
        <v>2.9638128861429824</v>
      </c>
      <c r="AO42" s="454">
        <f>Khan!$F95</f>
        <v>1.8024691358024689</v>
      </c>
      <c r="AP42" s="454">
        <f>Khan!$F96</f>
        <v>1.3607456140350878</v>
      </c>
      <c r="AQ42" s="454">
        <f>Khan!$F97</f>
        <v>1.0285714285714287</v>
      </c>
      <c r="AR42" s="455">
        <f>Khan!$F98</f>
        <v>3.048493254318497</v>
      </c>
    </row>
    <row r="43" spans="1:44" x14ac:dyDescent="0.3">
      <c r="A43" s="110"/>
      <c r="B43" s="433"/>
      <c r="C43" s="110"/>
      <c r="D43" s="110"/>
      <c r="E43" s="408"/>
      <c r="F43" s="110"/>
      <c r="G43" s="408"/>
      <c r="H43" s="408"/>
      <c r="I43" s="438"/>
      <c r="J43" s="408"/>
      <c r="K43" s="438"/>
      <c r="L43" s="438"/>
      <c r="M43" s="438"/>
      <c r="N43" s="438"/>
      <c r="O43" s="438"/>
      <c r="P43" s="441" t="str">
        <f>Khan!$E101</f>
        <v>With recirc</v>
      </c>
      <c r="Q43" s="438" t="str">
        <f>Khan!$E102</f>
        <v>No H2</v>
      </c>
      <c r="R43" s="408"/>
      <c r="S43" s="408">
        <f>Khan!$E103</f>
        <v>3.5</v>
      </c>
      <c r="T43" s="408">
        <f>Khan!$E104</f>
        <v>10</v>
      </c>
      <c r="U43" s="417"/>
      <c r="V43" s="408">
        <f>Khan!$E106</f>
        <v>0.42499999999999999</v>
      </c>
      <c r="W43" s="408"/>
      <c r="X43" s="408"/>
      <c r="Y43" s="417">
        <f>Khan!$E109</f>
        <v>1.4875</v>
      </c>
      <c r="Z43" s="408"/>
      <c r="AA43" s="409">
        <f>Khan!$E111</f>
        <v>76</v>
      </c>
      <c r="AB43" s="409">
        <f>Khan!$E112</f>
        <v>23.999999999999996</v>
      </c>
      <c r="AC43" s="409"/>
      <c r="AD43" s="408">
        <f>Khan!$E114</f>
        <v>7.3</v>
      </c>
      <c r="AE43" s="408" t="str">
        <f>Khan!$E115</f>
        <v>n/r</v>
      </c>
      <c r="AF43" s="408" t="str">
        <f>Khan!$E116</f>
        <v>TVFA</v>
      </c>
      <c r="AG43" s="454"/>
      <c r="AH43" s="454"/>
      <c r="AI43" s="454"/>
      <c r="AJ43" s="455"/>
      <c r="AK43" s="452"/>
      <c r="AL43" s="454"/>
      <c r="AM43" s="454"/>
      <c r="AN43" s="454"/>
      <c r="AO43" s="454"/>
      <c r="AP43" s="454"/>
      <c r="AQ43" s="454"/>
      <c r="AR43" s="455"/>
    </row>
    <row r="44" spans="1:44" x14ac:dyDescent="0.3">
      <c r="A44" s="110"/>
      <c r="B44" s="433"/>
      <c r="C44" s="110"/>
      <c r="D44" s="110"/>
      <c r="E44" s="408"/>
      <c r="F44" s="110"/>
      <c r="G44" s="408"/>
      <c r="H44" s="408"/>
      <c r="I44" s="438"/>
      <c r="J44" s="408"/>
      <c r="K44" s="438"/>
      <c r="L44" s="438"/>
      <c r="M44" s="438"/>
      <c r="N44" s="438"/>
      <c r="O44" s="438"/>
      <c r="P44" s="441" t="str">
        <f>Khan!$G101</f>
        <v>With recirc</v>
      </c>
      <c r="Q44" s="438" t="str">
        <f>Khan!$G102</f>
        <v>With H2</v>
      </c>
      <c r="R44" s="408"/>
      <c r="S44" s="408">
        <f>Khan!$G103</f>
        <v>3.5</v>
      </c>
      <c r="T44" s="408">
        <f>Khan!$G104</f>
        <v>10</v>
      </c>
      <c r="U44" s="417">
        <f>Khan!$G105</f>
        <v>1.6</v>
      </c>
      <c r="V44" s="408">
        <f>Khan!$G106</f>
        <v>0.89700000000000002</v>
      </c>
      <c r="W44" s="408">
        <f>Khan!$G107</f>
        <v>0.47200000000000003</v>
      </c>
      <c r="X44" s="453">
        <f>Khan!$G108</f>
        <v>1.5733333333333335</v>
      </c>
      <c r="Y44" s="417">
        <f>Khan!$G109</f>
        <v>3.1395</v>
      </c>
      <c r="Z44" s="408">
        <f>Khan!$G110</f>
        <v>1.6519999999999999</v>
      </c>
      <c r="AA44" s="409">
        <f>Khan!$G111</f>
        <v>95.973598888374241</v>
      </c>
      <c r="AB44" s="409">
        <f>Khan!$G112</f>
        <v>0.9694302918017601</v>
      </c>
      <c r="AC44" s="409">
        <f>Khan!$G113</f>
        <v>3.0569708198239924</v>
      </c>
      <c r="AD44" s="408">
        <f>Khan!$G114</f>
        <v>7.2</v>
      </c>
      <c r="AE44" s="408" t="str">
        <f>Khan!$G115</f>
        <v>n/r</v>
      </c>
      <c r="AF44" s="408" t="str">
        <f>Khan!$G116</f>
        <v>TVFA</v>
      </c>
      <c r="AG44" s="454">
        <f>Khan!$G87</f>
        <v>0.375</v>
      </c>
      <c r="AH44" s="454">
        <f>Khan!$G88</f>
        <v>1.6519999999999999</v>
      </c>
      <c r="AI44" s="454">
        <f>Khan!$G89</f>
        <v>0.43802472089314198</v>
      </c>
      <c r="AJ44" s="455">
        <f>Khan!$G90</f>
        <v>3.4061624649859943</v>
      </c>
      <c r="AK44" s="452">
        <f>Khan!$G91</f>
        <v>0.9375</v>
      </c>
      <c r="AL44" s="454">
        <f>Khan!$G92</f>
        <v>4.4053333333333331</v>
      </c>
      <c r="AM44" s="454">
        <f>Khan!$G93</f>
        <v>1.168065922381712</v>
      </c>
      <c r="AN44" s="454">
        <f>Khan!$G94</f>
        <v>3.7714766340847974</v>
      </c>
      <c r="AO44" s="454">
        <f>Khan!$G95</f>
        <v>3.516862745098039</v>
      </c>
      <c r="AP44" s="454">
        <f>Khan!$G95</f>
        <v>3.516862745098039</v>
      </c>
      <c r="AQ44" s="454">
        <f>Khan!$G97</f>
        <v>0.90799031476997583</v>
      </c>
      <c r="AR44" s="455">
        <f>Khan!$G98</f>
        <v>3.4244642561302641</v>
      </c>
    </row>
    <row r="45" spans="1:44" x14ac:dyDescent="0.3">
      <c r="B45" s="432" t="s">
        <v>1888</v>
      </c>
      <c r="C45" s="188"/>
      <c r="D45" s="188"/>
      <c r="E45" s="434"/>
      <c r="F45" s="188"/>
      <c r="G45" s="434"/>
      <c r="H45" s="434"/>
      <c r="I45" s="436"/>
      <c r="J45" s="434"/>
      <c r="K45" s="436"/>
      <c r="L45" s="436"/>
      <c r="M45" s="436"/>
      <c r="N45" s="436"/>
      <c r="O45" s="436"/>
      <c r="P45" s="442"/>
      <c r="Q45" s="436"/>
      <c r="R45" s="434"/>
      <c r="S45" s="434"/>
      <c r="T45" s="434"/>
      <c r="U45" s="449"/>
      <c r="V45" s="434"/>
      <c r="W45" s="447"/>
      <c r="X45" s="449"/>
      <c r="Y45" s="449"/>
      <c r="Z45" s="449"/>
      <c r="AA45" s="450"/>
      <c r="AB45" s="450"/>
      <c r="AC45" s="450"/>
      <c r="AD45" s="449"/>
      <c r="AE45" s="434"/>
      <c r="AF45" s="434"/>
      <c r="AG45" s="448"/>
      <c r="AH45" s="448"/>
      <c r="AI45" s="448"/>
      <c r="AJ45" s="456"/>
      <c r="AK45" s="451"/>
      <c r="AL45" s="448"/>
      <c r="AM45" s="448"/>
      <c r="AN45" s="448"/>
      <c r="AO45" s="448"/>
      <c r="AP45" s="448"/>
      <c r="AQ45" s="448"/>
      <c r="AR45" s="456"/>
    </row>
    <row r="46" spans="1:44" x14ac:dyDescent="0.3">
      <c r="A46" s="110"/>
      <c r="B46" s="433" t="str">
        <f>Voelk!B2</f>
        <v>Voelklein et al., 2019</v>
      </c>
      <c r="C46" s="110">
        <v>42</v>
      </c>
      <c r="D46" s="110" t="str">
        <f>Voelk!$D6</f>
        <v>Grass silage</v>
      </c>
      <c r="E46" s="408">
        <f>Voelk!$D7</f>
        <v>55</v>
      </c>
      <c r="F46" s="110" t="str">
        <f>Voelk!$D8</f>
        <v>CSTR</v>
      </c>
      <c r="G46" s="408">
        <f>Voelk!$D9</f>
        <v>9.5</v>
      </c>
      <c r="H46" s="408" t="str">
        <f>Voelk!$D10</f>
        <v>n/r</v>
      </c>
      <c r="I46" s="438" t="str">
        <f>Voelk!$D11</f>
        <v>Mechanical</v>
      </c>
      <c r="J46" s="408" t="str">
        <f>Voelk!$D12</f>
        <v>Yes</v>
      </c>
      <c r="K46" s="438" t="str">
        <f>Voelk!$D13</f>
        <v>Low capacity diffuser</v>
      </c>
      <c r="L46" s="438" t="str">
        <f>Voelk!$D14</f>
        <v>Continuous</v>
      </c>
      <c r="M46" s="438" t="str">
        <f>Voelk!$D15</f>
        <v>Sequential</v>
      </c>
      <c r="N46" s="438" t="str">
        <f>Voelk!$D16</f>
        <v>Diffuser type</v>
      </c>
      <c r="O46" s="438" t="str">
        <f>Voelk!$D17</f>
        <v>1 reactor per condition</v>
      </c>
      <c r="P46" s="441" t="str">
        <f>Voelk!$D$84</f>
        <v>Control period</v>
      </c>
      <c r="Q46" s="443" t="str">
        <f>Voelk!$D$85</f>
        <v>No H2</v>
      </c>
      <c r="R46" s="497">
        <f>C46</f>
        <v>42</v>
      </c>
      <c r="S46" s="418">
        <f>Voelk!$D86</f>
        <v>3.9565217391304355</v>
      </c>
      <c r="T46" s="408">
        <f>Voelk!$D87</f>
        <v>46</v>
      </c>
      <c r="U46" s="417"/>
      <c r="V46" s="416">
        <f>Voelk!$D$89</f>
        <v>0.38800000000000001</v>
      </c>
      <c r="W46" s="416"/>
      <c r="X46" s="417"/>
      <c r="Y46" s="417">
        <f>Voelk!$D$92</f>
        <v>1.53</v>
      </c>
      <c r="Z46" s="417"/>
      <c r="AA46" s="418">
        <f>Voelk!$D$94</f>
        <v>54.8</v>
      </c>
      <c r="AB46" s="418">
        <f>Voelk!$D$95</f>
        <v>45.2</v>
      </c>
      <c r="AC46" s="418">
        <f>Voelk!$D$96</f>
        <v>0</v>
      </c>
      <c r="AD46" s="417">
        <f>Voelk!$D$97</f>
        <v>7.81</v>
      </c>
      <c r="AE46" s="416" t="str">
        <f>Voelk!$D$98</f>
        <v>n/r</v>
      </c>
      <c r="AF46" s="408" t="str">
        <f>Voelk!$D$99</f>
        <v>TVFA + graph</v>
      </c>
      <c r="AG46" s="417"/>
      <c r="AH46" s="417"/>
      <c r="AI46" s="417"/>
      <c r="AJ46" s="418"/>
      <c r="AK46" s="453"/>
      <c r="AL46" s="417"/>
      <c r="AM46" s="417"/>
      <c r="AN46" s="417"/>
      <c r="AO46" s="417"/>
      <c r="AP46" s="417"/>
      <c r="AQ46" s="417"/>
      <c r="AR46" s="418"/>
    </row>
    <row r="47" spans="1:44" x14ac:dyDescent="0.3">
      <c r="A47" s="110"/>
      <c r="B47" s="433"/>
      <c r="C47" s="110"/>
      <c r="D47" s="110"/>
      <c r="E47" s="408"/>
      <c r="F47" s="110"/>
      <c r="G47" s="408"/>
      <c r="H47" s="408"/>
      <c r="I47" s="438"/>
      <c r="J47" s="408"/>
      <c r="K47" s="438"/>
      <c r="L47" s="438"/>
      <c r="M47" s="438"/>
      <c r="N47" s="438"/>
      <c r="O47" s="438"/>
      <c r="P47" s="441" t="str">
        <f>Voelk!$E$84</f>
        <v>Low capacity diffuser</v>
      </c>
      <c r="Q47" s="443" t="str">
        <f>Voelk!$E$85</f>
        <v>With H2</v>
      </c>
      <c r="R47" s="416"/>
      <c r="S47" s="408"/>
      <c r="T47" s="408"/>
      <c r="U47" s="417">
        <f>Voelk!$E$88</f>
        <v>5.05</v>
      </c>
      <c r="V47" s="416">
        <f>Voelk!$E$89</f>
        <v>0.46100000000000002</v>
      </c>
      <c r="W47" s="416">
        <f>Voelk!$E$90</f>
        <v>7.3000000000000009E-2</v>
      </c>
      <c r="X47" s="417">
        <f>Voelk!$E$91</f>
        <v>0.18814432989690724</v>
      </c>
      <c r="Y47" s="417">
        <f>Voelk!$E$92</f>
        <v>1.82</v>
      </c>
      <c r="Z47" s="417">
        <f>Voelk!$E$93</f>
        <v>0.29000000000000004</v>
      </c>
      <c r="AA47" s="418">
        <f>Voelk!$E$94</f>
        <v>32.1</v>
      </c>
      <c r="AB47" s="418">
        <f>Voelk!$E$95</f>
        <v>11.4</v>
      </c>
      <c r="AC47" s="418">
        <f>Voelk!$E$96</f>
        <v>56.5</v>
      </c>
      <c r="AD47" s="417">
        <f>Voelk!$E$97</f>
        <v>7.97</v>
      </c>
      <c r="AE47" s="416" t="str">
        <f>Voelk!$E$98</f>
        <v>n/r</v>
      </c>
      <c r="AF47" s="408" t="str">
        <f>Voelk!$E$99</f>
        <v>TVFA + graph</v>
      </c>
      <c r="AG47" s="417">
        <f>Voelk!$E$70</f>
        <v>0.46164330218068528</v>
      </c>
      <c r="AH47" s="417">
        <f>Voelk!$E$71</f>
        <v>0.29000000000000004</v>
      </c>
      <c r="AI47" s="417">
        <f>Voelk!$E$72</f>
        <v>0.61561566273279233</v>
      </c>
      <c r="AJ47" s="418">
        <f>Voelk!$E$73</f>
        <v>4.0016773671120358</v>
      </c>
      <c r="AK47" s="452">
        <f>Voelk!$E$74</f>
        <v>0.36565806113321608</v>
      </c>
      <c r="AL47" s="417">
        <f>Voelk!$E$75</f>
        <v>0.62819063686208365</v>
      </c>
      <c r="AM47" s="417">
        <f>Voelk!$E$76</f>
        <v>1.3335310180496085</v>
      </c>
      <c r="AN47" s="417">
        <f>Voelk!$E$77</f>
        <v>0.47107313467733258</v>
      </c>
      <c r="AO47" s="417">
        <f>Voelk!$E$78</f>
        <v>0.229799294349008</v>
      </c>
      <c r="AP47" s="417">
        <f>Voelk!$E$79</f>
        <v>0.88337425936106517</v>
      </c>
      <c r="AQ47" s="417">
        <f>Voelk!$E$80</f>
        <v>6.3674938231818654</v>
      </c>
      <c r="AR47" s="418">
        <f>Voelk!$E$81</f>
        <v>1.2309575459899489</v>
      </c>
    </row>
    <row r="48" spans="1:44" x14ac:dyDescent="0.3">
      <c r="A48" s="110"/>
      <c r="B48" s="433"/>
      <c r="C48" s="110"/>
      <c r="D48" s="110"/>
      <c r="E48" s="408"/>
      <c r="F48" s="110"/>
      <c r="G48" s="408"/>
      <c r="H48" s="408"/>
      <c r="I48" s="438"/>
      <c r="J48" s="408"/>
      <c r="K48" s="438" t="str">
        <f>Voelk!E13</f>
        <v>Ceramic diffuser</v>
      </c>
      <c r="L48" s="438"/>
      <c r="M48" s="438"/>
      <c r="N48" s="438"/>
      <c r="O48" s="438"/>
      <c r="P48" s="441" t="str">
        <f>Voelk!$F$84</f>
        <v>Control period</v>
      </c>
      <c r="Q48" s="443" t="str">
        <f>Voelk!$F$85</f>
        <v>No H2</v>
      </c>
      <c r="R48" s="416"/>
      <c r="S48" s="408"/>
      <c r="T48" s="408"/>
      <c r="U48" s="417"/>
      <c r="V48" s="416">
        <f>Voelk!$F$89</f>
        <v>0.38200000000000001</v>
      </c>
      <c r="W48" s="416"/>
      <c r="X48" s="417"/>
      <c r="Y48" s="417">
        <f>Voelk!$F$92</f>
        <v>1.51</v>
      </c>
      <c r="Z48" s="417"/>
      <c r="AA48" s="418">
        <f>Voelk!$F$94</f>
        <v>53.2</v>
      </c>
      <c r="AB48" s="418">
        <f>Voelk!$F$95</f>
        <v>46.8</v>
      </c>
      <c r="AC48" s="418"/>
      <c r="AD48" s="417">
        <f>Voelk!$F$97</f>
        <v>7.89</v>
      </c>
      <c r="AE48" s="416" t="str">
        <f>Voelk!$F$98</f>
        <v>n/r</v>
      </c>
      <c r="AF48" s="408" t="str">
        <f>Voelk!$F$99</f>
        <v>TVFA + graph</v>
      </c>
      <c r="AG48" s="417"/>
      <c r="AH48" s="417"/>
      <c r="AI48" s="417"/>
      <c r="AJ48" s="418"/>
      <c r="AK48" s="452"/>
      <c r="AL48" s="417"/>
      <c r="AM48" s="417"/>
      <c r="AN48" s="417"/>
      <c r="AO48" s="417"/>
      <c r="AP48" s="417"/>
      <c r="AQ48" s="417"/>
      <c r="AR48" s="418"/>
    </row>
    <row r="49" spans="1:44" x14ac:dyDescent="0.3">
      <c r="A49" s="110"/>
      <c r="B49" s="433"/>
      <c r="C49" s="110"/>
      <c r="D49" s="110"/>
      <c r="E49" s="408"/>
      <c r="F49" s="110"/>
      <c r="G49" s="408"/>
      <c r="H49" s="408"/>
      <c r="I49" s="438"/>
      <c r="J49" s="408"/>
      <c r="K49" s="438"/>
      <c r="L49" s="438"/>
      <c r="M49" s="438"/>
      <c r="N49" s="438"/>
      <c r="O49" s="438"/>
      <c r="P49" s="441" t="str">
        <f>Voelk!$G$84</f>
        <v>Ceramic diffuser</v>
      </c>
      <c r="Q49" s="443" t="str">
        <f>Voelk!$G$85</f>
        <v>With H2</v>
      </c>
      <c r="R49" s="416"/>
      <c r="S49" s="408"/>
      <c r="T49" s="408"/>
      <c r="U49" s="417">
        <f>Voelk!$G$88</f>
        <v>5.29</v>
      </c>
      <c r="V49" s="416">
        <f>Voelk!$G$89</f>
        <v>0.64</v>
      </c>
      <c r="W49" s="416">
        <f>Voelk!$G$90</f>
        <v>0.25800000000000001</v>
      </c>
      <c r="X49" s="417">
        <f>Voelk!$G$91</f>
        <v>0.67539267015706805</v>
      </c>
      <c r="Y49" s="417">
        <f>Voelk!$G$92</f>
        <v>2.52</v>
      </c>
      <c r="Z49" s="417">
        <f>Voelk!$G$93</f>
        <v>0.99</v>
      </c>
      <c r="AA49" s="418">
        <f>Voelk!$G$94</f>
        <v>60.3</v>
      </c>
      <c r="AB49" s="418">
        <f>Voelk!$G$95</f>
        <v>5.0999999999999996</v>
      </c>
      <c r="AC49" s="418">
        <f>Voelk!$G$96</f>
        <v>34.6</v>
      </c>
      <c r="AD49" s="417">
        <f>Voelk!$G$97</f>
        <v>8.3699999999999992</v>
      </c>
      <c r="AE49" s="416" t="str">
        <f>Voelk!$G$98</f>
        <v>n/r</v>
      </c>
      <c r="AF49" s="408" t="str">
        <f>Voelk!$G$99</f>
        <v>TVFA + graph</v>
      </c>
      <c r="AG49" s="417">
        <f>Voelk!$G$70</f>
        <v>0.96100746268656723</v>
      </c>
      <c r="AH49" s="417">
        <f>Voelk!$G$71</f>
        <v>1.01</v>
      </c>
      <c r="AI49" s="417">
        <f>Voelk!$G$72</f>
        <v>1.1152115363034449</v>
      </c>
      <c r="AJ49" s="418">
        <f>Voelk!$G$73</f>
        <v>3.9823965585554997</v>
      </c>
      <c r="AK49" s="452">
        <f>Voelk!$G$74</f>
        <v>0.72665970713540051</v>
      </c>
      <c r="AL49" s="417">
        <f>Voelk!$G$75</f>
        <v>1.0509803921568628</v>
      </c>
      <c r="AM49" s="417">
        <f>Voelk!$G$76</f>
        <v>1.1604608492693582</v>
      </c>
      <c r="AN49" s="417">
        <f>Voelk!$G$77</f>
        <v>0.90565777623482435</v>
      </c>
      <c r="AO49" s="417">
        <f>Voelk!$G$78</f>
        <v>0.76034414445010479</v>
      </c>
      <c r="AP49" s="417">
        <f>Voelk!$G$79</f>
        <v>0.96293209449441541</v>
      </c>
      <c r="AQ49" s="417">
        <f>Voelk!$G$80</f>
        <v>3.8059701492537314</v>
      </c>
      <c r="AR49" s="418">
        <f>Voelk!$G$81</f>
        <v>2.7288183144428242</v>
      </c>
    </row>
    <row r="50" spans="1:44" x14ac:dyDescent="0.3">
      <c r="A50" s="110"/>
      <c r="B50" s="433" t="str">
        <f>Illi!B2</f>
        <v>Illi et al., 2021</v>
      </c>
      <c r="C50" s="110">
        <v>43</v>
      </c>
      <c r="D50" s="110" t="str">
        <f>Illi!$D6</f>
        <v>Maize silage + sugar beet silage effluent</v>
      </c>
      <c r="E50" s="408">
        <f>Illi!$D7</f>
        <v>37</v>
      </c>
      <c r="F50" s="110" t="str">
        <f>Illi!$D8</f>
        <v>Anaerobic filter</v>
      </c>
      <c r="G50" s="408">
        <f>Illi!$D9</f>
        <v>130</v>
      </c>
      <c r="H50" s="408">
        <f>Illi!$D10</f>
        <v>95</v>
      </c>
      <c r="I50" s="438" t="str">
        <f>Illi!$D11</f>
        <v>Pump</v>
      </c>
      <c r="J50" s="408" t="str">
        <f>Illi!$D12</f>
        <v>Yes?</v>
      </c>
      <c r="K50" s="438" t="str">
        <f>Illi!$D13</f>
        <v>Venturi</v>
      </c>
      <c r="L50" s="438" t="str">
        <f>Illi!$D14</f>
        <v>Continuous</v>
      </c>
      <c r="M50" s="438" t="str">
        <f>Illi!$D15</f>
        <v>Parallel</v>
      </c>
      <c r="N50" s="438" t="str">
        <f>Illi!$D16</f>
        <v>H2 ratio</v>
      </c>
      <c r="O50" s="438" t="str">
        <f>Illi!$D17</f>
        <v>COD units not VS</v>
      </c>
      <c r="P50" s="441" t="str">
        <f>Illi!$D$88</f>
        <v>Control reactor</v>
      </c>
      <c r="Q50" s="444" t="str">
        <f>Illi!$D$89</f>
        <v>No H2</v>
      </c>
      <c r="R50" s="497">
        <f>C50</f>
        <v>43</v>
      </c>
      <c r="S50" s="417">
        <f>Illi!$D$90</f>
        <v>2.92</v>
      </c>
      <c r="T50" s="417">
        <f>Illi!$D$91</f>
        <v>16.97</v>
      </c>
      <c r="U50" s="417"/>
      <c r="V50" s="416">
        <f>Illi!$D$93</f>
        <v>0.31</v>
      </c>
      <c r="W50" s="416"/>
      <c r="X50" s="417"/>
      <c r="Y50" s="417">
        <f>Illi!$D$96</f>
        <v>0.91</v>
      </c>
      <c r="Z50" s="417"/>
      <c r="AA50" s="418">
        <f>Illi!$D$98</f>
        <v>66.14</v>
      </c>
      <c r="AB50" s="418">
        <f>Illi!$D$99</f>
        <v>27.88</v>
      </c>
      <c r="AC50" s="418"/>
      <c r="AD50" s="417">
        <f>Illi!$D$101</f>
        <v>7.91</v>
      </c>
      <c r="AE50" s="417" t="str">
        <f>Illi!$D$102</f>
        <v>n/r</v>
      </c>
      <c r="AF50" s="417" t="str">
        <f>Illi!$D$103</f>
        <v>n/r</v>
      </c>
      <c r="AG50" s="417"/>
      <c r="AH50" s="417"/>
      <c r="AI50" s="417"/>
      <c r="AJ50" s="418"/>
      <c r="AK50" s="453"/>
      <c r="AL50" s="417"/>
      <c r="AM50" s="417"/>
      <c r="AN50" s="417"/>
      <c r="AO50" s="417"/>
      <c r="AP50" s="417"/>
      <c r="AQ50" s="417"/>
      <c r="AR50" s="418"/>
    </row>
    <row r="51" spans="1:44" x14ac:dyDescent="0.3">
      <c r="A51" s="110"/>
      <c r="B51" s="433"/>
      <c r="C51" s="110"/>
      <c r="D51" s="110"/>
      <c r="E51" s="408"/>
      <c r="F51" s="110"/>
      <c r="G51" s="408"/>
      <c r="H51" s="408"/>
      <c r="I51" s="438"/>
      <c r="J51" s="408"/>
      <c r="K51" s="438"/>
      <c r="L51" s="438"/>
      <c r="M51" s="438"/>
      <c r="N51" s="438"/>
      <c r="O51" s="438"/>
      <c r="P51" s="441" t="str">
        <f>Illi!$E$88</f>
        <v>H2/CO2 = 2</v>
      </c>
      <c r="Q51" s="444" t="str">
        <f>Illi!$E$89</f>
        <v>With H2</v>
      </c>
      <c r="R51" s="417"/>
      <c r="S51" s="417">
        <f>Illi!$E$90</f>
        <v>3</v>
      </c>
      <c r="T51" s="417">
        <f>Illi!$E$91</f>
        <v>17.100000000000001</v>
      </c>
      <c r="U51" s="417">
        <f>Illi!$E$92</f>
        <v>0.75031578947368427</v>
      </c>
      <c r="V51" s="416">
        <f>Illi!$E$93</f>
        <v>0.35</v>
      </c>
      <c r="W51" s="416">
        <f>Illi!$E$94</f>
        <v>3.999999999999998E-2</v>
      </c>
      <c r="X51" s="417">
        <f>Illi!$E$95</f>
        <v>0.12903225806451607</v>
      </c>
      <c r="Y51" s="417">
        <f>Illi!$E$96</f>
        <v>1.05</v>
      </c>
      <c r="Z51" s="417">
        <f>Illi!$E$97</f>
        <v>0.14000000000000001</v>
      </c>
      <c r="AA51" s="418">
        <f>Illi!$E$98</f>
        <v>62.67</v>
      </c>
      <c r="AB51" s="418">
        <f>Illi!$E$99</f>
        <v>18.420000000000002</v>
      </c>
      <c r="AC51" s="418">
        <f>Illi!$E$100</f>
        <v>10.96</v>
      </c>
      <c r="AD51" s="417">
        <f>Illi!$E$101</f>
        <v>8.17</v>
      </c>
      <c r="AE51" s="417" t="str">
        <f>Illi!$E$102</f>
        <v>n/r</v>
      </c>
      <c r="AF51" s="417" t="str">
        <f>Illi!$E$103</f>
        <v>n/r</v>
      </c>
      <c r="AG51" s="417">
        <f>Illi!$E$73</f>
        <v>0.14167181476909124</v>
      </c>
      <c r="AH51" s="417">
        <f>Illi!$E$74</f>
        <v>0.14000000000000001</v>
      </c>
      <c r="AI51" s="417">
        <f>Illi!$E$75</f>
        <v>7.497581685164395E-2</v>
      </c>
      <c r="AJ51" s="418">
        <f>Illi!$E$77</f>
        <v>1.95</v>
      </c>
      <c r="AK51" s="453">
        <f>Illi!$E$78</f>
        <v>0.75526500578359523</v>
      </c>
      <c r="AL51" s="417">
        <f>Illi!$E$79</f>
        <v>0.98819938340017666</v>
      </c>
      <c r="AM51" s="417">
        <f>Illi!$E$80</f>
        <v>0.5292218284479937</v>
      </c>
      <c r="AN51" s="417">
        <f>Illi!$E$81</f>
        <v>1.8672687524968301</v>
      </c>
      <c r="AO51" s="417">
        <f>Illi!$E$82</f>
        <v>0.36497075377993604</v>
      </c>
      <c r="AP51" s="417">
        <f>Illi!$E$83</f>
        <v>1.0502663622356743</v>
      </c>
      <c r="AQ51" s="417">
        <f>Illi!$E$84</f>
        <v>4.0477661362597495</v>
      </c>
      <c r="AR51" s="418">
        <f>Illi!$E$85</f>
        <v>7.5582672236526562</v>
      </c>
    </row>
    <row r="52" spans="1:44" x14ac:dyDescent="0.3">
      <c r="A52" s="110"/>
      <c r="B52" s="433"/>
      <c r="C52" s="110"/>
      <c r="D52" s="110"/>
      <c r="E52" s="408"/>
      <c r="F52" s="110"/>
      <c r="G52" s="408"/>
      <c r="H52" s="408"/>
      <c r="I52" s="438"/>
      <c r="J52" s="408"/>
      <c r="K52" s="438"/>
      <c r="L52" s="438"/>
      <c r="M52" s="438"/>
      <c r="N52" s="438"/>
      <c r="O52" s="438"/>
      <c r="P52" s="441" t="str">
        <f>Illi!$F$88</f>
        <v>H2/CO2 = 4</v>
      </c>
      <c r="Q52" s="444" t="str">
        <f>Illi!$F$89</f>
        <v>With H2</v>
      </c>
      <c r="R52" s="417"/>
      <c r="S52" s="417">
        <f>Illi!$F$90</f>
        <v>3.53</v>
      </c>
      <c r="T52" s="417">
        <f>Illi!$F$91</f>
        <v>16.46</v>
      </c>
      <c r="U52" s="417">
        <f>Illi!$F$92</f>
        <v>1.5107368421052632</v>
      </c>
      <c r="V52" s="416">
        <f>Illi!$F$93</f>
        <v>0.35</v>
      </c>
      <c r="W52" s="416">
        <f>Illi!$F$94</f>
        <v>3.999999999999998E-2</v>
      </c>
      <c r="X52" s="417">
        <f>Illi!$F$95</f>
        <v>0.12903225806451607</v>
      </c>
      <c r="Y52" s="417">
        <f>Illi!$F$96</f>
        <v>1.2</v>
      </c>
      <c r="Z52" s="417">
        <f>Illi!$F$97</f>
        <v>0.28999999999999992</v>
      </c>
      <c r="AA52" s="418">
        <f>Illi!$F$98</f>
        <v>56.69</v>
      </c>
      <c r="AB52" s="418">
        <f>Illi!$F$99</f>
        <v>12.02</v>
      </c>
      <c r="AC52" s="418">
        <f>Illi!$F$100</f>
        <v>26.98</v>
      </c>
      <c r="AD52" s="417">
        <f>Illi!$F$101</f>
        <v>8.5500000000000007</v>
      </c>
      <c r="AE52" s="417" t="str">
        <f>Illi!$F$102</f>
        <v>n/r</v>
      </c>
      <c r="AF52" s="417" t="str">
        <f>Illi!$F$103</f>
        <v>n/r</v>
      </c>
      <c r="AG52" s="417">
        <f>Illi!$F$73</f>
        <v>0.23490770673375977</v>
      </c>
      <c r="AH52" s="417">
        <f>Illi!$F$74</f>
        <v>0.28999999999999992</v>
      </c>
      <c r="AI52" s="417">
        <f>Illi!$F$75</f>
        <v>0.1291559712627624</v>
      </c>
      <c r="AJ52" s="418">
        <f>Illi!$F$77</f>
        <v>3.94</v>
      </c>
      <c r="AK52" s="453">
        <f>Illi!$F$78</f>
        <v>0.62196856576664372</v>
      </c>
      <c r="AL52" s="417">
        <f>Illi!$F$79</f>
        <v>1.2345273981525042</v>
      </c>
      <c r="AM52" s="417">
        <f>Illi!$F$80</f>
        <v>0.54981581089268172</v>
      </c>
      <c r="AN52" s="417">
        <f>Illi!$F$81</f>
        <v>2.2453472120929439</v>
      </c>
      <c r="AO52" s="417">
        <f>Illi!$F$82</f>
        <v>0.75601084711558153</v>
      </c>
      <c r="AP52" s="417">
        <f>Illi!$F$83</f>
        <v>1.1243390354247855</v>
      </c>
      <c r="AQ52" s="417">
        <f>Illi!$F$84</f>
        <v>3.2401062997759977</v>
      </c>
      <c r="AR52" s="418">
        <f>Illi!$F$85</f>
        <v>7.2751636470868206</v>
      </c>
    </row>
    <row r="53" spans="1:44" x14ac:dyDescent="0.3">
      <c r="A53" s="110"/>
      <c r="B53" s="433" t="str">
        <f>Schon!B2</f>
        <v>Schönberg and Busch, 2012</v>
      </c>
      <c r="C53" s="110">
        <v>44</v>
      </c>
      <c r="D53" s="110" t="str">
        <f>Schon!$D6</f>
        <v>Maize silage hydrolysate</v>
      </c>
      <c r="E53" s="408">
        <f>Schon!$D7</f>
        <v>55</v>
      </c>
      <c r="F53" s="110" t="str">
        <f>Schon!$D8</f>
        <v>2-stage</v>
      </c>
      <c r="G53" s="408" t="str">
        <f>Schon!$D9</f>
        <v>n/r</v>
      </c>
      <c r="H53" s="408" t="str">
        <f>Schon!$D10</f>
        <v>200 + 145 (exptl)</v>
      </c>
      <c r="I53" s="438" t="str">
        <f>Schon!$D11</f>
        <v>Percolation</v>
      </c>
      <c r="J53" s="408" t="str">
        <f>Schon!$D12</f>
        <v>No?</v>
      </c>
      <c r="K53" s="438" t="str">
        <f>Schon!$D13</f>
        <v>Injector</v>
      </c>
      <c r="L53" s="438" t="str">
        <f>Schon!$D14</f>
        <v>Various</v>
      </c>
      <c r="M53" s="438" t="str">
        <f>Schon!$D15</f>
        <v>Parallel</v>
      </c>
      <c r="N53" s="438" t="str">
        <f>Schon!$D16</f>
        <v>Hydrolysis conditions</v>
      </c>
      <c r="O53" s="438" t="str">
        <f>Schon!$D17</f>
        <v>Values for whole system</v>
      </c>
      <c r="P53" s="441" t="str">
        <f>Schon!$G94</f>
        <v>Hydrolysis at 55 oC</v>
      </c>
      <c r="Q53" s="444" t="str">
        <f>Schon!$G95</f>
        <v>No H2</v>
      </c>
      <c r="R53" s="497">
        <f>C53</f>
        <v>44</v>
      </c>
      <c r="S53" s="417">
        <f>Schon!$G96</f>
        <v>1.0191387559808613</v>
      </c>
      <c r="T53" s="417">
        <f>Schon!$G97</f>
        <v>22</v>
      </c>
      <c r="U53" s="417"/>
      <c r="V53" s="417">
        <f>Schon!$G99</f>
        <v>0.28000000000000003</v>
      </c>
      <c r="W53" s="416"/>
      <c r="X53" s="417"/>
      <c r="Y53" s="417">
        <f>Schon!$G102</f>
        <v>0.28535885167464115</v>
      </c>
      <c r="Z53" s="417" t="str">
        <f>Schon!$G103</f>
        <v>n/a</v>
      </c>
      <c r="AA53" s="418" t="str">
        <f>Schon!$G104</f>
        <v>norm</v>
      </c>
      <c r="AB53" s="418" t="str">
        <f>Schon!$G105</f>
        <v>norm</v>
      </c>
      <c r="AC53" s="418" t="str">
        <f>Schon!$G106</f>
        <v>n/r</v>
      </c>
      <c r="AD53" s="417" t="str">
        <f>Schon!$G107</f>
        <v>n/r</v>
      </c>
      <c r="AE53" s="417" t="str">
        <f>Schon!$G108</f>
        <v>n/r</v>
      </c>
      <c r="AF53" s="417" t="str">
        <f>Schon!$G109</f>
        <v>n/r</v>
      </c>
      <c r="AG53" s="417"/>
      <c r="AH53" s="417"/>
      <c r="AI53" s="417"/>
      <c r="AJ53" s="417"/>
      <c r="AK53" s="417"/>
      <c r="AL53" s="417"/>
      <c r="AM53" s="417"/>
      <c r="AN53" s="417"/>
      <c r="AO53" s="417"/>
      <c r="AP53" s="417"/>
      <c r="AQ53" s="417"/>
      <c r="AR53" s="417"/>
    </row>
    <row r="54" spans="1:44" s="110" customFormat="1" x14ac:dyDescent="0.3">
      <c r="B54" s="433"/>
      <c r="E54" s="408"/>
      <c r="G54" s="408"/>
      <c r="H54" s="408"/>
      <c r="I54" s="438"/>
      <c r="J54" s="408"/>
      <c r="K54" s="438"/>
      <c r="L54" s="438"/>
      <c r="M54" s="438"/>
      <c r="N54" s="438"/>
      <c r="O54" s="438"/>
      <c r="P54" s="441" t="str">
        <f>Schon!$F94</f>
        <v>-</v>
      </c>
      <c r="Q54" s="444" t="str">
        <f>Schon!$F95</f>
        <v>With H2</v>
      </c>
      <c r="R54" s="417"/>
      <c r="S54" s="417">
        <f>Schon!$F96</f>
        <v>1.1172595520421607</v>
      </c>
      <c r="T54" s="417">
        <f>Schon!$F97</f>
        <v>22</v>
      </c>
      <c r="U54" s="417">
        <f>Schon!$F98</f>
        <v>2.6668985507246377</v>
      </c>
      <c r="V54" s="417">
        <f>Schon!$F99</f>
        <v>0.30499999999999999</v>
      </c>
      <c r="W54" s="416">
        <f>Schon!$F100</f>
        <v>2.4999999999999967E-2</v>
      </c>
      <c r="X54" s="417">
        <f>Schon!$F101</f>
        <v>8.8652482269503438E-2</v>
      </c>
      <c r="Y54" s="417">
        <f>Schon!$F102</f>
        <v>0.34076416337285903</v>
      </c>
      <c r="Z54" s="417" t="str">
        <f>Schon!$F103</f>
        <v>n/a</v>
      </c>
      <c r="AA54" s="418" t="str">
        <f>Schon!$F104</f>
        <v>norm</v>
      </c>
      <c r="AB54" s="418" t="str">
        <f>Schon!$F105</f>
        <v>norm</v>
      </c>
      <c r="AC54" s="418" t="str">
        <f>Schon!$F106</f>
        <v>n/r</v>
      </c>
      <c r="AD54" s="417" t="str">
        <f>Schon!$F107</f>
        <v>n/r</v>
      </c>
      <c r="AE54" s="417" t="str">
        <f>Schon!$F108</f>
        <v>n/r</v>
      </c>
      <c r="AF54" s="417" t="str">
        <f>Schon!$F109</f>
        <v>n/r</v>
      </c>
      <c r="AG54" s="417">
        <f>Schon!$F$79</f>
        <v>0.66672463768115942</v>
      </c>
      <c r="AH54" s="417">
        <f>Schon!$F$80</f>
        <v>5.5405311698217885E-2</v>
      </c>
      <c r="AI54" s="417">
        <f>Schon!$F$81</f>
        <v>-2.4793218223424174E-2</v>
      </c>
      <c r="AJ54" s="417" t="str">
        <f>Schon!$F$82</f>
        <v>n/r</v>
      </c>
      <c r="AK54" s="417" t="str">
        <f>Schon!$F$83</f>
        <v>n/r</v>
      </c>
      <c r="AL54" s="417">
        <f>Schon!$F$84</f>
        <v>8.3100741395901095E-2</v>
      </c>
      <c r="AM54" s="417" t="str">
        <f>Schon!$F$85</f>
        <v>n/r</v>
      </c>
      <c r="AN54" s="417" t="str">
        <f>Schon!$F$86</f>
        <v>n/r</v>
      </c>
      <c r="AO54" s="417">
        <f>Schon!$F$87</f>
        <v>0.16936086093819985</v>
      </c>
      <c r="AP54" s="417" t="str">
        <f>Schon!$F$88</f>
        <v>n/r</v>
      </c>
      <c r="AQ54" s="417" t="str">
        <f>Schon!$F$89</f>
        <v>n/r</v>
      </c>
      <c r="AR54" s="417" t="str">
        <f>Schon!$F$90</f>
        <v>n/r</v>
      </c>
    </row>
    <row r="55" spans="1:44" s="110" customFormat="1" x14ac:dyDescent="0.3">
      <c r="B55" s="433"/>
      <c r="E55" s="408"/>
      <c r="G55" s="408"/>
      <c r="H55" s="408"/>
      <c r="I55" s="438"/>
      <c r="J55" s="408"/>
      <c r="K55" s="438"/>
      <c r="L55" s="438"/>
      <c r="M55" s="438"/>
      <c r="N55" s="438"/>
      <c r="O55" s="438"/>
      <c r="P55" s="441" t="str">
        <f>Schon!$L94</f>
        <v>Hydrolysis at 60 oC</v>
      </c>
      <c r="Q55" s="444" t="str">
        <f>Schon!$L95</f>
        <v>No H2</v>
      </c>
      <c r="R55" s="417"/>
      <c r="S55" s="417">
        <f>Schon!$L96</f>
        <v>0.89473684210526316</v>
      </c>
      <c r="T55" s="417">
        <f>Schon!$L97</f>
        <v>24</v>
      </c>
      <c r="U55" s="417"/>
      <c r="V55" s="417">
        <f>Schon!$L99</f>
        <v>0.30599999999999999</v>
      </c>
      <c r="W55" s="416"/>
      <c r="X55" s="417"/>
      <c r="Y55" s="417">
        <f>Schon!$L102</f>
        <v>0.27378947368421053</v>
      </c>
      <c r="Z55" s="417" t="str">
        <f>Schon!$L103</f>
        <v>n/a</v>
      </c>
      <c r="AA55" s="418" t="str">
        <f>Schon!$L104</f>
        <v>norm</v>
      </c>
      <c r="AB55" s="418" t="str">
        <f>Schon!$L105</f>
        <v>norm</v>
      </c>
      <c r="AC55" s="418" t="str">
        <f>Schon!$L106</f>
        <v>n/r</v>
      </c>
      <c r="AD55" s="417" t="str">
        <f>Schon!$L107</f>
        <v>n/r</v>
      </c>
      <c r="AE55" s="417" t="str">
        <f>Schon!$L108</f>
        <v>n/r</v>
      </c>
      <c r="AF55" s="417" t="str">
        <f>Schon!$L109</f>
        <v>n/r</v>
      </c>
      <c r="AG55" s="417"/>
      <c r="AH55" s="417"/>
      <c r="AI55" s="417"/>
      <c r="AJ55" s="417"/>
      <c r="AK55" s="417"/>
      <c r="AL55" s="417"/>
      <c r="AM55" s="417"/>
      <c r="AN55" s="417"/>
      <c r="AO55" s="417"/>
      <c r="AP55" s="417"/>
      <c r="AQ55" s="417"/>
      <c r="AR55" s="417"/>
    </row>
    <row r="56" spans="1:44" s="110" customFormat="1" x14ac:dyDescent="0.3">
      <c r="B56" s="433"/>
      <c r="E56" s="408"/>
      <c r="G56" s="408"/>
      <c r="H56" s="408"/>
      <c r="I56" s="438"/>
      <c r="J56" s="408"/>
      <c r="K56" s="438"/>
      <c r="L56" s="438"/>
      <c r="M56" s="438"/>
      <c r="N56" s="438"/>
      <c r="O56" s="438"/>
      <c r="P56" s="441" t="str">
        <f>Schon!$K94</f>
        <v>-</v>
      </c>
      <c r="Q56" s="444" t="str">
        <f>Schon!$K95</f>
        <v>With H2</v>
      </c>
      <c r="R56" s="417"/>
      <c r="S56" s="417">
        <f>Schon!$K96</f>
        <v>1.0144927536231885</v>
      </c>
      <c r="T56" s="417">
        <f>Schon!$K97</f>
        <v>24</v>
      </c>
      <c r="U56" s="417">
        <f>Schon!$K98</f>
        <v>4.570086956521739</v>
      </c>
      <c r="V56" s="417">
        <f>Schon!$K99</f>
        <v>0.313</v>
      </c>
      <c r="W56" s="416">
        <f>Schon!$K100</f>
        <v>7.0000000000000062E-3</v>
      </c>
      <c r="X56" s="417">
        <f>Schon!$K101</f>
        <v>2.4822695035461018E-2</v>
      </c>
      <c r="Y56" s="417">
        <f>Schon!$K102</f>
        <v>0.317536231884058</v>
      </c>
      <c r="Z56" s="417" t="str">
        <f>Schon!$K103</f>
        <v>n/a</v>
      </c>
      <c r="AA56" s="418" t="str">
        <f>Schon!$K104</f>
        <v>norm</v>
      </c>
      <c r="AB56" s="418" t="str">
        <f>Schon!$K105</f>
        <v>norm</v>
      </c>
      <c r="AC56" s="418" t="str">
        <f>Schon!$K106</f>
        <v>n/r</v>
      </c>
      <c r="AD56" s="417" t="str">
        <f>Schon!$K107</f>
        <v>n/r</v>
      </c>
      <c r="AE56" s="417" t="str">
        <f>Schon!$K108</f>
        <v>n/r</v>
      </c>
      <c r="AF56" s="417" t="str">
        <f>Schon!$K109</f>
        <v>n/r</v>
      </c>
      <c r="AG56" s="417">
        <f>Schon!$K$79</f>
        <v>1.1425217391304348</v>
      </c>
      <c r="AH56" s="417">
        <f>Schon!$K$80</f>
        <v>4.3746758199847469E-2</v>
      </c>
      <c r="AI56" s="417">
        <f>Schon!$K$81</f>
        <v>3.9140350877192975E-2</v>
      </c>
      <c r="AJ56" s="417" t="str">
        <f>Schon!$K$82</f>
        <v>n/r</v>
      </c>
      <c r="AK56" s="417" t="str">
        <f>Schon!$K$83</f>
        <v>n/r</v>
      </c>
      <c r="AL56" s="417">
        <f>Schon!$K$84</f>
        <v>3.8289650604935374E-2</v>
      </c>
      <c r="AM56" s="417" t="str">
        <f>Schon!$K$85</f>
        <v>n/r</v>
      </c>
      <c r="AN56" s="417" t="str">
        <f>Schon!$K$86</f>
        <v>n/r</v>
      </c>
      <c r="AO56" s="417">
        <f>Schon!$K$87</f>
        <v>0.10605951330829423</v>
      </c>
      <c r="AP56" s="417" t="str">
        <f>Schon!$K$88</f>
        <v>n/r</v>
      </c>
      <c r="AQ56" s="417" t="str">
        <f>Schon!$K$89</f>
        <v>n/r</v>
      </c>
      <c r="AR56" s="417" t="str">
        <f>Schon!$K$90</f>
        <v>n/r</v>
      </c>
    </row>
    <row r="57" spans="1:44" s="110" customFormat="1" x14ac:dyDescent="0.3">
      <c r="B57" s="433"/>
      <c r="E57" s="408"/>
      <c r="G57" s="408"/>
      <c r="H57" s="408"/>
      <c r="I57" s="438"/>
      <c r="J57" s="408"/>
      <c r="K57" s="438"/>
      <c r="L57" s="438"/>
      <c r="M57" s="438"/>
      <c r="N57" s="438"/>
      <c r="O57" s="438"/>
      <c r="P57" s="441" t="str">
        <f>Schon!$N94</f>
        <v>Hydrolysis at 60 oC</v>
      </c>
      <c r="Q57" s="444" t="str">
        <f>Schon!$N95</f>
        <v>No H2</v>
      </c>
      <c r="R57" s="417"/>
      <c r="S57" s="417">
        <f>Schon!$N96</f>
        <v>1.2705949656750573</v>
      </c>
      <c r="T57" s="417">
        <f>Schon!$N97</f>
        <v>46</v>
      </c>
      <c r="U57" s="417"/>
      <c r="V57" s="417">
        <f>Schon!$N99</f>
        <v>0.38400000000000001</v>
      </c>
      <c r="W57" s="416"/>
      <c r="X57" s="417"/>
      <c r="Y57" s="417">
        <f>Schon!$N102</f>
        <v>0.48790846681922195</v>
      </c>
      <c r="Z57" s="417" t="str">
        <f>Schon!$N103</f>
        <v>n/a</v>
      </c>
      <c r="AA57" s="418" t="str">
        <f>Schon!$N104</f>
        <v>norm</v>
      </c>
      <c r="AB57" s="418" t="str">
        <f>Schon!$N105</f>
        <v>norm</v>
      </c>
      <c r="AC57" s="418" t="str">
        <f>Schon!$N106</f>
        <v>n/r</v>
      </c>
      <c r="AD57" s="417" t="str">
        <f>Schon!$N107</f>
        <v>n/r</v>
      </c>
      <c r="AE57" s="417" t="str">
        <f>Schon!$N108</f>
        <v>n/r</v>
      </c>
      <c r="AF57" s="417" t="str">
        <f>Schon!$N109</f>
        <v>n/r</v>
      </c>
      <c r="AG57" s="417"/>
      <c r="AH57" s="417"/>
      <c r="AI57" s="417"/>
      <c r="AJ57" s="417"/>
      <c r="AK57" s="417"/>
      <c r="AL57" s="417"/>
      <c r="AM57" s="417"/>
      <c r="AN57" s="417"/>
      <c r="AO57" s="417"/>
      <c r="AP57" s="417"/>
      <c r="AQ57" s="417"/>
      <c r="AR57" s="417"/>
    </row>
    <row r="58" spans="1:44" s="110" customFormat="1" x14ac:dyDescent="0.3">
      <c r="B58" s="433"/>
      <c r="E58" s="408"/>
      <c r="G58" s="408"/>
      <c r="H58" s="408"/>
      <c r="I58" s="438"/>
      <c r="J58" s="408"/>
      <c r="K58" s="438"/>
      <c r="L58" s="438"/>
      <c r="M58" s="438"/>
      <c r="N58" s="438"/>
      <c r="O58" s="438"/>
      <c r="P58" s="441" t="str">
        <f>Schon!$M94</f>
        <v>-</v>
      </c>
      <c r="Q58" s="444" t="str">
        <f>Schon!$M95</f>
        <v>With H2</v>
      </c>
      <c r="R58" s="417"/>
      <c r="S58" s="417">
        <f>Schon!$M96</f>
        <v>1.3875236294896029</v>
      </c>
      <c r="T58" s="417">
        <f>Schon!$M97</f>
        <v>46</v>
      </c>
      <c r="U58" s="417">
        <f>Schon!$M98</f>
        <v>10.946173913043477</v>
      </c>
      <c r="V58" s="417">
        <f>Schon!$M99</f>
        <v>0.40600000000000003</v>
      </c>
      <c r="W58" s="416">
        <f>Schon!$M100</f>
        <v>2.200000000000002E-2</v>
      </c>
      <c r="X58" s="417">
        <f>Schon!$M101</f>
        <v>7.8014184397163192E-2</v>
      </c>
      <c r="Y58" s="417">
        <f>Schon!$M102</f>
        <v>0.56333459357277882</v>
      </c>
      <c r="Z58" s="417" t="str">
        <f>Schon!$M103</f>
        <v>n/a</v>
      </c>
      <c r="AA58" s="418" t="str">
        <f>Schon!$M104</f>
        <v>norm</v>
      </c>
      <c r="AB58" s="418" t="str">
        <f>Schon!$M105</f>
        <v>norm</v>
      </c>
      <c r="AC58" s="418" t="str">
        <f>Schon!$M106</f>
        <v>n/r</v>
      </c>
      <c r="AD58" s="417" t="str">
        <f>Schon!$M107</f>
        <v>n/r</v>
      </c>
      <c r="AE58" s="417" t="str">
        <f>Schon!$M108</f>
        <v>n/r</v>
      </c>
      <c r="AF58" s="417" t="str">
        <f>Schon!$M109</f>
        <v>n/r</v>
      </c>
      <c r="AG58" s="417">
        <f>Schon!$M$79</f>
        <v>2.7365434782608693</v>
      </c>
      <c r="AH58" s="417">
        <f>Schon!$M$80</f>
        <v>7.5426126753556866E-2</v>
      </c>
      <c r="AI58" s="417">
        <f>Schon!$M$81</f>
        <v>-3.4501989851755954E-2</v>
      </c>
      <c r="AJ58" s="417" t="str">
        <f>Schon!$M$82</f>
        <v>n/r</v>
      </c>
      <c r="AK58" s="417" t="str">
        <f>Schon!$M$83</f>
        <v>n/r</v>
      </c>
      <c r="AL58" s="417">
        <f>Schon!$M$84</f>
        <v>2.7562553766363598E-2</v>
      </c>
      <c r="AM58" s="417" t="str">
        <f>Schon!$M$85</f>
        <v>n/r</v>
      </c>
      <c r="AN58" s="417" t="str">
        <f>Schon!$M$86</f>
        <v>n/r</v>
      </c>
      <c r="AO58" s="417">
        <f>Schon!$M$87</f>
        <v>0.15221241247903738</v>
      </c>
      <c r="AP58" s="417" t="str">
        <f>Schon!$M$88</f>
        <v>n/r</v>
      </c>
      <c r="AQ58" s="417" t="str">
        <f>Schon!$M$89</f>
        <v>n/r</v>
      </c>
      <c r="AR58" s="417" t="str">
        <f>Schon!$M$90</f>
        <v>n/r</v>
      </c>
    </row>
    <row r="59" spans="1:44" x14ac:dyDescent="0.3">
      <c r="A59" s="110"/>
      <c r="B59" s="433" t="str">
        <f>Agnees!B2</f>
        <v>Agneessens et al., 2017</v>
      </c>
      <c r="C59" s="110">
        <v>45</v>
      </c>
      <c r="D59" s="110" t="str">
        <f>Agnees!$D6</f>
        <v>Mixed agrowaste digestate</v>
      </c>
      <c r="E59" s="408">
        <f>Agnees!$D7</f>
        <v>38</v>
      </c>
      <c r="F59" s="110" t="str">
        <f>Agnees!$D8</f>
        <v>CSTR</v>
      </c>
      <c r="G59" s="408">
        <f>Agnees!$D9</f>
        <v>2</v>
      </c>
      <c r="H59" s="408">
        <f>Agnees!$D10</f>
        <v>0.3</v>
      </c>
      <c r="I59" s="438" t="str">
        <f>Agnees!$D11</f>
        <v>Stirred</v>
      </c>
      <c r="J59" s="408" t="str">
        <f>Agnees!$D12</f>
        <v>No</v>
      </c>
      <c r="K59" s="438" t="str">
        <f>Agnees!$D13</f>
        <v>Headspace - pulsed</v>
      </c>
      <c r="L59" s="438" t="str">
        <f>Agnees!$D14</f>
        <v>Pulsed</v>
      </c>
      <c r="M59" s="438" t="str">
        <f>Agnees!$D15</f>
        <v xml:space="preserve">Parallel </v>
      </c>
      <c r="N59" s="438" t="str">
        <f>Agnees!$D16</f>
        <v>H2/CO2 ratio</v>
      </c>
      <c r="O59" s="438" t="str">
        <f>Agnees!$D17</f>
        <v>6 reactors</v>
      </c>
      <c r="P59" s="441" t="str">
        <f>Agnees!$D61</f>
        <v>Control reactor</v>
      </c>
      <c r="Q59" s="444" t="str">
        <f>Agnees!$D62</f>
        <v>No H2</v>
      </c>
      <c r="R59" s="497">
        <f>C59</f>
        <v>45</v>
      </c>
      <c r="S59" s="417">
        <f>Agnees!$D63</f>
        <v>0.77</v>
      </c>
      <c r="T59" s="417">
        <f>Agnees!$D64</f>
        <v>20</v>
      </c>
      <c r="U59" s="417"/>
      <c r="V59" s="416">
        <f>Agnees!$D66</f>
        <v>0.29314285714285715</v>
      </c>
      <c r="W59" s="416"/>
      <c r="X59" s="417"/>
      <c r="Y59" s="417">
        <f>Agnees!$D69</f>
        <v>0.22572</v>
      </c>
      <c r="Z59" s="417"/>
      <c r="AA59" s="418">
        <f>Agnees!$D71</f>
        <v>59.4</v>
      </c>
      <c r="AB59" s="418">
        <f>Agnees!$D72</f>
        <v>40.700000000000003</v>
      </c>
      <c r="AC59" s="418" t="str">
        <f>Agnees!$D73</f>
        <v>n/a</v>
      </c>
      <c r="AD59" s="417">
        <f>Agnees!$D74</f>
        <v>7.91</v>
      </c>
      <c r="AE59" s="417" t="str">
        <f>Agnees!$D75</f>
        <v>n/r</v>
      </c>
      <c r="AF59" s="416">
        <f>Agnees!$D76</f>
        <v>2.7154308875376588E-3</v>
      </c>
      <c r="AG59" s="417"/>
      <c r="AH59" s="417"/>
      <c r="AI59" s="417"/>
      <c r="AJ59" s="418"/>
      <c r="AK59" s="453"/>
      <c r="AL59" s="417"/>
      <c r="AM59" s="417"/>
      <c r="AN59" s="417"/>
      <c r="AO59" s="417"/>
      <c r="AP59" s="417"/>
      <c r="AQ59" s="417"/>
      <c r="AR59" s="418"/>
    </row>
    <row r="60" spans="1:44" x14ac:dyDescent="0.3">
      <c r="A60" s="110"/>
      <c r="B60" s="433"/>
      <c r="C60" s="110"/>
      <c r="D60" s="110"/>
      <c r="E60" s="408"/>
      <c r="F60" s="110"/>
      <c r="G60" s="408"/>
      <c r="H60" s="408"/>
      <c r="I60" s="438"/>
      <c r="J60" s="408"/>
      <c r="K60" s="438"/>
      <c r="L60" s="438"/>
      <c r="M60" s="438"/>
      <c r="N60" s="438"/>
      <c r="O60" s="438"/>
      <c r="P60" s="441" t="str">
        <f>Agnees!$G61</f>
        <v>H2/CO2 = 6</v>
      </c>
      <c r="Q60" s="444" t="str">
        <f>Agnees!$G62</f>
        <v>With H2</v>
      </c>
      <c r="R60" s="417"/>
      <c r="S60" s="417">
        <f>Agnees!$G63</f>
        <v>0.77</v>
      </c>
      <c r="T60" s="417">
        <f>Agnees!$G64</f>
        <v>20</v>
      </c>
      <c r="U60" s="417">
        <f>Agnees!$G65</f>
        <v>0.92796000000000012</v>
      </c>
      <c r="V60" s="416">
        <f>Agnees!$G66</f>
        <v>0.5714285714285714</v>
      </c>
      <c r="W60" s="416">
        <f>Agnees!$G67</f>
        <v>0.21428</v>
      </c>
      <c r="X60" s="417">
        <f>Agnees!$G68</f>
        <v>0.73097465886939572</v>
      </c>
      <c r="Y60" s="417">
        <f>Agnees!$G69</f>
        <v>0.44</v>
      </c>
      <c r="Z60" s="417">
        <f>Agnees!$G70</f>
        <v>0.21428</v>
      </c>
      <c r="AA60" s="418">
        <f>Agnees!$G71</f>
        <v>100</v>
      </c>
      <c r="AB60" s="418">
        <f>Agnees!$G72</f>
        <v>0</v>
      </c>
      <c r="AC60" s="418" t="str">
        <f>Agnees!$G73</f>
        <v>n/a</v>
      </c>
      <c r="AD60" s="417">
        <f>Agnees!$G74</f>
        <v>7.91</v>
      </c>
      <c r="AE60" s="417" t="str">
        <f>Agnees!$G75</f>
        <v>n/r</v>
      </c>
      <c r="AF60" s="416">
        <f>Agnees!$G76</f>
        <v>4.1234101515003957E-3</v>
      </c>
      <c r="AG60" s="417">
        <f>Agnees!$G47</f>
        <v>0.22725000000000001</v>
      </c>
      <c r="AH60" s="417">
        <f>Agnees!$G48</f>
        <v>0.21428</v>
      </c>
      <c r="AI60" s="417">
        <f>Agnees!$G49</f>
        <v>0.15466000000000002</v>
      </c>
      <c r="AJ60" s="418">
        <f>Agnees!$G50</f>
        <v>6</v>
      </c>
      <c r="AK60" s="453">
        <f>Agnees!$G51</f>
        <v>1.01</v>
      </c>
      <c r="AL60" s="417">
        <f>Agnees!$G52</f>
        <v>0.94292629262926286</v>
      </c>
      <c r="AM60" s="417">
        <f>Agnees!$G53</f>
        <v>0.68057205720572067</v>
      </c>
      <c r="AN60" s="417">
        <f>Agnees!$G54</f>
        <v>1.3854907539118064</v>
      </c>
      <c r="AO60" s="417">
        <f>Agnees!$G55</f>
        <v>1.3854907539118064</v>
      </c>
      <c r="AP60" s="417">
        <f>Agnees!$G56</f>
        <v>1.1578947368421053</v>
      </c>
      <c r="AQ60" s="417">
        <f>Agnees!$G57</f>
        <v>4.2001120029867467</v>
      </c>
      <c r="AR60" s="418">
        <f>Agnees!$G58</f>
        <v>5.8192163455321344</v>
      </c>
    </row>
    <row r="61" spans="1:44" x14ac:dyDescent="0.3">
      <c r="A61" s="110"/>
      <c r="B61" s="433" t="str">
        <f>Agnees!B81</f>
        <v xml:space="preserve">Agneessens et al., 2018 </v>
      </c>
      <c r="C61" s="110">
        <v>47</v>
      </c>
      <c r="D61" s="110" t="str">
        <f>Agnees!$D85</f>
        <v>Mixed agrowaste digestate</v>
      </c>
      <c r="E61" s="408">
        <f>Agnees!$D86</f>
        <v>38</v>
      </c>
      <c r="F61" s="110" t="str">
        <f>Agnees!$D87</f>
        <v>CSTR</v>
      </c>
      <c r="G61" s="408">
        <f>Agnees!$D88</f>
        <v>1.4</v>
      </c>
      <c r="H61" s="408">
        <f>Agnees!$D89</f>
        <v>0.3</v>
      </c>
      <c r="I61" s="438" t="str">
        <f>Agnees!$D90</f>
        <v>Stirred</v>
      </c>
      <c r="J61" s="408" t="str">
        <f>Agnees!$D91</f>
        <v>No</v>
      </c>
      <c r="K61" s="438" t="str">
        <f>Agnees!$D92</f>
        <v>Headspace - pulsed</v>
      </c>
      <c r="L61" s="438" t="str">
        <f>Agnees!$D93</f>
        <v>Pulsed</v>
      </c>
      <c r="M61" s="438" t="str">
        <f>Agnees!$D94</f>
        <v>Parallel</v>
      </c>
      <c r="N61" s="438" t="str">
        <f>Agnees!$D95</f>
        <v>OLR and H2 addition</v>
      </c>
      <c r="O61" s="438" t="str">
        <f>Agnees!$D96</f>
        <v>6 reactors</v>
      </c>
      <c r="P61" s="441" t="str">
        <f>Agnees!$L148</f>
        <v>OLR 2</v>
      </c>
      <c r="Q61" s="496" t="str">
        <f>Agnees!$L149</f>
        <v xml:space="preserve">No H2 </v>
      </c>
      <c r="R61" s="497">
        <f>C61</f>
        <v>47</v>
      </c>
      <c r="S61" s="418">
        <f>Agnees!$L150</f>
        <v>2</v>
      </c>
      <c r="T61" s="409">
        <f>Agnees!$L151</f>
        <v>20</v>
      </c>
      <c r="U61" s="417"/>
      <c r="V61" s="416">
        <f>Agnees!$L153</f>
        <v>0.1288</v>
      </c>
      <c r="W61" s="416"/>
      <c r="X61" s="417"/>
      <c r="Y61" s="417">
        <f>Agnees!$L156</f>
        <v>0.2576</v>
      </c>
      <c r="Z61" s="417"/>
      <c r="AA61" s="418">
        <f>Agnees!$L158</f>
        <v>56</v>
      </c>
      <c r="AB61" s="418">
        <f>Agnees!$L159</f>
        <v>44</v>
      </c>
      <c r="AC61" s="418" t="str">
        <f>Agnees!$L160</f>
        <v>n/a</v>
      </c>
      <c r="AD61" s="417">
        <f>Agnees!$L161</f>
        <v>7.92</v>
      </c>
      <c r="AE61" s="418" t="str">
        <f>Agnees!$L162</f>
        <v>n/r</v>
      </c>
      <c r="AF61" s="416">
        <f>Agnees!$L163</f>
        <v>2.9963971746966782E-3</v>
      </c>
      <c r="AG61" s="417"/>
      <c r="AH61" s="417"/>
      <c r="AI61" s="417"/>
      <c r="AJ61" s="418"/>
      <c r="AK61" s="453"/>
      <c r="AL61" s="417"/>
      <c r="AM61" s="417"/>
      <c r="AN61" s="417"/>
      <c r="AO61" s="417"/>
      <c r="AP61" s="417"/>
      <c r="AQ61" s="417"/>
      <c r="AR61" s="418"/>
    </row>
    <row r="62" spans="1:44" x14ac:dyDescent="0.3">
      <c r="A62" s="110"/>
      <c r="B62" s="433"/>
      <c r="C62" s="110"/>
      <c r="D62" s="110"/>
      <c r="E62" s="408"/>
      <c r="F62" s="110"/>
      <c r="G62" s="408"/>
      <c r="H62" s="408"/>
      <c r="I62" s="438"/>
      <c r="J62" s="408"/>
      <c r="K62" s="438"/>
      <c r="L62" s="438"/>
      <c r="M62" s="438"/>
      <c r="N62" s="438"/>
      <c r="O62" s="438"/>
      <c r="P62" s="441" t="str">
        <f>Agnees!$M148</f>
        <v>&gt;25% CO2, OLR 2, inj 1</v>
      </c>
      <c r="Q62" s="496" t="str">
        <f>Agnees!$M149</f>
        <v>With H2</v>
      </c>
      <c r="R62" s="418"/>
      <c r="S62" s="418">
        <f>Agnees!$M150</f>
        <v>2</v>
      </c>
      <c r="T62" s="409">
        <f>Agnees!$M151</f>
        <v>20</v>
      </c>
      <c r="U62" s="417">
        <f>Agnees!$M152</f>
        <v>1.3</v>
      </c>
      <c r="V62" s="416">
        <f>Agnees!$M153</f>
        <v>0.2303</v>
      </c>
      <c r="W62" s="416">
        <f>Agnees!$M154</f>
        <v>0.10150000000000001</v>
      </c>
      <c r="X62" s="417">
        <f>Agnees!$M155</f>
        <v>0.78804347826086962</v>
      </c>
      <c r="Y62" s="417">
        <f>Agnees!$M156</f>
        <v>0.46060000000000001</v>
      </c>
      <c r="Z62" s="417">
        <f>Agnees!$M157</f>
        <v>0.20300000000000001</v>
      </c>
      <c r="AA62" s="418">
        <f>Agnees!$M158</f>
        <v>94</v>
      </c>
      <c r="AB62" s="418">
        <f>Agnees!$M159</f>
        <v>6</v>
      </c>
      <c r="AC62" s="418" t="str">
        <f>Agnees!$M160</f>
        <v>n/a</v>
      </c>
      <c r="AD62" s="417">
        <f>Agnees!$M161</f>
        <v>7.92</v>
      </c>
      <c r="AE62" s="418" t="str">
        <f>Agnees!$M162</f>
        <v>n/r</v>
      </c>
      <c r="AF62" s="416">
        <f>Agnees!$M163</f>
        <v>3.8235840834714959E-3</v>
      </c>
      <c r="AG62" s="417">
        <f>Agnees!$M133</f>
        <v>0.32500000000000001</v>
      </c>
      <c r="AH62" s="417">
        <f>Agnees!$M134</f>
        <v>0.20300000000000001</v>
      </c>
      <c r="AI62" s="417">
        <f>Agnees!$M135</f>
        <v>0.17300000000000001</v>
      </c>
      <c r="AJ62" s="418">
        <f>Agnees!$M136</f>
        <v>6.4229249011857705</v>
      </c>
      <c r="AK62" s="453">
        <f>Agnees!$M137</f>
        <v>1</v>
      </c>
      <c r="AL62" s="417">
        <f>Agnees!$M138</f>
        <v>0.62461538461538468</v>
      </c>
      <c r="AM62" s="417">
        <f>Agnees!$M139</f>
        <v>3.6104935526900848</v>
      </c>
      <c r="AN62" s="417">
        <f>Agnees!$M140</f>
        <v>1.1734104046242775</v>
      </c>
      <c r="AO62" s="417">
        <f>Agnees!$M141</f>
        <v>1.0029644268774702</v>
      </c>
      <c r="AP62" s="417">
        <f>Agnees!$M142</f>
        <v>1.0652173913043477</v>
      </c>
      <c r="AQ62" s="417">
        <f>Agnees!$M143</f>
        <v>6.4039408866995071</v>
      </c>
      <c r="AR62" s="418">
        <f>Agnees!$M144</f>
        <v>7.5144508670520231</v>
      </c>
    </row>
    <row r="63" spans="1:44" x14ac:dyDescent="0.3">
      <c r="A63" s="110"/>
      <c r="B63" s="433"/>
      <c r="C63" s="110"/>
      <c r="D63" s="110"/>
      <c r="E63" s="408"/>
      <c r="F63" s="110"/>
      <c r="G63" s="408"/>
      <c r="H63" s="408"/>
      <c r="I63" s="438"/>
      <c r="J63" s="408"/>
      <c r="K63" s="438"/>
      <c r="L63" s="438"/>
      <c r="M63" s="438"/>
      <c r="N63" s="438"/>
      <c r="O63" s="438"/>
      <c r="P63" s="441" t="str">
        <f>Agnees!$P148</f>
        <v>OLR 2</v>
      </c>
      <c r="Q63" s="496" t="str">
        <f>Agnees!$P149</f>
        <v xml:space="preserve">No H2 </v>
      </c>
      <c r="R63" s="418"/>
      <c r="S63" s="418">
        <f>Agnees!$P150</f>
        <v>2</v>
      </c>
      <c r="T63" s="409">
        <f>Agnees!$P151</f>
        <v>20</v>
      </c>
      <c r="U63" s="417"/>
      <c r="V63" s="416">
        <f>Agnees!$P153</f>
        <v>7.7000000000000013E-2</v>
      </c>
      <c r="W63" s="416"/>
      <c r="X63" s="417"/>
      <c r="Y63" s="417">
        <f>Agnees!$P156</f>
        <v>0.15400000000000003</v>
      </c>
      <c r="Z63" s="417"/>
      <c r="AA63" s="418">
        <f>Agnees!$P158</f>
        <v>55</v>
      </c>
      <c r="AB63" s="418">
        <f>Agnees!$P159</f>
        <v>45</v>
      </c>
      <c r="AC63" s="418" t="str">
        <f>Agnees!$P160</f>
        <v>n/a</v>
      </c>
      <c r="AD63" s="417">
        <f>Agnees!$P161</f>
        <v>8.35</v>
      </c>
      <c r="AE63" s="418" t="str">
        <f>Agnees!$P162</f>
        <v>n/r</v>
      </c>
      <c r="AF63" s="416">
        <f>Agnees!$P163</f>
        <v>4.0411462507284864E-3</v>
      </c>
      <c r="AG63" s="417"/>
      <c r="AH63" s="417"/>
      <c r="AI63" s="417"/>
      <c r="AJ63" s="418"/>
      <c r="AK63" s="453"/>
      <c r="AL63" s="417"/>
      <c r="AM63" s="417"/>
      <c r="AN63" s="417"/>
      <c r="AO63" s="417"/>
      <c r="AP63" s="417"/>
      <c r="AQ63" s="417"/>
      <c r="AR63" s="418"/>
    </row>
    <row r="64" spans="1:44" x14ac:dyDescent="0.3">
      <c r="A64" s="110"/>
      <c r="B64" s="433"/>
      <c r="C64" s="110"/>
      <c r="D64" s="110"/>
      <c r="E64" s="408"/>
      <c r="F64" s="110"/>
      <c r="G64" s="408"/>
      <c r="H64" s="408"/>
      <c r="I64" s="438"/>
      <c r="J64" s="408"/>
      <c r="K64" s="438"/>
      <c r="L64" s="438"/>
      <c r="M64" s="438"/>
      <c r="N64" s="438"/>
      <c r="O64" s="438"/>
      <c r="P64" s="441" t="str">
        <f>Agnees!$Q148</f>
        <v>&lt;7% CO2, OLR 2, inj 10</v>
      </c>
      <c r="Q64" s="496" t="str">
        <f>Agnees!$Q149</f>
        <v>With H2</v>
      </c>
      <c r="R64" s="418"/>
      <c r="S64" s="418">
        <f>Agnees!$Q150</f>
        <v>2</v>
      </c>
      <c r="T64" s="409">
        <f>Agnees!$Q151</f>
        <v>20</v>
      </c>
      <c r="U64" s="417">
        <f>Agnees!$Q152</f>
        <v>1.3</v>
      </c>
      <c r="V64" s="416">
        <f>Agnees!$Q153</f>
        <v>0.14524999999999999</v>
      </c>
      <c r="W64" s="416">
        <f>Agnees!$Q154</f>
        <v>6.8249999999999977E-2</v>
      </c>
      <c r="X64" s="417">
        <f>Agnees!$Q155</f>
        <v>0.88636363636363591</v>
      </c>
      <c r="Y64" s="417">
        <f>Agnees!$Q156</f>
        <v>0.29049999999999998</v>
      </c>
      <c r="Z64" s="417">
        <f>Agnees!$Q157</f>
        <v>0.13649999999999995</v>
      </c>
      <c r="AA64" s="418">
        <f>Agnees!$Q158</f>
        <v>83</v>
      </c>
      <c r="AB64" s="418">
        <f>Agnees!$Q159</f>
        <v>17</v>
      </c>
      <c r="AC64" s="418" t="str">
        <f>Agnees!$Q160</f>
        <v>n/a</v>
      </c>
      <c r="AD64" s="417">
        <f>Agnees!$Q161</f>
        <v>8.34</v>
      </c>
      <c r="AE64" s="418" t="str">
        <f>Agnees!$Q162</f>
        <v>n/r</v>
      </c>
      <c r="AF64" s="416">
        <f>Agnees!$Q163</f>
        <v>5.7952362564206109E-3</v>
      </c>
      <c r="AG64" s="417">
        <f>Agnees!$Q133</f>
        <v>0.32500000000000001</v>
      </c>
      <c r="AH64" s="417">
        <f>Agnees!$Q134</f>
        <v>0.13649999999999995</v>
      </c>
      <c r="AI64" s="417">
        <f>Agnees!$Q135</f>
        <v>6.6500000000000004E-2</v>
      </c>
      <c r="AJ64" s="418">
        <f>Agnees!$Q136</f>
        <v>10.317460317460318</v>
      </c>
      <c r="AK64" s="453">
        <f>Agnees!$Q137</f>
        <v>1</v>
      </c>
      <c r="AL64" s="417">
        <f>Agnees!$Q138</f>
        <v>0.41999999999999987</v>
      </c>
      <c r="AM64" s="417">
        <f>Agnees!$Q139</f>
        <v>6.315789473684208</v>
      </c>
      <c r="AN64" s="417">
        <f>Agnees!$Q140</f>
        <v>2.0526315789473677</v>
      </c>
      <c r="AO64" s="417">
        <f>Agnees!$Q141</f>
        <v>1.083333333333333</v>
      </c>
      <c r="AP64" s="417">
        <f>Agnees!$Q142</f>
        <v>1.2499999999999998</v>
      </c>
      <c r="AQ64" s="417">
        <f>Agnees!$Q143</f>
        <v>9.5238095238095273</v>
      </c>
      <c r="AR64" s="418">
        <f>Agnees!$Q144</f>
        <v>19.548872180451127</v>
      </c>
    </row>
    <row r="65" spans="1:44" x14ac:dyDescent="0.3">
      <c r="B65" s="432" t="s">
        <v>212</v>
      </c>
      <c r="C65" s="188"/>
      <c r="D65" s="188"/>
      <c r="E65" s="434"/>
      <c r="F65" s="188"/>
      <c r="G65" s="434"/>
      <c r="H65" s="434"/>
      <c r="I65" s="436"/>
      <c r="J65" s="434"/>
      <c r="K65" s="436"/>
      <c r="L65" s="436"/>
      <c r="M65" s="436"/>
      <c r="N65" s="436"/>
      <c r="O65" s="436"/>
      <c r="P65" s="442"/>
      <c r="Q65" s="436"/>
      <c r="R65" s="434"/>
      <c r="S65" s="450"/>
      <c r="T65" s="457"/>
      <c r="U65" s="449"/>
      <c r="V65" s="447"/>
      <c r="W65" s="447"/>
      <c r="X65" s="449"/>
      <c r="Y65" s="449"/>
      <c r="Z65" s="449"/>
      <c r="AA65" s="450"/>
      <c r="AB65" s="450"/>
      <c r="AC65" s="450"/>
      <c r="AD65" s="449"/>
      <c r="AE65" s="450"/>
      <c r="AF65" s="447"/>
      <c r="AG65" s="449"/>
      <c r="AH65" s="449"/>
      <c r="AI65" s="449"/>
      <c r="AJ65" s="450"/>
      <c r="AK65" s="458"/>
      <c r="AL65" s="449"/>
      <c r="AM65" s="449"/>
      <c r="AN65" s="449"/>
      <c r="AO65" s="449"/>
      <c r="AP65" s="449"/>
      <c r="AQ65" s="449"/>
      <c r="AR65" s="450"/>
    </row>
    <row r="66" spans="1:44" x14ac:dyDescent="0.3">
      <c r="A66" s="110"/>
      <c r="B66" s="433" t="str">
        <f>Tao!B122</f>
        <v>Tao et al., 2020</v>
      </c>
      <c r="C66" s="110">
        <v>12</v>
      </c>
      <c r="D66" s="110" t="str">
        <f>Tao!$D221</f>
        <v>Commercial and industrial FW</v>
      </c>
      <c r="E66" s="408">
        <f>Tao!$D222</f>
        <v>37</v>
      </c>
      <c r="F66" s="110" t="str">
        <f>Tao!$D223</f>
        <v>CSTR</v>
      </c>
      <c r="G66" s="408">
        <f>Tao!$D224</f>
        <v>3</v>
      </c>
      <c r="H66" s="408">
        <f>Tao!$D225</f>
        <v>2</v>
      </c>
      <c r="I66" s="438" t="str">
        <f>Tao!$D226</f>
        <v>Impeller</v>
      </c>
      <c r="J66" s="408" t="str">
        <f>Tao!$D227</f>
        <v>Yes</v>
      </c>
      <c r="K66" s="438" t="str">
        <f>Tao!$D228</f>
        <v>Bubble</v>
      </c>
      <c r="L66" s="438" t="str">
        <f>Tao!$D229</f>
        <v>Continuous</v>
      </c>
      <c r="M66" s="438" t="str">
        <f>Tao!$D230</f>
        <v>Sequential</v>
      </c>
      <c r="N66" s="438" t="str">
        <f>Tao!$D231</f>
        <v>H2, exogenous CO2 + H2</v>
      </c>
      <c r="O66" s="438" t="str">
        <f>Tao!$D232</f>
        <v>Additional data provided by authors</v>
      </c>
      <c r="P66" s="441" t="str">
        <f>Tao!$D$268</f>
        <v xml:space="preserve">Additional data </v>
      </c>
      <c r="Q66" s="438" t="str">
        <f>Tao!$D$269</f>
        <v>No H2</v>
      </c>
      <c r="R66" s="497">
        <f>C66</f>
        <v>12</v>
      </c>
      <c r="S66" s="408">
        <f>Tao!$D$270</f>
        <v>4.1399999999999997</v>
      </c>
      <c r="T66" s="408">
        <f>Tao!$D$271</f>
        <v>25</v>
      </c>
      <c r="U66" s="417"/>
      <c r="V66" s="416">
        <f>Tao!$D$273</f>
        <v>0.56061474637681163</v>
      </c>
      <c r="W66" s="416"/>
      <c r="X66" s="417"/>
      <c r="Y66" s="417">
        <f>Tao!$D$276</f>
        <v>2.3209450500000006</v>
      </c>
      <c r="Z66" s="417"/>
      <c r="AA66" s="418">
        <f>Tao!$D$278</f>
        <v>65.466666666666654</v>
      </c>
      <c r="AB66" s="418">
        <f>Tao!$D$279</f>
        <v>34.226666666666674</v>
      </c>
      <c r="AC66" s="418">
        <f>Tao!$D$280</f>
        <v>0</v>
      </c>
      <c r="AD66" s="417">
        <f>Tao!$D$281</f>
        <v>8.1086666666666662</v>
      </c>
      <c r="AE66" s="417">
        <f>Tao!$D$282</f>
        <v>0.33673746111438879</v>
      </c>
      <c r="AF66" s="408" t="str">
        <f>Tao!$D$283</f>
        <v>n/r</v>
      </c>
      <c r="AG66" s="417"/>
      <c r="AH66" s="417"/>
      <c r="AI66" s="417"/>
      <c r="AJ66" s="418"/>
      <c r="AK66" s="453"/>
      <c r="AL66" s="417"/>
      <c r="AM66" s="417"/>
      <c r="AN66" s="417"/>
      <c r="AO66" s="417"/>
      <c r="AP66" s="417"/>
      <c r="AQ66" s="417"/>
      <c r="AR66" s="418"/>
    </row>
    <row r="67" spans="1:44" x14ac:dyDescent="0.3">
      <c r="A67" s="110"/>
      <c r="B67" s="433"/>
      <c r="C67" s="110"/>
      <c r="D67" s="110"/>
      <c r="E67" s="408"/>
      <c r="F67" s="110"/>
      <c r="G67" s="408"/>
      <c r="H67" s="408"/>
      <c r="I67" s="438"/>
      <c r="J67" s="408"/>
      <c r="K67" s="438"/>
      <c r="L67" s="438"/>
      <c r="M67" s="438"/>
      <c r="N67" s="438"/>
      <c r="O67" s="438"/>
      <c r="P67" s="441" t="str">
        <f>Tao!$E$268</f>
        <v>provided by</v>
      </c>
      <c r="Q67" s="438" t="str">
        <f>Tao!$E$269</f>
        <v>With H2</v>
      </c>
      <c r="R67" s="408"/>
      <c r="S67" s="408">
        <f>Tao!$E$270</f>
        <v>4.1399999999999997</v>
      </c>
      <c r="T67" s="408">
        <f>Tao!$E$271</f>
        <v>25</v>
      </c>
      <c r="U67" s="417">
        <f>Tao!$E$272</f>
        <v>3.7</v>
      </c>
      <c r="V67" s="416">
        <f>Tao!$E$273</f>
        <v>0.77607195383789596</v>
      </c>
      <c r="W67" s="416">
        <f>Tao!$E$274</f>
        <v>0.21545720746108432</v>
      </c>
      <c r="X67" s="417">
        <f>Tao!$E$275</f>
        <v>0.38432311824396231</v>
      </c>
      <c r="Y67" s="417">
        <f>Tao!$E$276</f>
        <v>3.2129378888888893</v>
      </c>
      <c r="Z67" s="417">
        <f>Tao!$E$277</f>
        <v>0.89199283888888869</v>
      </c>
      <c r="AA67" s="418">
        <f>Tao!$E$278</f>
        <v>90.422222222222217</v>
      </c>
      <c r="AB67" s="418">
        <f>Tao!$E$279</f>
        <v>9.1444444444444457</v>
      </c>
      <c r="AC67" s="418">
        <f>Tao!$E$280</f>
        <v>0</v>
      </c>
      <c r="AD67" s="417">
        <f>Tao!$E$281</f>
        <v>8.517777777777777</v>
      </c>
      <c r="AE67" s="417">
        <f>Tao!$E$282</f>
        <v>0</v>
      </c>
      <c r="AF67" s="408" t="str">
        <f>Tao!$E$283</f>
        <v>n/r</v>
      </c>
      <c r="AG67" s="417">
        <f>Tao!$E254</f>
        <v>0.92500000000000004</v>
      </c>
      <c r="AH67" s="417">
        <f>Tao!$E255</f>
        <v>0.89199283888888869</v>
      </c>
      <c r="AI67" s="417">
        <f>Tao!$E256</f>
        <v>0.88848864079442613</v>
      </c>
      <c r="AJ67" s="418">
        <f>Tao!$E257</f>
        <v>3.0492461852515294</v>
      </c>
      <c r="AK67" s="453">
        <f>Tao!$E258</f>
        <v>1</v>
      </c>
      <c r="AL67" s="417">
        <f>Tao!$E259</f>
        <v>0.96431658258258235</v>
      </c>
      <c r="AM67" s="417">
        <f>Tao!$E260</f>
        <v>0.96052826031829852</v>
      </c>
      <c r="AN67" s="417">
        <f>Tao!$E261</f>
        <v>1.0410937827780533</v>
      </c>
      <c r="AO67" s="417">
        <f>Tao!$E262</f>
        <v>0.73510966520368259</v>
      </c>
      <c r="AP67" s="417">
        <f>Tao!$E263</f>
        <v>1.0009914661747841</v>
      </c>
      <c r="AQ67" s="417">
        <f>Tao!$E264</f>
        <v>4</v>
      </c>
      <c r="AR67" s="418">
        <f>Tao!$E265</f>
        <v>4.1643751311122132</v>
      </c>
    </row>
    <row r="68" spans="1:44" x14ac:dyDescent="0.3">
      <c r="A68" s="110"/>
      <c r="B68" s="433"/>
      <c r="C68" s="110"/>
      <c r="D68" s="110"/>
      <c r="E68" s="408"/>
      <c r="F68" s="110"/>
      <c r="G68" s="408"/>
      <c r="H68" s="408"/>
      <c r="I68" s="438"/>
      <c r="J68" s="408"/>
      <c r="K68" s="438"/>
      <c r="L68" s="438"/>
      <c r="M68" s="438"/>
      <c r="N68" s="438"/>
      <c r="O68" s="438"/>
      <c r="P68" s="441" t="str">
        <f>Tao!$F$268</f>
        <v>authors</v>
      </c>
      <c r="Q68" s="438" t="str">
        <f>Tao!$F$269</f>
        <v>With H2 and CO2</v>
      </c>
      <c r="R68" s="408"/>
      <c r="S68" s="408">
        <f>Tao!$F$270</f>
        <v>4.1399999999999997</v>
      </c>
      <c r="T68" s="408">
        <f>Tao!$F$271</f>
        <v>25</v>
      </c>
      <c r="U68" s="417">
        <f>Tao!$F$272</f>
        <v>10.9</v>
      </c>
      <c r="V68" s="416">
        <f>Tao!$F$273</f>
        <v>1.2145773128019326</v>
      </c>
      <c r="W68" s="416">
        <f>Tao!$F$274</f>
        <v>0.65396256642512096</v>
      </c>
      <c r="X68" s="417">
        <f>Tao!$F$275</f>
        <v>0.84265713145680698</v>
      </c>
      <c r="Y68" s="417">
        <f>Tao!$F$276</f>
        <v>5.0283500749999996</v>
      </c>
      <c r="Z68" s="417">
        <f>Tao!$F$277</f>
        <v>2.707405024999999</v>
      </c>
      <c r="AA68" s="418">
        <f>Tao!$F$278</f>
        <v>89.275000000000006</v>
      </c>
      <c r="AB68" s="418">
        <f>Tao!$F$279</f>
        <v>9.9049999999999976</v>
      </c>
      <c r="AC68" s="418">
        <f>Tao!$F$280</f>
        <v>0</v>
      </c>
      <c r="AD68" s="417">
        <f>Tao!$F$281</f>
        <v>8.5060000000000002</v>
      </c>
      <c r="AE68" s="417">
        <f>Tao!$F$282</f>
        <v>0</v>
      </c>
      <c r="AF68" s="408" t="str">
        <f>Tao!$F$283</f>
        <v>n/r</v>
      </c>
      <c r="AG68" s="417">
        <f>Tao!$F254</f>
        <v>2.7250000000000001</v>
      </c>
      <c r="AH68" s="417">
        <f>Tao!$F255</f>
        <v>2.707405024999999</v>
      </c>
      <c r="AI68" s="417">
        <f>Tao!$F256</f>
        <v>2.6555226614543277</v>
      </c>
      <c r="AJ68" s="418">
        <f>Tao!$F257</f>
        <v>4.2613214469282195</v>
      </c>
      <c r="AK68" s="453">
        <f>Tao!$F258</f>
        <v>1</v>
      </c>
      <c r="AL68" s="417">
        <f>Tao!$F259</f>
        <v>0.99354312844036663</v>
      </c>
      <c r="AM68" s="417">
        <f>Tao!$F260</f>
        <v>0.97450372897406523</v>
      </c>
      <c r="AN68" s="417">
        <f>Tao!$F261</f>
        <v>1.0261633385977669</v>
      </c>
      <c r="AO68" s="417">
        <f>Tao!$F262</f>
        <v>0.51931511408682252</v>
      </c>
      <c r="AP68" s="417">
        <f>Tao!$F263</f>
        <v>1.5805527836186395</v>
      </c>
      <c r="AQ68" s="417">
        <f>Tao!$F264</f>
        <v>4</v>
      </c>
      <c r="AR68" s="418">
        <f>Tao!$F265</f>
        <v>4.1046533543910675</v>
      </c>
    </row>
    <row r="69" spans="1:44" x14ac:dyDescent="0.3">
      <c r="A69" s="110"/>
      <c r="B69" s="433" t="str">
        <f>Zhang!B2</f>
        <v>Zhang (pers com 2022)</v>
      </c>
      <c r="C69" s="110">
        <v>53</v>
      </c>
      <c r="D69" s="110" t="str">
        <f>Zhang!$D6</f>
        <v>Source separated domestic FW</v>
      </c>
      <c r="E69" s="408">
        <f>Zhang!$D7</f>
        <v>37</v>
      </c>
      <c r="F69" s="110" t="str">
        <f>Zhang!$D8</f>
        <v>CSTR</v>
      </c>
      <c r="G69" s="408">
        <f>Zhang!$D9</f>
        <v>5</v>
      </c>
      <c r="H69" s="408">
        <f>Zhang!$D10</f>
        <v>4</v>
      </c>
      <c r="I69" s="438" t="str">
        <f>Zhang!$D11</f>
        <v>Mechanical</v>
      </c>
      <c r="J69" s="408" t="str">
        <f>Zhang!$D12</f>
        <v>Yes</v>
      </c>
      <c r="K69" s="438" t="str">
        <f>Zhang!$D13</f>
        <v>Bubble</v>
      </c>
      <c r="L69" s="438" t="str">
        <f>Zhang!$D14</f>
        <v>Batch with recirc</v>
      </c>
      <c r="M69" s="438" t="str">
        <f>Zhang!$D15</f>
        <v>Parallel</v>
      </c>
      <c r="N69" s="438" t="str">
        <f>Zhang!$D16</f>
        <v>with/without H2</v>
      </c>
      <c r="O69" s="438" t="str">
        <f>Zhang!$D17</f>
        <v>Pers. com.</v>
      </c>
      <c r="P69" s="441" t="str">
        <f>Zhang!$D55</f>
        <v>Pers. com.</v>
      </c>
      <c r="Q69" s="438" t="str">
        <f>Zhang!$D56</f>
        <v>No H2</v>
      </c>
      <c r="R69" s="497">
        <f>C69</f>
        <v>53</v>
      </c>
      <c r="S69" s="408">
        <f>Zhang!$D57</f>
        <v>3</v>
      </c>
      <c r="T69" s="409">
        <f>Zhang!$D58</f>
        <v>80.566666666666649</v>
      </c>
      <c r="U69" s="417"/>
      <c r="V69" s="416">
        <f>Zhang!$D60</f>
        <v>0.44639286934011152</v>
      </c>
      <c r="W69" s="416"/>
      <c r="X69" s="408"/>
      <c r="Y69" s="417">
        <f>Zhang!$D63</f>
        <v>1.316780266295138</v>
      </c>
      <c r="Z69" s="408"/>
      <c r="AA69" s="418">
        <f>Zhang!$D65</f>
        <v>61.820833333333333</v>
      </c>
      <c r="AB69" s="418">
        <f>Zhang!$D66</f>
        <v>36.340000000000003</v>
      </c>
      <c r="AC69" s="408"/>
      <c r="AD69" s="417">
        <f>Zhang!$D68</f>
        <v>8.0666666666666682</v>
      </c>
      <c r="AE69" s="408">
        <f>Zhang!$D69</f>
        <v>0.38748030170814562</v>
      </c>
      <c r="AF69" s="408" t="str">
        <f>Zhang!$D70</f>
        <v>convert</v>
      </c>
      <c r="AG69" s="417"/>
      <c r="AH69" s="417"/>
      <c r="AI69" s="417"/>
      <c r="AJ69" s="418"/>
      <c r="AK69" s="453"/>
      <c r="AL69" s="417"/>
      <c r="AM69" s="417"/>
      <c r="AN69" s="417"/>
      <c r="AO69" s="417"/>
      <c r="AP69" s="417"/>
      <c r="AQ69" s="417"/>
      <c r="AR69" s="418"/>
    </row>
    <row r="70" spans="1:44" x14ac:dyDescent="0.3">
      <c r="A70" s="110"/>
      <c r="B70" s="433"/>
      <c r="C70" s="110"/>
      <c r="D70" s="110"/>
      <c r="E70" s="408"/>
      <c r="F70" s="110"/>
      <c r="G70" s="408"/>
      <c r="H70" s="408"/>
      <c r="I70" s="438"/>
      <c r="J70" s="408"/>
      <c r="K70" s="438"/>
      <c r="L70" s="438"/>
      <c r="M70" s="438"/>
      <c r="N70" s="438"/>
      <c r="O70" s="438"/>
      <c r="P70" s="441" t="str">
        <f>Zhang!$E55</f>
        <v>-</v>
      </c>
      <c r="Q70" s="438" t="str">
        <f>Zhang!$E56</f>
        <v>With H2</v>
      </c>
      <c r="R70" s="408"/>
      <c r="S70" s="408">
        <f>Zhang!$E57</f>
        <v>3</v>
      </c>
      <c r="T70" s="409">
        <f>Zhang!$E58</f>
        <v>80.566666666666649</v>
      </c>
      <c r="U70" s="417">
        <f>Zhang!$E59</f>
        <v>2.4181818181818175</v>
      </c>
      <c r="V70" s="416">
        <f>Zhang!$E60</f>
        <v>0.71877462461332353</v>
      </c>
      <c r="W70" s="416">
        <f>Zhang!$E61</f>
        <v>0.27238175527321201</v>
      </c>
      <c r="X70" s="408">
        <f>Zhang!$E62</f>
        <v>0.61018392985502967</v>
      </c>
      <c r="Y70" s="417">
        <f>Zhang!$E63</f>
        <v>1.9404215008193262</v>
      </c>
      <c r="Z70" s="417">
        <f>Zhang!$E64</f>
        <v>0.62364123452418818</v>
      </c>
      <c r="AA70" s="418">
        <f>Zhang!$E65</f>
        <v>74.41</v>
      </c>
      <c r="AB70" s="418">
        <f>Zhang!$E66</f>
        <v>17.908333333333335</v>
      </c>
      <c r="AC70" s="408">
        <f>Zhang!$E67</f>
        <v>9.6444444444444457</v>
      </c>
      <c r="AD70" s="417">
        <f>Zhang!$E68</f>
        <v>8.1366666666666685</v>
      </c>
      <c r="AE70" s="408">
        <f>Zhang!$E69</f>
        <v>0.4199831358902299</v>
      </c>
      <c r="AF70" s="408" t="str">
        <f>Zhang!$E70</f>
        <v>convert</v>
      </c>
      <c r="AG70" s="417">
        <f>Zhang!$D41</f>
        <v>0.54166987544500578</v>
      </c>
      <c r="AH70" s="417">
        <f>Zhang!$D42</f>
        <v>0.62364123452418818</v>
      </c>
      <c r="AI70" s="417">
        <f>Zhang!$D43</f>
        <v>0.30703665902432231</v>
      </c>
      <c r="AJ70" s="418">
        <f>Zhang!$D44</f>
        <v>3.1241046555361929</v>
      </c>
      <c r="AK70" s="453">
        <f>Zhang!$D45</f>
        <v>0.89599528269098727</v>
      </c>
      <c r="AL70" s="417">
        <f>Zhang!$D46</f>
        <v>1.1513308433699387</v>
      </c>
      <c r="AM70" s="417">
        <f>Zhang!$D47</f>
        <v>0.56683355110357225</v>
      </c>
      <c r="AN70" s="417">
        <f>Zhang!$D48</f>
        <v>2.0311621306261856</v>
      </c>
      <c r="AO70" s="417">
        <f>Zhang!$D49</f>
        <v>0.80569644081860559</v>
      </c>
      <c r="AP70" s="417">
        <f>Zhang!$D50</f>
        <v>1.1514260158295744</v>
      </c>
      <c r="AQ70" s="417">
        <f>Zhang!$D51</f>
        <v>3.4742402872592408</v>
      </c>
      <c r="AR70" s="418">
        <f>Zhang!$D52</f>
        <v>7.0567453041768111</v>
      </c>
    </row>
    <row r="71" spans="1:44" x14ac:dyDescent="0.3">
      <c r="A71" s="110"/>
      <c r="B71" s="433" t="str">
        <f>Kim!B2</f>
        <v>Kim et al., 2021</v>
      </c>
      <c r="C71" s="110">
        <v>54</v>
      </c>
      <c r="D71" s="110" t="str">
        <f>Kim!$D6</f>
        <v>FW</v>
      </c>
      <c r="E71" s="408">
        <f>Kim!$D7</f>
        <v>37</v>
      </c>
      <c r="F71" s="110" t="str">
        <f>Kim!$D8</f>
        <v>CSTR</v>
      </c>
      <c r="G71" s="408">
        <f>Kim!$D9</f>
        <v>3.7</v>
      </c>
      <c r="H71" s="408">
        <f>Kim!$D10</f>
        <v>3</v>
      </c>
      <c r="I71" s="438" t="str">
        <f>Kim!$D11</f>
        <v>Mechanical</v>
      </c>
      <c r="J71" s="408" t="str">
        <f>Kim!$D12</f>
        <v>No</v>
      </c>
      <c r="K71" s="438" t="str">
        <f>Kim!$D13</f>
        <v>Sparger</v>
      </c>
      <c r="L71" s="438" t="str">
        <f>Kim!$D14</f>
        <v>n/r</v>
      </c>
      <c r="M71" s="438" t="str">
        <f>Kim!$D15</f>
        <v>Sequential</v>
      </c>
      <c r="N71" s="438" t="str">
        <f>Kim!$D16</f>
        <v>H2 and pressure</v>
      </c>
      <c r="O71" s="438" t="str">
        <f>Kim!$D17</f>
        <v>1 reactor</v>
      </c>
      <c r="P71" s="441" t="str">
        <f>Kim!$D$73</f>
        <v>1 bar</v>
      </c>
      <c r="Q71" s="441" t="str">
        <f>Kim!$D$74</f>
        <v>No H2</v>
      </c>
      <c r="R71" s="497">
        <f>C71</f>
        <v>54</v>
      </c>
      <c r="S71" s="417">
        <f>Kim!$D$75</f>
        <v>2.6720000000000002</v>
      </c>
      <c r="T71" s="409">
        <f>Kim!$D$76</f>
        <v>75</v>
      </c>
      <c r="U71" s="417"/>
      <c r="V71" s="416">
        <f>Kim!$D$78</f>
        <v>0.28000000000000003</v>
      </c>
      <c r="W71" s="416"/>
      <c r="X71" s="417"/>
      <c r="Y71" s="417">
        <f>Kim!$D$81</f>
        <v>0.75</v>
      </c>
      <c r="Z71" s="417"/>
      <c r="AA71" s="418">
        <f>Kim!$D$83</f>
        <v>52.4</v>
      </c>
      <c r="AB71" s="418">
        <f>Kim!$D$84</f>
        <v>47</v>
      </c>
      <c r="AC71" s="418"/>
      <c r="AD71" s="417">
        <f>Kim!$D$86</f>
        <v>7.5</v>
      </c>
      <c r="AE71" s="417" t="str">
        <f>Kim!$D$87</f>
        <v>n/r</v>
      </c>
      <c r="AF71" s="417" t="str">
        <f>Kim!$D$88</f>
        <v>Tot org acid</v>
      </c>
      <c r="AG71" s="417"/>
      <c r="AH71" s="417"/>
      <c r="AI71" s="417"/>
      <c r="AJ71" s="418"/>
      <c r="AK71" s="453"/>
      <c r="AL71" s="417"/>
      <c r="AM71" s="417"/>
      <c r="AN71" s="417"/>
      <c r="AO71" s="417"/>
      <c r="AP71" s="417"/>
      <c r="AQ71" s="417"/>
      <c r="AR71" s="418"/>
    </row>
    <row r="72" spans="1:44" x14ac:dyDescent="0.3">
      <c r="A72" s="110"/>
      <c r="B72" s="433"/>
      <c r="C72" s="110"/>
      <c r="D72" s="110"/>
      <c r="E72" s="408"/>
      <c r="F72" s="110"/>
      <c r="G72" s="408"/>
      <c r="H72" s="408"/>
      <c r="I72" s="438"/>
      <c r="J72" s="408"/>
      <c r="K72" s="438"/>
      <c r="L72" s="438"/>
      <c r="M72" s="438"/>
      <c r="N72" s="438"/>
      <c r="O72" s="438"/>
      <c r="P72" s="441" t="str">
        <f>Kim!$E73</f>
        <v>5 bar</v>
      </c>
      <c r="Q72" s="441" t="str">
        <f>Kim!$E74</f>
        <v>No H2</v>
      </c>
      <c r="R72" s="409"/>
      <c r="S72" s="417">
        <f>Kim!$E75</f>
        <v>2.6720000000000002</v>
      </c>
      <c r="T72" s="409">
        <f>Kim!$E76</f>
        <v>75</v>
      </c>
      <c r="U72" s="417"/>
      <c r="V72" s="416">
        <f>Kim!$E78</f>
        <v>0.26</v>
      </c>
      <c r="W72" s="416"/>
      <c r="X72" s="417"/>
      <c r="Y72" s="417">
        <f>Kim!$E81</f>
        <v>0.68</v>
      </c>
      <c r="Z72" s="417"/>
      <c r="AA72" s="418">
        <f>Kim!$E83</f>
        <v>74</v>
      </c>
      <c r="AB72" s="418">
        <f>Kim!$E84</f>
        <v>25.5</v>
      </c>
      <c r="AC72" s="418"/>
      <c r="AD72" s="417">
        <f>Kim!$E86</f>
        <v>7.2</v>
      </c>
      <c r="AE72" s="417" t="str">
        <f>Kim!$E87</f>
        <v>n/r</v>
      </c>
      <c r="AF72" s="417" t="str">
        <f>Kim!$E88</f>
        <v>Tot org acid</v>
      </c>
      <c r="AG72" s="417"/>
      <c r="AH72" s="417"/>
      <c r="AI72" s="417"/>
      <c r="AJ72" s="418"/>
      <c r="AK72" s="453"/>
      <c r="AL72" s="417"/>
      <c r="AM72" s="417"/>
      <c r="AN72" s="417"/>
      <c r="AO72" s="417"/>
      <c r="AP72" s="417"/>
      <c r="AQ72" s="417"/>
      <c r="AR72" s="418"/>
    </row>
    <row r="73" spans="1:44" x14ac:dyDescent="0.3">
      <c r="A73" s="110"/>
      <c r="B73" s="433"/>
      <c r="C73" s="110"/>
      <c r="D73" s="110"/>
      <c r="E73" s="408"/>
      <c r="F73" s="110"/>
      <c r="G73" s="408"/>
      <c r="H73" s="408"/>
      <c r="I73" s="438"/>
      <c r="J73" s="408"/>
      <c r="K73" s="438"/>
      <c r="L73" s="438"/>
      <c r="M73" s="438"/>
      <c r="N73" s="438"/>
      <c r="O73" s="438"/>
      <c r="P73" s="441" t="str">
        <f>Kim!$H$73</f>
        <v>5 bar</v>
      </c>
      <c r="Q73" s="441" t="str">
        <f>Kim!$H$74</f>
        <v>With H2</v>
      </c>
      <c r="R73" s="409"/>
      <c r="S73" s="417">
        <f>Kim!$H$75</f>
        <v>2.6720000000000002</v>
      </c>
      <c r="T73" s="409">
        <f>Kim!$H$76</f>
        <v>75</v>
      </c>
      <c r="U73" s="417">
        <f>Kim!$H$77</f>
        <v>0.54</v>
      </c>
      <c r="V73" s="416">
        <f>Kim!$H$78</f>
        <v>0.28000000000000003</v>
      </c>
      <c r="W73" s="416">
        <f>Kim!$H$79</f>
        <v>2.0000000000000018E-2</v>
      </c>
      <c r="X73" s="417">
        <f>Kim!$H$80</f>
        <v>7.6923076923076983E-2</v>
      </c>
      <c r="Y73" s="417">
        <f>Kim!$H$81</f>
        <v>0.85</v>
      </c>
      <c r="Z73" s="417">
        <f>Kim!$H$82</f>
        <v>0.16999999999999993</v>
      </c>
      <c r="AA73" s="418">
        <f>Kim!$H$83</f>
        <v>90.6</v>
      </c>
      <c r="AB73" s="418">
        <f>Kim!$H$84</f>
        <v>7.5</v>
      </c>
      <c r="AC73" s="418">
        <f>Kim!$H$85</f>
        <v>0.8</v>
      </c>
      <c r="AD73" s="417">
        <f>Kim!$H$86</f>
        <v>7.8</v>
      </c>
      <c r="AE73" s="417" t="str">
        <f>Kim!$H$87</f>
        <v>n/r</v>
      </c>
      <c r="AF73" s="417" t="str">
        <f>Kim!$H$88</f>
        <v>Tot org acid</v>
      </c>
      <c r="AG73" s="417">
        <f>Kim!$H$58</f>
        <v>0.13312000000000002</v>
      </c>
      <c r="AH73" s="417">
        <f>Kim!$H$59</f>
        <v>0.16999999999999993</v>
      </c>
      <c r="AI73" s="417">
        <f>Kim!$H$60</f>
        <v>0.15900000000000003</v>
      </c>
      <c r="AJ73" s="418">
        <f>Kim!$H$61</f>
        <v>2.3529411764705883</v>
      </c>
      <c r="AK73" s="453">
        <f>Kim!$H$62</f>
        <v>0.9860740740740741</v>
      </c>
      <c r="AL73" s="417">
        <f>Kim!$H$63</f>
        <v>1.2770432692307685</v>
      </c>
      <c r="AM73" s="417">
        <f>Kim!$H$64</f>
        <v>1.1944110576923077</v>
      </c>
      <c r="AN73" s="417">
        <f>Kim!$H$65</f>
        <v>1.0691823899371062</v>
      </c>
      <c r="AO73" s="417">
        <f>Kim!$H$66</f>
        <v>0.74074074074074037</v>
      </c>
      <c r="AP73" s="417">
        <f>Kim!$H$67</f>
        <v>0.99353545801279974</v>
      </c>
      <c r="AQ73" s="417">
        <f>Kim!$H$68</f>
        <v>3.1322352941176486</v>
      </c>
      <c r="AR73" s="418">
        <f>Kim!$H$69</f>
        <v>3.3489308176100625</v>
      </c>
    </row>
    <row r="74" spans="1:44" x14ac:dyDescent="0.3">
      <c r="A74" s="110"/>
      <c r="B74" s="433" t="str">
        <f>Yang!B2</f>
        <v>Yang et al., 2020</v>
      </c>
      <c r="C74" s="110">
        <v>55</v>
      </c>
      <c r="D74" s="110" t="str">
        <f>Yang!$D6</f>
        <v>FW</v>
      </c>
      <c r="E74" s="408">
        <f>Yang!$D7</f>
        <v>37</v>
      </c>
      <c r="F74" s="110" t="str">
        <f>Yang!$D8</f>
        <v>CSTR</v>
      </c>
      <c r="G74" s="408">
        <f>Yang!$D9</f>
        <v>5</v>
      </c>
      <c r="H74" s="408">
        <f>Yang!$D10</f>
        <v>4</v>
      </c>
      <c r="I74" s="438" t="str">
        <f>Yang!$D11</f>
        <v>Mechanical</v>
      </c>
      <c r="J74" s="408" t="str">
        <f>Yang!$D12</f>
        <v>No</v>
      </c>
      <c r="K74" s="438" t="str">
        <f>Yang!$D13</f>
        <v>Aeration basket</v>
      </c>
      <c r="L74" s="438" t="str">
        <f>Yang!$D14</f>
        <v>Continuous</v>
      </c>
      <c r="M74" s="438" t="str">
        <f>Yang!$D15</f>
        <v>Sequential</v>
      </c>
      <c r="N74" s="438" t="str">
        <f>Yang!$D16</f>
        <v>Syngas injection rate</v>
      </c>
      <c r="O74" s="438" t="str">
        <f>Yang!$D17</f>
        <v>Syngas addition</v>
      </c>
      <c r="P74" s="441" t="str">
        <f>Yang!$D87</f>
        <v>Meso</v>
      </c>
      <c r="Q74" s="441" t="str">
        <f>Yang!$D88</f>
        <v>No syngas</v>
      </c>
      <c r="R74" s="497">
        <f>C74</f>
        <v>55</v>
      </c>
      <c r="S74" s="418">
        <f>Yang!$D89</f>
        <v>3.52</v>
      </c>
      <c r="T74" s="409">
        <f>Yang!$D90</f>
        <v>20</v>
      </c>
      <c r="U74" s="417"/>
      <c r="V74" s="416">
        <f>Yang!$D92</f>
        <v>0.32102272727272724</v>
      </c>
      <c r="W74" s="416"/>
      <c r="X74" s="417"/>
      <c r="Y74" s="417">
        <f>Yang!$D95</f>
        <v>1.1299999999999999</v>
      </c>
      <c r="Z74" s="417"/>
      <c r="AA74" s="418">
        <f>Yang!$D97</f>
        <v>62.173314993122418</v>
      </c>
      <c r="AB74" s="418">
        <f>Yang!$D98</f>
        <v>37.826685006877582</v>
      </c>
      <c r="AC74" s="418"/>
      <c r="AD74" s="417">
        <f>Yang!$D100</f>
        <v>7.12</v>
      </c>
      <c r="AE74" s="408" t="str">
        <f>Yang!$D101</f>
        <v>n/r</v>
      </c>
      <c r="AF74" s="416" t="str">
        <f>Yang!$D102</f>
        <v>TVFA - low</v>
      </c>
      <c r="AG74" s="417"/>
      <c r="AH74" s="417"/>
      <c r="AI74" s="417"/>
      <c r="AJ74" s="418"/>
      <c r="AK74" s="453"/>
      <c r="AL74" s="417"/>
      <c r="AM74" s="417"/>
      <c r="AN74" s="417"/>
      <c r="AO74" s="417"/>
      <c r="AP74" s="417"/>
      <c r="AQ74" s="417"/>
      <c r="AR74" s="418"/>
    </row>
    <row r="75" spans="1:44" x14ac:dyDescent="0.3">
      <c r="A75" s="110"/>
      <c r="B75" s="433"/>
      <c r="C75" s="110"/>
      <c r="D75" s="110"/>
      <c r="E75" s="408"/>
      <c r="F75" s="110"/>
      <c r="G75" s="408"/>
      <c r="H75" s="408"/>
      <c r="I75" s="438"/>
      <c r="J75" s="408"/>
      <c r="K75" s="438"/>
      <c r="L75" s="438"/>
      <c r="M75" s="438"/>
      <c r="N75" s="438"/>
      <c r="O75" s="438"/>
      <c r="P75" s="441" t="str">
        <f>Yang!$H87</f>
        <v>-</v>
      </c>
      <c r="Q75" s="441" t="str">
        <f>Yang!$H88</f>
        <v>With syngas</v>
      </c>
      <c r="R75" s="409"/>
      <c r="S75" s="418">
        <f>Yang!$H89</f>
        <v>3.52</v>
      </c>
      <c r="T75" s="409">
        <f>Yang!$H90</f>
        <v>20</v>
      </c>
      <c r="U75" s="417">
        <f>Yang!$H91</f>
        <v>1.325</v>
      </c>
      <c r="V75" s="416">
        <f>Yang!$H92</f>
        <v>0.42208806818181815</v>
      </c>
      <c r="W75" s="416">
        <f>Yang!$H93</f>
        <v>0.10106534090909092</v>
      </c>
      <c r="X75" s="417">
        <f>Yang!$H94</f>
        <v>0.31482300884955761</v>
      </c>
      <c r="Y75" s="417">
        <f>Yang!$H95</f>
        <v>1.4857499999999999</v>
      </c>
      <c r="Z75" s="417">
        <f>Yang!$H96</f>
        <v>0.35575000000000001</v>
      </c>
      <c r="AA75" s="418">
        <f>Yang!$H97</f>
        <v>61.054915521694369</v>
      </c>
      <c r="AB75" s="418">
        <f>Yang!$H98</f>
        <v>36.984300164580134</v>
      </c>
      <c r="AC75" s="418">
        <f>Yang!$H99</f>
        <v>2</v>
      </c>
      <c r="AD75" s="417">
        <f>Yang!$H100</f>
        <v>7.19</v>
      </c>
      <c r="AE75" s="408" t="str">
        <f>Yang!$H101</f>
        <v>n/r</v>
      </c>
      <c r="AF75" s="416" t="str">
        <f>Yang!$H102</f>
        <v>TVFA - low</v>
      </c>
      <c r="AG75" s="417">
        <f>Yang!$H$72</f>
        <v>0.31774999999999998</v>
      </c>
      <c r="AH75" s="417">
        <f>Yang!$H$73</f>
        <v>0.35575000000000001</v>
      </c>
      <c r="AI75" s="418">
        <f>Yang!$H$74</f>
        <v>0.21250000000000002</v>
      </c>
      <c r="AJ75" s="453" t="str">
        <f>Yang!$H$75</f>
        <v>n/a</v>
      </c>
      <c r="AK75" s="417">
        <f>Yang!$H$76</f>
        <v>0.96398867924528309</v>
      </c>
      <c r="AL75" s="417">
        <f>Yang!$H$77</f>
        <v>1.1195908733280882</v>
      </c>
      <c r="AM75" s="417">
        <f>Yang!$H$78</f>
        <v>0.66547403281178441</v>
      </c>
      <c r="AN75" s="417">
        <f>Yang!$H$79</f>
        <v>1.6741176470588235</v>
      </c>
      <c r="AO75" s="417">
        <f>Yang!$H$80</f>
        <v>0.5174545454545455</v>
      </c>
      <c r="AP75" s="417">
        <f>Yang!$H$81</f>
        <v>1.3126547455295736</v>
      </c>
      <c r="AQ75" s="418" t="str">
        <f>Yang!$H$82</f>
        <v>n/a</v>
      </c>
      <c r="AR75" s="418" t="str">
        <f>Yang!$H$83</f>
        <v>n/a</v>
      </c>
    </row>
    <row r="76" spans="1:44" x14ac:dyDescent="0.3">
      <c r="A76" s="110"/>
      <c r="B76" s="433"/>
      <c r="C76" s="110"/>
      <c r="D76" s="110"/>
      <c r="E76" s="408">
        <f>Yang!$E7</f>
        <v>55</v>
      </c>
      <c r="F76" s="110"/>
      <c r="G76" s="408"/>
      <c r="H76" s="408"/>
      <c r="I76" s="438"/>
      <c r="J76" s="408"/>
      <c r="K76" s="438"/>
      <c r="L76" s="438"/>
      <c r="M76" s="438"/>
      <c r="N76" s="438"/>
      <c r="O76" s="438"/>
      <c r="P76" s="441" t="str">
        <f>Yang!$I87</f>
        <v>Thermo</v>
      </c>
      <c r="Q76" s="441" t="str">
        <f>Yang!$I88</f>
        <v>No syngas</v>
      </c>
      <c r="R76" s="409"/>
      <c r="S76" s="418">
        <f>Yang!$I89</f>
        <v>3.52</v>
      </c>
      <c r="T76" s="409">
        <f>Yang!$I90</f>
        <v>20</v>
      </c>
      <c r="U76" s="417"/>
      <c r="V76" s="416">
        <f>Yang!$I92</f>
        <v>0.38380681818181817</v>
      </c>
      <c r="W76" s="416"/>
      <c r="X76" s="417"/>
      <c r="Y76" s="417">
        <f>Yang!$I95</f>
        <v>1.351</v>
      </c>
      <c r="Z76" s="417"/>
      <c r="AA76" s="418">
        <f>Yang!$I97</f>
        <v>63.54656632173095</v>
      </c>
      <c r="AB76" s="418">
        <f>Yang!$I98</f>
        <v>36.45343367826905</v>
      </c>
      <c r="AC76" s="418"/>
      <c r="AD76" s="417">
        <f>Yang!$I100</f>
        <v>7.22</v>
      </c>
      <c r="AE76" s="408" t="str">
        <f>Yang!$I101</f>
        <v>n/r</v>
      </c>
      <c r="AF76" s="416" t="str">
        <f>Yang!$I102</f>
        <v>TVFA - low</v>
      </c>
      <c r="AG76" s="417"/>
      <c r="AH76" s="417"/>
      <c r="AI76" s="417"/>
      <c r="AJ76" s="418"/>
      <c r="AK76" s="453"/>
      <c r="AL76" s="417"/>
      <c r="AM76" s="417"/>
      <c r="AN76" s="417"/>
      <c r="AO76" s="417"/>
      <c r="AP76" s="417"/>
      <c r="AQ76" s="417"/>
      <c r="AR76" s="417"/>
    </row>
    <row r="77" spans="1:44" x14ac:dyDescent="0.3">
      <c r="A77" s="110"/>
      <c r="B77" s="433"/>
      <c r="C77" s="110"/>
      <c r="D77" s="110"/>
      <c r="E77" s="408"/>
      <c r="F77" s="110"/>
      <c r="G77" s="408"/>
      <c r="H77" s="408"/>
      <c r="I77" s="438"/>
      <c r="J77" s="408"/>
      <c r="K77" s="438"/>
      <c r="L77" s="438"/>
      <c r="M77" s="438"/>
      <c r="N77" s="438"/>
      <c r="O77" s="438"/>
      <c r="P77" s="441" t="str">
        <f>Yang!$M87</f>
        <v>-</v>
      </c>
      <c r="Q77" s="441" t="str">
        <f>Yang!$M88</f>
        <v>With syngas</v>
      </c>
      <c r="R77" s="409"/>
      <c r="S77" s="418">
        <f>Yang!$M89</f>
        <v>3.52</v>
      </c>
      <c r="T77" s="409">
        <f>Yang!$M90</f>
        <v>20</v>
      </c>
      <c r="U77" s="417">
        <f>Yang!$M91</f>
        <v>1.325</v>
      </c>
      <c r="V77" s="416">
        <f>Yang!$M92</f>
        <v>0.50894886363636371</v>
      </c>
      <c r="W77" s="416">
        <f>Yang!$M93</f>
        <v>0.12514204545454555</v>
      </c>
      <c r="X77" s="417">
        <f>Yang!$M94</f>
        <v>0.32605477424130297</v>
      </c>
      <c r="Y77" s="417">
        <f>Yang!$M95</f>
        <v>1.7915000000000001</v>
      </c>
      <c r="Z77" s="417">
        <f>Yang!$M96</f>
        <v>0.44050000000000011</v>
      </c>
      <c r="AA77" s="418">
        <f>Yang!$M97</f>
        <v>64.048868052896538</v>
      </c>
      <c r="AB77" s="418">
        <f>Yang!$M98</f>
        <v>35.751531148700266</v>
      </c>
      <c r="AC77" s="418">
        <f>Yang!$M99</f>
        <v>0.2</v>
      </c>
      <c r="AD77" s="417">
        <f>Yang!$M100</f>
        <v>7.22</v>
      </c>
      <c r="AE77" s="408" t="str">
        <f>Yang!$M101</f>
        <v>n/r</v>
      </c>
      <c r="AF77" s="408" t="str">
        <f>Yang!$M102</f>
        <v>TVFA - low</v>
      </c>
      <c r="AG77" s="417">
        <f>Yang!$M$72</f>
        <v>0.32950000000000002</v>
      </c>
      <c r="AH77" s="417">
        <f>Yang!$M$73</f>
        <v>0.4405</v>
      </c>
      <c r="AI77" s="418">
        <f>Yang!$M$74</f>
        <v>0.3125</v>
      </c>
      <c r="AJ77" s="453" t="str">
        <f>Yang!$M$75</f>
        <v>n/a</v>
      </c>
      <c r="AK77" s="417">
        <f>Yang!$M$76</f>
        <v>0.99578641509433974</v>
      </c>
      <c r="AL77" s="417">
        <f>Yang!$M$77</f>
        <v>1.3368740515933231</v>
      </c>
      <c r="AM77" s="417">
        <f>Yang!$M$78</f>
        <v>0.94738812672566741</v>
      </c>
      <c r="AN77" s="417">
        <f>Yang!$M$79</f>
        <v>1.4096000000000004</v>
      </c>
      <c r="AO77" s="417">
        <f>Yang!$M$80</f>
        <v>0.56838709677419352</v>
      </c>
      <c r="AP77" s="417">
        <f>Yang!$M$81</f>
        <v>1.3130291627469428</v>
      </c>
      <c r="AQ77" s="418" t="str">
        <f>Yang!$M$82</f>
        <v>n/a</v>
      </c>
      <c r="AR77" s="418" t="str">
        <f>Yang!$M$83</f>
        <v>n/a</v>
      </c>
    </row>
    <row r="78" spans="1:44" x14ac:dyDescent="0.3">
      <c r="A78" s="110"/>
      <c r="B78" s="433" t="str">
        <f>Thapa!B2</f>
        <v>Thapa et al., 2021</v>
      </c>
      <c r="C78" s="110">
        <v>57</v>
      </c>
      <c r="D78" s="110" t="str">
        <f>Thapa!$D6</f>
        <v>Thermally-treated FW digestate</v>
      </c>
      <c r="E78" s="408">
        <f>Thapa!$D7</f>
        <v>37</v>
      </c>
      <c r="F78" s="110" t="str">
        <f>Thapa!$D8</f>
        <v>Trickling filter</v>
      </c>
      <c r="G78" s="408" t="str">
        <f>Thapa!$D9</f>
        <v>n/r</v>
      </c>
      <c r="H78" s="408">
        <f>Thapa!$D10</f>
        <v>1.1000000000000001</v>
      </c>
      <c r="I78" s="438" t="str">
        <f>Thapa!$D11</f>
        <v>Liquid recirc</v>
      </c>
      <c r="J78" s="408" t="str">
        <f>Thapa!$D12</f>
        <v>Yes</v>
      </c>
      <c r="K78" s="438" t="str">
        <f>Thapa!$D13</f>
        <v>Headspace</v>
      </c>
      <c r="L78" s="438" t="str">
        <f>Thapa!$D14</f>
        <v>Continuous</v>
      </c>
      <c r="M78" s="438" t="str">
        <f>Thapa!$D15</f>
        <v>Sequential</v>
      </c>
      <c r="N78" s="438" t="str">
        <f>Thapa!$D16</f>
        <v>H2 and recirc rate</v>
      </c>
      <c r="O78" s="438" t="str">
        <f>Thapa!$D17</f>
        <v>1 reactor</v>
      </c>
      <c r="P78" s="441" t="str">
        <f>Thapa!$D104</f>
        <v>-</v>
      </c>
      <c r="Q78" s="438" t="str">
        <f>Thapa!$D105</f>
        <v>No H2</v>
      </c>
      <c r="R78" s="497">
        <f>C78</f>
        <v>57</v>
      </c>
      <c r="S78" s="408">
        <f>Thapa!$D106</f>
        <v>1.8800000000000001</v>
      </c>
      <c r="T78" s="408">
        <f>Thapa!$D107</f>
        <v>10</v>
      </c>
      <c r="U78" s="417"/>
      <c r="V78" s="416">
        <f>Thapa!$D109</f>
        <v>0.23936170212765956</v>
      </c>
      <c r="W78" s="416"/>
      <c r="X78" s="417"/>
      <c r="Y78" s="417">
        <f>Thapa!$D112</f>
        <v>0.45</v>
      </c>
      <c r="Z78" s="417"/>
      <c r="AA78" s="418">
        <f>Thapa!$D114</f>
        <v>48.65</v>
      </c>
      <c r="AB78" s="418">
        <f>Thapa!$D115</f>
        <v>51.35</v>
      </c>
      <c r="AC78" s="418">
        <f>Thapa!$D116</f>
        <v>0</v>
      </c>
      <c r="AD78" s="417">
        <f>Thapa!$D117</f>
        <v>7.82</v>
      </c>
      <c r="AE78" s="408" t="str">
        <f>Thapa!$D118</f>
        <v>n/r</v>
      </c>
      <c r="AF78" s="408">
        <f>Thapa!$D119</f>
        <v>1.4444983248810808E-3</v>
      </c>
      <c r="AG78" s="417"/>
      <c r="AH78" s="417"/>
      <c r="AI78" s="417"/>
      <c r="AJ78" s="418"/>
      <c r="AK78" s="453"/>
      <c r="AL78" s="417"/>
      <c r="AM78" s="417"/>
      <c r="AN78" s="417"/>
      <c r="AO78" s="417"/>
      <c r="AP78" s="417"/>
      <c r="AQ78" s="417"/>
      <c r="AR78" s="418"/>
    </row>
    <row r="79" spans="1:44" x14ac:dyDescent="0.3">
      <c r="A79" s="110"/>
      <c r="B79" s="433"/>
      <c r="C79" s="110"/>
      <c r="D79" s="110"/>
      <c r="E79" s="408"/>
      <c r="F79" s="110"/>
      <c r="G79" s="408"/>
      <c r="H79" s="408"/>
      <c r="I79" s="438"/>
      <c r="J79" s="408"/>
      <c r="K79" s="438"/>
      <c r="L79" s="438"/>
      <c r="M79" s="438"/>
      <c r="N79" s="438"/>
      <c r="O79" s="438"/>
      <c r="P79" s="441" t="str">
        <f>Thapa!$F104</f>
        <v>Lowest H2%</v>
      </c>
      <c r="Q79" s="438" t="str">
        <f>Thapa!$F105</f>
        <v>With H2</v>
      </c>
      <c r="R79" s="408"/>
      <c r="S79" s="408">
        <f>Thapa!$F106</f>
        <v>1.8800000000000001</v>
      </c>
      <c r="T79" s="408">
        <f>Thapa!$F107</f>
        <v>10</v>
      </c>
      <c r="U79" s="417">
        <f>Thapa!$F108</f>
        <v>1.4</v>
      </c>
      <c r="V79" s="416">
        <f>Thapa!$F109</f>
        <v>0.41489361702127658</v>
      </c>
      <c r="W79" s="416">
        <f>Thapa!$F110</f>
        <v>0.17553191489361702</v>
      </c>
      <c r="X79" s="417">
        <f>Thapa!$F111</f>
        <v>0.73333333333333339</v>
      </c>
      <c r="Y79" s="417">
        <f>Thapa!$F112</f>
        <v>0.78</v>
      </c>
      <c r="Z79" s="417">
        <f>Thapa!$F113</f>
        <v>0.33</v>
      </c>
      <c r="AA79" s="418">
        <f>Thapa!$F114</f>
        <v>71.430000000000007</v>
      </c>
      <c r="AB79" s="418">
        <f>Thapa!$F115</f>
        <v>22.82</v>
      </c>
      <c r="AC79" s="418">
        <f>Thapa!$F116</f>
        <v>5.75</v>
      </c>
      <c r="AD79" s="417">
        <f>Thapa!$F117</f>
        <v>7.98</v>
      </c>
      <c r="AE79" s="408" t="str">
        <f>Thapa!$F118</f>
        <v>n/r</v>
      </c>
      <c r="AF79" s="408">
        <f>Thapa!$F119</f>
        <v>3.2025287763335873E-2</v>
      </c>
      <c r="AG79" s="417">
        <f>Thapa!$F89</f>
        <v>0.33499999999999996</v>
      </c>
      <c r="AH79" s="417">
        <f>Thapa!$F90</f>
        <v>0.33</v>
      </c>
      <c r="AI79" s="417">
        <f>Thapa!$F91</f>
        <v>0.26</v>
      </c>
      <c r="AJ79" s="418">
        <f>Thapa!$F92</f>
        <v>2.7450980392156858</v>
      </c>
      <c r="AK79" s="453">
        <f>Thapa!$F93</f>
        <v>0.95714285714285707</v>
      </c>
      <c r="AL79" s="417">
        <f>Thapa!$F94</f>
        <v>0.98507462686567182</v>
      </c>
      <c r="AM79" s="417">
        <f>Thapa!$F95</f>
        <v>0.77611940298507476</v>
      </c>
      <c r="AN79" s="417">
        <f>Thapa!$F96</f>
        <v>1.2692307692307692</v>
      </c>
      <c r="AO79" s="417">
        <f>Thapa!$F97</f>
        <v>0.6470588235294118</v>
      </c>
      <c r="AP79" s="417">
        <f>Thapa!$F98</f>
        <v>1.1354166666666667</v>
      </c>
      <c r="AQ79" s="417">
        <f>Thapa!$F99</f>
        <v>4.0606060606060597</v>
      </c>
      <c r="AR79" s="418">
        <f>Thapa!$F100</f>
        <v>5.1538461538461533</v>
      </c>
    </row>
    <row r="80" spans="1:44" x14ac:dyDescent="0.3">
      <c r="A80" s="110"/>
      <c r="B80" s="433"/>
      <c r="C80" s="110"/>
      <c r="D80" s="110"/>
      <c r="E80" s="408"/>
      <c r="F80" s="110"/>
      <c r="G80" s="408"/>
      <c r="H80" s="408"/>
      <c r="I80" s="438"/>
      <c r="J80" s="408"/>
      <c r="K80" s="438"/>
      <c r="L80" s="438"/>
      <c r="M80" s="438"/>
      <c r="N80" s="438"/>
      <c r="O80" s="438"/>
      <c r="P80" s="441" t="str">
        <f>Thapa!$G104</f>
        <v>Highest SMP</v>
      </c>
      <c r="Q80" s="438" t="str">
        <f>Thapa!$G105</f>
        <v>With H2</v>
      </c>
      <c r="R80" s="408"/>
      <c r="S80" s="408">
        <f>Thapa!$G106</f>
        <v>1.8800000000000001</v>
      </c>
      <c r="T80" s="408">
        <f>Thapa!$G107</f>
        <v>10</v>
      </c>
      <c r="U80" s="417">
        <f>Thapa!$G108</f>
        <v>1.5</v>
      </c>
      <c r="V80" s="416">
        <f>Thapa!$G109</f>
        <v>0.45212765957446804</v>
      </c>
      <c r="W80" s="416">
        <f>Thapa!$G110</f>
        <v>0.21276595744680848</v>
      </c>
      <c r="X80" s="417">
        <f>Thapa!$G111</f>
        <v>0.88888888888888884</v>
      </c>
      <c r="Y80" s="417">
        <f>Thapa!$G112</f>
        <v>0.85</v>
      </c>
      <c r="Z80" s="417">
        <f>Thapa!$G113</f>
        <v>0.39999999999999997</v>
      </c>
      <c r="AA80" s="418">
        <f>Thapa!$G114</f>
        <v>68.180000000000007</v>
      </c>
      <c r="AB80" s="418">
        <f>Thapa!$G115</f>
        <v>16.72</v>
      </c>
      <c r="AC80" s="418">
        <f>Thapa!$G116</f>
        <v>15.1</v>
      </c>
      <c r="AD80" s="417">
        <f>Thapa!$G117</f>
        <v>8.02</v>
      </c>
      <c r="AE80" s="408" t="str">
        <f>Thapa!$G118</f>
        <v>n/r</v>
      </c>
      <c r="AF80" s="408">
        <f>Thapa!$G119</f>
        <v>3.4109266018419987E-2</v>
      </c>
      <c r="AG80" s="417">
        <f>Thapa!$G89</f>
        <v>0.32750000000000001</v>
      </c>
      <c r="AH80" s="417">
        <f>Thapa!$G90</f>
        <v>0.39999999999999997</v>
      </c>
      <c r="AI80" s="417">
        <f>Thapa!$G91</f>
        <v>0.31</v>
      </c>
      <c r="AJ80" s="418">
        <f>Thapa!$G92</f>
        <v>2.9411764705882351</v>
      </c>
      <c r="AK80" s="453">
        <f>Thapa!$G93</f>
        <v>0.87333333333333341</v>
      </c>
      <c r="AL80" s="417">
        <f>Thapa!$G94</f>
        <v>1.2213740458015265</v>
      </c>
      <c r="AM80" s="417">
        <f>Thapa!$G95</f>
        <v>0.94656488549618312</v>
      </c>
      <c r="AN80" s="417">
        <f>Thapa!$G96</f>
        <v>1.2903225806451613</v>
      </c>
      <c r="AO80" s="417">
        <f>Thapa!$G97</f>
        <v>0.78431372549019596</v>
      </c>
      <c r="AP80" s="417">
        <f>Thapa!$G98</f>
        <v>1.2916666666666667</v>
      </c>
      <c r="AQ80" s="417">
        <f>Thapa!$G99</f>
        <v>3.2750000000000004</v>
      </c>
      <c r="AR80" s="418">
        <f>Thapa!$G100</f>
        <v>4.225806451612903</v>
      </c>
    </row>
    <row r="81" spans="1:44" x14ac:dyDescent="0.3">
      <c r="A81" s="110"/>
      <c r="B81" s="433" t="str">
        <f>Treu!B82</f>
        <v>Treu et al., 2019</v>
      </c>
      <c r="C81" s="110">
        <v>61</v>
      </c>
      <c r="D81" s="110" t="str">
        <f>Treu!$D85</f>
        <v>Whey</v>
      </c>
      <c r="E81" s="408">
        <f>Treu!$D86</f>
        <v>37</v>
      </c>
      <c r="F81" s="110" t="str">
        <f>Treu!$D87</f>
        <v>CSTR</v>
      </c>
      <c r="G81" s="408" t="str">
        <f>Treu!$D88</f>
        <v>n/r</v>
      </c>
      <c r="H81" s="408">
        <f>Treu!$D89</f>
        <v>1.5</v>
      </c>
      <c r="I81" s="438" t="str">
        <f>Treu!$D90</f>
        <v>Magnetic</v>
      </c>
      <c r="J81" s="408" t="str">
        <f>Treu!$D91</f>
        <v>Yes</v>
      </c>
      <c r="K81" s="438" t="str">
        <f>Treu!$D92</f>
        <v xml:space="preserve">Ceramic </v>
      </c>
      <c r="L81" s="438" t="str">
        <f>Treu!$D93</f>
        <v>Continuous</v>
      </c>
      <c r="M81" s="438" t="str">
        <f>Treu!$D94</f>
        <v>Sequential</v>
      </c>
      <c r="N81" s="438" t="str">
        <f>Treu!$D95</f>
        <v>Temperature + feedstock</v>
      </c>
      <c r="O81" s="438" t="str">
        <f>Treu!$D96</f>
        <v>1 reactor at each temp</v>
      </c>
      <c r="P81" s="438" t="str">
        <f>Treu!$E178</f>
        <v>with buffer</v>
      </c>
      <c r="Q81" s="438" t="str">
        <f>Treu!$E179</f>
        <v>No H2</v>
      </c>
      <c r="R81" s="497">
        <f>C81</f>
        <v>61</v>
      </c>
      <c r="S81" s="408">
        <f>Treu!$E180</f>
        <v>2.2000000000000002</v>
      </c>
      <c r="T81" s="408">
        <f>Treu!$E181</f>
        <v>25</v>
      </c>
      <c r="U81" s="417"/>
      <c r="V81" s="416">
        <f>Treu!$E183</f>
        <v>0.28827171717171712</v>
      </c>
      <c r="W81" s="416"/>
      <c r="X81" s="417"/>
      <c r="Y81" s="417">
        <f>Treu!$E186</f>
        <v>0.63419777777777775</v>
      </c>
      <c r="Z81" s="417"/>
      <c r="AA81" s="418">
        <f>Treu!$E188</f>
        <v>58.56666666666667</v>
      </c>
      <c r="AB81" s="418">
        <f>Treu!$E189</f>
        <v>41.43333333333333</v>
      </c>
      <c r="AC81" s="418"/>
      <c r="AD81" s="417">
        <f>Treu!$E191</f>
        <v>6.88</v>
      </c>
      <c r="AE81" s="408" t="str">
        <f>Treu!$E192</f>
        <v>n/r</v>
      </c>
      <c r="AF81" s="408">
        <f>Treu!$E193</f>
        <v>0.10780437592487202</v>
      </c>
      <c r="AG81" s="417"/>
      <c r="AH81" s="417"/>
      <c r="AI81" s="417"/>
      <c r="AJ81" s="418"/>
      <c r="AK81" s="453"/>
      <c r="AL81" s="417"/>
      <c r="AM81" s="417"/>
      <c r="AN81" s="417"/>
      <c r="AO81" s="417"/>
      <c r="AP81" s="417"/>
      <c r="AQ81" s="417"/>
      <c r="AR81" s="418"/>
    </row>
    <row r="82" spans="1:44" x14ac:dyDescent="0.3">
      <c r="A82" s="110"/>
      <c r="B82" s="433"/>
      <c r="C82" s="110"/>
      <c r="D82" s="110"/>
      <c r="E82" s="408"/>
      <c r="F82" s="110"/>
      <c r="G82" s="408"/>
      <c r="H82" s="408"/>
      <c r="I82" s="438"/>
      <c r="J82" s="408"/>
      <c r="K82" s="438"/>
      <c r="L82" s="438"/>
      <c r="M82" s="438"/>
      <c r="N82" s="438"/>
      <c r="O82" s="438"/>
      <c r="P82" s="438" t="str">
        <f>Treu!$F178</f>
        <v>-</v>
      </c>
      <c r="Q82" s="438" t="str">
        <f>Treu!$F179</f>
        <v>With H2</v>
      </c>
      <c r="R82" s="408"/>
      <c r="S82" s="408">
        <f>Treu!$F180</f>
        <v>2.2000000000000002</v>
      </c>
      <c r="T82" s="408">
        <f>Treu!$F181</f>
        <v>25</v>
      </c>
      <c r="U82" s="417">
        <f>Treu!$F182</f>
        <v>0.89733390754442521</v>
      </c>
      <c r="V82" s="416">
        <f>Treu!$F183</f>
        <v>0.43434949494949499</v>
      </c>
      <c r="W82" s="416">
        <f>Treu!$F184</f>
        <v>0.14607777777777786</v>
      </c>
      <c r="X82" s="417">
        <f>Treu!$F185</f>
        <v>0.50673641941350267</v>
      </c>
      <c r="Y82" s="417">
        <f>Treu!$F186</f>
        <v>0.95556888888888902</v>
      </c>
      <c r="Z82" s="417">
        <f>Treu!$F187</f>
        <v>0.32137111111111127</v>
      </c>
      <c r="AA82" s="418">
        <f>Treu!$F188</f>
        <v>56.466666666666669</v>
      </c>
      <c r="AB82" s="418">
        <f>Treu!$F189</f>
        <v>24.966666666666665</v>
      </c>
      <c r="AC82" s="418">
        <f>Treu!$F190</f>
        <v>18.566666666666666</v>
      </c>
      <c r="AD82" s="417">
        <f>Treu!$F191</f>
        <v>7.586666666666666</v>
      </c>
      <c r="AE82" s="408" t="str">
        <f>Treu!$F192</f>
        <v>n/r</v>
      </c>
      <c r="AF82" s="408">
        <f>Treu!$F193</f>
        <v>4.2041754363994856E-2</v>
      </c>
      <c r="AG82" s="417">
        <f>Treu!$F161</f>
        <v>0.14578390913062944</v>
      </c>
      <c r="AH82" s="417">
        <f>Treu!$F162</f>
        <v>0.32137111111111127</v>
      </c>
      <c r="AI82" s="417">
        <f>Treu!$F163</f>
        <v>2.6163354139522088E-2</v>
      </c>
      <c r="AJ82" s="418">
        <f>Treu!$F164</f>
        <v>2</v>
      </c>
      <c r="AK82" s="453">
        <f>Treu!$F165</f>
        <v>0.64985356244731884</v>
      </c>
      <c r="AL82" s="417">
        <f>Treu!$F166</f>
        <v>2.2044347214146054</v>
      </c>
      <c r="AM82" s="417">
        <f>Treu!$F167</f>
        <v>0.1794666797971404</v>
      </c>
      <c r="AN82" s="417">
        <f>Treu!$F168</f>
        <v>12.283253492550156</v>
      </c>
      <c r="AO82" s="417">
        <f>Treu!$F169</f>
        <v>0.7606352026124743</v>
      </c>
      <c r="AP82" s="417">
        <f>Treu!$F170</f>
        <v>1.2726173901231734</v>
      </c>
      <c r="AQ82" s="417">
        <f>Treu!$F171</f>
        <v>1.8145241322606116</v>
      </c>
      <c r="AR82" s="418">
        <f>Treu!$F172</f>
        <v>22.288259884906697</v>
      </c>
    </row>
    <row r="83" spans="1:44" x14ac:dyDescent="0.3">
      <c r="A83" s="110"/>
      <c r="B83" s="433" t="str">
        <f>Font!B2</f>
        <v>Fontana et al., 2018a</v>
      </c>
      <c r="C83" s="110">
        <v>62</v>
      </c>
      <c r="D83" s="110" t="str">
        <f>Font!$D6</f>
        <v>cheese whey permeate + powder</v>
      </c>
      <c r="E83" s="408">
        <f>Font!$D7</f>
        <v>55</v>
      </c>
      <c r="F83" s="110" t="str">
        <f>Font!$D8</f>
        <v>CSTR</v>
      </c>
      <c r="G83" s="408" t="str">
        <f>Font!$D9</f>
        <v>n/r</v>
      </c>
      <c r="H83" s="408">
        <f>Font!$D10</f>
        <v>3</v>
      </c>
      <c r="I83" s="438" t="str">
        <f>Font!$D11</f>
        <v>Magnetic</v>
      </c>
      <c r="J83" s="408" t="str">
        <f>Font!$D12</f>
        <v>Yes</v>
      </c>
      <c r="K83" s="438" t="str">
        <f>Font!$D13</f>
        <v>Ceramic membrane</v>
      </c>
      <c r="L83" s="438" t="str">
        <f>Font!$D14</f>
        <v>Continuous</v>
      </c>
      <c r="M83" s="438" t="str">
        <f>Font!$D15</f>
        <v>Sequential</v>
      </c>
      <c r="N83" s="438" t="str">
        <f>Font!$D16</f>
        <v>H2 addition</v>
      </c>
      <c r="O83" s="438" t="str">
        <f>Font!$D17</f>
        <v>Also tested power-tochemicals (p2C) in 2-stage set-up</v>
      </c>
      <c r="P83" s="441" t="str">
        <f>Font!$D60</f>
        <v>-</v>
      </c>
      <c r="Q83" s="443" t="str">
        <f>Font!$D61</f>
        <v>No H2</v>
      </c>
      <c r="R83" s="497">
        <f>C83</f>
        <v>62</v>
      </c>
      <c r="S83" s="418">
        <f>Font!$D62</f>
        <v>2.4</v>
      </c>
      <c r="T83" s="409">
        <f>Font!$D63</f>
        <v>15</v>
      </c>
      <c r="U83" s="417"/>
      <c r="V83" s="416">
        <f>Font!$D65</f>
        <v>0.11</v>
      </c>
      <c r="W83" s="416"/>
      <c r="X83" s="417"/>
      <c r="Y83" s="417">
        <f>Font!$D68</f>
        <v>0.26400000000000001</v>
      </c>
      <c r="Z83" s="417"/>
      <c r="AA83" s="418">
        <f>Font!$D70</f>
        <v>44.6</v>
      </c>
      <c r="AB83" s="418">
        <f>Font!$D71</f>
        <v>55.4</v>
      </c>
      <c r="AC83" s="418"/>
      <c r="AD83" s="417" t="str">
        <f>Font!$D73</f>
        <v>n/r</v>
      </c>
      <c r="AE83" s="408" t="str">
        <f>Font!$D74</f>
        <v>n/r</v>
      </c>
      <c r="AF83" s="408" t="str">
        <f>Font!$D75</f>
        <v>n/r?</v>
      </c>
      <c r="AG83" s="417"/>
      <c r="AH83" s="417"/>
      <c r="AI83" s="417"/>
      <c r="AJ83" s="418"/>
      <c r="AK83" s="453"/>
      <c r="AL83" s="417"/>
      <c r="AM83" s="417"/>
      <c r="AN83" s="417"/>
      <c r="AO83" s="417"/>
      <c r="AP83" s="417"/>
      <c r="AQ83" s="417"/>
      <c r="AR83" s="418"/>
    </row>
    <row r="84" spans="1:44" x14ac:dyDescent="0.3">
      <c r="A84" s="110"/>
      <c r="B84" s="433"/>
      <c r="C84" s="110"/>
      <c r="D84" s="110"/>
      <c r="E84" s="408"/>
      <c r="F84" s="110"/>
      <c r="G84" s="408"/>
      <c r="H84" s="408"/>
      <c r="I84" s="438"/>
      <c r="J84" s="408"/>
      <c r="K84" s="438"/>
      <c r="L84" s="438"/>
      <c r="M84" s="438"/>
      <c r="N84" s="438"/>
      <c r="O84" s="438"/>
      <c r="P84" s="438" t="str">
        <f>Font!$F60</f>
        <v>-</v>
      </c>
      <c r="Q84" s="438" t="str">
        <f>Font!$F61</f>
        <v>With H2</v>
      </c>
      <c r="R84" s="408"/>
      <c r="S84" s="418">
        <f>Font!$F62</f>
        <v>2.4</v>
      </c>
      <c r="T84" s="408">
        <f>Font!$F63</f>
        <v>15</v>
      </c>
      <c r="U84" s="417">
        <f>Font!$F64</f>
        <v>0.81599999999999995</v>
      </c>
      <c r="V84" s="408">
        <f>Font!$F65</f>
        <v>0.14199999999999999</v>
      </c>
      <c r="W84" s="416">
        <f>Font!$F66</f>
        <v>3.1999999999999987E-2</v>
      </c>
      <c r="X84" s="417">
        <f>Font!$F67</f>
        <v>0.29090909090909078</v>
      </c>
      <c r="Y84" s="417">
        <f>Font!$F68</f>
        <v>0.34079999999999999</v>
      </c>
      <c r="Z84" s="417">
        <f>Font!$F69</f>
        <v>7.6799999999999979E-2</v>
      </c>
      <c r="AA84" s="418">
        <f>Font!$F70</f>
        <v>51.6</v>
      </c>
      <c r="AB84" s="418">
        <f>Font!$F71</f>
        <v>23</v>
      </c>
      <c r="AC84" s="418">
        <f>Font!$F72</f>
        <v>25.4</v>
      </c>
      <c r="AD84" s="417" t="str">
        <f>Font!$F73</f>
        <v>n/r</v>
      </c>
      <c r="AE84" s="408" t="str">
        <f>Font!$F74</f>
        <v>n/r</v>
      </c>
      <c r="AF84" s="408" t="str">
        <f>Font!$F75</f>
        <v>n/r?</v>
      </c>
      <c r="AG84" s="417">
        <f>Font!$F45</f>
        <v>0.19860351117191063</v>
      </c>
      <c r="AH84" s="417">
        <f>Font!$F46</f>
        <v>7.6799999999999979E-2</v>
      </c>
      <c r="AI84" s="417">
        <f>Font!$F47</f>
        <v>0.17602127437689016</v>
      </c>
      <c r="AJ84" s="418">
        <f>Font!$F48</f>
        <v>2.4883491959304234</v>
      </c>
      <c r="AK84" s="453">
        <f>Font!$F49</f>
        <v>0.79441404468764254</v>
      </c>
      <c r="AL84" s="417">
        <f>Font!$F50</f>
        <v>0.38670011193066028</v>
      </c>
      <c r="AM84" s="417">
        <f>Font!$F51</f>
        <v>0.88629487635053261</v>
      </c>
      <c r="AN84" s="417">
        <f>Font!$F52</f>
        <v>0.43631089634971448</v>
      </c>
      <c r="AO84" s="417">
        <f>Font!$F53</f>
        <v>0.23419757138168687</v>
      </c>
      <c r="AP84" s="417">
        <f>Font!$F54</f>
        <v>0.83237618040873862</v>
      </c>
      <c r="AQ84" s="417">
        <f>Font!$F55</f>
        <v>8.4406492248062026</v>
      </c>
      <c r="AR84" s="418">
        <f>Font!$F56</f>
        <v>3.6827472290487173</v>
      </c>
    </row>
    <row r="85" spans="1:44" x14ac:dyDescent="0.3">
      <c r="A85" s="110"/>
      <c r="B85" s="433" t="str">
        <f>Lovato!B2</f>
        <v>Lovato et al., 2017</v>
      </c>
      <c r="C85" s="110">
        <v>63</v>
      </c>
      <c r="D85" s="110" t="str">
        <f>Lovato!$D6</f>
        <v>Whey + CM</v>
      </c>
      <c r="E85" s="408">
        <f>Lovato!$D7</f>
        <v>55</v>
      </c>
      <c r="F85" s="110" t="str">
        <f>Lovato!$D8</f>
        <v>CSTR</v>
      </c>
      <c r="G85" s="408">
        <f>Lovato!$D9</f>
        <v>1.8</v>
      </c>
      <c r="H85" s="408">
        <f>Lovato!$D10</f>
        <v>1.2</v>
      </c>
      <c r="I85" s="438" t="str">
        <f>Lovato!$D11</f>
        <v>tbc</v>
      </c>
      <c r="J85" s="408" t="str">
        <f>Lovato!$D12</f>
        <v>tbc</v>
      </c>
      <c r="K85" s="438" t="str">
        <f>Lovato!$D13</f>
        <v>tbc</v>
      </c>
      <c r="L85" s="438" t="str">
        <f>Lovato!$D14</f>
        <v>tbc</v>
      </c>
      <c r="M85" s="438" t="str">
        <f>Lovato!$D15</f>
        <v>Sequential</v>
      </c>
      <c r="N85" s="438" t="str">
        <f>Lovato!$D16</f>
        <v>with/without H2</v>
      </c>
      <c r="O85" s="438" t="str">
        <f>Lovato!$D17</f>
        <v>1 reactor</v>
      </c>
      <c r="P85" s="441" t="str">
        <f>Lovato!$D77</f>
        <v>-</v>
      </c>
      <c r="Q85" s="444" t="str">
        <f>Lovato!$D78</f>
        <v>No H2</v>
      </c>
      <c r="R85" s="497">
        <f>C85</f>
        <v>63</v>
      </c>
      <c r="S85" s="417">
        <f>Lovato!$D79</f>
        <v>3.7066666666666666</v>
      </c>
      <c r="T85" s="408">
        <f>Lovato!$D80</f>
        <v>15</v>
      </c>
      <c r="U85" s="417"/>
      <c r="V85" s="416">
        <f>Lovato!$D82</f>
        <v>0.24373397680766506</v>
      </c>
      <c r="W85" s="416"/>
      <c r="X85" s="417"/>
      <c r="Y85" s="417">
        <f>Lovato!$D85</f>
        <v>0.90344060736707843</v>
      </c>
      <c r="Z85" s="417"/>
      <c r="AA85" s="418">
        <f>Lovato!$D87</f>
        <v>65.606969248525914</v>
      </c>
      <c r="AB85" s="418">
        <f>Lovato!$D88</f>
        <v>34.392991750083503</v>
      </c>
      <c r="AC85" s="418"/>
      <c r="AD85" s="417">
        <f>Lovato!$D90</f>
        <v>7.7391105312569399</v>
      </c>
      <c r="AE85" s="408">
        <f>Lovato!$D91</f>
        <v>0.10991196540070783</v>
      </c>
      <c r="AF85" s="408">
        <f>Lovato!$D92</f>
        <v>1.3747359991587301E-3</v>
      </c>
      <c r="AG85" s="417"/>
      <c r="AH85" s="417"/>
      <c r="AI85" s="417"/>
      <c r="AJ85" s="418"/>
      <c r="AK85" s="452"/>
      <c r="AL85" s="417"/>
      <c r="AM85" s="417"/>
      <c r="AN85" s="417"/>
      <c r="AO85" s="417"/>
      <c r="AP85" s="417"/>
      <c r="AQ85" s="417"/>
      <c r="AR85" s="418"/>
    </row>
    <row r="86" spans="1:44" x14ac:dyDescent="0.3">
      <c r="A86" s="110"/>
      <c r="B86" s="433"/>
      <c r="C86" s="110"/>
      <c r="D86" s="110"/>
      <c r="E86" s="408"/>
      <c r="F86" s="110"/>
      <c r="G86" s="408"/>
      <c r="H86" s="408"/>
      <c r="I86" s="438"/>
      <c r="J86" s="408"/>
      <c r="K86" s="438"/>
      <c r="L86" s="438"/>
      <c r="M86" s="438"/>
      <c r="N86" s="438"/>
      <c r="O86" s="438"/>
      <c r="P86" s="441" t="str">
        <f>Lovato!$E77</f>
        <v>-</v>
      </c>
      <c r="Q86" s="443" t="str">
        <f>Lovato!$E78</f>
        <v>With H2</v>
      </c>
      <c r="R86" s="416"/>
      <c r="S86" s="417">
        <f>Lovato!$E79</f>
        <v>3.7066666666666666</v>
      </c>
      <c r="T86" s="409">
        <f>Lovato!$E80</f>
        <v>15</v>
      </c>
      <c r="U86" s="417">
        <f>Lovato!$E81</f>
        <v>0.8</v>
      </c>
      <c r="V86" s="416">
        <f>Lovato!$E82</f>
        <v>0.28285003715212287</v>
      </c>
      <c r="W86" s="416">
        <f>Lovato!$E83</f>
        <v>3.9116060344457804E-2</v>
      </c>
      <c r="X86" s="417">
        <f>Lovato!$E84</f>
        <v>0.16048669478414576</v>
      </c>
      <c r="Y86" s="417">
        <f>Lovato!$E85</f>
        <v>1.0484308043772022</v>
      </c>
      <c r="Z86" s="417">
        <f>Lovato!$E86</f>
        <v>0.14499019701012372</v>
      </c>
      <c r="AA86" s="418">
        <f>Lovato!$E87</f>
        <v>72.702284443104006</v>
      </c>
      <c r="AB86" s="418">
        <f>Lovato!$E88</f>
        <v>22.183590476906414</v>
      </c>
      <c r="AC86" s="418">
        <f>Lovato!$E89</f>
        <v>5.1141250799895763</v>
      </c>
      <c r="AD86" s="417">
        <f>Lovato!$E90</f>
        <v>7.9158771962726826</v>
      </c>
      <c r="AE86" s="408">
        <f>Lovato!$E91</f>
        <v>0.12059393120791559</v>
      </c>
      <c r="AF86" s="408">
        <f>Lovato!$E92</f>
        <v>1.0727821164823999E-3</v>
      </c>
      <c r="AG86" s="417">
        <f>Lovato!$E63</f>
        <v>0.18156245600681509</v>
      </c>
      <c r="AH86" s="417">
        <f>Lovato!$E64</f>
        <v>0.14499019701012372</v>
      </c>
      <c r="AI86" s="501">
        <f>Lovato!$E65</f>
        <v>0.15370174656413571</v>
      </c>
      <c r="AJ86" s="418">
        <f>Lovato!$E66</f>
        <v>1.6891584889528783</v>
      </c>
      <c r="AK86" s="452">
        <f>Lovato!$E67</f>
        <v>0.90781228003407544</v>
      </c>
      <c r="AL86" s="417">
        <f>Lovato!$E68</f>
        <v>0.79856926480814627</v>
      </c>
      <c r="AM86" s="417">
        <f>Lovato!$E69</f>
        <v>0.84655027225654178</v>
      </c>
      <c r="AN86" s="417">
        <f>Lovato!$E70</f>
        <v>0.94332172698911465</v>
      </c>
      <c r="AO86" s="417">
        <f>Lovato!$E71</f>
        <v>0.30613927761825088</v>
      </c>
      <c r="AP86" s="417">
        <f>Lovato!$E72</f>
        <v>0.99367375584023476</v>
      </c>
      <c r="AQ86" s="417">
        <f>Lovato!$E73</f>
        <v>5.0089581158135195</v>
      </c>
      <c r="AR86" s="418">
        <f>Lovato!$E74</f>
        <v>4.7250590202253511</v>
      </c>
    </row>
    <row r="87" spans="1:44" x14ac:dyDescent="0.3">
      <c r="A87" s="110"/>
      <c r="B87" s="433" t="str">
        <f>Treu!B82</f>
        <v>Treu et al., 2019</v>
      </c>
      <c r="C87" s="110">
        <v>61</v>
      </c>
      <c r="D87" s="110" t="str">
        <f>Treu!$E85</f>
        <v>Whey + CM</v>
      </c>
      <c r="E87" s="408">
        <f>Treu!$E86</f>
        <v>54</v>
      </c>
      <c r="F87" s="110" t="str">
        <f>Treu!$E87</f>
        <v>CSTR</v>
      </c>
      <c r="G87" s="408" t="str">
        <f>Treu!$E88</f>
        <v>n/r</v>
      </c>
      <c r="H87" s="408">
        <f>Treu!$E89</f>
        <v>1.5</v>
      </c>
      <c r="I87" s="438" t="str">
        <f>Treu!$E90</f>
        <v>Magnetic</v>
      </c>
      <c r="J87" s="408" t="str">
        <f>Treu!$E91</f>
        <v>Yes</v>
      </c>
      <c r="K87" s="438" t="str">
        <f>Treu!$E92</f>
        <v xml:space="preserve">Ceramic </v>
      </c>
      <c r="L87" s="438" t="str">
        <f>Treu!$E93</f>
        <v>Continuous</v>
      </c>
      <c r="M87" s="438" t="str">
        <f>Treu!$E94</f>
        <v>Sequential</v>
      </c>
      <c r="N87" s="438" t="str">
        <f>Treu!$E95</f>
        <v>Temperature + feedstock</v>
      </c>
      <c r="O87" s="438">
        <f>Treu!$E96</f>
        <v>0</v>
      </c>
      <c r="P87" s="441" t="str">
        <f>Treu!$J178</f>
        <v>-</v>
      </c>
      <c r="Q87" s="443" t="str">
        <f>Treu!$J179</f>
        <v>No H2</v>
      </c>
      <c r="R87" s="497">
        <f>C87</f>
        <v>61</v>
      </c>
      <c r="S87" s="418">
        <f>Treu!$J180</f>
        <v>2.2000000000000002</v>
      </c>
      <c r="T87" s="409">
        <f>Treu!$J181</f>
        <v>15</v>
      </c>
      <c r="U87" s="417"/>
      <c r="V87" s="416">
        <f>Treu!$J183</f>
        <v>0.41179797979797977</v>
      </c>
      <c r="W87" s="416"/>
      <c r="X87" s="417"/>
      <c r="Y87" s="417">
        <f>Treu!$J186</f>
        <v>0.90595555555555562</v>
      </c>
      <c r="Z87" s="417"/>
      <c r="AA87" s="418">
        <f>Treu!$J188</f>
        <v>68.199999999999989</v>
      </c>
      <c r="AB87" s="418">
        <f>Treu!$J189</f>
        <v>31.800000000000011</v>
      </c>
      <c r="AC87" s="418"/>
      <c r="AD87" s="417">
        <f>Treu!$J191</f>
        <v>7.7600000000000007</v>
      </c>
      <c r="AE87" s="416" t="str">
        <f>Treu!$J192</f>
        <v>n/r</v>
      </c>
      <c r="AF87" s="416">
        <f>Treu!$J193</f>
        <v>1.7106355865294633E-3</v>
      </c>
      <c r="AG87" s="417"/>
      <c r="AH87" s="417"/>
      <c r="AI87" s="417"/>
      <c r="AJ87" s="418"/>
      <c r="AK87" s="453"/>
      <c r="AL87" s="417"/>
      <c r="AM87" s="417"/>
      <c r="AN87" s="417"/>
      <c r="AO87" s="417"/>
      <c r="AP87" s="417"/>
      <c r="AQ87" s="417"/>
      <c r="AR87" s="418"/>
    </row>
    <row r="88" spans="1:44" x14ac:dyDescent="0.3">
      <c r="A88" s="110"/>
      <c r="B88" s="433"/>
      <c r="C88" s="110"/>
      <c r="D88" s="110"/>
      <c r="E88" s="408"/>
      <c r="F88" s="110"/>
      <c r="G88" s="408"/>
      <c r="H88" s="408"/>
      <c r="I88" s="438"/>
      <c r="J88" s="408"/>
      <c r="K88" s="438"/>
      <c r="L88" s="438"/>
      <c r="M88" s="438"/>
      <c r="N88" s="438"/>
      <c r="O88" s="438"/>
      <c r="P88" s="441" t="str">
        <f>Treu!$K178</f>
        <v>-</v>
      </c>
      <c r="Q88" s="443" t="str">
        <f>Treu!$K179</f>
        <v>With H2</v>
      </c>
      <c r="R88" s="416"/>
      <c r="S88" s="418">
        <f>Treu!$K180</f>
        <v>2.2000000000000002</v>
      </c>
      <c r="T88" s="409">
        <f>Treu!$K181</f>
        <v>15</v>
      </c>
      <c r="U88" s="417">
        <f>Treu!$K182</f>
        <v>0.8448500488758558</v>
      </c>
      <c r="V88" s="416">
        <f>Treu!$K183</f>
        <v>0.44390168759244031</v>
      </c>
      <c r="W88" s="416">
        <f>Treu!$K184</f>
        <v>3.2103707794460534E-2</v>
      </c>
      <c r="X88" s="417">
        <f>Treu!$K185</f>
        <v>7.7959847715158778E-2</v>
      </c>
      <c r="Y88" s="417">
        <f>Treu!$K186</f>
        <v>0.97658371270336874</v>
      </c>
      <c r="Z88" s="417">
        <f>Treu!$K187</f>
        <v>7.062815714781312E-2</v>
      </c>
      <c r="AA88" s="418">
        <f>Treu!$K188</f>
        <v>73.245134898902336</v>
      </c>
      <c r="AB88" s="418">
        <f>Treu!$K189</f>
        <v>21.615053896948297</v>
      </c>
      <c r="AC88" s="418">
        <f>Treu!$K190</f>
        <v>5.1398112041493675</v>
      </c>
      <c r="AD88" s="417">
        <f>Treu!$K191</f>
        <v>8.0266666666666655</v>
      </c>
      <c r="AE88" s="417" t="str">
        <f>Treu!$K192</f>
        <v>n/r</v>
      </c>
      <c r="AF88" s="420">
        <f>Treu!$K193</f>
        <v>4.8477261553296641E-4</v>
      </c>
      <c r="AG88" s="417">
        <f>Treu!$K161</f>
        <v>0.19408012549023876</v>
      </c>
      <c r="AH88" s="417">
        <f>Treu!$K162</f>
        <v>7.062815714781312E-2</v>
      </c>
      <c r="AI88" s="417">
        <f>Treu!$K163</f>
        <v>0.13422964307777252</v>
      </c>
      <c r="AJ88" s="418">
        <f>Treu!$K164</f>
        <v>2</v>
      </c>
      <c r="AK88" s="452">
        <f>Treu!$K165</f>
        <v>0.91888555015640339</v>
      </c>
      <c r="AL88" s="417">
        <f>Treu!$K166</f>
        <v>0.36391236335719163</v>
      </c>
      <c r="AM88" s="417">
        <f>Treu!$K167</f>
        <v>0.69161972530012394</v>
      </c>
      <c r="AN88" s="417">
        <f>Treu!$K168</f>
        <v>0.52617406653529752</v>
      </c>
      <c r="AO88" s="417">
        <f>Treu!$K169</f>
        <v>0.24507039916628537</v>
      </c>
      <c r="AP88" s="417">
        <f>Treu!$K170</f>
        <v>0.95212103602849163</v>
      </c>
      <c r="AQ88" s="417">
        <f>Treu!$K171</f>
        <v>10.991657340517095</v>
      </c>
      <c r="AR88" s="418">
        <f>Treu!$K172</f>
        <v>5.7835250408224335</v>
      </c>
    </row>
    <row r="89" spans="1:44" x14ac:dyDescent="0.3">
      <c r="A89" s="110"/>
      <c r="B89" s="433" t="str">
        <f>Bass!B101</f>
        <v>Bassani et al., 2016</v>
      </c>
      <c r="C89" s="110">
        <v>65</v>
      </c>
      <c r="D89" s="110" t="str">
        <f>Bass!$D105</f>
        <v>Potato-starch wastewater</v>
      </c>
      <c r="E89" s="408">
        <f>Bass!$D106</f>
        <v>55</v>
      </c>
      <c r="F89" s="110" t="str">
        <f>Bass!$D107</f>
        <v>UASB</v>
      </c>
      <c r="G89" s="408" t="str">
        <f>Bass!$D108</f>
        <v>n/r</v>
      </c>
      <c r="H89" s="408">
        <f>Bass!$D109</f>
        <v>1.4</v>
      </c>
      <c r="I89" s="438" t="str">
        <f>Bass!$D110</f>
        <v>Liquid recirc</v>
      </c>
      <c r="J89" s="408" t="str">
        <f>Bass!$D111</f>
        <v>No</v>
      </c>
      <c r="K89" s="438" t="str">
        <f>Bass!$D112</f>
        <v>Separate chamber</v>
      </c>
      <c r="L89" s="438" t="str">
        <f>Bass!$D113</f>
        <v>Continuous</v>
      </c>
      <c r="M89" s="438" t="str">
        <f>Bass!$D114</f>
        <v>Parallel</v>
      </c>
      <c r="N89" s="438" t="str">
        <f>Bass!$D115</f>
        <v xml:space="preserve">Liquid recirc + injection </v>
      </c>
      <c r="O89" s="438" t="str">
        <f>Bass!$D116</f>
        <v>2 reactors</v>
      </c>
      <c r="P89" s="441" t="str">
        <f>Bass!$I163</f>
        <v>Rashig</v>
      </c>
      <c r="Q89" s="443" t="str">
        <f>Bass!$I164</f>
        <v>No H2</v>
      </c>
      <c r="R89" s="497">
        <f>C89</f>
        <v>65</v>
      </c>
      <c r="S89" s="417">
        <f>Bass!$I165</f>
        <v>3.73</v>
      </c>
      <c r="T89" s="409">
        <f>Bass!$I166</f>
        <v>5</v>
      </c>
      <c r="U89" s="417"/>
      <c r="V89" s="416">
        <f>Bass!$I168</f>
        <v>0.32895442359249327</v>
      </c>
      <c r="W89" s="416"/>
      <c r="X89" s="417"/>
      <c r="Y89" s="417">
        <f>Bass!$I171</f>
        <v>1.2270000000000001</v>
      </c>
      <c r="Z89" s="417"/>
      <c r="AA89" s="418">
        <f>Bass!$I173</f>
        <v>60.9</v>
      </c>
      <c r="AB89" s="418">
        <f>Bass!$I174</f>
        <v>39.1</v>
      </c>
      <c r="AC89" s="418"/>
      <c r="AD89" s="417">
        <f>Bass!$I176</f>
        <v>7.6</v>
      </c>
      <c r="AE89" s="417" t="str">
        <f>Bass!$I177</f>
        <v>n/r</v>
      </c>
      <c r="AF89" s="417" t="str">
        <f>Bass!$I178</f>
        <v>TVFA + Hac</v>
      </c>
      <c r="AG89" s="417"/>
      <c r="AH89" s="417"/>
      <c r="AI89" s="417"/>
      <c r="AJ89" s="418"/>
      <c r="AK89" s="453"/>
      <c r="AL89" s="417"/>
      <c r="AM89" s="417"/>
      <c r="AN89" s="417"/>
      <c r="AO89" s="417"/>
      <c r="AP89" s="417"/>
      <c r="AQ89" s="417"/>
      <c r="AR89" s="418"/>
    </row>
    <row r="90" spans="1:44" x14ac:dyDescent="0.3">
      <c r="A90" s="110"/>
      <c r="B90" s="433"/>
      <c r="C90" s="110"/>
      <c r="D90" s="110"/>
      <c r="E90" s="408"/>
      <c r="F90" s="110"/>
      <c r="G90" s="408"/>
      <c r="H90" s="408"/>
      <c r="I90" s="438"/>
      <c r="J90" s="408"/>
      <c r="K90" s="438"/>
      <c r="L90" s="438"/>
      <c r="M90" s="438"/>
      <c r="N90" s="438"/>
      <c r="O90" s="438"/>
      <c r="P90" s="441" t="str">
        <f>Bass!$H163</f>
        <v>-</v>
      </c>
      <c r="Q90" s="443" t="str">
        <f>Bass!$H164</f>
        <v>With H2</v>
      </c>
      <c r="R90" s="416"/>
      <c r="S90" s="417">
        <f>Bass!$H165</f>
        <v>3.73</v>
      </c>
      <c r="T90" s="409">
        <f>Bass!$H166</f>
        <v>5</v>
      </c>
      <c r="U90" s="417">
        <f>Bass!$H167</f>
        <v>2.6360000000000001</v>
      </c>
      <c r="V90" s="416">
        <f>Bass!$H168</f>
        <v>0.40134048257372656</v>
      </c>
      <c r="W90" s="416">
        <f>Bass!$H169</f>
        <v>7.2386058981233292E-2</v>
      </c>
      <c r="X90" s="417">
        <f>Bass!$H170</f>
        <v>0.18036072144288587</v>
      </c>
      <c r="Y90" s="417">
        <f>Bass!$H171</f>
        <v>1.4970000000000001</v>
      </c>
      <c r="Z90" s="417">
        <f>Bass!$H172</f>
        <v>0.27</v>
      </c>
      <c r="AA90" s="418">
        <f>Bass!$H173</f>
        <v>44.9</v>
      </c>
      <c r="AB90" s="418">
        <f>Bass!$H174</f>
        <v>18.5</v>
      </c>
      <c r="AC90" s="418">
        <f>Bass!$H175</f>
        <v>36.6</v>
      </c>
      <c r="AD90" s="417">
        <f>Bass!$H176</f>
        <v>7.9</v>
      </c>
      <c r="AE90" s="417" t="str">
        <f>Bass!$H177</f>
        <v>n/r</v>
      </c>
      <c r="AF90" s="417" t="str">
        <f>Bass!$H178</f>
        <v>TVFA + Hac</v>
      </c>
      <c r="AG90" s="417">
        <f>Bass!$H149</f>
        <v>0.35299999999999998</v>
      </c>
      <c r="AH90" s="417">
        <f>Bass!$H150</f>
        <v>0.27</v>
      </c>
      <c r="AI90" s="417">
        <f>Bass!$H151</f>
        <v>0.17100000000000001</v>
      </c>
      <c r="AJ90" s="418">
        <f>Bass!$H152</f>
        <v>3.3457508583323285</v>
      </c>
      <c r="AK90" s="453">
        <f>Bass!$H153</f>
        <v>0.53566009104704104</v>
      </c>
      <c r="AL90" s="417">
        <f>Bass!$H154</f>
        <v>0.76487252124645899</v>
      </c>
      <c r="AM90" s="417">
        <f>Bass!$H155</f>
        <v>0.48441926345609071</v>
      </c>
      <c r="AN90" s="417">
        <f>Bass!$H156</f>
        <v>1.5789473684210527</v>
      </c>
      <c r="AO90" s="417">
        <f>Bass!$H157</f>
        <v>0.34269830491264369</v>
      </c>
      <c r="AP90" s="417">
        <f>Bass!$H158</f>
        <v>1.049107142857143</v>
      </c>
      <c r="AQ90" s="417">
        <f>Bass!$H159</f>
        <v>5.2296296296296294</v>
      </c>
      <c r="AR90" s="418">
        <f>Bass!$H160</f>
        <v>8.257309941520468</v>
      </c>
    </row>
    <row r="91" spans="1:44" x14ac:dyDescent="0.3">
      <c r="A91" s="110"/>
      <c r="B91" s="433"/>
      <c r="C91" s="110"/>
      <c r="D91" s="110"/>
      <c r="E91" s="408"/>
      <c r="F91" s="110"/>
      <c r="G91" s="408"/>
      <c r="H91" s="408"/>
      <c r="I91" s="438"/>
      <c r="J91" s="408"/>
      <c r="K91" s="438"/>
      <c r="L91" s="438"/>
      <c r="M91" s="438"/>
      <c r="N91" s="438"/>
      <c r="O91" s="438"/>
      <c r="P91" s="441" t="str">
        <f>Bass!$N163</f>
        <v>Ceramic with gas recirc</v>
      </c>
      <c r="Q91" s="443" t="str">
        <f>Bass!$N164</f>
        <v>No H2</v>
      </c>
      <c r="R91" s="416"/>
      <c r="S91" s="417">
        <f>Bass!$N165</f>
        <v>3.73</v>
      </c>
      <c r="T91" s="409">
        <f>Bass!$N166</f>
        <v>5</v>
      </c>
      <c r="U91" s="417" t="s">
        <v>2077</v>
      </c>
      <c r="V91" s="416">
        <f>Bass!$N168</f>
        <v>0.31126005361930292</v>
      </c>
      <c r="W91" s="416"/>
      <c r="X91" s="417"/>
      <c r="Y91" s="417">
        <f>Bass!$N171</f>
        <v>1.161</v>
      </c>
      <c r="Z91" s="417"/>
      <c r="AA91" s="418">
        <f>Bass!$N173</f>
        <v>61.1</v>
      </c>
      <c r="AB91" s="418">
        <f>Bass!$N174</f>
        <v>38.9</v>
      </c>
      <c r="AC91" s="418"/>
      <c r="AD91" s="417">
        <f>Bass!$N176</f>
        <v>7.64</v>
      </c>
      <c r="AE91" s="417" t="str">
        <f>Bass!$N177</f>
        <v>n/r</v>
      </c>
      <c r="AF91" s="417" t="str">
        <f>Bass!$N178</f>
        <v>TVFA + Hac</v>
      </c>
      <c r="AG91" s="417"/>
      <c r="AH91" s="417"/>
      <c r="AI91" s="417"/>
      <c r="AJ91" s="418"/>
      <c r="AK91" s="453"/>
      <c r="AL91" s="417"/>
      <c r="AM91" s="417"/>
      <c r="AN91" s="417"/>
      <c r="AO91" s="417"/>
      <c r="AP91" s="417"/>
      <c r="AQ91" s="417"/>
      <c r="AR91" s="418"/>
    </row>
    <row r="92" spans="1:44" x14ac:dyDescent="0.3">
      <c r="A92" s="110"/>
      <c r="B92" s="433"/>
      <c r="C92" s="110"/>
      <c r="D92" s="110"/>
      <c r="E92" s="408"/>
      <c r="F92" s="110"/>
      <c r="G92" s="408"/>
      <c r="H92" s="408"/>
      <c r="I92" s="438"/>
      <c r="J92" s="408"/>
      <c r="K92" s="438"/>
      <c r="L92" s="438"/>
      <c r="M92" s="438"/>
      <c r="N92" s="438"/>
      <c r="O92" s="438"/>
      <c r="P92" s="441" t="str">
        <f>Bass!$M163</f>
        <v>-</v>
      </c>
      <c r="Q92" s="443" t="str">
        <f>Bass!$M164</f>
        <v>With H2</v>
      </c>
      <c r="R92" s="416"/>
      <c r="S92" s="417">
        <f>Bass!$M165</f>
        <v>3.73</v>
      </c>
      <c r="T92" s="409">
        <f>Bass!$M166</f>
        <v>5</v>
      </c>
      <c r="U92" s="417">
        <f>Bass!$M167</f>
        <v>2.1440000000000001</v>
      </c>
      <c r="V92" s="416">
        <f>Bass!$M168</f>
        <v>0.36595174262734587</v>
      </c>
      <c r="W92" s="416">
        <f>Bass!$M169</f>
        <v>5.4691689008042943E-2</v>
      </c>
      <c r="X92" s="417">
        <f>Bass!$M170</f>
        <v>0.14945054945054956</v>
      </c>
      <c r="Y92" s="417">
        <f>Bass!$M171</f>
        <v>1.365</v>
      </c>
      <c r="Z92" s="417">
        <f>Bass!$M172</f>
        <v>0.20399999999999996</v>
      </c>
      <c r="AA92" s="418">
        <f>Bass!$M173</f>
        <v>66.400000000000006</v>
      </c>
      <c r="AB92" s="418">
        <f>Bass!$M174</f>
        <v>20.5</v>
      </c>
      <c r="AC92" s="418">
        <f>Bass!$M175</f>
        <v>13</v>
      </c>
      <c r="AD92" s="417">
        <f>Bass!$M176</f>
        <v>7.83</v>
      </c>
      <c r="AE92" s="417" t="str">
        <f>Bass!$M177</f>
        <v>n/r</v>
      </c>
      <c r="AF92" s="417" t="str">
        <f>Bass!$M178</f>
        <v>TVFA + Hac</v>
      </c>
      <c r="AG92" s="417">
        <f>Bass!$M149</f>
        <v>0.46825</v>
      </c>
      <c r="AH92" s="417">
        <f>Bass!$M150</f>
        <v>0.20399999999999999</v>
      </c>
      <c r="AI92" s="417">
        <f>Bass!$M151</f>
        <v>0.31900000000000001</v>
      </c>
      <c r="AJ92" s="418">
        <f>Bass!$M152</f>
        <v>2.9008253281017455</v>
      </c>
      <c r="AK92" s="453">
        <f>Bass!$M153</f>
        <v>0.8736007462686568</v>
      </c>
      <c r="AL92" s="417">
        <f>Bass!$M154</f>
        <v>0.43566470902295779</v>
      </c>
      <c r="AM92" s="417">
        <f>Bass!$M155</f>
        <v>0.68126001067805664</v>
      </c>
      <c r="AN92" s="417">
        <f>Bass!$M156</f>
        <v>0.63949843260188077</v>
      </c>
      <c r="AO92" s="417">
        <f>Bass!$M157</f>
        <v>0.2760113651738601</v>
      </c>
      <c r="AP92" s="417">
        <f>Bass!$M158</f>
        <v>0.93950552340873228</v>
      </c>
      <c r="AQ92" s="417">
        <f>Bass!$M159</f>
        <v>9.1813725490196099</v>
      </c>
      <c r="AR92" s="418">
        <f>Bass!$M160</f>
        <v>5.8714733542319753</v>
      </c>
    </row>
    <row r="93" spans="1:44" x14ac:dyDescent="0.3">
      <c r="A93" s="110"/>
      <c r="B93" s="433" t="str">
        <f>Deschamps!B2</f>
        <v>Deschamps et al., 2021</v>
      </c>
      <c r="C93" s="110">
        <v>66</v>
      </c>
      <c r="D93" s="110" t="str">
        <f>Deschamps!$D6</f>
        <v>Ethanol distillery wastewater</v>
      </c>
      <c r="E93" s="408">
        <f>Deschamps!$D7</f>
        <v>37</v>
      </c>
      <c r="F93" s="110" t="str">
        <f>Deschamps!$D8</f>
        <v>AnMBR</v>
      </c>
      <c r="G93" s="408" t="str">
        <f>Deschamps!$D9</f>
        <v>?</v>
      </c>
      <c r="H93" s="408" t="str">
        <f>Deschamps!$D10</f>
        <v>148 calc</v>
      </c>
      <c r="I93" s="438" t="str">
        <f>Deschamps!$D11</f>
        <v>Liquid recirc</v>
      </c>
      <c r="J93" s="408" t="str">
        <f>Deschamps!$D12</f>
        <v>No</v>
      </c>
      <c r="K93" s="438" t="str">
        <f>Deschamps!$D13</f>
        <v>Tubular ceramic</v>
      </c>
      <c r="L93" s="438" t="str">
        <f>Deschamps!$D14</f>
        <v>Continuous</v>
      </c>
      <c r="M93" s="438" t="str">
        <f>Deschamps!$D15</f>
        <v>Sequential</v>
      </c>
      <c r="N93" s="438" t="str">
        <f>Deschamps!$D16</f>
        <v>H2 addition</v>
      </c>
      <c r="O93" s="438" t="str">
        <f>Deschamps!$D17</f>
        <v>1 reactor</v>
      </c>
      <c r="P93" s="441" t="str">
        <f>Deschamps!$D87</f>
        <v>Control period</v>
      </c>
      <c r="Q93" s="438" t="str">
        <f>Deschamps!$D88</f>
        <v>No H2</v>
      </c>
      <c r="R93" s="497">
        <f>C93</f>
        <v>66</v>
      </c>
      <c r="S93" s="408">
        <f>Deschamps!$D89</f>
        <v>3.5</v>
      </c>
      <c r="T93" s="408">
        <f>Deschamps!$D90</f>
        <v>3.5</v>
      </c>
      <c r="U93" s="417"/>
      <c r="V93" s="416">
        <f>Deschamps!$D92</f>
        <v>0.29696893004926112</v>
      </c>
      <c r="W93" s="416"/>
      <c r="X93" s="417"/>
      <c r="Y93" s="417">
        <f>Deschamps!$D95</f>
        <v>1.0393912551724138</v>
      </c>
      <c r="Z93" s="417"/>
      <c r="AA93" s="418">
        <f>Deschamps!$D97</f>
        <v>74.7</v>
      </c>
      <c r="AB93" s="418">
        <f>Deschamps!$D98</f>
        <v>25.3</v>
      </c>
      <c r="AC93" s="418"/>
      <c r="AD93" s="417">
        <f>Deschamps!$D100</f>
        <v>7.3</v>
      </c>
      <c r="AE93" s="408" t="str">
        <f>Deschamps!$D101</f>
        <v>n/r</v>
      </c>
      <c r="AF93" s="408" t="str">
        <f>Deschamps!$D102</f>
        <v>n/r</v>
      </c>
      <c r="AG93" s="417"/>
      <c r="AH93" s="417"/>
      <c r="AI93" s="417"/>
      <c r="AJ93" s="418"/>
      <c r="AK93" s="453"/>
      <c r="AL93" s="417"/>
      <c r="AM93" s="417"/>
      <c r="AN93" s="417"/>
      <c r="AO93" s="417"/>
      <c r="AP93" s="417"/>
      <c r="AQ93" s="417"/>
      <c r="AR93" s="418"/>
    </row>
    <row r="94" spans="1:44" x14ac:dyDescent="0.3">
      <c r="A94" s="110"/>
      <c r="B94" s="433"/>
      <c r="C94" s="110"/>
      <c r="D94" s="110"/>
      <c r="E94" s="408"/>
      <c r="F94" s="110"/>
      <c r="G94" s="408"/>
      <c r="H94" s="408"/>
      <c r="I94" s="438"/>
      <c r="J94" s="408"/>
      <c r="K94" s="438"/>
      <c r="L94" s="438"/>
      <c r="M94" s="438"/>
      <c r="N94" s="438"/>
      <c r="O94" s="438"/>
      <c r="P94" s="441" t="str">
        <f>Deschamps!$G87</f>
        <v>-</v>
      </c>
      <c r="Q94" s="438" t="str">
        <f>Deschamps!$G88</f>
        <v>With H2</v>
      </c>
      <c r="R94" s="408"/>
      <c r="S94" s="408">
        <f>Deschamps!$G89</f>
        <v>4.4000000000000004</v>
      </c>
      <c r="T94" s="408">
        <f>Deschamps!$G90</f>
        <v>4.4000000000000004</v>
      </c>
      <c r="U94" s="417">
        <f>Deschamps!$G91</f>
        <v>1.8768</v>
      </c>
      <c r="V94" s="416">
        <f>Deschamps!$G92</f>
        <v>0.38878882758620698</v>
      </c>
      <c r="W94" s="416">
        <f>Deschamps!$G93</f>
        <v>9.181989753694586E-2</v>
      </c>
      <c r="X94" s="417">
        <f>Deschamps!$G94</f>
        <v>0.30919024936957146</v>
      </c>
      <c r="Y94" s="417">
        <f>Deschamps!$G95</f>
        <v>1.7106708413793108</v>
      </c>
      <c r="Z94" s="417">
        <f>Deschamps!$G96</f>
        <v>0.40400754916256187</v>
      </c>
      <c r="AA94" s="418">
        <f>Deschamps!$G97</f>
        <v>97.9</v>
      </c>
      <c r="AB94" s="418">
        <f>Deschamps!$G98</f>
        <v>1.4</v>
      </c>
      <c r="AC94" s="418">
        <f>Deschamps!$G99</f>
        <v>0.7</v>
      </c>
      <c r="AD94" s="417">
        <f>Deschamps!$G100</f>
        <v>7.9</v>
      </c>
      <c r="AE94" s="408" t="str">
        <f>Deschamps!$G101</f>
        <v>n/r</v>
      </c>
      <c r="AF94" s="408" t="str">
        <f>Deschamps!$G102</f>
        <v>n/r</v>
      </c>
      <c r="AG94" s="417">
        <f>Deschamps!$G73</f>
        <v>0.46614211034482761</v>
      </c>
      <c r="AH94" s="417">
        <f>Deschamps!$G74</f>
        <v>0.40400754916256187</v>
      </c>
      <c r="AI94" s="417">
        <f>Deschamps!$G75</f>
        <v>0.41808817182266012</v>
      </c>
      <c r="AJ94" s="418">
        <f>Deschamps!$G76</f>
        <v>5.331372368783895</v>
      </c>
      <c r="AK94" s="453">
        <f>Deschamps!$G77</f>
        <v>0.99348275862068969</v>
      </c>
      <c r="AL94" s="417">
        <f>Deschamps!$G78</f>
        <v>0.86670468124773836</v>
      </c>
      <c r="AM94" s="417">
        <f>Deschamps!$G79</f>
        <v>0.8969113979283706</v>
      </c>
      <c r="AN94" s="417">
        <f>Deschamps!$G80</f>
        <v>0.96632140393086552</v>
      </c>
      <c r="AO94" s="417">
        <f>Deschamps!$G81</f>
        <v>1.1476527516972419</v>
      </c>
      <c r="AP94" s="417">
        <f>Deschamps!$G82</f>
        <v>1.2558139534883725</v>
      </c>
      <c r="AQ94" s="417">
        <f>Deschamps!$G83</f>
        <v>4.6151821797494623</v>
      </c>
      <c r="AR94" s="418">
        <f>Deschamps!$G84</f>
        <v>4.459749323332213</v>
      </c>
    </row>
    <row r="95" spans="1:44" x14ac:dyDescent="0.3">
      <c r="A95" s="110"/>
      <c r="B95" s="433" t="str">
        <f>Tao!B2</f>
        <v>Tao et al., 2019</v>
      </c>
      <c r="C95" s="110">
        <v>67</v>
      </c>
      <c r="D95" s="110" t="str">
        <f>Tao!$D6</f>
        <v>Synthetic organic feed</v>
      </c>
      <c r="E95" s="408">
        <f>Tao!$D7</f>
        <v>37</v>
      </c>
      <c r="F95" s="110" t="str">
        <f>Tao!$D8</f>
        <v>CSTR</v>
      </c>
      <c r="G95" s="408">
        <f>Tao!$D9</f>
        <v>1</v>
      </c>
      <c r="H95" s="408">
        <f>Tao!$D10</f>
        <v>0.5</v>
      </c>
      <c r="I95" s="438" t="str">
        <f>Tao!$D11</f>
        <v>Impeller</v>
      </c>
      <c r="J95" s="408" t="str">
        <f>Tao!$D12</f>
        <v>Yes</v>
      </c>
      <c r="K95" s="438" t="str">
        <f>Tao!$D13</f>
        <v>Bubble</v>
      </c>
      <c r="L95" s="438" t="str">
        <f>Tao!$D14</f>
        <v>Continuous</v>
      </c>
      <c r="M95" s="438" t="str">
        <f>Tao!$D15</f>
        <v>Parallel</v>
      </c>
      <c r="N95" s="438" t="str">
        <f>Tao!$D16</f>
        <v>OLR and additional CO2</v>
      </c>
      <c r="O95" s="438" t="str">
        <f>Tao!$D17</f>
        <v>Additional data provided by authors</v>
      </c>
      <c r="P95" s="441" t="str">
        <f>Tao!$D103</f>
        <v>Average of duplicates</v>
      </c>
      <c r="Q95" s="438" t="str">
        <f>Tao!$D104</f>
        <v>OLR 2 no H2</v>
      </c>
      <c r="R95" s="497">
        <f>C95</f>
        <v>67</v>
      </c>
      <c r="S95" s="408">
        <f>Tao!$D105</f>
        <v>2</v>
      </c>
      <c r="T95" s="408">
        <f>Tao!$D106</f>
        <v>15</v>
      </c>
      <c r="U95" s="417"/>
      <c r="V95" s="416">
        <f>Tao!$D108</f>
        <v>0.28862321052631579</v>
      </c>
      <c r="W95" s="416"/>
      <c r="X95" s="408"/>
      <c r="Y95" s="417">
        <f>Tao!$D111</f>
        <v>0.57724642105263158</v>
      </c>
      <c r="Z95" s="408"/>
      <c r="AA95" s="418">
        <f>Tao!$D113</f>
        <v>49.868421052631575</v>
      </c>
      <c r="AB95" s="418">
        <f>Tao!$D114</f>
        <v>47.297368421052624</v>
      </c>
      <c r="AC95" s="408"/>
      <c r="AD95" s="417">
        <f>Tao!$D116</f>
        <v>7.1371052631578937</v>
      </c>
      <c r="AE95" s="408">
        <f>Tao!$D117</f>
        <v>5.0688685424090628E-2</v>
      </c>
      <c r="AF95" s="408" t="str">
        <f>Tao!$D118</f>
        <v>total VFA</v>
      </c>
      <c r="AG95" s="417"/>
      <c r="AH95" s="417"/>
      <c r="AI95" s="417"/>
      <c r="AJ95" s="418"/>
      <c r="AK95" s="453"/>
      <c r="AL95" s="417"/>
      <c r="AM95" s="417"/>
      <c r="AN95" s="417"/>
      <c r="AO95" s="417"/>
      <c r="AP95" s="417"/>
      <c r="AQ95" s="417"/>
      <c r="AR95" s="418"/>
    </row>
    <row r="96" spans="1:44" x14ac:dyDescent="0.3">
      <c r="A96" s="110"/>
      <c r="B96" s="433"/>
      <c r="C96" s="110"/>
      <c r="D96" s="110"/>
      <c r="E96" s="408"/>
      <c r="F96" s="110"/>
      <c r="G96" s="408"/>
      <c r="H96" s="408"/>
      <c r="I96" s="438"/>
      <c r="J96" s="408"/>
      <c r="K96" s="438"/>
      <c r="L96" s="438"/>
      <c r="M96" s="438"/>
      <c r="N96" s="438"/>
      <c r="O96" s="438"/>
      <c r="P96" s="441" t="str">
        <f>Tao!$H103</f>
        <v>Average of duplicates</v>
      </c>
      <c r="Q96" s="438" t="str">
        <f>Tao!$H104</f>
        <v>OLR 2 with H2</v>
      </c>
      <c r="R96" s="408"/>
      <c r="S96" s="408">
        <f>Tao!$H105</f>
        <v>2</v>
      </c>
      <c r="T96" s="408">
        <f>Tao!$H106</f>
        <v>15</v>
      </c>
      <c r="U96" s="417">
        <f>Tao!$H107</f>
        <v>2.1</v>
      </c>
      <c r="V96" s="416">
        <f>Tao!$H108</f>
        <v>0.53226879999999999</v>
      </c>
      <c r="W96" s="416">
        <f>Tao!$H109</f>
        <v>0.2436455894736842</v>
      </c>
      <c r="X96" s="417">
        <f>Tao!$H110</f>
        <v>0.84416492017182843</v>
      </c>
      <c r="Y96" s="417">
        <f>Tao!$H111</f>
        <v>1.0645376</v>
      </c>
      <c r="Z96" s="417">
        <f>Tao!$H112</f>
        <v>0.52413653468880117</v>
      </c>
      <c r="AA96" s="418">
        <f>Tao!$H113</f>
        <v>92.465000000000003</v>
      </c>
      <c r="AB96" s="418">
        <f>Tao!$H114</f>
        <v>4.18</v>
      </c>
      <c r="AC96" s="408">
        <f>Tao!$H115</f>
        <v>0.30000000000000004</v>
      </c>
      <c r="AD96" s="417">
        <f>Tao!$H116</f>
        <v>7.8710000000000013</v>
      </c>
      <c r="AE96" s="408">
        <f>Tao!$H117</f>
        <v>3.5088290933992704E-2</v>
      </c>
      <c r="AF96" s="408" t="str">
        <f>Tao!$H118</f>
        <v>total VFA</v>
      </c>
      <c r="AG96" s="417">
        <f>Tao!$H89</f>
        <v>0.52413653468880117</v>
      </c>
      <c r="AH96" s="417">
        <f>Tao!$H90</f>
        <v>0.4872911789473684</v>
      </c>
      <c r="AI96" s="417">
        <f>Tao!$H91</f>
        <v>0.49936168418860177</v>
      </c>
      <c r="AJ96" s="418">
        <f>Tao!$H92</f>
        <v>3.8357181342822488</v>
      </c>
      <c r="AK96" s="452">
        <f>Tao!$H93</f>
        <v>0.99835530416914509</v>
      </c>
      <c r="AL96" s="417">
        <f>Tao!$H94</f>
        <v>0.92970275242631351</v>
      </c>
      <c r="AM96" s="417">
        <f>Tao!$H95</f>
        <v>0.95273206719903791</v>
      </c>
      <c r="AN96" s="417">
        <f>Tao!$H96</f>
        <v>0.97582813094511567</v>
      </c>
      <c r="AO96" s="417">
        <f>Tao!$H97</f>
        <v>0.89005314845914152</v>
      </c>
      <c r="AP96" s="417">
        <f>Tao!$H98</f>
        <v>0.9892681045279601</v>
      </c>
      <c r="AQ96" s="417">
        <f>Tao!$H99</f>
        <v>4</v>
      </c>
      <c r="AR96" s="418">
        <f>Tao!$H100</f>
        <v>4.1984521542973834</v>
      </c>
    </row>
    <row r="97" spans="1:44" x14ac:dyDescent="0.3">
      <c r="A97" s="110"/>
      <c r="B97" s="433"/>
      <c r="C97" s="110"/>
      <c r="D97" s="110"/>
      <c r="E97" s="408"/>
      <c r="F97" s="110"/>
      <c r="G97" s="408"/>
      <c r="H97" s="408"/>
      <c r="I97" s="438"/>
      <c r="J97" s="408"/>
      <c r="K97" s="438"/>
      <c r="L97" s="438"/>
      <c r="M97" s="438"/>
      <c r="N97" s="438"/>
      <c r="O97" s="438"/>
      <c r="P97" s="441" t="str">
        <f>Tao!$L103</f>
        <v>Average of duplicates</v>
      </c>
      <c r="Q97" s="438" t="str">
        <f>Tao!$L104</f>
        <v>OLR 2 with H2+CO2</v>
      </c>
      <c r="R97" s="408"/>
      <c r="S97" s="408">
        <f>Tao!$L105</f>
        <v>2</v>
      </c>
      <c r="T97" s="408">
        <f>Tao!$L106</f>
        <v>15</v>
      </c>
      <c r="U97" s="417">
        <f>Tao!$L107</f>
        <v>6.2</v>
      </c>
      <c r="V97" s="416">
        <f>Tao!$L108</f>
        <v>0.96287266666666671</v>
      </c>
      <c r="W97" s="416">
        <f>Tao!$L109</f>
        <v>0.67424945614035092</v>
      </c>
      <c r="X97" s="417">
        <f>Tao!$L110</f>
        <v>2.3360888229010777</v>
      </c>
      <c r="Y97" s="417">
        <f>Tao!$L111</f>
        <v>1.9257453333333334</v>
      </c>
      <c r="Z97" s="417">
        <f>Tao!$L112</f>
        <v>1.55</v>
      </c>
      <c r="AA97" s="418">
        <f>Tao!$L113</f>
        <v>89.108333333333334</v>
      </c>
      <c r="AB97" s="418">
        <f>Tao!$L114</f>
        <v>4.3500000000000005</v>
      </c>
      <c r="AC97" s="408">
        <f>Tao!$L115</f>
        <v>0</v>
      </c>
      <c r="AD97" s="417">
        <f>Tao!$L116</f>
        <v>7.8425000000000011</v>
      </c>
      <c r="AE97" s="408" t="str">
        <f>Tao!$L117</f>
        <v>n/r</v>
      </c>
      <c r="AF97" s="408" t="str">
        <f>Tao!$L118</f>
        <v>total VFA</v>
      </c>
      <c r="AG97" s="417">
        <f>Tao!$L89</f>
        <v>1.55</v>
      </c>
      <c r="AH97" s="417">
        <f>Tao!$L90</f>
        <v>1.3484989122807018</v>
      </c>
      <c r="AI97" s="417">
        <f>Tao!$L91</f>
        <v>1.5534764068591005</v>
      </c>
      <c r="AJ97" s="418">
        <f>Tao!$L92</f>
        <v>3.763310851271533</v>
      </c>
      <c r="AK97" s="452">
        <f>Tao!$L93</f>
        <v>1</v>
      </c>
      <c r="AL97" s="417">
        <f>Tao!$L94</f>
        <v>0.86999929824561406</v>
      </c>
      <c r="AM97" s="417">
        <f>Tao!$L95</f>
        <v>1.0022428431349035</v>
      </c>
      <c r="AN97" s="417">
        <f>Tao!$L96</f>
        <v>0.86805239289547187</v>
      </c>
      <c r="AO97" s="417">
        <f>Tao!$L97</f>
        <v>0.81851944992158454</v>
      </c>
      <c r="AP97" s="417">
        <f>Tao!$L98</f>
        <v>1.7957651963478625</v>
      </c>
      <c r="AQ97" s="417">
        <f>Tao!$L99</f>
        <v>4.5977048579994824</v>
      </c>
      <c r="AR97" s="418">
        <f>Tao!$L100</f>
        <v>3.9910487038135862</v>
      </c>
    </row>
    <row r="98" spans="1:44" x14ac:dyDescent="0.3">
      <c r="A98" s="110"/>
      <c r="B98" s="433"/>
      <c r="C98" s="110"/>
      <c r="D98" s="110"/>
      <c r="E98" s="408"/>
      <c r="F98" s="110"/>
      <c r="G98" s="408"/>
      <c r="H98" s="408"/>
      <c r="I98" s="438"/>
      <c r="J98" s="408"/>
      <c r="K98" s="438"/>
      <c r="L98" s="438"/>
      <c r="M98" s="438"/>
      <c r="N98" s="438"/>
      <c r="O98" s="438"/>
      <c r="P98" s="441" t="str">
        <f>Tao!$E103</f>
        <v>Average of duplicates</v>
      </c>
      <c r="Q98" s="438" t="str">
        <f>Tao!$E104</f>
        <v>OLR 3 no H2</v>
      </c>
      <c r="R98" s="408"/>
      <c r="S98" s="408">
        <f>Tao!$E105</f>
        <v>3</v>
      </c>
      <c r="T98" s="408">
        <f>Tao!$E106</f>
        <v>15</v>
      </c>
      <c r="U98" s="417"/>
      <c r="V98" s="416">
        <f>Tao!$E108</f>
        <v>0.2880609833333333</v>
      </c>
      <c r="W98" s="416"/>
      <c r="X98" s="408"/>
      <c r="Y98" s="417">
        <f>Tao!$E111</f>
        <v>0.86418294999999989</v>
      </c>
      <c r="Z98" s="408"/>
      <c r="AA98" s="418">
        <f>Tao!$E113</f>
        <v>50.057499999999997</v>
      </c>
      <c r="AB98" s="418">
        <f>Tao!$E114</f>
        <v>47.347499999999997</v>
      </c>
      <c r="AC98" s="408"/>
      <c r="AD98" s="417">
        <f>Tao!$E116</f>
        <v>7.346000000000001</v>
      </c>
      <c r="AE98" s="408">
        <f>Tao!$E117</f>
        <v>7.4380428646482005E-2</v>
      </c>
      <c r="AF98" s="408" t="str">
        <f>Tao!$E118</f>
        <v>total VFA</v>
      </c>
      <c r="AG98" s="417"/>
      <c r="AH98" s="417"/>
      <c r="AI98" s="417"/>
      <c r="AJ98" s="418"/>
      <c r="AK98" s="452"/>
      <c r="AL98" s="417"/>
      <c r="AM98" s="417"/>
      <c r="AN98" s="417"/>
      <c r="AO98" s="417"/>
      <c r="AP98" s="417"/>
      <c r="AQ98" s="417"/>
      <c r="AR98" s="418"/>
    </row>
    <row r="99" spans="1:44" x14ac:dyDescent="0.3">
      <c r="A99" s="110"/>
      <c r="B99" s="433"/>
      <c r="C99" s="110"/>
      <c r="D99" s="110"/>
      <c r="E99" s="408"/>
      <c r="F99" s="110"/>
      <c r="G99" s="408"/>
      <c r="H99" s="408"/>
      <c r="I99" s="438"/>
      <c r="J99" s="408"/>
      <c r="K99" s="438"/>
      <c r="L99" s="438"/>
      <c r="M99" s="438"/>
      <c r="N99" s="438"/>
      <c r="O99" s="438"/>
      <c r="P99" s="441" t="str">
        <f>Tao!$I103</f>
        <v>Average of duplicates</v>
      </c>
      <c r="Q99" s="438" t="str">
        <f>Tao!$I104</f>
        <v>OLR 3 with H2</v>
      </c>
      <c r="R99" s="408"/>
      <c r="S99" s="408">
        <f>Tao!$I105</f>
        <v>3</v>
      </c>
      <c r="T99" s="408">
        <f>Tao!$I106</f>
        <v>15</v>
      </c>
      <c r="U99" s="417">
        <f>Tao!$I107</f>
        <v>2.9</v>
      </c>
      <c r="V99" s="416">
        <f>Tao!$I108</f>
        <v>0.49322864999999994</v>
      </c>
      <c r="W99" s="416">
        <f>Tao!$I109</f>
        <v>0.20516766666666664</v>
      </c>
      <c r="X99" s="417">
        <f>Tao!$I110</f>
        <v>0.71223691696301117</v>
      </c>
      <c r="Y99" s="417">
        <f>Tao!$I111</f>
        <v>1.4796859499999999</v>
      </c>
      <c r="Z99" s="417">
        <f>Tao!$I112</f>
        <v>0.72119185205076797</v>
      </c>
      <c r="AA99" s="418">
        <f>Tao!$I113</f>
        <v>92.282499999999985</v>
      </c>
      <c r="AB99" s="418">
        <f>Tao!$I114</f>
        <v>4.3249999999999993</v>
      </c>
      <c r="AC99" s="408">
        <f>Tao!$I115</f>
        <v>0.95000000000000007</v>
      </c>
      <c r="AD99" s="417">
        <f>Tao!$I116</f>
        <v>7.9635000000000007</v>
      </c>
      <c r="AE99" s="408">
        <f>Tao!$I117</f>
        <v>4.5332547500742996E-2</v>
      </c>
      <c r="AF99" s="408" t="str">
        <f>Tao!$I118</f>
        <v>total VFA</v>
      </c>
      <c r="AG99" s="417">
        <f>Tao!$I89</f>
        <v>0.72119185205076797</v>
      </c>
      <c r="AH99" s="417">
        <f>Tao!$I90</f>
        <v>0.61550300000000002</v>
      </c>
      <c r="AI99" s="417">
        <f>Tao!$I91</f>
        <v>0.74804965831631698</v>
      </c>
      <c r="AJ99" s="418">
        <f>Tao!$I92</f>
        <v>3.5478431187505799</v>
      </c>
      <c r="AK99" s="452">
        <f>Tao!$I93</f>
        <v>0.99474738213899028</v>
      </c>
      <c r="AL99" s="417">
        <f>Tao!$I94</f>
        <v>0.85345251509673459</v>
      </c>
      <c r="AM99" s="417">
        <f>Tao!$I95</f>
        <v>1.03724086203855</v>
      </c>
      <c r="AN99" s="417">
        <f>Tao!$I96</f>
        <v>0.82281034842707079</v>
      </c>
      <c r="AO99" s="417">
        <f>Tao!$I97</f>
        <v>0.75300278728287529</v>
      </c>
      <c r="AP99" s="417">
        <f>Tao!$I98</f>
        <v>0.92117735668997758</v>
      </c>
      <c r="AQ99" s="417">
        <f>Tao!$I99</f>
        <v>4</v>
      </c>
      <c r="AR99" s="418">
        <f>Tao!$I100</f>
        <v>3.8563849019007663</v>
      </c>
    </row>
    <row r="100" spans="1:44" x14ac:dyDescent="0.3">
      <c r="A100" s="110"/>
      <c r="B100" s="433"/>
      <c r="C100" s="110"/>
      <c r="D100" s="110"/>
      <c r="E100" s="408"/>
      <c r="F100" s="110"/>
      <c r="G100" s="408"/>
      <c r="H100" s="408"/>
      <c r="I100" s="438"/>
      <c r="J100" s="408"/>
      <c r="K100" s="438"/>
      <c r="L100" s="438"/>
      <c r="M100" s="438"/>
      <c r="N100" s="438"/>
      <c r="O100" s="438"/>
      <c r="P100" s="441" t="str">
        <f>Tao!$M103</f>
        <v>Average of duplicates</v>
      </c>
      <c r="Q100" s="438" t="str">
        <f>Tao!$M104</f>
        <v>OLR 3 with H2+CO2</v>
      </c>
      <c r="R100" s="408"/>
      <c r="S100" s="408">
        <f>Tao!$M105</f>
        <v>3</v>
      </c>
      <c r="T100" s="408">
        <f>Tao!$M106</f>
        <v>15</v>
      </c>
      <c r="U100" s="417">
        <f>Tao!$M107</f>
        <v>9.1199999999999992</v>
      </c>
      <c r="V100" s="416">
        <f>Tao!$M108</f>
        <v>0.91828977777777765</v>
      </c>
      <c r="W100" s="416">
        <f>Tao!$M109</f>
        <v>0.63022879444444435</v>
      </c>
      <c r="X100" s="417">
        <f>Tao!$M110</f>
        <v>2.1878311569712561</v>
      </c>
      <c r="Y100" s="417">
        <f>Tao!$M111</f>
        <v>2.7548693333333327</v>
      </c>
      <c r="Z100" s="417">
        <f>Tao!$M112</f>
        <v>2.2799999999999998</v>
      </c>
      <c r="AA100" s="418">
        <f>Tao!$M113</f>
        <v>88.033333333333331</v>
      </c>
      <c r="AB100" s="418">
        <f>Tao!$M114</f>
        <v>4.8833333333333329</v>
      </c>
      <c r="AC100" s="408">
        <f>Tao!$M115</f>
        <v>0</v>
      </c>
      <c r="AD100" s="417">
        <f>Tao!$M116</f>
        <v>7.753333333333333</v>
      </c>
      <c r="AE100" s="408" t="str">
        <f>Tao!$M117</f>
        <v>n/r</v>
      </c>
      <c r="AF100" s="408" t="str">
        <f>Tao!$M118</f>
        <v>total VFA</v>
      </c>
      <c r="AG100" s="417">
        <f>Tao!$M89</f>
        <v>2.2799999999999998</v>
      </c>
      <c r="AH100" s="417">
        <f>Tao!$M90</f>
        <v>1.8906863833333327</v>
      </c>
      <c r="AI100" s="417">
        <f>Tao!$M91</f>
        <v>2.3045815440175774</v>
      </c>
      <c r="AJ100" s="418">
        <f>Tao!$M92</f>
        <v>3.7112424863916584</v>
      </c>
      <c r="AK100" s="452">
        <f>Tao!$M93</f>
        <v>1</v>
      </c>
      <c r="AL100" s="417">
        <f>Tao!$M94</f>
        <v>0.82924841374268987</v>
      </c>
      <c r="AM100" s="417">
        <f>Tao!$M95</f>
        <v>1.0107813789550779</v>
      </c>
      <c r="AN100" s="417">
        <f>Tao!$M96</f>
        <v>0.82040333449746317</v>
      </c>
      <c r="AO100" s="417">
        <f>Tao!$M97</f>
        <v>0.76938548621368974</v>
      </c>
      <c r="AP100" s="417">
        <f>Tao!$M98</f>
        <v>1.7291381437881257</v>
      </c>
      <c r="AQ100" s="417">
        <f>Tao!$M99</f>
        <v>4.8236450425591926</v>
      </c>
      <c r="AR100" s="418">
        <f>Tao!$M100</f>
        <v>3.957334477347719</v>
      </c>
    </row>
    <row r="101" spans="1:44" x14ac:dyDescent="0.3">
      <c r="A101" s="110"/>
      <c r="B101" s="433"/>
      <c r="C101" s="110"/>
      <c r="D101" s="110"/>
      <c r="E101" s="408"/>
      <c r="F101" s="110"/>
      <c r="G101" s="408"/>
      <c r="H101" s="408"/>
      <c r="I101" s="438"/>
      <c r="J101" s="408"/>
      <c r="K101" s="438"/>
      <c r="L101" s="438"/>
      <c r="M101" s="438"/>
      <c r="N101" s="438"/>
      <c r="O101" s="438"/>
      <c r="P101" s="441" t="str">
        <f>Tao!$F103</f>
        <v>Average of duplicates</v>
      </c>
      <c r="Q101" s="438" t="str">
        <f>Tao!$F104</f>
        <v>OLR 4 no H2</v>
      </c>
      <c r="R101" s="408"/>
      <c r="S101" s="408">
        <f>Tao!$F105</f>
        <v>4</v>
      </c>
      <c r="T101" s="408">
        <f>Tao!$F106</f>
        <v>15</v>
      </c>
      <c r="U101" s="417"/>
      <c r="V101" s="416">
        <f>Tao!$F108</f>
        <v>0.29047977499999994</v>
      </c>
      <c r="W101" s="416"/>
      <c r="X101" s="408"/>
      <c r="Y101" s="417">
        <f>Tao!$F111</f>
        <v>1.1619190999999998</v>
      </c>
      <c r="Z101" s="408"/>
      <c r="AA101" s="418">
        <f>Tao!$F113</f>
        <v>49.86249999999999</v>
      </c>
      <c r="AB101" s="418">
        <f>Tao!$F114</f>
        <v>47.6875</v>
      </c>
      <c r="AC101" s="408"/>
      <c r="AD101" s="417">
        <f>Tao!$F116</f>
        <v>7.3910000000000018</v>
      </c>
      <c r="AE101" s="408">
        <f>Tao!$F117</f>
        <v>8.5302835631161658E-2</v>
      </c>
      <c r="AF101" s="408" t="str">
        <f>Tao!$F118</f>
        <v>total VFA</v>
      </c>
      <c r="AG101" s="417"/>
      <c r="AH101" s="417"/>
      <c r="AI101" s="417"/>
      <c r="AJ101" s="418"/>
      <c r="AK101" s="452"/>
      <c r="AL101" s="417"/>
      <c r="AM101" s="417"/>
      <c r="AN101" s="417"/>
      <c r="AO101" s="417"/>
      <c r="AP101" s="417"/>
      <c r="AQ101" s="417"/>
      <c r="AR101" s="418"/>
    </row>
    <row r="102" spans="1:44" x14ac:dyDescent="0.3">
      <c r="A102" s="110"/>
      <c r="B102" s="433"/>
      <c r="C102" s="110"/>
      <c r="D102" s="110"/>
      <c r="E102" s="408"/>
      <c r="F102" s="110"/>
      <c r="G102" s="408"/>
      <c r="H102" s="408"/>
      <c r="I102" s="438"/>
      <c r="J102" s="408"/>
      <c r="K102" s="438"/>
      <c r="L102" s="438"/>
      <c r="M102" s="438"/>
      <c r="N102" s="438"/>
      <c r="O102" s="438"/>
      <c r="P102" s="441" t="str">
        <f>Tao!$J103</f>
        <v>Average of duplicates</v>
      </c>
      <c r="Q102" s="438" t="str">
        <f>Tao!$J104</f>
        <v>OLR 4 with H2</v>
      </c>
      <c r="R102" s="408"/>
      <c r="S102" s="408">
        <f>Tao!$J105</f>
        <v>4</v>
      </c>
      <c r="T102" s="408">
        <f>Tao!$J106</f>
        <v>15</v>
      </c>
      <c r="U102" s="417">
        <f>Tao!$J107</f>
        <v>4.43</v>
      </c>
      <c r="V102" s="416">
        <f>Tao!$J108</f>
        <v>0.56214045000000001</v>
      </c>
      <c r="W102" s="416">
        <f>Tao!$J109</f>
        <v>0.27166067500000007</v>
      </c>
      <c r="X102" s="417">
        <f>Tao!$J110</f>
        <v>0.93521373389937434</v>
      </c>
      <c r="Y102" s="417">
        <f>Tao!$J111</f>
        <v>2.2485618000000001</v>
      </c>
      <c r="Z102" s="417">
        <f>Tao!$J112</f>
        <v>1.1074999999999999</v>
      </c>
      <c r="AA102" s="418">
        <f>Tao!$J113</f>
        <v>91.385000000000005</v>
      </c>
      <c r="AB102" s="418">
        <f>Tao!$J114</f>
        <v>5.5424999999999995</v>
      </c>
      <c r="AC102" s="408">
        <f>Tao!$J115</f>
        <v>0</v>
      </c>
      <c r="AD102" s="417">
        <f>Tao!$J116</f>
        <v>8.1600000000000019</v>
      </c>
      <c r="AE102" s="408">
        <f>Tao!$J117</f>
        <v>6.6514990359891182E-2</v>
      </c>
      <c r="AF102" s="408" t="str">
        <f>Tao!$J118</f>
        <v>total VFA</v>
      </c>
      <c r="AG102" s="417">
        <f>Tao!$J89</f>
        <v>1.1074999999999999</v>
      </c>
      <c r="AH102" s="417">
        <f>Tao!$J90</f>
        <v>1.0866427000000003</v>
      </c>
      <c r="AI102" s="417">
        <f>Tao!$J91</f>
        <v>0.97486097426988616</v>
      </c>
      <c r="AJ102" s="418">
        <f>Tao!$J92</f>
        <v>3.9865510459442497</v>
      </c>
      <c r="AK102" s="452">
        <f>Tao!$J93</f>
        <v>1</v>
      </c>
      <c r="AL102" s="417">
        <f>Tao!$J94</f>
        <v>0.98116722347629826</v>
      </c>
      <c r="AM102" s="417">
        <f>Tao!$J95</f>
        <v>0.88023564268161281</v>
      </c>
      <c r="AN102" s="417">
        <f>Tao!$J96</f>
        <v>1.1146642738610315</v>
      </c>
      <c r="AO102" s="417">
        <f>Tao!$J97</f>
        <v>0.97786830524891311</v>
      </c>
      <c r="AP102" s="417">
        <f>Tao!$J98</f>
        <v>1.0491746972588112</v>
      </c>
      <c r="AQ102" s="417">
        <f>Tao!$J99</f>
        <v>4</v>
      </c>
      <c r="AR102" s="418">
        <f>Tao!$J100</f>
        <v>4.544237708682318</v>
      </c>
    </row>
    <row r="103" spans="1:44" x14ac:dyDescent="0.3">
      <c r="A103" s="110"/>
      <c r="B103" s="433"/>
      <c r="C103" s="110"/>
      <c r="D103" s="110"/>
      <c r="E103" s="408"/>
      <c r="F103" s="110"/>
      <c r="G103" s="408"/>
      <c r="H103" s="408"/>
      <c r="I103" s="438"/>
      <c r="J103" s="408"/>
      <c r="K103" s="438"/>
      <c r="L103" s="438"/>
      <c r="M103" s="438"/>
      <c r="N103" s="438"/>
      <c r="O103" s="438"/>
      <c r="P103" s="441" t="str">
        <f>Tao!$G103</f>
        <v>Average of duplicates</v>
      </c>
      <c r="Q103" s="438" t="str">
        <f>Tao!$G104</f>
        <v>OLR 5 no H2</v>
      </c>
      <c r="R103" s="408"/>
      <c r="S103" s="408">
        <f>Tao!$G105</f>
        <v>5</v>
      </c>
      <c r="T103" s="408">
        <f>Tao!$G106</f>
        <v>15</v>
      </c>
      <c r="U103" s="417"/>
      <c r="V103" s="416">
        <f>Tao!$G108</f>
        <v>0.27758357</v>
      </c>
      <c r="W103" s="416"/>
      <c r="X103" s="408"/>
      <c r="Y103" s="417">
        <f>Tao!$G111</f>
        <v>1.38791785</v>
      </c>
      <c r="Z103" s="408"/>
      <c r="AA103" s="418">
        <f>Tao!$G113</f>
        <v>48.625</v>
      </c>
      <c r="AB103" s="418">
        <f>Tao!$G114</f>
        <v>48.877500000000005</v>
      </c>
      <c r="AC103" s="408"/>
      <c r="AD103" s="417">
        <f>Tao!$G116</f>
        <v>7.3760000000000012</v>
      </c>
      <c r="AE103" s="408">
        <f>Tao!$G117</f>
        <v>7.8384253819022767E-2</v>
      </c>
      <c r="AF103" s="408" t="str">
        <f>Tao!$G118</f>
        <v>total VFA</v>
      </c>
      <c r="AG103" s="417"/>
      <c r="AH103" s="417"/>
      <c r="AI103" s="417"/>
      <c r="AJ103" s="418"/>
      <c r="AK103" s="452"/>
      <c r="AL103" s="417"/>
      <c r="AM103" s="417"/>
      <c r="AN103" s="417"/>
      <c r="AO103" s="417"/>
      <c r="AP103" s="417"/>
      <c r="AQ103" s="417"/>
      <c r="AR103" s="418"/>
    </row>
    <row r="104" spans="1:44" x14ac:dyDescent="0.3">
      <c r="A104" s="110"/>
      <c r="B104" s="433"/>
      <c r="C104" s="110"/>
      <c r="D104" s="110"/>
      <c r="E104" s="408"/>
      <c r="F104" s="110"/>
      <c r="G104" s="408"/>
      <c r="H104" s="408"/>
      <c r="I104" s="438"/>
      <c r="J104" s="408"/>
      <c r="K104" s="438"/>
      <c r="L104" s="438"/>
      <c r="M104" s="438"/>
      <c r="N104" s="438"/>
      <c r="O104" s="438"/>
      <c r="P104" s="441" t="str">
        <f>Tao!$K103</f>
        <v>Average of duplicates</v>
      </c>
      <c r="Q104" s="438" t="str">
        <f>Tao!$K104</f>
        <v>OLR 5 with H2</v>
      </c>
      <c r="R104" s="408"/>
      <c r="S104" s="408">
        <f>Tao!$K105</f>
        <v>5</v>
      </c>
      <c r="T104" s="408">
        <f>Tao!$K106</f>
        <v>15</v>
      </c>
      <c r="U104" s="417">
        <f>Tao!$K107</f>
        <v>4.2</v>
      </c>
      <c r="V104" s="416">
        <f>Tao!$K108</f>
        <v>0.45132210999999994</v>
      </c>
      <c r="W104" s="416">
        <f>Tao!$K109</f>
        <v>0.17373853999999994</v>
      </c>
      <c r="X104" s="417">
        <f>Tao!$K110</f>
        <v>0.6258963381730408</v>
      </c>
      <c r="Y104" s="417">
        <f>Tao!$K111</f>
        <v>2.2566105499999995</v>
      </c>
      <c r="Z104" s="417">
        <f>Tao!$K112</f>
        <v>0.96658138716591468</v>
      </c>
      <c r="AA104" s="418">
        <f>Tao!$K113</f>
        <v>72.024999999999977</v>
      </c>
      <c r="AB104" s="418">
        <f>Tao!$K114</f>
        <v>15.269999999999998</v>
      </c>
      <c r="AC104" s="408">
        <f>Tao!$K115</f>
        <v>10.65</v>
      </c>
      <c r="AD104" s="417">
        <f>Tao!$K116</f>
        <v>7.7720000000000002</v>
      </c>
      <c r="AE104" s="408">
        <f>Tao!$K117</f>
        <v>8.9249488373238942E-2</v>
      </c>
      <c r="AF104" s="408" t="str">
        <f>Tao!$K118</f>
        <v>total VFA</v>
      </c>
      <c r="AG104" s="417">
        <f>Tao!$K89</f>
        <v>0.96658138716591468</v>
      </c>
      <c r="AH104" s="417">
        <f>Tao!$K90</f>
        <v>0.86869269999999954</v>
      </c>
      <c r="AI104" s="417">
        <f>Tao!$K91</f>
        <v>0.91670166441173151</v>
      </c>
      <c r="AJ104" s="418">
        <f>Tao!$K92</f>
        <v>3.0104828611487422</v>
      </c>
      <c r="AK104" s="452">
        <f>Tao!$K93</f>
        <v>0.92055370206277587</v>
      </c>
      <c r="AL104" s="417">
        <f>Tao!$K94</f>
        <v>0.89872690653300114</v>
      </c>
      <c r="AM104" s="417">
        <f>Tao!$K95</f>
        <v>0.94839573426875712</v>
      </c>
      <c r="AN104" s="417">
        <f>Tao!$K96</f>
        <v>0.94762858378517245</v>
      </c>
      <c r="AO104" s="417">
        <f>Tao!$K97</f>
        <v>0.62266297260833914</v>
      </c>
      <c r="AP104" s="417">
        <f>Tao!$K98</f>
        <v>0.98274947011749059</v>
      </c>
      <c r="AQ104" s="417">
        <f>Tao!$K99</f>
        <v>4</v>
      </c>
      <c r="AR104" s="418">
        <f>Tao!$K100</f>
        <v>4.2176486623320013</v>
      </c>
    </row>
    <row r="105" spans="1:44" s="110" customFormat="1" x14ac:dyDescent="0.3">
      <c r="B105" s="433" t="str">
        <f>Tao!B122</f>
        <v>Tao et al., 2020</v>
      </c>
      <c r="C105" s="110">
        <v>12</v>
      </c>
      <c r="D105" s="110" t="str">
        <f>Tao!$D128</f>
        <v>Synthetic organic feed</v>
      </c>
      <c r="E105" s="408">
        <f>Tao!$D129</f>
        <v>37</v>
      </c>
      <c r="F105" s="110" t="str">
        <f>Tao!$D130</f>
        <v>CSTR</v>
      </c>
      <c r="G105" s="408">
        <f>Tao!$D131</f>
        <v>1</v>
      </c>
      <c r="H105" s="408">
        <f>Tao!$D132</f>
        <v>0.5</v>
      </c>
      <c r="I105" s="438" t="str">
        <f>Tao!$D133</f>
        <v>Impeller</v>
      </c>
      <c r="J105" s="408" t="str">
        <f>Tao!$D134</f>
        <v>Yes</v>
      </c>
      <c r="K105" s="438" t="str">
        <f>Tao!$D135</f>
        <v>Bubble</v>
      </c>
      <c r="L105" s="438" t="str">
        <f>Tao!$D136</f>
        <v>Continuous</v>
      </c>
      <c r="M105" s="438" t="str">
        <f>Tao!$D137</f>
        <v>Parallel</v>
      </c>
      <c r="N105" s="438" t="str">
        <f>Tao!$D138</f>
        <v>TAN concentration</v>
      </c>
      <c r="O105" s="438" t="str">
        <f>Tao!$D139</f>
        <v>Additional data provided by authors</v>
      </c>
      <c r="P105" s="441" t="str">
        <f>Tao!$D200</f>
        <v>TAN 2 g N/L</v>
      </c>
      <c r="Q105" s="438" t="str">
        <f>Tao!$D201</f>
        <v>No H2</v>
      </c>
      <c r="R105" s="497">
        <f>C105</f>
        <v>12</v>
      </c>
      <c r="S105" s="408">
        <f>Tao!$D202</f>
        <v>3</v>
      </c>
      <c r="T105" s="408">
        <f>Tao!$D203</f>
        <v>15</v>
      </c>
      <c r="U105" s="417"/>
      <c r="V105" s="416">
        <f>Tao!$D205</f>
        <v>0.29522933333333334</v>
      </c>
      <c r="W105" s="416"/>
      <c r="X105" s="417"/>
      <c r="Y105" s="417">
        <f>Tao!$D208</f>
        <v>0.88568800000000003</v>
      </c>
      <c r="Z105" s="417"/>
      <c r="AA105" s="418">
        <f>Tao!$D210</f>
        <v>54.344999999999999</v>
      </c>
      <c r="AB105" s="418">
        <f>Tao!$D211</f>
        <v>45.295000000000002</v>
      </c>
      <c r="AC105" s="418">
        <f>Tao!$D212</f>
        <v>0</v>
      </c>
      <c r="AD105" s="417">
        <f>Tao!$D213</f>
        <v>7.6660000000000004</v>
      </c>
      <c r="AE105" s="408">
        <f>Tao!$D214</f>
        <v>0.14278880821321224</v>
      </c>
      <c r="AF105" s="408" t="str">
        <f>Tao!$D215</f>
        <v>n/r</v>
      </c>
      <c r="AG105" s="417"/>
      <c r="AH105" s="417"/>
      <c r="AI105" s="417"/>
      <c r="AJ105" s="418"/>
      <c r="AK105" s="452"/>
      <c r="AL105" s="417"/>
      <c r="AM105" s="417"/>
      <c r="AN105" s="417"/>
      <c r="AO105" s="417"/>
      <c r="AP105" s="417"/>
      <c r="AQ105" s="417"/>
      <c r="AR105" s="418"/>
    </row>
    <row r="106" spans="1:44" x14ac:dyDescent="0.3">
      <c r="A106" s="110"/>
      <c r="B106" s="433"/>
      <c r="C106" s="110"/>
      <c r="D106" s="110"/>
      <c r="E106" s="408"/>
      <c r="F106" s="110"/>
      <c r="G106" s="408"/>
      <c r="H106" s="408"/>
      <c r="I106" s="438"/>
      <c r="J106" s="408"/>
      <c r="K106" s="438"/>
      <c r="L106" s="438"/>
      <c r="M106" s="438"/>
      <c r="N106" s="438"/>
      <c r="O106" s="438"/>
      <c r="P106" s="441" t="str">
        <f>Tao!$E200</f>
        <v>TAN 2 g N/L</v>
      </c>
      <c r="Q106" s="438" t="str">
        <f>Tao!$E201</f>
        <v>with H2</v>
      </c>
      <c r="R106" s="408"/>
      <c r="S106" s="408">
        <f>Tao!$E202</f>
        <v>3</v>
      </c>
      <c r="T106" s="408">
        <f>Tao!$E203</f>
        <v>15</v>
      </c>
      <c r="U106" s="417">
        <f>Tao!$E204</f>
        <v>2.4</v>
      </c>
      <c r="V106" s="416">
        <f>Tao!$E205</f>
        <v>0.46169355555555558</v>
      </c>
      <c r="W106" s="416">
        <f>Tao!$E206</f>
        <v>0.16646422222222224</v>
      </c>
      <c r="X106" s="417">
        <f>Tao!$E207</f>
        <v>0.5638471636362542</v>
      </c>
      <c r="Y106" s="417">
        <f>Tao!$E208</f>
        <v>1.3850806666666666</v>
      </c>
      <c r="Z106" s="417">
        <f>Tao!$E209</f>
        <v>0.4993926666666666</v>
      </c>
      <c r="AA106" s="418">
        <f>Tao!$E210</f>
        <v>88.549999999999983</v>
      </c>
      <c r="AB106" s="418">
        <f>Tao!$E211</f>
        <v>10.727777777777778</v>
      </c>
      <c r="AC106" s="418">
        <f>Tao!$E212</f>
        <v>0</v>
      </c>
      <c r="AD106" s="417">
        <f>Tao!$E213</f>
        <v>8.2277777777777779</v>
      </c>
      <c r="AE106" s="408">
        <f>Tao!$E214</f>
        <v>0.14278880821321224</v>
      </c>
      <c r="AF106" s="408" t="str">
        <f>Tao!$E215</f>
        <v>n/r</v>
      </c>
      <c r="AG106" s="417">
        <f>Tao!$E185</f>
        <v>0.6</v>
      </c>
      <c r="AH106" s="417">
        <f>Tao!$E186</f>
        <v>0.4993926666666666</v>
      </c>
      <c r="AI106" s="417">
        <f>Tao!$E187</f>
        <v>0.57011685853932592</v>
      </c>
      <c r="AJ106" s="418">
        <f>Tao!$E188</f>
        <v>3.2513399822625524</v>
      </c>
      <c r="AK106" s="453">
        <f>Tao!$E189</f>
        <v>1</v>
      </c>
      <c r="AL106" s="417">
        <f>Tao!$E190</f>
        <v>0.83232111111111107</v>
      </c>
      <c r="AM106" s="417">
        <f>Tao!$E191</f>
        <v>0.95019476423220994</v>
      </c>
      <c r="AN106" s="417">
        <f>Tao!$E192</f>
        <v>0.8759479029371996</v>
      </c>
      <c r="AO106" s="417">
        <f>Tao!$E193</f>
        <v>0.67653972665918682</v>
      </c>
      <c r="AP106" s="417">
        <f>Tao!$E194</f>
        <v>0.95644646909211661</v>
      </c>
      <c r="AQ106" s="417">
        <f>Tao!$E195</f>
        <v>4.8058374906052554</v>
      </c>
      <c r="AR106" s="418">
        <f>Tao!$E196</f>
        <v>4.209663271752647</v>
      </c>
    </row>
    <row r="107" spans="1:44" x14ac:dyDescent="0.3">
      <c r="A107" s="110"/>
      <c r="B107" s="433"/>
      <c r="C107" s="110"/>
      <c r="D107" s="110"/>
      <c r="E107" s="408"/>
      <c r="F107" s="110"/>
      <c r="G107" s="408"/>
      <c r="H107" s="408"/>
      <c r="I107" s="438"/>
      <c r="J107" s="408"/>
      <c r="K107" s="438"/>
      <c r="L107" s="438"/>
      <c r="M107" s="438"/>
      <c r="N107" s="438"/>
      <c r="O107" s="438"/>
      <c r="P107" s="441" t="str">
        <f>Tao!$F200</f>
        <v>TAN 3 g N/L</v>
      </c>
      <c r="Q107" s="438" t="str">
        <f>Tao!$F201</f>
        <v>No H2</v>
      </c>
      <c r="R107" s="408"/>
      <c r="S107" s="408">
        <f>Tao!$F202</f>
        <v>3</v>
      </c>
      <c r="T107" s="408">
        <f>Tao!$F203</f>
        <v>15</v>
      </c>
      <c r="U107" s="417"/>
      <c r="V107" s="416">
        <f>Tao!$F205</f>
        <v>0.24240716666666665</v>
      </c>
      <c r="W107" s="416"/>
      <c r="X107" s="417"/>
      <c r="Y107" s="417">
        <f>Tao!$F208</f>
        <v>0.72722149999999997</v>
      </c>
      <c r="Z107" s="417"/>
      <c r="AA107" s="418">
        <f>Tao!$F210</f>
        <v>54.53</v>
      </c>
      <c r="AB107" s="418">
        <f>Tao!$F211</f>
        <v>45.105000000000004</v>
      </c>
      <c r="AC107" s="418">
        <f>Tao!$F212</f>
        <v>0</v>
      </c>
      <c r="AD107" s="417">
        <f>Tao!$F213</f>
        <v>7.8120000000000003</v>
      </c>
      <c r="AE107" s="408">
        <f>Tao!$F214</f>
        <v>0.21418321231981838</v>
      </c>
      <c r="AF107" s="408" t="str">
        <f>Tao!$F215</f>
        <v>n/r</v>
      </c>
      <c r="AG107" s="417"/>
      <c r="AH107" s="417"/>
      <c r="AI107" s="417"/>
      <c r="AJ107" s="418"/>
      <c r="AK107" s="453"/>
      <c r="AL107" s="417"/>
      <c r="AM107" s="417"/>
      <c r="AN107" s="417"/>
      <c r="AO107" s="417"/>
      <c r="AP107" s="417"/>
      <c r="AQ107" s="417"/>
      <c r="AR107" s="418"/>
    </row>
    <row r="108" spans="1:44" x14ac:dyDescent="0.3">
      <c r="A108" s="110"/>
      <c r="B108" s="433"/>
      <c r="C108" s="110"/>
      <c r="D108" s="110"/>
      <c r="E108" s="408"/>
      <c r="F108" s="110"/>
      <c r="G108" s="408"/>
      <c r="H108" s="408"/>
      <c r="I108" s="438"/>
      <c r="J108" s="408"/>
      <c r="K108" s="438"/>
      <c r="L108" s="438"/>
      <c r="M108" s="438"/>
      <c r="N108" s="438"/>
      <c r="O108" s="438"/>
      <c r="P108" s="441" t="str">
        <f>Tao!$G200</f>
        <v>TAN 3 g N/L</v>
      </c>
      <c r="Q108" s="438" t="str">
        <f>Tao!$G201</f>
        <v>with H2</v>
      </c>
      <c r="R108" s="408"/>
      <c r="S108" s="408">
        <f>Tao!$G202</f>
        <v>3</v>
      </c>
      <c r="T108" s="408">
        <f>Tao!$G203</f>
        <v>15</v>
      </c>
      <c r="U108" s="417">
        <f>Tao!$G204</f>
        <v>1.6</v>
      </c>
      <c r="V108" s="416">
        <f>Tao!$G205</f>
        <v>0.37369658974358977</v>
      </c>
      <c r="W108" s="416">
        <f>Tao!$G206</f>
        <v>0.13128942307692312</v>
      </c>
      <c r="X108" s="417">
        <f>Tao!$G207</f>
        <v>0.54160701963675362</v>
      </c>
      <c r="Y108" s="417">
        <f>Tao!$G208</f>
        <v>1.1210897692307693</v>
      </c>
      <c r="Z108" s="417">
        <f>Tao!$G209</f>
        <v>0.39386826923076934</v>
      </c>
      <c r="AA108" s="418">
        <f>Tao!$G210</f>
        <v>80.538461538461547</v>
      </c>
      <c r="AB108" s="418">
        <f>Tao!$G211</f>
        <v>18.561538461538461</v>
      </c>
      <c r="AC108" s="418">
        <f>Tao!$G212</f>
        <v>0</v>
      </c>
      <c r="AD108" s="417">
        <f>Tao!$G213</f>
        <v>8.1719230769230773</v>
      </c>
      <c r="AE108" s="408">
        <f>Tao!$G214</f>
        <v>0.21418321231981838</v>
      </c>
      <c r="AF108" s="408" t="str">
        <f>Tao!$G215</f>
        <v>n/r</v>
      </c>
      <c r="AG108" s="417">
        <f>Tao!$G185</f>
        <v>0.4</v>
      </c>
      <c r="AH108" s="417">
        <f>Tao!$G186</f>
        <v>0.39386826923076934</v>
      </c>
      <c r="AI108" s="417">
        <f>Tao!$G187</f>
        <v>0.34304451597191254</v>
      </c>
      <c r="AJ108" s="418">
        <f>Tao!$G188</f>
        <v>2.6601668779074932</v>
      </c>
      <c r="AK108" s="453">
        <f>Tao!$G189</f>
        <v>1</v>
      </c>
      <c r="AL108" s="417">
        <f>Tao!$G190</f>
        <v>0.98467067307692335</v>
      </c>
      <c r="AM108" s="417">
        <f>Tao!$G191</f>
        <v>0.85761128992978131</v>
      </c>
      <c r="AN108" s="417">
        <f>Tao!$G192</f>
        <v>1.1481549795800208</v>
      </c>
      <c r="AO108" s="417">
        <f>Tao!$G193</f>
        <v>0.65484707754152727</v>
      </c>
      <c r="AP108" s="417">
        <f>Tao!$G194</f>
        <v>1.0382510953646087</v>
      </c>
      <c r="AQ108" s="417">
        <f>Tao!$G195</f>
        <v>4.0622718939122064</v>
      </c>
      <c r="AR108" s="418">
        <f>Tao!$G196</f>
        <v>4.664117703403261</v>
      </c>
    </row>
    <row r="109" spans="1:44" x14ac:dyDescent="0.3">
      <c r="A109" s="110"/>
      <c r="B109" s="433" t="str">
        <f>Wahid!B2</f>
        <v>Wahid et al., 2019</v>
      </c>
      <c r="C109" s="110">
        <v>68</v>
      </c>
      <c r="D109" s="110" t="str">
        <f>Wahid!$D6</f>
        <v>Glucose</v>
      </c>
      <c r="E109" s="408">
        <f>Wahid!$D7</f>
        <v>37</v>
      </c>
      <c r="F109" s="110" t="str">
        <f>Wahid!$D8</f>
        <v>CSTR</v>
      </c>
      <c r="G109" s="408">
        <f>Wahid!$D9</f>
        <v>0.5</v>
      </c>
      <c r="H109" s="417">
        <f>Wahid!$D10</f>
        <v>0.38850000000000001</v>
      </c>
      <c r="I109" s="438" t="str">
        <f>Wahid!$D11</f>
        <v>Shaker</v>
      </c>
      <c r="J109" s="408" t="str">
        <f>Wahid!$D12</f>
        <v>No</v>
      </c>
      <c r="K109" s="438" t="str">
        <f>Wahid!$D13</f>
        <v>Headspace</v>
      </c>
      <c r="L109" s="438" t="str">
        <f>Wahid!$D14</f>
        <v>Intermittent - daily</v>
      </c>
      <c r="M109" s="438" t="str">
        <f>Wahid!$D15</f>
        <v>Parallel</v>
      </c>
      <c r="N109" s="438" t="str">
        <f>Wahid!$D16</f>
        <v>H2 addition</v>
      </c>
      <c r="O109" s="438" t="str">
        <f>Wahid!$D17</f>
        <v>Average of triplicate reactors</v>
      </c>
      <c r="P109" s="441" t="str">
        <f>Wahid!$D77</f>
        <v>-</v>
      </c>
      <c r="Q109" s="444" t="str">
        <f>Wahid!$D78</f>
        <v>No H2</v>
      </c>
      <c r="R109" s="497">
        <f>C109</f>
        <v>68</v>
      </c>
      <c r="S109" s="417">
        <f>Wahid!$D79</f>
        <v>7.0187009479186255E-2</v>
      </c>
      <c r="T109" s="409">
        <f>Wahid!$D80</f>
        <v>21</v>
      </c>
      <c r="U109" s="417"/>
      <c r="V109" s="417">
        <f>Wahid!$D82</f>
        <v>0.35220192715762649</v>
      </c>
      <c r="W109" s="416"/>
      <c r="X109" s="417"/>
      <c r="Y109" s="417">
        <f>Wahid!$D85</f>
        <v>0</v>
      </c>
      <c r="Z109" s="417"/>
      <c r="AA109" s="418">
        <f>Wahid!$D87</f>
        <v>66.7</v>
      </c>
      <c r="AB109" s="418">
        <f>Wahid!$D88</f>
        <v>33.299999999999997</v>
      </c>
      <c r="AC109" s="418"/>
      <c r="AD109" s="417">
        <f>Wahid!$D90</f>
        <v>7.07</v>
      </c>
      <c r="AE109" s="417" t="str">
        <f>Wahid!$D91</f>
        <v>n/a</v>
      </c>
      <c r="AF109" s="417" t="str">
        <f>Wahid!$D92</f>
        <v>conv?</v>
      </c>
      <c r="AG109" s="417"/>
      <c r="AH109" s="417"/>
      <c r="AI109" s="417"/>
      <c r="AJ109" s="418"/>
      <c r="AK109" s="453"/>
      <c r="AL109" s="417"/>
      <c r="AM109" s="417"/>
      <c r="AN109" s="417"/>
      <c r="AO109" s="417"/>
      <c r="AP109" s="417"/>
      <c r="AQ109" s="417"/>
      <c r="AR109" s="418"/>
    </row>
    <row r="110" spans="1:44" x14ac:dyDescent="0.3">
      <c r="A110" s="110"/>
      <c r="B110" s="433"/>
      <c r="C110" s="110"/>
      <c r="D110" s="110"/>
      <c r="E110" s="408"/>
      <c r="F110" s="110"/>
      <c r="G110" s="408"/>
      <c r="H110" s="408"/>
      <c r="I110" s="438"/>
      <c r="J110" s="408"/>
      <c r="K110" s="438"/>
      <c r="L110" s="438"/>
      <c r="M110" s="438"/>
      <c r="N110" s="438"/>
      <c r="O110" s="438"/>
      <c r="P110" s="441" t="str">
        <f>Wahid!$E77</f>
        <v>-</v>
      </c>
      <c r="Q110" s="444" t="str">
        <f>Wahid!$E78</f>
        <v>With H2</v>
      </c>
      <c r="R110" s="417"/>
      <c r="S110" s="417"/>
      <c r="T110" s="417"/>
      <c r="U110" s="417">
        <f>Wahid!$E81</f>
        <v>5.688E-2</v>
      </c>
      <c r="V110" s="417">
        <f>Wahid!$E82</f>
        <v>0.57446527924739088</v>
      </c>
      <c r="W110" s="416">
        <f>Wahid!$E83</f>
        <v>0.22226335208976439</v>
      </c>
      <c r="X110" s="417">
        <f>Wahid!$E84</f>
        <v>0.63106796116504882</v>
      </c>
      <c r="Y110" s="417">
        <f>Wahid!$E85</f>
        <v>4.0320000000000002E-2</v>
      </c>
      <c r="Z110" s="417">
        <f>Wahid!$E86</f>
        <v>1.5600000000000003E-2</v>
      </c>
      <c r="AA110" s="418">
        <f>Wahid!$E87</f>
        <v>94.47</v>
      </c>
      <c r="AB110" s="418">
        <f>Wahid!$E88</f>
        <v>3.09</v>
      </c>
      <c r="AC110" s="418">
        <f>Wahid!$E89</f>
        <v>2.4500000000000002</v>
      </c>
      <c r="AD110" s="417">
        <f>Wahid!$E90</f>
        <v>7.64</v>
      </c>
      <c r="AE110" s="417" t="str">
        <f>Wahid!$E91</f>
        <v>n/a</v>
      </c>
      <c r="AF110" s="417" t="str">
        <f>Wahid!$E92</f>
        <v>Conv?</v>
      </c>
      <c r="AG110" s="417">
        <f>Wahid!$E62</f>
        <v>1.3958583677357892E-2</v>
      </c>
      <c r="AH110" s="417">
        <f>Wahid!$E63</f>
        <v>1.5600000000000003E-2</v>
      </c>
      <c r="AI110" s="417">
        <f>Wahid!$E64</f>
        <v>1.102265059277284E-2</v>
      </c>
      <c r="AJ110" s="418">
        <f>Wahid!$E65</f>
        <v>4.6088515700166193</v>
      </c>
      <c r="AK110" s="453">
        <f>Wahid!$E66</f>
        <v>0.98161629235990799</v>
      </c>
      <c r="AL110" s="417">
        <f>Wahid!$E67</f>
        <v>1.1175918961824642</v>
      </c>
      <c r="AM110" s="417">
        <f>Wahid!$E68</f>
        <v>0.78966826775216414</v>
      </c>
      <c r="AN110" s="417">
        <f>Wahid!$E69</f>
        <v>1.4152675773128804</v>
      </c>
      <c r="AO110" s="417">
        <f>Wahid!$E70</f>
        <v>1.2640310213125752</v>
      </c>
      <c r="AP110" s="417">
        <f>Wahid!$E71</f>
        <v>1.128110400733805</v>
      </c>
      <c r="AQ110" s="417">
        <f>Wahid!$E72</f>
        <v>3.5791240198353562</v>
      </c>
      <c r="AR110" s="418">
        <f>Wahid!$E73</f>
        <v>5.0654181804547225</v>
      </c>
    </row>
    <row r="111" spans="1:44" x14ac:dyDescent="0.3">
      <c r="A111" s="110"/>
      <c r="B111" s="433" t="str">
        <f>Jing!B2</f>
        <v>Jing et al., 2017</v>
      </c>
      <c r="C111" s="110">
        <v>70</v>
      </c>
      <c r="D111" s="110" t="str">
        <f>Jing!$D6</f>
        <v>Glucose</v>
      </c>
      <c r="E111" s="408">
        <f>Jing!$D7</f>
        <v>37</v>
      </c>
      <c r="F111" s="110" t="str">
        <f>Jing!$D8</f>
        <v>UASB</v>
      </c>
      <c r="G111" s="408">
        <f>Jing!$D9</f>
        <v>1.2</v>
      </c>
      <c r="H111" s="408">
        <f>Jing!$D10</f>
        <v>1</v>
      </c>
      <c r="I111" s="438" t="str">
        <f>Jing!$D11</f>
        <v>Upflow</v>
      </c>
      <c r="J111" s="408" t="str">
        <f>Jing!$D12</f>
        <v>Yes</v>
      </c>
      <c r="K111" s="438" t="str">
        <f>Jing!$D13</f>
        <v>Microporous diffuser</v>
      </c>
      <c r="L111" s="438" t="str">
        <f>Jing!$D14</f>
        <v>Continuous</v>
      </c>
      <c r="M111" s="438" t="str">
        <f>Jing!$D15</f>
        <v>Parallel</v>
      </c>
      <c r="N111" s="438" t="str">
        <f>Jing!$D16</f>
        <v>CO flow rate and recirculation</v>
      </c>
      <c r="O111" s="438" t="str">
        <f>Jing!$D17</f>
        <v>CO rather than H2</v>
      </c>
      <c r="P111" s="438" t="str">
        <f>Jing!$K75</f>
        <v>CO not H2</v>
      </c>
      <c r="Q111" s="438" t="str">
        <f>Jing!$K76</f>
        <v>No CO</v>
      </c>
      <c r="R111" s="497">
        <f>C111</f>
        <v>70</v>
      </c>
      <c r="S111" s="408">
        <f>Jing!$K77</f>
        <v>5</v>
      </c>
      <c r="T111" s="408">
        <f>Jing!$K78</f>
        <v>3</v>
      </c>
      <c r="U111" s="417"/>
      <c r="V111" s="416">
        <f>Jing!$K80</f>
        <v>0.31159999999999999</v>
      </c>
      <c r="W111" s="416"/>
      <c r="X111" s="417"/>
      <c r="Y111" s="417">
        <f>Jing!$K83</f>
        <v>1.5580000000000001</v>
      </c>
      <c r="Z111" s="417"/>
      <c r="AA111" s="418">
        <f>Jing!$K85</f>
        <v>74.2</v>
      </c>
      <c r="AB111" s="418">
        <f>Jing!$K86</f>
        <v>24.5</v>
      </c>
      <c r="AC111" s="418"/>
      <c r="AD111" s="417">
        <f>Jing!$K88</f>
        <v>7.67</v>
      </c>
      <c r="AE111" s="408" t="str">
        <f>Jing!$K89</f>
        <v>n/r</v>
      </c>
      <c r="AF111" s="408">
        <f>Jing!$K90</f>
        <v>5.9999999999999995E-5</v>
      </c>
      <c r="AG111" s="417"/>
      <c r="AH111" s="417"/>
      <c r="AI111" s="417"/>
      <c r="AJ111" s="418"/>
      <c r="AK111" s="453"/>
      <c r="AL111" s="417"/>
      <c r="AM111" s="417"/>
      <c r="AN111" s="417"/>
      <c r="AO111" s="417"/>
      <c r="AP111" s="417"/>
      <c r="AQ111" s="417"/>
      <c r="AR111" s="418"/>
    </row>
    <row r="112" spans="1:44" x14ac:dyDescent="0.3">
      <c r="A112" s="110"/>
      <c r="B112" s="433"/>
      <c r="C112" s="110"/>
      <c r="D112" s="110"/>
      <c r="E112" s="408"/>
      <c r="F112" s="110"/>
      <c r="G112" s="408"/>
      <c r="H112" s="408"/>
      <c r="I112" s="438"/>
      <c r="J112" s="408"/>
      <c r="K112" s="438"/>
      <c r="L112" s="438"/>
      <c r="M112" s="438"/>
      <c r="N112" s="438"/>
      <c r="O112" s="438"/>
      <c r="P112" s="438" t="str">
        <f>Jing!$J75</f>
        <v>CO not H2</v>
      </c>
      <c r="Q112" s="438" t="str">
        <f>Jing!$J76</f>
        <v>With CO</v>
      </c>
      <c r="R112" s="408"/>
      <c r="S112" s="408">
        <f>Jing!$J77</f>
        <v>5</v>
      </c>
      <c r="T112" s="408">
        <f>Jing!$J78</f>
        <v>3</v>
      </c>
      <c r="U112" s="417" t="str">
        <f>Jing!$J79</f>
        <v>n/a</v>
      </c>
      <c r="V112" s="416">
        <f>Jing!$J80</f>
        <v>0.53639999999999999</v>
      </c>
      <c r="W112" s="416">
        <f>Jing!$J81</f>
        <v>0.2248</v>
      </c>
      <c r="X112" s="417">
        <f>Jing!$J82</f>
        <v>0.72143774069319644</v>
      </c>
      <c r="Y112" s="417">
        <f>Jing!$J83</f>
        <v>2.6819999999999999</v>
      </c>
      <c r="Z112" s="417">
        <f>Jing!$J84</f>
        <v>1.1239999999999999</v>
      </c>
      <c r="AA112" s="418">
        <f>Jing!$J85</f>
        <v>36.700000000000003</v>
      </c>
      <c r="AB112" s="418">
        <f>Jing!$J86</f>
        <v>55.3</v>
      </c>
      <c r="AC112" s="418">
        <f>Jing!$J87</f>
        <v>5.0999999999999996</v>
      </c>
      <c r="AD112" s="417">
        <f>Jing!$J88</f>
        <v>7.28</v>
      </c>
      <c r="AE112" s="408" t="str">
        <f>Jing!$J89</f>
        <v>n/r</v>
      </c>
      <c r="AF112" s="408">
        <f>Jing!$J90</f>
        <v>1.4000000000000001E-4</v>
      </c>
      <c r="AG112" s="417">
        <f>Jing!$J60</f>
        <v>1.156829375</v>
      </c>
      <c r="AH112" s="417">
        <f>Jing!$J61</f>
        <v>1.1236525000000002</v>
      </c>
      <c r="AI112" s="417" t="str">
        <f>Jing!$J62</f>
        <v>n/a</v>
      </c>
      <c r="AJ112" s="417" t="str">
        <f>Jing!$J63</f>
        <v>n/a</v>
      </c>
      <c r="AK112" s="502">
        <f>Jing!$J64</f>
        <v>0.92546349999999999</v>
      </c>
      <c r="AL112" s="417">
        <f>Jing!$J65</f>
        <v>0.97132085706243421</v>
      </c>
      <c r="AM112" s="417" t="str">
        <f>Jing!$J66</f>
        <v>n/a</v>
      </c>
      <c r="AN112" s="417" t="str">
        <f>Jing!$J67</f>
        <v>n/a</v>
      </c>
      <c r="AO112" s="417">
        <f>Jing!$J68</f>
        <v>2.1839698736637518</v>
      </c>
      <c r="AP112" s="417">
        <f>Jing!$J69</f>
        <v>3.2435470642157576</v>
      </c>
      <c r="AQ112" s="417" t="str">
        <f>Jing!$J70</f>
        <v>n/a</v>
      </c>
      <c r="AR112" s="417" t="str">
        <f>Jing!$J71</f>
        <v>n/a</v>
      </c>
    </row>
    <row r="113" spans="1:44" x14ac:dyDescent="0.3">
      <c r="B113" s="432" t="s">
        <v>219</v>
      </c>
      <c r="C113" s="188"/>
      <c r="D113" s="188"/>
      <c r="E113" s="434"/>
      <c r="F113" s="188"/>
      <c r="G113" s="434"/>
      <c r="H113" s="434"/>
      <c r="I113" s="436"/>
      <c r="J113" s="434"/>
      <c r="K113" s="436"/>
      <c r="L113" s="436"/>
      <c r="M113" s="436"/>
      <c r="N113" s="436"/>
      <c r="O113" s="436"/>
      <c r="P113" s="442"/>
      <c r="Q113" s="436"/>
      <c r="R113" s="434"/>
      <c r="S113" s="434"/>
      <c r="T113" s="434"/>
      <c r="U113" s="449"/>
      <c r="V113" s="447"/>
      <c r="W113" s="447"/>
      <c r="X113" s="449"/>
      <c r="Y113" s="449"/>
      <c r="Z113" s="449"/>
      <c r="AA113" s="450"/>
      <c r="AB113" s="450"/>
      <c r="AC113" s="450"/>
      <c r="AD113" s="449"/>
      <c r="AE113" s="434"/>
      <c r="AF113" s="434"/>
      <c r="AG113" s="449"/>
      <c r="AH113" s="449"/>
      <c r="AI113" s="449"/>
      <c r="AJ113" s="450"/>
      <c r="AK113" s="458"/>
      <c r="AL113" s="449"/>
      <c r="AM113" s="449"/>
      <c r="AN113" s="449"/>
      <c r="AO113" s="449"/>
      <c r="AP113" s="449"/>
      <c r="AQ113" s="449"/>
      <c r="AR113" s="450"/>
    </row>
    <row r="114" spans="1:44" x14ac:dyDescent="0.3">
      <c r="A114" s="110"/>
      <c r="B114" s="433" t="str">
        <f>Alfaro!B2</f>
        <v>Alfaro et al., 2019</v>
      </c>
      <c r="C114" s="110">
        <v>74</v>
      </c>
      <c r="D114" s="110" t="str">
        <f>Alfaro!$D6</f>
        <v>Mixed SS</v>
      </c>
      <c r="E114" s="408">
        <f>Alfaro!$D7</f>
        <v>35</v>
      </c>
      <c r="F114" s="110" t="str">
        <f>Alfaro!$D8</f>
        <v>CSTR</v>
      </c>
      <c r="G114" s="418">
        <f>Alfaro!$D9</f>
        <v>27.759112687119412</v>
      </c>
      <c r="H114" s="408">
        <f>Alfaro!$D10</f>
        <v>20</v>
      </c>
      <c r="I114" s="438" t="str">
        <f>Alfaro!$D11</f>
        <v>Pump</v>
      </c>
      <c r="J114" s="408" t="str">
        <f>Alfaro!$D12</f>
        <v>Yes</v>
      </c>
      <c r="K114" s="438" t="str">
        <f>Alfaro!$D13</f>
        <v>HFM</v>
      </c>
      <c r="L114" s="438" t="str">
        <f>Alfaro!$D14</f>
        <v>Continuous</v>
      </c>
      <c r="M114" s="438" t="str">
        <f>Alfaro!$D15</f>
        <v>Parallel</v>
      </c>
      <c r="N114" s="438" t="str">
        <f>Alfaro!$D16</f>
        <v>gas recirculation rate</v>
      </c>
      <c r="O114" s="438" t="str">
        <f>Alfaro!$D17</f>
        <v>2 reactors</v>
      </c>
      <c r="P114" s="438" t="str">
        <f>Alfaro!$G66</f>
        <v>Low gas recirc</v>
      </c>
      <c r="Q114" s="438" t="str">
        <f>Alfaro!$G67</f>
        <v>No H2</v>
      </c>
      <c r="R114" s="497">
        <f>C114</f>
        <v>74</v>
      </c>
      <c r="S114" s="408">
        <f>Alfaro!$G68</f>
        <v>1.3</v>
      </c>
      <c r="T114" s="408">
        <f>Alfaro!$G69</f>
        <v>20</v>
      </c>
      <c r="U114" s="417"/>
      <c r="V114" s="416">
        <f>Alfaro!$G71</f>
        <v>0.33846153846153842</v>
      </c>
      <c r="W114" s="416"/>
      <c r="X114" s="417"/>
      <c r="Y114" s="417">
        <f>Alfaro!$G74</f>
        <v>0.44</v>
      </c>
      <c r="Z114" s="417"/>
      <c r="AA114" s="418">
        <f>Alfaro!$G76</f>
        <v>65.8</v>
      </c>
      <c r="AB114" s="418">
        <f>Alfaro!$G77</f>
        <v>34.1</v>
      </c>
      <c r="AC114" s="418">
        <f>Alfaro!$G78</f>
        <v>0</v>
      </c>
      <c r="AD114" s="417">
        <f>Alfaro!$G79</f>
        <v>7.41</v>
      </c>
      <c r="AE114" s="408">
        <f>Alfaro!$G80</f>
        <v>4.9404927641771436E-2</v>
      </c>
      <c r="AF114" s="408">
        <f>Alfaro!$G81</f>
        <v>4.2462915720270961E-4</v>
      </c>
      <c r="AG114" s="417"/>
      <c r="AH114" s="417"/>
      <c r="AI114" s="417"/>
      <c r="AJ114" s="418"/>
      <c r="AK114" s="453"/>
      <c r="AL114" s="417"/>
      <c r="AM114" s="417"/>
      <c r="AN114" s="417"/>
      <c r="AO114" s="417"/>
      <c r="AP114" s="417"/>
      <c r="AQ114" s="417"/>
      <c r="AR114" s="418"/>
    </row>
    <row r="115" spans="1:44" x14ac:dyDescent="0.3">
      <c r="A115" s="110"/>
      <c r="B115" s="433"/>
      <c r="C115" s="110"/>
      <c r="D115" s="110"/>
      <c r="E115" s="408"/>
      <c r="F115" s="110"/>
      <c r="G115" s="408"/>
      <c r="H115" s="408"/>
      <c r="I115" s="438"/>
      <c r="J115" s="408"/>
      <c r="K115" s="438"/>
      <c r="L115" s="438"/>
      <c r="M115" s="438"/>
      <c r="N115" s="438"/>
      <c r="O115" s="438"/>
      <c r="P115" s="438" t="str">
        <f>Alfaro!$F66</f>
        <v>-</v>
      </c>
      <c r="Q115" s="438" t="str">
        <f>Alfaro!$F67</f>
        <v>With H2</v>
      </c>
      <c r="R115" s="408"/>
      <c r="S115" s="408"/>
      <c r="T115" s="408">
        <f>Alfaro!$F69</f>
        <v>20</v>
      </c>
      <c r="U115" s="417">
        <f>Alfaro!$F70</f>
        <v>0.87</v>
      </c>
      <c r="V115" s="416">
        <f>Alfaro!$F71</f>
        <v>0.41538461538461541</v>
      </c>
      <c r="W115" s="416">
        <f>Alfaro!$F72</f>
        <v>7.6923076923076983E-2</v>
      </c>
      <c r="X115" s="417">
        <f>Alfaro!$F73</f>
        <v>0.22727272727272749</v>
      </c>
      <c r="Y115" s="417">
        <f>Alfaro!$F74</f>
        <v>0.54</v>
      </c>
      <c r="Z115" s="417">
        <f>Alfaro!$F75</f>
        <v>0.10000000000000003</v>
      </c>
      <c r="AA115" s="418">
        <f>Alfaro!$F76</f>
        <v>51.1</v>
      </c>
      <c r="AB115" s="418">
        <f>Alfaro!$F77</f>
        <v>12.4</v>
      </c>
      <c r="AC115" s="418">
        <f>Alfaro!$F78</f>
        <v>36.5</v>
      </c>
      <c r="AD115" s="417">
        <f>Alfaro!$F79</f>
        <v>7.28</v>
      </c>
      <c r="AE115" s="408">
        <f>Alfaro!$F80</f>
        <v>4.7834250751426104E-2</v>
      </c>
      <c r="AF115" s="408">
        <f>Alfaro!$F81</f>
        <v>7.4934557153419346E-4</v>
      </c>
      <c r="AG115" s="417">
        <f>Alfaro!$F50</f>
        <v>0.13882183908045975</v>
      </c>
      <c r="AH115" s="417">
        <f>Alfaro!$F51</f>
        <v>0.10000000000000003</v>
      </c>
      <c r="AI115" s="417">
        <f>Alfaro!$F52</f>
        <v>0.1</v>
      </c>
      <c r="AJ115" s="418">
        <f>Alfaro!$F53</f>
        <v>3.9545454545454546</v>
      </c>
      <c r="AK115" s="453">
        <f>Alfaro!$F54</f>
        <v>0.55528735632183901</v>
      </c>
      <c r="AL115" s="417">
        <f>Alfaro!$F55</f>
        <v>0.72034775408818086</v>
      </c>
      <c r="AM115" s="417">
        <f>Alfaro!$F56</f>
        <v>0.72034775408818064</v>
      </c>
      <c r="AN115" s="417">
        <f>Alfaro!$F57</f>
        <v>1.0000000000000002</v>
      </c>
      <c r="AO115" s="417">
        <f>Alfaro!$F58</f>
        <v>0.43769422681314846</v>
      </c>
      <c r="AP115" s="417">
        <f>Alfaro!$F59</f>
        <v>1</v>
      </c>
      <c r="AQ115" s="417">
        <f>Alfaro!$F60</f>
        <v>4.8309999999999977</v>
      </c>
      <c r="AR115" s="418">
        <f>Alfaro!$F61</f>
        <v>4.8309999999999995</v>
      </c>
    </row>
    <row r="116" spans="1:44" x14ac:dyDescent="0.3">
      <c r="A116" s="110"/>
      <c r="B116" s="433"/>
      <c r="C116" s="110"/>
      <c r="D116" s="110"/>
      <c r="E116" s="408"/>
      <c r="F116" s="110"/>
      <c r="G116" s="408"/>
      <c r="H116" s="408"/>
      <c r="I116" s="438"/>
      <c r="J116" s="408"/>
      <c r="K116" s="438"/>
      <c r="L116" s="438"/>
      <c r="M116" s="438"/>
      <c r="N116" s="438"/>
      <c r="O116" s="438"/>
      <c r="P116" s="438" t="str">
        <f>Alfaro!$I66</f>
        <v>Intermediate gas recirc</v>
      </c>
      <c r="Q116" s="438" t="str">
        <f>Alfaro!$I67</f>
        <v>No H2</v>
      </c>
      <c r="R116" s="408"/>
      <c r="S116" s="408">
        <f>Alfaro!$I68</f>
        <v>1.5</v>
      </c>
      <c r="T116" s="408">
        <f>Alfaro!$I69</f>
        <v>20</v>
      </c>
      <c r="U116" s="417"/>
      <c r="V116" s="416">
        <f>Alfaro!$I71</f>
        <v>0.21333333333333335</v>
      </c>
      <c r="W116" s="416"/>
      <c r="X116" s="417"/>
      <c r="Y116" s="417">
        <f>Alfaro!$I74</f>
        <v>0.32</v>
      </c>
      <c r="Z116" s="417"/>
      <c r="AA116" s="418">
        <f>Alfaro!$I76</f>
        <v>68</v>
      </c>
      <c r="AB116" s="418">
        <f>Alfaro!$I77</f>
        <v>32</v>
      </c>
      <c r="AC116" s="418">
        <f>Alfaro!$I78</f>
        <v>0</v>
      </c>
      <c r="AD116" s="417">
        <f>Alfaro!$I79</f>
        <v>7.42</v>
      </c>
      <c r="AE116" s="408">
        <f>Alfaro!$I80</f>
        <v>5.0118871682837497E-2</v>
      </c>
      <c r="AF116" s="408">
        <f>Alfaro!$I81</f>
        <v>4.1963352005914835E-4</v>
      </c>
      <c r="AG116" s="417"/>
      <c r="AH116" s="417"/>
      <c r="AI116" s="417"/>
      <c r="AJ116" s="418"/>
      <c r="AK116" s="453"/>
      <c r="AL116" s="417"/>
      <c r="AM116" s="417"/>
      <c r="AN116" s="417"/>
      <c r="AO116" s="417"/>
      <c r="AP116" s="417"/>
      <c r="AQ116" s="417"/>
      <c r="AR116" s="418"/>
    </row>
    <row r="117" spans="1:44" x14ac:dyDescent="0.3">
      <c r="A117" s="110"/>
      <c r="B117" s="433"/>
      <c r="C117" s="110"/>
      <c r="D117" s="110"/>
      <c r="E117" s="408"/>
      <c r="F117" s="110"/>
      <c r="G117" s="408"/>
      <c r="H117" s="408"/>
      <c r="I117" s="438"/>
      <c r="J117" s="408"/>
      <c r="K117" s="438"/>
      <c r="L117" s="438"/>
      <c r="M117" s="438"/>
      <c r="N117" s="438"/>
      <c r="O117" s="438"/>
      <c r="P117" s="438" t="str">
        <f>Alfaro!$H66</f>
        <v>-</v>
      </c>
      <c r="Q117" s="438" t="str">
        <f>Alfaro!$H67</f>
        <v>With H2</v>
      </c>
      <c r="R117" s="408"/>
      <c r="S117" s="408"/>
      <c r="T117" s="408">
        <f>Alfaro!$H69</f>
        <v>20</v>
      </c>
      <c r="U117" s="417">
        <f>Alfaro!$H70</f>
        <v>0.87</v>
      </c>
      <c r="V117" s="416">
        <f>Alfaro!$H71</f>
        <v>0.3133333333333333</v>
      </c>
      <c r="W117" s="416">
        <f>Alfaro!$H72</f>
        <v>9.999999999999995E-2</v>
      </c>
      <c r="X117" s="417">
        <f>Alfaro!$H73</f>
        <v>0.46874999999999972</v>
      </c>
      <c r="Y117" s="417">
        <f>Alfaro!$H74</f>
        <v>0.47</v>
      </c>
      <c r="Z117" s="417">
        <f>Alfaro!$H75</f>
        <v>0.14999999999999997</v>
      </c>
      <c r="AA117" s="418">
        <f>Alfaro!$H76</f>
        <v>70.900000000000006</v>
      </c>
      <c r="AB117" s="418">
        <f>Alfaro!$H77</f>
        <v>11.4</v>
      </c>
      <c r="AC117" s="418">
        <f>Alfaro!$H78</f>
        <v>17.7</v>
      </c>
      <c r="AD117" s="417">
        <f>Alfaro!$H79</f>
        <v>7.8</v>
      </c>
      <c r="AE117" s="408">
        <f>Alfaro!$H80</f>
        <v>5.1475365360863015E-2</v>
      </c>
      <c r="AF117" s="408">
        <f>Alfaro!$H81</f>
        <v>4.2129873244033545E-4</v>
      </c>
      <c r="AG117" s="417">
        <f>Alfaro!$H50</f>
        <v>0.21592241379310345</v>
      </c>
      <c r="AH117" s="417">
        <f>Alfaro!$H51</f>
        <v>0.14999999999999997</v>
      </c>
      <c r="AI117" s="417">
        <f>Alfaro!$H52</f>
        <v>6.9999999999999993E-2</v>
      </c>
      <c r="AJ117" s="418">
        <f>Alfaro!$H53</f>
        <v>3.9545454545454546</v>
      </c>
      <c r="AK117" s="453">
        <f>Alfaro!$H54</f>
        <v>0.86368965517241381</v>
      </c>
      <c r="AL117" s="417">
        <f>Alfaro!$H55</f>
        <v>0.69469397532638621</v>
      </c>
      <c r="AM117" s="417">
        <f>Alfaro!$H56</f>
        <v>0.32419052181898028</v>
      </c>
      <c r="AN117" s="417">
        <f>Alfaro!$H57</f>
        <v>2.1428571428571428</v>
      </c>
      <c r="AO117" s="417">
        <f>Alfaro!$H58</f>
        <v>0.99734042553191482</v>
      </c>
      <c r="AP117" s="417">
        <f>Alfaro!$H59</f>
        <v>1.1702127659574468</v>
      </c>
      <c r="AQ117" s="417">
        <f>Alfaro!$H60</f>
        <v>5.0094000000000012</v>
      </c>
      <c r="AR117" s="418">
        <f>Alfaro!$H61</f>
        <v>10.734428571428573</v>
      </c>
    </row>
    <row r="118" spans="1:44" x14ac:dyDescent="0.3">
      <c r="A118" s="110"/>
      <c r="B118" s="433"/>
      <c r="C118" s="110"/>
      <c r="D118" s="110"/>
      <c r="E118" s="408"/>
      <c r="F118" s="110"/>
      <c r="G118" s="408"/>
      <c r="H118" s="408"/>
      <c r="I118" s="438"/>
      <c r="J118" s="408"/>
      <c r="K118" s="438"/>
      <c r="L118" s="438"/>
      <c r="M118" s="438"/>
      <c r="N118" s="438"/>
      <c r="O118" s="438"/>
      <c r="P118" s="438" t="str">
        <f>Alfaro!$K66</f>
        <v>High gas recirc</v>
      </c>
      <c r="Q118" s="438" t="str">
        <f>Alfaro!$K67</f>
        <v>No H2</v>
      </c>
      <c r="R118" s="408"/>
      <c r="S118" s="408">
        <f>Alfaro!$K68</f>
        <v>1.8</v>
      </c>
      <c r="T118" s="408">
        <f>Alfaro!$K69</f>
        <v>20</v>
      </c>
      <c r="U118" s="417"/>
      <c r="V118" s="416">
        <f>Alfaro!$K71</f>
        <v>0.21111111111111111</v>
      </c>
      <c r="W118" s="416"/>
      <c r="X118" s="417"/>
      <c r="Y118" s="417">
        <f>Alfaro!$K74</f>
        <v>0.38</v>
      </c>
      <c r="Z118" s="417"/>
      <c r="AA118" s="418">
        <f>Alfaro!$K76</f>
        <v>67.099999999999994</v>
      </c>
      <c r="AB118" s="418">
        <f>Alfaro!$K77</f>
        <v>32.9</v>
      </c>
      <c r="AC118" s="418">
        <f>Alfaro!$K78</f>
        <v>0</v>
      </c>
      <c r="AD118" s="417">
        <f>Alfaro!$K79</f>
        <v>7.41</v>
      </c>
      <c r="AE118" s="408">
        <f>Alfaro!$K80</f>
        <v>5.397416950459423E-2</v>
      </c>
      <c r="AF118" s="408">
        <f>Alfaro!$K81</f>
        <v>2.0815154764838707E-4</v>
      </c>
      <c r="AG118" s="417"/>
      <c r="AH118" s="417"/>
      <c r="AI118" s="417"/>
      <c r="AJ118" s="418"/>
      <c r="AK118" s="453"/>
      <c r="AL118" s="417"/>
      <c r="AM118" s="417"/>
      <c r="AN118" s="417"/>
      <c r="AO118" s="417"/>
      <c r="AP118" s="417"/>
      <c r="AQ118" s="417"/>
      <c r="AR118" s="418"/>
    </row>
    <row r="119" spans="1:44" x14ac:dyDescent="0.3">
      <c r="A119" s="110"/>
      <c r="B119" s="433"/>
      <c r="C119" s="110"/>
      <c r="D119" s="110"/>
      <c r="E119" s="408"/>
      <c r="F119" s="110"/>
      <c r="G119" s="408"/>
      <c r="H119" s="408"/>
      <c r="I119" s="438"/>
      <c r="J119" s="408"/>
      <c r="K119" s="438"/>
      <c r="L119" s="438"/>
      <c r="M119" s="438"/>
      <c r="N119" s="438"/>
      <c r="O119" s="438"/>
      <c r="P119" s="438" t="str">
        <f>Alfaro!$J66</f>
        <v>-</v>
      </c>
      <c r="Q119" s="438" t="str">
        <f>Alfaro!$J67</f>
        <v>With H2</v>
      </c>
      <c r="R119" s="408"/>
      <c r="S119" s="408"/>
      <c r="T119" s="408">
        <f>Alfaro!$J69</f>
        <v>20</v>
      </c>
      <c r="U119" s="417">
        <f>Alfaro!$J70</f>
        <v>0.87</v>
      </c>
      <c r="V119" s="416">
        <f>Alfaro!$J71</f>
        <v>0.3</v>
      </c>
      <c r="W119" s="416">
        <f>Alfaro!$J72</f>
        <v>8.8888888888888878E-2</v>
      </c>
      <c r="X119" s="417">
        <f>Alfaro!$J73</f>
        <v>0.42105263157894735</v>
      </c>
      <c r="Y119" s="417">
        <f>Alfaro!$J74</f>
        <v>0.54</v>
      </c>
      <c r="Z119" s="417">
        <f>Alfaro!$J75</f>
        <v>0.16000000000000003</v>
      </c>
      <c r="AA119" s="418">
        <f>Alfaro!$J76</f>
        <v>73.099999999999994</v>
      </c>
      <c r="AB119" s="418">
        <f>Alfaro!$J77</f>
        <v>19.7</v>
      </c>
      <c r="AC119" s="418">
        <f>Alfaro!$J78</f>
        <v>7.2</v>
      </c>
      <c r="AD119" s="417">
        <f>Alfaro!$J79</f>
        <v>8.09</v>
      </c>
      <c r="AE119" s="408">
        <f>Alfaro!$J80</f>
        <v>5.6687156860645259E-2</v>
      </c>
      <c r="AF119" s="408">
        <f>Alfaro!$J81</f>
        <v>5.1788105054918711E-4</v>
      </c>
      <c r="AG119" s="417">
        <f>Alfaro!$J50</f>
        <v>0.2346896551724138</v>
      </c>
      <c r="AH119" s="417">
        <f>Alfaro!$J51</f>
        <v>0.16000000000000003</v>
      </c>
      <c r="AI119" s="417">
        <f>Alfaro!$J52</f>
        <v>0.03</v>
      </c>
      <c r="AJ119" s="418">
        <f>Alfaro!$J53</f>
        <v>3.9545454545454546</v>
      </c>
      <c r="AK119" s="453">
        <f>Alfaro!$J54</f>
        <v>0.93875862068965521</v>
      </c>
      <c r="AL119" s="417">
        <f>Alfaro!$J55</f>
        <v>0.68175139582721134</v>
      </c>
      <c r="AM119" s="417">
        <f>Alfaro!$J56</f>
        <v>0.1278283867176021</v>
      </c>
      <c r="AN119" s="417">
        <f>Alfaro!$J57</f>
        <v>5.3333333333333348</v>
      </c>
      <c r="AO119" s="417">
        <f>Alfaro!$J58</f>
        <v>0.86843247937472889</v>
      </c>
      <c r="AP119" s="417">
        <f>Alfaro!$J59</f>
        <v>1.2321428571428572</v>
      </c>
      <c r="AQ119" s="417">
        <f>Alfaro!$J60</f>
        <v>5.1044999999999989</v>
      </c>
      <c r="AR119" s="418">
        <f>Alfaro!$J61</f>
        <v>27.224</v>
      </c>
    </row>
    <row r="120" spans="1:44" x14ac:dyDescent="0.3">
      <c r="A120" s="110"/>
      <c r="B120" s="433" t="str">
        <f>Tao!B122</f>
        <v>Tao et al., 2020</v>
      </c>
      <c r="C120" s="110">
        <v>12</v>
      </c>
      <c r="D120" s="110" t="str">
        <f>Tao!$D289</f>
        <v>Mixed SS</v>
      </c>
      <c r="E120" s="408">
        <f>Tao!$D290</f>
        <v>37</v>
      </c>
      <c r="F120" s="110" t="str">
        <f>Tao!$D291</f>
        <v>CSTR</v>
      </c>
      <c r="G120" s="408">
        <f>Tao!$D292</f>
        <v>3</v>
      </c>
      <c r="H120" s="408">
        <f>Tao!$D293</f>
        <v>2</v>
      </c>
      <c r="I120" s="438" t="str">
        <f>Tao!$D294</f>
        <v>Mechanical</v>
      </c>
      <c r="J120" s="408" t="str">
        <f>Tao!$D295</f>
        <v>Yes</v>
      </c>
      <c r="K120" s="438" t="str">
        <f>Tao!$D296</f>
        <v>Bubble</v>
      </c>
      <c r="L120" s="438" t="str">
        <f>Tao!$D297</f>
        <v>Batch with recirc</v>
      </c>
      <c r="M120" s="438" t="str">
        <f>Tao!$D298</f>
        <v>Sequential</v>
      </c>
      <c r="N120" s="438" t="str">
        <f>Tao!$D299</f>
        <v>with/without H2</v>
      </c>
      <c r="O120" s="438" t="str">
        <f>Tao!$D300</f>
        <v>Additional data provided by authors</v>
      </c>
      <c r="P120" s="441" t="str">
        <f>Tao!$D338</f>
        <v>Additional data</v>
      </c>
      <c r="Q120" s="438" t="str">
        <f>Tao!$D339</f>
        <v>No H2</v>
      </c>
      <c r="R120" s="497">
        <f>C120</f>
        <v>12</v>
      </c>
      <c r="S120" s="408">
        <f>Tao!$D340</f>
        <v>3.6399999999999997</v>
      </c>
      <c r="T120" s="408">
        <f>Tao!$D341</f>
        <v>15</v>
      </c>
      <c r="U120" s="417"/>
      <c r="V120" s="416">
        <f>Tao!$D343</f>
        <v>0.30870238449033521</v>
      </c>
      <c r="W120" s="416"/>
      <c r="X120" s="417"/>
      <c r="Y120" s="417">
        <f>Tao!$D346</f>
        <v>1.1216701140456329</v>
      </c>
      <c r="Z120" s="417"/>
      <c r="AA120" s="418">
        <f>Tao!$D348</f>
        <v>60.04999999999999</v>
      </c>
      <c r="AB120" s="418">
        <f>Tao!$D349</f>
        <v>39.35</v>
      </c>
      <c r="AC120" s="418">
        <f>Tao!$D350</f>
        <v>0</v>
      </c>
      <c r="AD120" s="417">
        <f>Tao!$D351</f>
        <v>7.3150000000000004</v>
      </c>
      <c r="AE120" s="408">
        <f>Tao!$D352</f>
        <v>0.10794833900918846</v>
      </c>
      <c r="AF120" s="408" t="str">
        <f>Tao!$D353</f>
        <v>n/r</v>
      </c>
      <c r="AG120" s="417"/>
      <c r="AH120" s="417"/>
      <c r="AI120" s="417"/>
      <c r="AJ120" s="418"/>
      <c r="AK120" s="453"/>
      <c r="AL120" s="417"/>
      <c r="AM120" s="417"/>
      <c r="AN120" s="417"/>
      <c r="AO120" s="417"/>
      <c r="AP120" s="417"/>
      <c r="AQ120" s="417"/>
      <c r="AR120" s="418"/>
    </row>
    <row r="121" spans="1:44" x14ac:dyDescent="0.3">
      <c r="A121" s="110"/>
      <c r="B121" s="433"/>
      <c r="C121" s="110"/>
      <c r="D121" s="110"/>
      <c r="E121" s="408"/>
      <c r="F121" s="110"/>
      <c r="G121" s="408"/>
      <c r="H121" s="408"/>
      <c r="I121" s="438"/>
      <c r="J121" s="408"/>
      <c r="K121" s="438"/>
      <c r="L121" s="438"/>
      <c r="M121" s="438"/>
      <c r="N121" s="438"/>
      <c r="O121" s="438"/>
      <c r="P121" s="441" t="str">
        <f>Tao!$E338</f>
        <v>provided by authors</v>
      </c>
      <c r="Q121" s="438" t="str">
        <f>Tao!$E339</f>
        <v>With H2</v>
      </c>
      <c r="R121" s="408"/>
      <c r="S121" s="408">
        <f>Tao!$E340</f>
        <v>3.6399999999999997</v>
      </c>
      <c r="T121" s="408">
        <f>Tao!$E341</f>
        <v>15</v>
      </c>
      <c r="U121" s="417">
        <f>Tao!$E342</f>
        <v>2.6999999999999997</v>
      </c>
      <c r="V121" s="416">
        <f>Tao!$E343</f>
        <v>0.4373535326485688</v>
      </c>
      <c r="W121" s="416">
        <f>Tao!$E344</f>
        <v>0.12865114815823359</v>
      </c>
      <c r="X121" s="417">
        <f>Tao!$E345</f>
        <v>0.41674815168867402</v>
      </c>
      <c r="Y121" s="417">
        <f>Tao!$E346</f>
        <v>1.5891240608785746</v>
      </c>
      <c r="Z121" s="417">
        <f>Tao!$E347</f>
        <v>0.46745394683294172</v>
      </c>
      <c r="AA121" s="418">
        <f>Tao!$E348</f>
        <v>90.460000000000008</v>
      </c>
      <c r="AB121" s="418">
        <f>Tao!$E349</f>
        <v>8.2100000000000009</v>
      </c>
      <c r="AC121" s="418">
        <f>Tao!$E350</f>
        <v>0</v>
      </c>
      <c r="AD121" s="417">
        <f>Tao!$E351</f>
        <v>7.9430000000000005</v>
      </c>
      <c r="AE121" s="408" t="str">
        <f>Tao!$E352</f>
        <v>n/r</v>
      </c>
      <c r="AF121" s="408" t="str">
        <f>Tao!$E353</f>
        <v>n/r</v>
      </c>
      <c r="AG121" s="417">
        <f>Tao!$E324</f>
        <v>0.67499999999999993</v>
      </c>
      <c r="AH121" s="417">
        <f>Tao!$E325</f>
        <v>0.46745394683294172</v>
      </c>
      <c r="AI121" s="417">
        <f>Tao!$E326</f>
        <v>0.59079533502304193</v>
      </c>
      <c r="AJ121" s="418">
        <f>Tao!$E327</f>
        <v>3.6733631174185364</v>
      </c>
      <c r="AK121" s="453">
        <f>Tao!$E328</f>
        <v>1</v>
      </c>
      <c r="AL121" s="417">
        <f>Tao!$E329</f>
        <v>0.69252436567843223</v>
      </c>
      <c r="AM121" s="417">
        <f>Tao!$E330</f>
        <v>0.87525234818228448</v>
      </c>
      <c r="AN121" s="417">
        <f>Tao!$E331</f>
        <v>0.79122822934055548</v>
      </c>
      <c r="AO121" s="417">
        <f>Tao!$E332</f>
        <v>0.63597336569920515</v>
      </c>
      <c r="AP121" s="417">
        <f>Tao!$E333</f>
        <v>0.94047015929931688</v>
      </c>
      <c r="AQ121" s="417">
        <f>Tao!$E334</f>
        <v>5.775970057142171</v>
      </c>
      <c r="AR121" s="418">
        <f>Tao!$E335</f>
        <v>4.5701105610366666</v>
      </c>
    </row>
    <row r="122" spans="1:44" x14ac:dyDescent="0.3">
      <c r="A122" s="110"/>
      <c r="B122" s="433" t="str">
        <f>Zhang!B73</f>
        <v>Zhang (pers com 2022)</v>
      </c>
      <c r="C122" s="110">
        <v>53</v>
      </c>
      <c r="D122" s="110" t="str">
        <f>Zhang!$D76</f>
        <v>Mixed SS</v>
      </c>
      <c r="E122" s="408">
        <f>Zhang!$D77</f>
        <v>37</v>
      </c>
      <c r="F122" s="110" t="str">
        <f>Zhang!$D78</f>
        <v>CSTR</v>
      </c>
      <c r="G122" s="408">
        <f>Zhang!$D79</f>
        <v>3</v>
      </c>
      <c r="H122" s="408">
        <f>Zhang!$D80</f>
        <v>2</v>
      </c>
      <c r="I122" s="438" t="str">
        <f>Zhang!$D81</f>
        <v>Mechanical</v>
      </c>
      <c r="J122" s="408" t="str">
        <f>Zhang!$D82</f>
        <v>Yes</v>
      </c>
      <c r="K122" s="438" t="str">
        <f>Zhang!$D83</f>
        <v>Bubble</v>
      </c>
      <c r="L122" s="438" t="str">
        <f>Zhang!$D84</f>
        <v>Continuous</v>
      </c>
      <c r="M122" s="438" t="str">
        <f>Zhang!$D85</f>
        <v>Sequential</v>
      </c>
      <c r="N122" s="438" t="str">
        <f>Zhang!$D86</f>
        <v>with H2 and H2 + CO2</v>
      </c>
      <c r="O122" s="438" t="str">
        <f>Zhang!$D87</f>
        <v>Pers. com.</v>
      </c>
      <c r="P122" s="438" t="str">
        <f>Zhang!$D$127</f>
        <v>Pers. com.</v>
      </c>
      <c r="Q122" s="438" t="str">
        <f>Zhang!$D$128</f>
        <v>No H2</v>
      </c>
      <c r="R122" s="497">
        <f>C122</f>
        <v>53</v>
      </c>
      <c r="S122" s="409">
        <f>Zhang!$D$129</f>
        <v>3</v>
      </c>
      <c r="T122" s="418">
        <f>Zhang!$D$130</f>
        <v>20.408163265306126</v>
      </c>
      <c r="U122" s="417"/>
      <c r="V122" s="416">
        <f>Zhang!$D$132</f>
        <v>0.21368508471643127</v>
      </c>
      <c r="W122" s="416"/>
      <c r="X122" s="408"/>
      <c r="Y122" s="417">
        <f>Zhang!$D$135</f>
        <v>0.62521895868213551</v>
      </c>
      <c r="Z122" s="408"/>
      <c r="AA122" s="418">
        <f>Zhang!$D$137</f>
        <v>65.37</v>
      </c>
      <c r="AB122" s="418">
        <f>Zhang!$D$138</f>
        <v>36.125</v>
      </c>
      <c r="AC122" s="408"/>
      <c r="AD122" s="417">
        <f>Zhang!$D$140</f>
        <v>7.5639999999999992</v>
      </c>
      <c r="AE122" s="417">
        <f>Zhang!$D$141</f>
        <v>0.21420889743572433</v>
      </c>
      <c r="AF122" s="408" t="str">
        <f>Zhang!$D$142</f>
        <v>convert</v>
      </c>
      <c r="AG122" s="417"/>
      <c r="AH122" s="417"/>
      <c r="AI122" s="417"/>
      <c r="AJ122" s="418"/>
      <c r="AK122" s="453"/>
      <c r="AL122" s="417"/>
      <c r="AM122" s="417"/>
      <c r="AN122" s="417"/>
      <c r="AO122" s="417"/>
      <c r="AP122" s="417"/>
      <c r="AQ122" s="417"/>
      <c r="AR122" s="418"/>
    </row>
    <row r="123" spans="1:44" x14ac:dyDescent="0.3">
      <c r="A123" s="110"/>
      <c r="B123" s="433"/>
      <c r="C123" s="110"/>
      <c r="D123" s="110"/>
      <c r="E123" s="408"/>
      <c r="F123" s="110"/>
      <c r="G123" s="408"/>
      <c r="H123" s="408"/>
      <c r="I123" s="438"/>
      <c r="J123" s="408"/>
      <c r="K123" s="438"/>
      <c r="L123" s="438"/>
      <c r="M123" s="438"/>
      <c r="N123" s="438"/>
      <c r="O123" s="438"/>
      <c r="P123" s="438" t="str">
        <f>Zhang!$E$127</f>
        <v>-</v>
      </c>
      <c r="Q123" s="438" t="str">
        <f>Zhang!$E$128</f>
        <v>With H2</v>
      </c>
      <c r="R123" s="408"/>
      <c r="S123" s="409">
        <f>Zhang!$E$129</f>
        <v>3</v>
      </c>
      <c r="T123" s="418">
        <f>Zhang!$E$130</f>
        <v>25.641025641025642</v>
      </c>
      <c r="U123" s="417">
        <f>Zhang!$E$131</f>
        <v>1.1199999999999999</v>
      </c>
      <c r="V123" s="416">
        <f>Zhang!$E$132</f>
        <v>0.35144887484067522</v>
      </c>
      <c r="W123" s="416">
        <f>Zhang!$E$133</f>
        <v>0.13776379012424395</v>
      </c>
      <c r="X123" s="417">
        <f>Zhang!$E$134</f>
        <v>0.64470475469573396</v>
      </c>
      <c r="Y123" s="417">
        <f>Zhang!$E$135</f>
        <v>1.0543466245220259</v>
      </c>
      <c r="Z123" s="417">
        <f>Zhang!$E$136</f>
        <v>0.42912766583989037</v>
      </c>
      <c r="AA123" s="418">
        <f>Zhang!$E$137</f>
        <v>84.974999999999994</v>
      </c>
      <c r="AB123" s="418">
        <f>Zhang!$E$138</f>
        <v>15.275</v>
      </c>
      <c r="AC123" s="408">
        <f>Zhang!$E$139</f>
        <v>0</v>
      </c>
      <c r="AD123" s="417">
        <f>Zhang!$E$140</f>
        <v>7.9574999999999996</v>
      </c>
      <c r="AE123" s="417">
        <f>Zhang!$E$141</f>
        <v>0.23381437400908697</v>
      </c>
      <c r="AF123" s="408" t="str">
        <f>Zhang!$E$142</f>
        <v>convert</v>
      </c>
      <c r="AG123" s="417">
        <f>Zhang!$E113</f>
        <v>0.27999999999999997</v>
      </c>
      <c r="AH123" s="417">
        <f>Zhang!$E114</f>
        <v>0.42912766583989037</v>
      </c>
      <c r="AI123" s="417">
        <f>Zhang!$E115</f>
        <v>0.15610459116616709</v>
      </c>
      <c r="AJ123" s="418">
        <f>Zhang!$E116</f>
        <v>3.2406459507861065</v>
      </c>
      <c r="AK123" s="453">
        <f>Zhang!$E117</f>
        <v>1</v>
      </c>
      <c r="AL123" s="417">
        <f>Zhang!$E118</f>
        <v>1.5325988065710372</v>
      </c>
      <c r="AM123" s="417">
        <f>Zhang!$E119</f>
        <v>0.55751639702202538</v>
      </c>
      <c r="AN123" s="417">
        <f>Zhang!$E120</f>
        <v>2.7489753032510178</v>
      </c>
      <c r="AO123" s="417">
        <f>Zhang!$E121</f>
        <v>1.2416525291735128</v>
      </c>
      <c r="AP123" s="417">
        <f>Zhang!$E122</f>
        <v>1.2812267203226679</v>
      </c>
      <c r="AQ123" s="417">
        <f>Zhang!$E123</f>
        <v>2.6099459185599962</v>
      </c>
      <c r="AR123" s="418">
        <f>Zhang!$E124</f>
        <v>7.1746768729422232</v>
      </c>
    </row>
    <row r="124" spans="1:44" x14ac:dyDescent="0.3">
      <c r="A124" s="110"/>
      <c r="B124" s="433"/>
      <c r="C124" s="110"/>
      <c r="D124" s="110"/>
      <c r="E124" s="408"/>
      <c r="F124" s="110"/>
      <c r="G124" s="408"/>
      <c r="H124" s="408"/>
      <c r="I124" s="438"/>
      <c r="J124" s="408"/>
      <c r="K124" s="438"/>
      <c r="L124" s="438"/>
      <c r="M124" s="438"/>
      <c r="N124" s="438"/>
      <c r="O124" s="438"/>
      <c r="P124" s="438" t="str">
        <f>Zhang!$F$127</f>
        <v>-</v>
      </c>
      <c r="Q124" s="438" t="str">
        <f>Zhang!$F$128</f>
        <v>with H2 + CO2</v>
      </c>
      <c r="R124" s="408"/>
      <c r="S124" s="409">
        <f>Zhang!$F$129</f>
        <v>3</v>
      </c>
      <c r="T124" s="418">
        <f>Zhang!$F$130</f>
        <v>25.862068965517246</v>
      </c>
      <c r="U124" s="417">
        <f>Zhang!$F$131</f>
        <v>7.6509999999999998</v>
      </c>
      <c r="V124" s="416">
        <f>Zhang!$F$132</f>
        <v>1.0011082915782827</v>
      </c>
      <c r="W124" s="416">
        <f>Zhang!$F$133</f>
        <v>0.78742320686185141</v>
      </c>
      <c r="X124" s="417">
        <f>Zhang!$F$134</f>
        <v>2.2405056986419987</v>
      </c>
      <c r="Y124" s="417">
        <f>Zhang!$F$135</f>
        <v>3.0033248747348482</v>
      </c>
      <c r="Z124" s="417">
        <f>Zhang!$F$136</f>
        <v>2.3781059160527125</v>
      </c>
      <c r="AA124" s="418">
        <f>Zhang!$F$137</f>
        <v>65.03</v>
      </c>
      <c r="AB124" s="418">
        <f>Zhang!$F$138</f>
        <v>16.945</v>
      </c>
      <c r="AC124" s="408">
        <f>Zhang!$F$139</f>
        <v>17.094999999999999</v>
      </c>
      <c r="AD124" s="417">
        <f>Zhang!$F$140</f>
        <v>7.7594999999999992</v>
      </c>
      <c r="AE124" s="417">
        <f>Zhang!$F$141</f>
        <v>0.2041257892767287</v>
      </c>
      <c r="AF124" s="408" t="str">
        <f>Zhang!$F$142</f>
        <v>convert</v>
      </c>
      <c r="AG124" s="417">
        <f>Zhang!$F113</f>
        <v>1.7909062006589715</v>
      </c>
      <c r="AH124" s="417">
        <f>Zhang!$F114</f>
        <v>2.3781059160527125</v>
      </c>
      <c r="AI124" s="417">
        <f>Zhang!$F115</f>
        <v>1.6101610828362427</v>
      </c>
      <c r="AJ124" s="418">
        <f>Zhang!$F116</f>
        <v>22.13766265130759</v>
      </c>
      <c r="AK124" s="453">
        <f>Zhang!$F117</f>
        <v>0.93629915078236658</v>
      </c>
      <c r="AL124" s="417">
        <f>Zhang!$F118</f>
        <v>1.3278785428168591</v>
      </c>
      <c r="AM124" s="417">
        <f>Zhang!$F119</f>
        <v>0.89907616727429784</v>
      </c>
      <c r="AN124" s="417">
        <f>Zhang!$F120</f>
        <v>1.4769366502535024</v>
      </c>
      <c r="AO124" s="417">
        <f>Zhang!$F121</f>
        <v>0.98805323468783646</v>
      </c>
      <c r="AP124" s="417">
        <f>Zhang!$F122</f>
        <v>3.9142049075893772</v>
      </c>
      <c r="AQ124" s="417">
        <f>Zhang!$F123</f>
        <v>3.0123236960473121</v>
      </c>
      <c r="AR124" s="418">
        <f>Zhang!$F124</f>
        <v>4.4490112691193673</v>
      </c>
    </row>
    <row r="125" spans="1:44" x14ac:dyDescent="0.3">
      <c r="A125" s="110"/>
      <c r="B125" s="433" t="str">
        <f>Corb!B98</f>
        <v>Corbellini et al., 2019</v>
      </c>
      <c r="C125" s="110">
        <v>75</v>
      </c>
      <c r="D125" s="110" t="str">
        <f>Corb!$D102</f>
        <v>Mixed SS</v>
      </c>
      <c r="E125" s="408">
        <f>Corb!$D103</f>
        <v>35</v>
      </c>
      <c r="F125" s="110" t="str">
        <f>Corb!$D104</f>
        <v>CSTR</v>
      </c>
      <c r="G125" s="408">
        <f>Corb!$D105</f>
        <v>2.4</v>
      </c>
      <c r="H125" s="408">
        <f>Corb!$D106</f>
        <v>1</v>
      </c>
      <c r="I125" s="438" t="str">
        <f>Corb!$D107</f>
        <v>Magnetic</v>
      </c>
      <c r="J125" s="408" t="str">
        <f>Corb!$D108</f>
        <v>No</v>
      </c>
      <c r="K125" s="438" t="str">
        <f>Corb!$D109</f>
        <v>Syringe</v>
      </c>
      <c r="L125" s="438" t="str">
        <f>Corb!$D110</f>
        <v>Headspace</v>
      </c>
      <c r="M125" s="438" t="str">
        <f>Corb!$D111</f>
        <v>Parallel</v>
      </c>
      <c r="N125" s="438" t="str">
        <f>Corb!$D112</f>
        <v>H2 addition</v>
      </c>
      <c r="O125" s="438">
        <f>Corb!$D113</f>
        <v>0</v>
      </c>
      <c r="P125" s="438" t="str">
        <f>Corb!$M$184</f>
        <v>-</v>
      </c>
      <c r="Q125" s="438" t="str">
        <f>Corb!$M$185</f>
        <v>No H2</v>
      </c>
      <c r="R125" s="497">
        <f>C125</f>
        <v>75</v>
      </c>
      <c r="S125" s="408">
        <f>Corb!$M$186</f>
        <v>1</v>
      </c>
      <c r="T125" s="409">
        <f>Corb!$M$187</f>
        <v>15</v>
      </c>
      <c r="U125" s="417"/>
      <c r="V125" s="408">
        <f>Corb!$M$189</f>
        <v>0.16200000000000001</v>
      </c>
      <c r="W125" s="408"/>
      <c r="X125" s="408"/>
      <c r="Y125" s="416">
        <f>Corb!$M$192</f>
        <v>0.16684200000000002</v>
      </c>
      <c r="Z125" s="408"/>
      <c r="AA125" s="408">
        <f>Corb!$M$194</f>
        <v>71.3</v>
      </c>
      <c r="AB125" s="408">
        <f>Corb!$M$195</f>
        <v>28.6</v>
      </c>
      <c r="AC125" s="417"/>
      <c r="AD125" s="417">
        <f>Corb!$M$197</f>
        <v>7</v>
      </c>
      <c r="AE125" s="408" t="str">
        <f>Corb!$M$198</f>
        <v>n/r</v>
      </c>
      <c r="AF125" s="408" t="str">
        <f>Corb!$M$199</f>
        <v>n/r</v>
      </c>
      <c r="AG125" s="417"/>
      <c r="AH125" s="417"/>
      <c r="AI125" s="417"/>
      <c r="AJ125" s="418"/>
      <c r="AK125" s="453"/>
      <c r="AL125" s="417"/>
      <c r="AM125" s="417"/>
      <c r="AN125" s="417"/>
      <c r="AO125" s="417"/>
      <c r="AP125" s="417"/>
      <c r="AQ125" s="417"/>
      <c r="AR125" s="418"/>
    </row>
    <row r="126" spans="1:44" x14ac:dyDescent="0.3">
      <c r="A126" s="110"/>
      <c r="B126" s="433"/>
      <c r="C126" s="110"/>
      <c r="D126" s="110"/>
      <c r="E126" s="408"/>
      <c r="F126" s="110"/>
      <c r="G126" s="408"/>
      <c r="H126" s="408"/>
      <c r="I126" s="438"/>
      <c r="J126" s="408"/>
      <c r="K126" s="438"/>
      <c r="L126" s="438"/>
      <c r="M126" s="438"/>
      <c r="N126" s="438"/>
      <c r="O126" s="438"/>
      <c r="P126" s="438" t="str">
        <f>Corb!$N$184</f>
        <v>-</v>
      </c>
      <c r="Q126" s="438" t="str">
        <f>Corb!$N$185</f>
        <v>With H2</v>
      </c>
      <c r="R126" s="408"/>
      <c r="S126" s="408">
        <f>Corb!$N$186</f>
        <v>1</v>
      </c>
      <c r="T126" s="409">
        <f>Corb!$N$187</f>
        <v>15</v>
      </c>
      <c r="U126" s="417">
        <f>Corb!$N$188</f>
        <v>0.13300000000000001</v>
      </c>
      <c r="V126" s="408">
        <f>Corb!$N$189</f>
        <v>0.19400000000000001</v>
      </c>
      <c r="W126" s="408">
        <f>Corb!$N$190</f>
        <v>3.2000000000000001E-2</v>
      </c>
      <c r="X126" s="417">
        <f>Corb!$N$191</f>
        <v>0.19753086419753085</v>
      </c>
      <c r="Y126" s="416">
        <f>Corb!$N$192</f>
        <v>0.19531600000000002</v>
      </c>
      <c r="Z126" s="417">
        <f>Corb!$N$193</f>
        <v>2.8473999999999999E-2</v>
      </c>
      <c r="AA126" s="408">
        <f>Corb!$N$194</f>
        <v>77.2</v>
      </c>
      <c r="AB126" s="408">
        <f>Corb!$N$195</f>
        <v>22.8</v>
      </c>
      <c r="AC126" s="417">
        <f>Corb!$N$196</f>
        <v>0</v>
      </c>
      <c r="AD126" s="417">
        <f>Corb!$N$197</f>
        <v>7.3</v>
      </c>
      <c r="AE126" s="408" t="str">
        <f>Corb!$N$198</f>
        <v>n/r</v>
      </c>
      <c r="AF126" s="408" t="str">
        <f>Corb!$N$199</f>
        <v>n/r</v>
      </c>
      <c r="AG126" s="417">
        <f>Corb!$N$169</f>
        <v>3.3250000000000002E-2</v>
      </c>
      <c r="AH126" s="417">
        <f>Corb!$N$170</f>
        <v>2.8473999999999999E-2</v>
      </c>
      <c r="AI126" s="417">
        <f>Corb!$N$171</f>
        <v>9.2400000000000052E-3</v>
      </c>
      <c r="AJ126" s="418">
        <f>Corb!$N$172</f>
        <v>1.9873289104058331</v>
      </c>
      <c r="AK126" s="453">
        <f>Corb!$N$173</f>
        <v>1</v>
      </c>
      <c r="AL126" s="417">
        <f>Corb!$N$174</f>
        <v>0.85636090225563899</v>
      </c>
      <c r="AM126" s="417">
        <f>Corb!$N$175</f>
        <v>0.27789473684210542</v>
      </c>
      <c r="AN126" s="417">
        <f>Corb!$N$176</f>
        <v>3.0816017316017299</v>
      </c>
      <c r="AO126" s="417">
        <f>Corb!$N$177</f>
        <v>12.796020893186881</v>
      </c>
      <c r="AP126" s="417">
        <f>Corb!$N$178</f>
        <v>1.0811965811965811</v>
      </c>
      <c r="AQ126" s="417">
        <f>Corb!$N$179</f>
        <v>4.6709278640162957</v>
      </c>
      <c r="AR126" s="418">
        <f>Corb!$N$180</f>
        <v>14.393939393939387</v>
      </c>
    </row>
    <row r="127" spans="1:44" x14ac:dyDescent="0.3">
      <c r="A127" s="110"/>
      <c r="B127" s="433"/>
      <c r="C127" s="110"/>
      <c r="D127" s="110"/>
      <c r="E127" s="408"/>
      <c r="F127" s="110"/>
      <c r="G127" s="408"/>
      <c r="H127" s="408"/>
      <c r="I127" s="438"/>
      <c r="J127" s="408"/>
      <c r="K127" s="438"/>
      <c r="L127" s="438"/>
      <c r="M127" s="438"/>
      <c r="N127" s="438"/>
      <c r="O127" s="438"/>
      <c r="P127" s="438" t="str">
        <f>Corb!$O$184</f>
        <v>-</v>
      </c>
      <c r="Q127" s="438" t="str">
        <f>Corb!$O$185</f>
        <v>With H2</v>
      </c>
      <c r="R127" s="408"/>
      <c r="S127" s="408">
        <f>Corb!$O$186</f>
        <v>1</v>
      </c>
      <c r="T127" s="409">
        <f>Corb!$O$187</f>
        <v>15</v>
      </c>
      <c r="U127" s="417">
        <f>Corb!$O$188</f>
        <v>0.124</v>
      </c>
      <c r="V127" s="408">
        <f>Corb!$O$189</f>
        <v>0.19400000000000001</v>
      </c>
      <c r="W127" s="408">
        <f>Corb!$O$190</f>
        <v>3.2000000000000001E-2</v>
      </c>
      <c r="X127" s="417">
        <f>Corb!$O$191</f>
        <v>0.19753086419753085</v>
      </c>
      <c r="Y127" s="416">
        <f>Corb!$O$192</f>
        <v>0.19481000000000001</v>
      </c>
      <c r="Z127" s="417">
        <f>Corb!$O$193</f>
        <v>2.7967999999999993E-2</v>
      </c>
      <c r="AA127" s="408">
        <f>Corb!$O$194</f>
        <v>77</v>
      </c>
      <c r="AB127" s="408">
        <f>Corb!$O$195</f>
        <v>22.3</v>
      </c>
      <c r="AC127" s="417">
        <f>Corb!$O$196</f>
        <v>0</v>
      </c>
      <c r="AD127" s="417">
        <f>Corb!$O$197</f>
        <v>7.2</v>
      </c>
      <c r="AE127" s="408" t="str">
        <f>Corb!$O$198</f>
        <v>n/r</v>
      </c>
      <c r="AF127" s="408" t="str">
        <f>Corb!$O$199</f>
        <v>n/r</v>
      </c>
      <c r="AG127" s="417">
        <f>Corb!$O$169</f>
        <v>3.1E-2</v>
      </c>
      <c r="AH127" s="417">
        <f>Corb!$O$170</f>
        <v>2.7967999999999993E-2</v>
      </c>
      <c r="AI127" s="417">
        <f>Corb!$O$171</f>
        <v>1.0505000000000007E-2</v>
      </c>
      <c r="AJ127" s="418">
        <f>Corb!$O$172</f>
        <v>1.8528480066941602</v>
      </c>
      <c r="AK127" s="453">
        <f>Corb!$O$173</f>
        <v>1</v>
      </c>
      <c r="AL127" s="417">
        <f>Corb!$O$174</f>
        <v>0.90219354838709653</v>
      </c>
      <c r="AM127" s="417">
        <f>Corb!$O$175</f>
        <v>0.3388709677419357</v>
      </c>
      <c r="AN127" s="417">
        <f>Corb!$O$176</f>
        <v>2.6623512613041385</v>
      </c>
      <c r="AO127" s="417">
        <f>Corb!$O$177</f>
        <v>13.480867078881962</v>
      </c>
      <c r="AP127" s="417">
        <f>Corb!$O$178</f>
        <v>1.0811965811965811</v>
      </c>
      <c r="AQ127" s="417">
        <f>Corb!$O$179</f>
        <v>4.4336384439359282</v>
      </c>
      <c r="AR127" s="418">
        <f>Corb!$O$180</f>
        <v>11.803902903379335</v>
      </c>
    </row>
    <row r="128" spans="1:44" x14ac:dyDescent="0.3">
      <c r="A128" s="110"/>
      <c r="B128" s="433" t="str">
        <f>Corb!B203</f>
        <v>Corbellini et al., 2021</v>
      </c>
      <c r="C128" s="110">
        <v>76</v>
      </c>
      <c r="D128" s="110" t="str">
        <f>Corb!$D207</f>
        <v>Mixed SS</v>
      </c>
      <c r="E128" s="408">
        <f>Corb!$D208</f>
        <v>36.700000000000003</v>
      </c>
      <c r="F128" s="110" t="str">
        <f>Corb!$D209</f>
        <v>CSTR</v>
      </c>
      <c r="G128" s="408">
        <f>Corb!$D210</f>
        <v>16</v>
      </c>
      <c r="H128" s="408">
        <f>Corb!$D211</f>
        <v>11</v>
      </c>
      <c r="I128" s="438" t="str">
        <f>Corb!$D212</f>
        <v>Mechanical</v>
      </c>
      <c r="J128" s="408" t="str">
        <f>Corb!$D213</f>
        <v>No</v>
      </c>
      <c r="K128" s="438" t="str">
        <f>Corb!$D214</f>
        <v>Tube</v>
      </c>
      <c r="L128" s="438" t="str">
        <f>Corb!$D215</f>
        <v>Continuous</v>
      </c>
      <c r="M128" s="438" t="str">
        <f>Corb!$D216</f>
        <v>Sequential</v>
      </c>
      <c r="N128" s="438" t="str">
        <f>Corb!$D217</f>
        <v>H2 addition</v>
      </c>
      <c r="O128" s="438">
        <f>Corb!$E218</f>
        <v>0</v>
      </c>
      <c r="P128" s="438" t="str">
        <f>Corb!$E$345</f>
        <v>Control period</v>
      </c>
      <c r="Q128" s="438" t="str">
        <f>Corb!$E$346</f>
        <v>No H2</v>
      </c>
      <c r="R128" s="497">
        <f>C128</f>
        <v>76</v>
      </c>
      <c r="S128" s="408">
        <f>Corb!$E$347</f>
        <v>1.3</v>
      </c>
      <c r="T128" s="408">
        <f>Corb!$E$348</f>
        <v>22</v>
      </c>
      <c r="U128" s="417"/>
      <c r="V128" s="416">
        <f>Corb!$E$350</f>
        <v>0.19384615384615383</v>
      </c>
      <c r="W128" s="416"/>
      <c r="X128" s="417"/>
      <c r="Y128" s="416">
        <f>Corb!$E$353</f>
        <v>0.252</v>
      </c>
      <c r="Z128" s="417"/>
      <c r="AA128" s="418">
        <f>Corb!$E$355</f>
        <v>75.613747954173476</v>
      </c>
      <c r="AB128" s="418">
        <f>Corb!$E$356</f>
        <v>24.386252045826513</v>
      </c>
      <c r="AC128" s="417"/>
      <c r="AD128" s="408">
        <f>Corb!$E$358</f>
        <v>7.4</v>
      </c>
      <c r="AE128" s="408" t="str">
        <f>Corb!$E$359</f>
        <v>n/r</v>
      </c>
      <c r="AF128" s="408" t="str">
        <f>Corb!$E$360</f>
        <v>graph</v>
      </c>
      <c r="AG128" s="417"/>
      <c r="AH128" s="417"/>
      <c r="AI128" s="417"/>
      <c r="AJ128" s="418"/>
      <c r="AK128" s="453"/>
      <c r="AL128" s="417"/>
      <c r="AM128" s="417"/>
      <c r="AN128" s="417"/>
      <c r="AO128" s="417"/>
      <c r="AP128" s="417"/>
      <c r="AQ128" s="417"/>
      <c r="AR128" s="418"/>
    </row>
    <row r="129" spans="1:44" x14ac:dyDescent="0.3">
      <c r="A129" s="110"/>
      <c r="B129" s="433"/>
      <c r="C129" s="110"/>
      <c r="D129" s="110"/>
      <c r="E129" s="408"/>
      <c r="F129" s="110"/>
      <c r="G129" s="408"/>
      <c r="H129" s="408"/>
      <c r="I129" s="438"/>
      <c r="J129" s="408"/>
      <c r="K129" s="438"/>
      <c r="L129" s="438"/>
      <c r="M129" s="438"/>
      <c r="N129" s="438"/>
      <c r="O129" s="438"/>
      <c r="P129" s="438" t="str">
        <f>Corb!$N$345</f>
        <v>H2/CO2 4</v>
      </c>
      <c r="Q129" s="438" t="str">
        <f>Corb!$N$346</f>
        <v>With H2</v>
      </c>
      <c r="R129" s="408"/>
      <c r="S129" s="408">
        <f>Corb!$N$347</f>
        <v>1.4</v>
      </c>
      <c r="T129" s="408">
        <f>Corb!$N$348</f>
        <v>22</v>
      </c>
      <c r="U129" s="417">
        <f>Corb!$N$349</f>
        <v>0.36509090909090908</v>
      </c>
      <c r="V129" s="416">
        <f>Corb!$N$350</f>
        <v>0.22428571428571431</v>
      </c>
      <c r="W129" s="416">
        <f>Corb!$N$351</f>
        <v>4.2677322677322688E-2</v>
      </c>
      <c r="X129" s="417">
        <f>Corb!$N$352</f>
        <v>0.23499642444578914</v>
      </c>
      <c r="Y129" s="416">
        <f>Corb!$N$353</f>
        <v>0.314</v>
      </c>
      <c r="Z129" s="417">
        <f>Corb!$N$354</f>
        <v>7.79090909090909E-2</v>
      </c>
      <c r="AA129" s="418">
        <f>Corb!$N$355</f>
        <v>81.041764429845145</v>
      </c>
      <c r="AB129" s="418">
        <f>Corb!$N$356</f>
        <v>14.195213514781793</v>
      </c>
      <c r="AC129" s="417">
        <f>Corb!$N$357</f>
        <v>4.7630220553730647</v>
      </c>
      <c r="AD129" s="408">
        <f>Corb!$N$358</f>
        <v>7.4</v>
      </c>
      <c r="AE129" s="408" t="str">
        <f>Corb!$N$359</f>
        <v>n/r</v>
      </c>
      <c r="AF129" s="408" t="str">
        <f>Corb!$N$360</f>
        <v>graph</v>
      </c>
      <c r="AG129" s="417">
        <f>Corb!$N$298</f>
        <v>8.6659090909090908E-2</v>
      </c>
      <c r="AH129" s="417">
        <f>Corb!$N$299</f>
        <v>7.79090909090909E-2</v>
      </c>
      <c r="AI129" s="417">
        <f>Corb!$N$300</f>
        <v>1.6636363636363637E-2</v>
      </c>
      <c r="AJ129" s="418">
        <f>Corb!$N$301</f>
        <v>5.0964467005076139</v>
      </c>
      <c r="AK129" s="453">
        <f>Corb!$N$302</f>
        <v>0.94945219123505975</v>
      </c>
      <c r="AL129" s="417">
        <f>Corb!$N$303</f>
        <v>0.8990296354576448</v>
      </c>
      <c r="AM129" s="417">
        <f>Corb!$N$304</f>
        <v>0.1919748229740362</v>
      </c>
      <c r="AN129" s="417">
        <f>Corb!$N$305</f>
        <v>4.6830601092896167</v>
      </c>
      <c r="AO129" s="417">
        <f>Corb!$N$306</f>
        <v>1.0875634517766497</v>
      </c>
      <c r="AP129" s="417">
        <f>Corb!$N$307</f>
        <v>1.1991137370753322</v>
      </c>
      <c r="AQ129" s="417">
        <f>Corb!$N$308</f>
        <v>4.4492415402567103</v>
      </c>
      <c r="AR129" s="418">
        <f>Corb!$N$309</f>
        <v>20.83606557377049</v>
      </c>
    </row>
    <row r="130" spans="1:44" x14ac:dyDescent="0.3">
      <c r="A130" s="110"/>
      <c r="B130" s="433"/>
      <c r="C130" s="110"/>
      <c r="D130" s="110"/>
      <c r="E130" s="408"/>
      <c r="F130" s="110"/>
      <c r="G130" s="408"/>
      <c r="H130" s="408"/>
      <c r="I130" s="438"/>
      <c r="J130" s="408"/>
      <c r="K130" s="438"/>
      <c r="L130" s="438"/>
      <c r="M130" s="438"/>
      <c r="N130" s="438"/>
      <c r="O130" s="438"/>
      <c r="P130" s="438" t="str">
        <f>Corb!$P$345</f>
        <v>H2/CO2 6</v>
      </c>
      <c r="Q130" s="438" t="str">
        <f>Corb!$P$346</f>
        <v>With H2</v>
      </c>
      <c r="R130" s="408"/>
      <c r="S130" s="408">
        <f>Corb!$P$347</f>
        <v>1.5</v>
      </c>
      <c r="T130" s="408">
        <f>Corb!$P$348</f>
        <v>22</v>
      </c>
      <c r="U130" s="417">
        <f>Corb!$P$349</f>
        <v>0.33</v>
      </c>
      <c r="V130" s="416">
        <f>Corb!$P$350</f>
        <v>0.218</v>
      </c>
      <c r="W130" s="416">
        <f>Corb!$P$351</f>
        <v>3.6391608391608377E-2</v>
      </c>
      <c r="X130" s="417">
        <f>Corb!$P$352</f>
        <v>0.20038505968425097</v>
      </c>
      <c r="Y130" s="416">
        <f>Corb!$P$353</f>
        <v>0.32700000000000001</v>
      </c>
      <c r="Z130" s="417">
        <f>Corb!$P$354</f>
        <v>9.0909090909090912E-2</v>
      </c>
      <c r="AA130" s="418">
        <f>Corb!$P$355</f>
        <v>83.534602879702732</v>
      </c>
      <c r="AB130" s="418">
        <f>Corb!$P$356</f>
        <v>13.353460287970274</v>
      </c>
      <c r="AC130" s="417">
        <f>Corb!$P$357</f>
        <v>3.1119368323269856</v>
      </c>
      <c r="AD130" s="408">
        <f>Corb!$P$358</f>
        <v>7.4</v>
      </c>
      <c r="AE130" s="408" t="str">
        <f>Corb!$P$359</f>
        <v>n/r</v>
      </c>
      <c r="AF130" s="408" t="str">
        <f>Corb!$P$360</f>
        <v>graph</v>
      </c>
      <c r="AG130" s="417">
        <f>Corb!$P$298</f>
        <v>7.9454545454545458E-2</v>
      </c>
      <c r="AH130" s="417">
        <f>Corb!$P$299</f>
        <v>9.0909090909090912E-2</v>
      </c>
      <c r="AI130" s="417">
        <f>Corb!$P$300</f>
        <v>1.9363636363636368E-2</v>
      </c>
      <c r="AJ130" s="418">
        <f>Corb!$P$301</f>
        <v>4.6065989847715736</v>
      </c>
      <c r="AK130" s="453">
        <f>Corb!$P$302</f>
        <v>0.96308539944903582</v>
      </c>
      <c r="AL130" s="417">
        <f>Corb!$P$303</f>
        <v>1.1441647597254003</v>
      </c>
      <c r="AM130" s="417">
        <f>Corb!$P$304</f>
        <v>0.24370709382151035</v>
      </c>
      <c r="AN130" s="417">
        <f>Corb!$P$305</f>
        <v>4.6948356807511731</v>
      </c>
      <c r="AO130" s="417">
        <f>Corb!$P$306</f>
        <v>1.2690355329949239</v>
      </c>
      <c r="AP130" s="417">
        <f>Corb!$P$307</f>
        <v>1.2324963072378139</v>
      </c>
      <c r="AQ130" s="417">
        <f>Corb!$P$308</f>
        <v>3.496</v>
      </c>
      <c r="AR130" s="418">
        <f>Corb!$P$309</f>
        <v>16.4131455399061</v>
      </c>
    </row>
    <row r="131" spans="1:44" x14ac:dyDescent="0.3">
      <c r="A131" s="110"/>
      <c r="B131" s="433"/>
      <c r="C131" s="110"/>
      <c r="D131" s="110"/>
      <c r="E131" s="408"/>
      <c r="F131" s="110"/>
      <c r="G131" s="408"/>
      <c r="H131" s="408"/>
      <c r="I131" s="438"/>
      <c r="J131" s="408"/>
      <c r="K131" s="438"/>
      <c r="L131" s="438"/>
      <c r="M131" s="438"/>
      <c r="N131" s="438"/>
      <c r="O131" s="438"/>
      <c r="P131" s="438" t="str">
        <f>Corb!$R$345</f>
        <v>H2/CO2 7</v>
      </c>
      <c r="Q131" s="438" t="str">
        <f>Corb!$R$346</f>
        <v>With H2</v>
      </c>
      <c r="R131" s="408"/>
      <c r="S131" s="408">
        <f>Corb!$R$347</f>
        <v>1.5</v>
      </c>
      <c r="T131" s="408">
        <f>Corb!$R$348</f>
        <v>22</v>
      </c>
      <c r="U131" s="417">
        <f>Corb!$R$349</f>
        <v>0.36590909090909091</v>
      </c>
      <c r="V131" s="416">
        <f>Corb!$R$350</f>
        <v>0.20321212121212121</v>
      </c>
      <c r="W131" s="416">
        <f>Corb!$R$351</f>
        <v>2.1603729603729582E-2</v>
      </c>
      <c r="X131" s="417">
        <f>Corb!$R$352</f>
        <v>0.11895777178796034</v>
      </c>
      <c r="Y131" s="416">
        <f>Corb!$R$353</f>
        <v>0.30481818181818182</v>
      </c>
      <c r="Z131" s="417">
        <f>Corb!$R$354</f>
        <v>6.872727272727272E-2</v>
      </c>
      <c r="AA131" s="418">
        <f>Corb!$R$355</f>
        <v>86.306306306306297</v>
      </c>
      <c r="AB131" s="418">
        <f>Corb!$R$356</f>
        <v>7.6447876447876446</v>
      </c>
      <c r="AC131" s="417">
        <f>Corb!$R$357</f>
        <v>6.0489060489060487</v>
      </c>
      <c r="AD131" s="408">
        <f>Corb!$R$358</f>
        <v>7.4</v>
      </c>
      <c r="AE131" s="408" t="str">
        <f>Corb!$R$359</f>
        <v>n/r</v>
      </c>
      <c r="AF131" s="408" t="str">
        <f>Corb!$R$360</f>
        <v>graph</v>
      </c>
      <c r="AG131" s="417">
        <f>Corb!$R$298</f>
        <v>8.6136363636363636E-2</v>
      </c>
      <c r="AH131" s="417">
        <f>Corb!$R$299</f>
        <v>6.872727272727272E-2</v>
      </c>
      <c r="AI131" s="417">
        <f>Corb!$R$300</f>
        <v>4.4636363636363641E-2</v>
      </c>
      <c r="AJ131" s="418">
        <f>Corb!$R$301</f>
        <v>5.1078680203045685</v>
      </c>
      <c r="AK131" s="453">
        <f>Corb!$R$302</f>
        <v>0.94161490683229809</v>
      </c>
      <c r="AL131" s="417">
        <f>Corb!$R$303</f>
        <v>0.79788918205804737</v>
      </c>
      <c r="AM131" s="417">
        <f>Corb!$R$304</f>
        <v>0.51820580474934042</v>
      </c>
      <c r="AN131" s="417">
        <f>Corb!$R$305</f>
        <v>1.5397148676171077</v>
      </c>
      <c r="AO131" s="417">
        <f>Corb!$R$306</f>
        <v>0.95939086294416231</v>
      </c>
      <c r="AP131" s="417">
        <f>Corb!$R$307</f>
        <v>1.0782865583456427</v>
      </c>
      <c r="AQ131" s="417">
        <f>Corb!$R$308</f>
        <v>5.0132275132275135</v>
      </c>
      <c r="AR131" s="418">
        <f>Corb!$R$309</f>
        <v>7.7189409368635431</v>
      </c>
    </row>
    <row r="132" spans="1:44" x14ac:dyDescent="0.3">
      <c r="A132" s="110"/>
      <c r="B132" s="433" t="str">
        <f>Diaz!B2</f>
        <v>Diaz et al., 2020</v>
      </c>
      <c r="C132" s="110">
        <v>77</v>
      </c>
      <c r="D132" s="110" t="str">
        <f>Diaz!$D6</f>
        <v>Mixed SS</v>
      </c>
      <c r="E132" s="408">
        <f>Diaz!$D7</f>
        <v>35</v>
      </c>
      <c r="F132" s="110" t="str">
        <f>Diaz!$D8</f>
        <v>CSTR</v>
      </c>
      <c r="G132" s="408">
        <f>Diaz!$D9</f>
        <v>48</v>
      </c>
      <c r="H132" s="408">
        <f>Diaz!$D10</f>
        <v>35</v>
      </c>
      <c r="I132" s="438" t="str">
        <f>Diaz!$D11</f>
        <v>Recirc + static mixer</v>
      </c>
      <c r="J132" s="408" t="str">
        <f>Diaz!$D12</f>
        <v>No</v>
      </c>
      <c r="K132" s="438" t="str">
        <f>Diaz!$D13</f>
        <v>n/r</v>
      </c>
      <c r="L132" s="438" t="str">
        <f>Diaz!$D14</f>
        <v>Continuous</v>
      </c>
      <c r="M132" s="438" t="str">
        <f>Diaz!$D15</f>
        <v>Sequential</v>
      </c>
      <c r="N132" s="438" t="str">
        <f>Diaz!$D16</f>
        <v>Pressure and H2 addition</v>
      </c>
      <c r="O132" s="438" t="str">
        <f>Diaz!$D17</f>
        <v>No control - all cases have N2 addition and pressure</v>
      </c>
      <c r="P132" s="438" t="str">
        <f>Diaz!$D$63</f>
        <v>200 kPa</v>
      </c>
      <c r="Q132" s="438" t="str">
        <f>Diaz!$D$64</f>
        <v>With H2</v>
      </c>
      <c r="R132" s="497">
        <f>C132</f>
        <v>77</v>
      </c>
      <c r="S132" s="408">
        <f>Diaz!$D$65</f>
        <v>0.92</v>
      </c>
      <c r="T132" s="408">
        <f>Diaz!$D$66</f>
        <v>20</v>
      </c>
      <c r="U132" s="417">
        <f>Diaz!$D$67</f>
        <v>0.45</v>
      </c>
      <c r="V132" s="416">
        <f>Diaz!$D$68</f>
        <v>0.33191304347826089</v>
      </c>
      <c r="W132" s="416">
        <f>Diaz!$D$69</f>
        <v>0</v>
      </c>
      <c r="X132" s="417">
        <f>Diaz!$D$70</f>
        <v>0</v>
      </c>
      <c r="Y132" s="417">
        <f>Diaz!$D$71</f>
        <v>0.30536000000000002</v>
      </c>
      <c r="Z132" s="417">
        <f>Diaz!$D$72</f>
        <v>0</v>
      </c>
      <c r="AA132" s="418">
        <f>Diaz!$D$73</f>
        <v>69.400000000000006</v>
      </c>
      <c r="AB132" s="418">
        <f>Diaz!$D$74</f>
        <v>15.2</v>
      </c>
      <c r="AC132" s="418">
        <f>Diaz!$D$75</f>
        <v>15.4</v>
      </c>
      <c r="AD132" s="417">
        <f>Diaz!$D$76</f>
        <v>6.6</v>
      </c>
      <c r="AE132" s="408" t="str">
        <f>Diaz!$D$77</f>
        <v>n/r</v>
      </c>
      <c r="AF132" s="408" t="str">
        <f>Diaz!$D$78</f>
        <v>n/r</v>
      </c>
      <c r="AG132" s="417">
        <f>Diaz!$D$49</f>
        <v>9.5560000000000006E-2</v>
      </c>
      <c r="AH132" s="417"/>
      <c r="AI132" s="417"/>
      <c r="AJ132" s="418" t="str">
        <f>Diaz!$D$52</f>
        <v>n/a</v>
      </c>
      <c r="AK132" s="453">
        <f>Diaz!$D$53</f>
        <v>0.8494222222222223</v>
      </c>
      <c r="AL132" s="417"/>
      <c r="AM132" s="417"/>
      <c r="AN132" s="417"/>
      <c r="AO132" s="417"/>
      <c r="AP132" s="417"/>
      <c r="AQ132" s="417"/>
      <c r="AR132" s="418"/>
    </row>
    <row r="133" spans="1:44" x14ac:dyDescent="0.3">
      <c r="A133" s="110"/>
      <c r="B133" s="433"/>
      <c r="C133" s="110"/>
      <c r="D133" s="110"/>
      <c r="E133" s="408"/>
      <c r="F133" s="110"/>
      <c r="G133" s="408"/>
      <c r="H133" s="408"/>
      <c r="I133" s="438"/>
      <c r="J133" s="408"/>
      <c r="K133" s="438"/>
      <c r="L133" s="438"/>
      <c r="M133" s="438"/>
      <c r="N133" s="438"/>
      <c r="O133" s="438"/>
      <c r="P133" s="438" t="str">
        <f>Diaz!$G$63</f>
        <v>300 kPa</v>
      </c>
      <c r="Q133" s="438" t="str">
        <f>Diaz!$G$64</f>
        <v>With H2</v>
      </c>
      <c r="R133" s="408"/>
      <c r="S133" s="408">
        <f>Diaz!$G$65</f>
        <v>1.2</v>
      </c>
      <c r="T133" s="408">
        <f>Diaz!$G$66</f>
        <v>20</v>
      </c>
      <c r="U133" s="417">
        <f>Diaz!$G$67</f>
        <v>0.64</v>
      </c>
      <c r="V133" s="416">
        <f>Diaz!$G$68</f>
        <v>0.41805000000000003</v>
      </c>
      <c r="W133" s="416">
        <f>Diaz!$G$69</f>
        <v>0.10971666666666668</v>
      </c>
      <c r="X133" s="417">
        <f>Diaz!$G$70</f>
        <v>0.29653153153153156</v>
      </c>
      <c r="Y133" s="417">
        <f>Diaz!$G$71</f>
        <v>0.50165999999999999</v>
      </c>
      <c r="Z133" s="417">
        <f>Diaz!$G$72</f>
        <v>0.13166</v>
      </c>
      <c r="AA133" s="418">
        <f>Diaz!$G$73</f>
        <v>92.9</v>
      </c>
      <c r="AB133" s="418">
        <f>Diaz!$G$74</f>
        <v>6.3</v>
      </c>
      <c r="AC133" s="418">
        <f>Diaz!$G$75</f>
        <v>0.8</v>
      </c>
      <c r="AD133" s="417">
        <f>Diaz!$G$76</f>
        <v>7</v>
      </c>
      <c r="AE133" s="408" t="str">
        <f>Diaz!$G$77</f>
        <v>n/r</v>
      </c>
      <c r="AF133" s="408" t="str">
        <f>Diaz!$G$78</f>
        <v>n/r</v>
      </c>
      <c r="AG133" s="417">
        <f>Diaz!$G$49</f>
        <v>0.15892000000000001</v>
      </c>
      <c r="AH133" s="417">
        <f>Diaz!$G$50</f>
        <v>0.13166</v>
      </c>
      <c r="AI133" s="417" t="str">
        <f>Diaz!$G$51</f>
        <v>n/r</v>
      </c>
      <c r="AJ133" s="418" t="str">
        <f>Diaz!$G$52</f>
        <v>n/a</v>
      </c>
      <c r="AK133" s="453">
        <f>Diaz!$G$53</f>
        <v>0.99324999999999997</v>
      </c>
      <c r="AL133" s="417">
        <f>Diaz!$G$54</f>
        <v>0.82846715328467146</v>
      </c>
      <c r="AM133" s="417" t="str">
        <f>Diaz!$G$55</f>
        <v>n/r</v>
      </c>
      <c r="AN133" s="417" t="str">
        <f>Diaz!$G$56</f>
        <v>n/r</v>
      </c>
      <c r="AO133" s="417" t="str">
        <f>Diaz!$G$57</f>
        <v>n/a</v>
      </c>
      <c r="AP133" s="417" t="str">
        <f>Diaz!$G$58</f>
        <v>n/a</v>
      </c>
      <c r="AQ133" s="417">
        <f>Diaz!$G$59</f>
        <v>4.8281938325991192</v>
      </c>
      <c r="AR133" s="418" t="str">
        <f>Diaz!$G$60</f>
        <v>n/r</v>
      </c>
    </row>
    <row r="134" spans="1:44" x14ac:dyDescent="0.3">
      <c r="A134" s="110"/>
      <c r="B134" s="433" t="str">
        <f>Luo!B299</f>
        <v>Luo et al., 2013c</v>
      </c>
      <c r="C134" s="110">
        <v>78</v>
      </c>
      <c r="D134" s="110" t="str">
        <f>Luo!$D303</f>
        <v>Mixed SS</v>
      </c>
      <c r="E134" s="408">
        <f>Luo!$D304</f>
        <v>55</v>
      </c>
      <c r="F134" s="110" t="str">
        <f>Luo!$D305</f>
        <v>CSTR</v>
      </c>
      <c r="G134" s="408">
        <f>Luo!$D306</f>
        <v>0.6</v>
      </c>
      <c r="H134" s="408">
        <f>Luo!$D307</f>
        <v>0.4</v>
      </c>
      <c r="I134" s="438" t="str">
        <f>Luo!$D308</f>
        <v>Magnetic</v>
      </c>
      <c r="J134" s="408" t="str">
        <f>Luo!$D309</f>
        <v>No</v>
      </c>
      <c r="K134" s="438" t="str">
        <f>Luo!$D310</f>
        <v>HFM</v>
      </c>
      <c r="L134" s="438" t="str">
        <f>Luo!$D311</f>
        <v>Continuous</v>
      </c>
      <c r="M134" s="438" t="str">
        <f>Luo!$D312</f>
        <v>Parallel</v>
      </c>
      <c r="N134" s="438" t="str">
        <f>Luo!$D313</f>
        <v>CO addition</v>
      </c>
      <c r="O134" s="438" t="str">
        <f>Luo!$D314</f>
        <v>Added CO without H2</v>
      </c>
      <c r="P134" s="438">
        <f>Luo!$D315</f>
        <v>0</v>
      </c>
      <c r="Q134" s="438" t="str">
        <f>Luo!$I378</f>
        <v>No CO</v>
      </c>
      <c r="R134" s="497">
        <f>C134</f>
        <v>78</v>
      </c>
      <c r="S134" s="408">
        <f>Luo!$I379</f>
        <v>3.35</v>
      </c>
      <c r="T134" s="408">
        <f>Luo!$I380</f>
        <v>10</v>
      </c>
      <c r="U134" s="417"/>
      <c r="V134" s="416">
        <f>Luo!$I382</f>
        <v>0.20119402985074628</v>
      </c>
      <c r="W134" s="416"/>
      <c r="X134" s="417"/>
      <c r="Y134" s="417">
        <f>Luo!$I385</f>
        <v>0.67400000000000004</v>
      </c>
      <c r="Z134" s="417"/>
      <c r="AA134" s="418">
        <f>Luo!$I387</f>
        <v>62.1</v>
      </c>
      <c r="AB134" s="418">
        <f>Luo!$I388</f>
        <v>36.6</v>
      </c>
      <c r="AC134" s="418"/>
      <c r="AD134" s="417">
        <f>Luo!$I390</f>
        <v>7.24</v>
      </c>
      <c r="AE134" s="408" t="str">
        <f>Luo!$I391</f>
        <v>n/r</v>
      </c>
      <c r="AF134" s="408">
        <f>Luo!$I392</f>
        <v>3.3999999999999997E-4</v>
      </c>
      <c r="AG134" s="417"/>
      <c r="AH134" s="417"/>
      <c r="AI134" s="417"/>
      <c r="AJ134" s="418"/>
      <c r="AK134" s="453"/>
      <c r="AL134" s="417"/>
      <c r="AM134" s="417"/>
      <c r="AN134" s="417"/>
      <c r="AO134" s="417"/>
      <c r="AP134" s="417"/>
      <c r="AQ134" s="417"/>
      <c r="AR134" s="418"/>
    </row>
    <row r="135" spans="1:44" x14ac:dyDescent="0.3">
      <c r="A135" s="110"/>
      <c r="B135" s="433"/>
      <c r="C135" s="110"/>
      <c r="D135" s="110"/>
      <c r="E135" s="408"/>
      <c r="F135" s="110"/>
      <c r="G135" s="408"/>
      <c r="H135" s="408"/>
      <c r="I135" s="438"/>
      <c r="J135" s="408"/>
      <c r="K135" s="438"/>
      <c r="L135" s="438"/>
      <c r="M135" s="438"/>
      <c r="N135" s="438"/>
      <c r="O135" s="438"/>
      <c r="P135" s="441" t="str">
        <f>Luo!$H377</f>
        <v>Highest SMP without residual CO</v>
      </c>
      <c r="Q135" s="438" t="str">
        <f>Luo!$H378</f>
        <v>With CO</v>
      </c>
      <c r="R135" s="408"/>
      <c r="S135" s="408"/>
      <c r="T135" s="408">
        <f>Luo!$H380</f>
        <v>10</v>
      </c>
      <c r="U135" s="417" t="str">
        <f>Luo!$H381</f>
        <v>n/a</v>
      </c>
      <c r="V135" s="416">
        <f>Luo!$H382</f>
        <v>0.54059701492537315</v>
      </c>
      <c r="W135" s="416">
        <f>Luo!$H383</f>
        <v>0.33940298507462685</v>
      </c>
      <c r="X135" s="417">
        <f>Luo!$H384</f>
        <v>1.6869436201780414</v>
      </c>
      <c r="Y135" s="417">
        <f>Luo!$H385</f>
        <v>1.8109999999999999</v>
      </c>
      <c r="Z135" s="417">
        <f>Luo!$H386</f>
        <v>1.137</v>
      </c>
      <c r="AA135" s="418">
        <f>Luo!$H387</f>
        <v>29.8</v>
      </c>
      <c r="AB135" s="418">
        <f>Luo!$H388</f>
        <v>68.900000000000006</v>
      </c>
      <c r="AC135" s="418">
        <f>Luo!$H389</f>
        <v>0</v>
      </c>
      <c r="AD135" s="417">
        <f>Luo!$H390</f>
        <v>7.03</v>
      </c>
      <c r="AE135" s="408" t="str">
        <f>Luo!$H391</f>
        <v>n/r</v>
      </c>
      <c r="AF135" s="408">
        <f>Luo!$H392</f>
        <v>3.1E-4</v>
      </c>
      <c r="AG135" s="417" t="str">
        <f>Luo!$H$360</f>
        <v>n/a</v>
      </c>
      <c r="AH135" s="417" t="str">
        <f>Luo!$H$361</f>
        <v>n/a</v>
      </c>
      <c r="AI135" s="417" t="str">
        <f>Luo!$H$362</f>
        <v>n/a</v>
      </c>
      <c r="AJ135" s="418" t="str">
        <f>Luo!$H$363</f>
        <v>n/a</v>
      </c>
      <c r="AK135" s="453" t="str">
        <f>Luo!$H$364</f>
        <v>n/a</v>
      </c>
      <c r="AL135" s="417" t="str">
        <f>Luo!$H$365</f>
        <v>n/a</v>
      </c>
      <c r="AM135" s="417" t="str">
        <f>Luo!$H$366</f>
        <v>n/a</v>
      </c>
      <c r="AN135" s="417" t="str">
        <f>Luo!$H$367</f>
        <v>n/a</v>
      </c>
      <c r="AO135" s="417" t="str">
        <f>Luo!$H$368</f>
        <v>n/a</v>
      </c>
      <c r="AP135" s="417" t="str">
        <f>Luo!$H$369</f>
        <v>n/a</v>
      </c>
      <c r="AQ135" s="417" t="str">
        <f>Luo!$H$370</f>
        <v>n/a</v>
      </c>
      <c r="AR135" s="418" t="str">
        <f>Luo!$H$371</f>
        <v>n/a</v>
      </c>
    </row>
    <row r="136" spans="1:44" x14ac:dyDescent="0.3">
      <c r="A136" s="110"/>
      <c r="B136" s="433"/>
      <c r="C136" s="110"/>
      <c r="D136" s="110"/>
      <c r="E136" s="408"/>
      <c r="F136" s="110"/>
      <c r="G136" s="408"/>
      <c r="H136" s="408"/>
      <c r="I136" s="438"/>
      <c r="J136" s="408"/>
      <c r="K136" s="438"/>
      <c r="L136" s="438"/>
      <c r="M136" s="438"/>
      <c r="N136" s="438"/>
      <c r="O136" s="438"/>
      <c r="P136" s="441"/>
      <c r="Q136" s="438" t="str">
        <f>Luo!$K378</f>
        <v>No CO</v>
      </c>
      <c r="R136" s="408"/>
      <c r="S136" s="408">
        <f>Luo!$K379</f>
        <v>3.35</v>
      </c>
      <c r="T136" s="408">
        <f>Luo!$K380</f>
        <v>10</v>
      </c>
      <c r="U136" s="408" t="str">
        <f>Luo!$K381</f>
        <v>n/a</v>
      </c>
      <c r="V136" s="416">
        <f>Luo!$K382</f>
        <v>0.18746268656716417</v>
      </c>
      <c r="W136" s="416"/>
      <c r="X136" s="417"/>
      <c r="Y136" s="417">
        <f>Luo!$K385</f>
        <v>0.628</v>
      </c>
      <c r="Z136" s="417"/>
      <c r="AA136" s="418">
        <f>Luo!$K387</f>
        <v>61</v>
      </c>
      <c r="AB136" s="418">
        <f>Luo!$K388</f>
        <v>38.299999999999997</v>
      </c>
      <c r="AC136" s="418"/>
      <c r="AD136" s="417">
        <f>Luo!$K390</f>
        <v>7.29</v>
      </c>
      <c r="AE136" s="408" t="str">
        <f>Luo!$K391</f>
        <v>n/r</v>
      </c>
      <c r="AF136" s="408">
        <f>Luo!$K392</f>
        <v>5.1000000000000004E-4</v>
      </c>
      <c r="AG136" s="417"/>
      <c r="AH136" s="417"/>
      <c r="AI136" s="417"/>
      <c r="AJ136" s="418"/>
      <c r="AK136" s="453"/>
      <c r="AL136" s="417"/>
      <c r="AM136" s="417"/>
      <c r="AN136" s="417"/>
      <c r="AO136" s="417"/>
      <c r="AP136" s="417"/>
      <c r="AQ136" s="417"/>
      <c r="AR136" s="418"/>
    </row>
    <row r="137" spans="1:44" x14ac:dyDescent="0.3">
      <c r="A137" s="110"/>
      <c r="B137" s="433"/>
      <c r="C137" s="110"/>
      <c r="D137" s="110"/>
      <c r="E137" s="408"/>
      <c r="F137" s="110"/>
      <c r="G137" s="408"/>
      <c r="H137" s="408"/>
      <c r="I137" s="438"/>
      <c r="J137" s="408"/>
      <c r="K137" s="438"/>
      <c r="L137" s="438"/>
      <c r="M137" s="438"/>
      <c r="N137" s="438"/>
      <c r="O137" s="438"/>
      <c r="P137" s="441" t="str">
        <f>Luo!$J377</f>
        <v>Highest SMP</v>
      </c>
      <c r="Q137" s="438" t="str">
        <f>Luo!$J378</f>
        <v>With CO</v>
      </c>
      <c r="R137" s="408"/>
      <c r="S137" s="408"/>
      <c r="T137" s="408">
        <f>Luo!$J380</f>
        <v>10</v>
      </c>
      <c r="U137" s="417" t="str">
        <f>Luo!$J381</f>
        <v>n/a</v>
      </c>
      <c r="V137" s="416">
        <f>Luo!$J382</f>
        <v>0.5946268656716418</v>
      </c>
      <c r="W137" s="416">
        <f>Luo!$J383</f>
        <v>0.40716417910447766</v>
      </c>
      <c r="X137" s="417">
        <f>Luo!$J384</f>
        <v>2.1719745222929943</v>
      </c>
      <c r="Y137" s="417">
        <f>Luo!$J385</f>
        <v>1.992</v>
      </c>
      <c r="Z137" s="417">
        <f>Luo!$J386</f>
        <v>1.3639999999999999</v>
      </c>
      <c r="AA137" s="418">
        <f>Luo!$J387</f>
        <v>19.2</v>
      </c>
      <c r="AB137" s="418">
        <f>Luo!$J388</f>
        <v>44.5</v>
      </c>
      <c r="AC137" s="418">
        <f>Luo!$J389</f>
        <v>35.200000000000003</v>
      </c>
      <c r="AD137" s="417">
        <f>Luo!$J390</f>
        <v>7.17</v>
      </c>
      <c r="AE137" s="408" t="str">
        <f>Luo!$J391</f>
        <v>n/r</v>
      </c>
      <c r="AF137" s="408">
        <f>Luo!$J392</f>
        <v>4.2999999999999999E-4</v>
      </c>
      <c r="AG137" s="417" t="str">
        <f>Luo!$J$360</f>
        <v>n/a</v>
      </c>
      <c r="AH137" s="417" t="str">
        <f>Luo!$J$361</f>
        <v>n/a</v>
      </c>
      <c r="AI137" s="417" t="str">
        <f>Luo!$J$362</f>
        <v>n/a</v>
      </c>
      <c r="AJ137" s="418" t="str">
        <f>Luo!$J$363</f>
        <v>n/a</v>
      </c>
      <c r="AK137" s="453" t="str">
        <f>Luo!$J$364</f>
        <v>n/a</v>
      </c>
      <c r="AL137" s="417" t="str">
        <f>Luo!$J$365</f>
        <v>n/a</v>
      </c>
      <c r="AM137" s="417" t="str">
        <f>Luo!$J$366</f>
        <v>n/a</v>
      </c>
      <c r="AN137" s="417" t="str">
        <f>Luo!$J$367</f>
        <v>n/a</v>
      </c>
      <c r="AO137" s="417" t="str">
        <f>Luo!$J$368</f>
        <v>n/a</v>
      </c>
      <c r="AP137" s="417" t="str">
        <f>Luo!$J$369</f>
        <v>n/a</v>
      </c>
      <c r="AQ137" s="417" t="str">
        <f>Luo!$J$370</f>
        <v>n/a</v>
      </c>
      <c r="AR137" s="418" t="str">
        <f>Luo!$J$371</f>
        <v>n/a</v>
      </c>
    </row>
    <row r="138" spans="1:44" x14ac:dyDescent="0.3">
      <c r="A138" s="110"/>
      <c r="B138" s="433" t="str">
        <f>'Wang W'!B2</f>
        <v>Wang et al., 2013</v>
      </c>
      <c r="C138" s="110">
        <v>79</v>
      </c>
      <c r="D138" s="110" t="str">
        <f>'Wang W'!$D6</f>
        <v>Mixed SS</v>
      </c>
      <c r="E138" s="408">
        <f>'Wang W'!$D7</f>
        <v>37</v>
      </c>
      <c r="F138" s="110" t="str">
        <f>'Wang W'!$D8</f>
        <v>CSTR</v>
      </c>
      <c r="G138" s="408">
        <f>'Wang W'!$D9</f>
        <v>3</v>
      </c>
      <c r="H138" s="408">
        <f>'Wang W'!$D10</f>
        <v>2</v>
      </c>
      <c r="I138" s="438" t="str">
        <f>'Wang W'!$D11</f>
        <v>Mechanical</v>
      </c>
      <c r="J138" s="408" t="str">
        <f>'Wang W'!$D12</f>
        <v>No</v>
      </c>
      <c r="K138" s="438" t="str">
        <f>'Wang W'!$D13</f>
        <v>HFM</v>
      </c>
      <c r="L138" s="438" t="str">
        <f>'Wang W'!$D14</f>
        <v>Continuous</v>
      </c>
      <c r="M138" s="438" t="str">
        <f>'Wang W'!$D15</f>
        <v>Sequential</v>
      </c>
      <c r="N138" s="438" t="str">
        <f>'Wang W'!$D16</f>
        <v>with/without SCOG and pH control</v>
      </c>
      <c r="O138" s="438" t="str">
        <f>'Wang W'!$D17</f>
        <v>Fed simulated coke oven gas (H2/CO 92/8 v/v) rather than H2</v>
      </c>
      <c r="P138" s="438" t="str">
        <f>'Wang W'!$D65</f>
        <v>Control period</v>
      </c>
      <c r="Q138" s="438" t="str">
        <f>'Wang W'!$D66</f>
        <v>No SCOG</v>
      </c>
      <c r="R138" s="497">
        <f>C138</f>
        <v>79</v>
      </c>
      <c r="S138" s="408">
        <f>'Wang W'!$D67</f>
        <v>1.08</v>
      </c>
      <c r="T138" s="408">
        <f>'Wang W'!$D68</f>
        <v>10</v>
      </c>
      <c r="U138" s="417"/>
      <c r="V138" s="416">
        <f>'Wang W'!$D70</f>
        <v>0.25648148148148148</v>
      </c>
      <c r="W138" s="416"/>
      <c r="X138" s="417"/>
      <c r="Y138" s="417">
        <f>'Wang W'!$D73</f>
        <v>0.27700000000000002</v>
      </c>
      <c r="Z138" s="417"/>
      <c r="AA138" s="418">
        <f>'Wang W'!$D75</f>
        <v>64.400000000000006</v>
      </c>
      <c r="AB138" s="418">
        <f>'Wang W'!$D76</f>
        <v>34.200000000000003</v>
      </c>
      <c r="AC138" s="418">
        <f>'Wang W'!$D77</f>
        <v>1.3999999999999915</v>
      </c>
      <c r="AD138" s="417">
        <f>'Wang W'!$D78</f>
        <v>7</v>
      </c>
      <c r="AE138" s="408" t="str">
        <f>'Wang W'!$D79</f>
        <v>n/r</v>
      </c>
      <c r="AF138" s="408" t="str">
        <f>'Wang W'!$D80</f>
        <v>graph</v>
      </c>
      <c r="AG138" s="417"/>
      <c r="AH138" s="417"/>
      <c r="AI138" s="417"/>
      <c r="AJ138" s="418"/>
      <c r="AK138" s="453"/>
      <c r="AL138" s="417"/>
      <c r="AM138" s="417"/>
      <c r="AN138" s="417"/>
      <c r="AO138" s="417"/>
      <c r="AP138" s="417"/>
      <c r="AQ138" s="417"/>
      <c r="AR138" s="418"/>
    </row>
    <row r="139" spans="1:44" x14ac:dyDescent="0.3">
      <c r="A139" s="110"/>
      <c r="B139" s="433"/>
      <c r="C139" s="110"/>
      <c r="D139" s="110"/>
      <c r="E139" s="408"/>
      <c r="F139" s="110"/>
      <c r="G139" s="408"/>
      <c r="H139" s="408"/>
      <c r="I139" s="438"/>
      <c r="J139" s="408"/>
      <c r="K139" s="438"/>
      <c r="L139" s="438"/>
      <c r="M139" s="438"/>
      <c r="N139" s="438"/>
      <c r="O139" s="438"/>
      <c r="P139" s="438" t="str">
        <f>'Wang W'!$E65</f>
        <v>No pH control</v>
      </c>
      <c r="Q139" s="438" t="str">
        <f>'Wang W'!$E66</f>
        <v>With SCOG</v>
      </c>
      <c r="R139" s="408"/>
      <c r="S139" s="408"/>
      <c r="T139" s="408">
        <f>'Wang W'!$E68</f>
        <v>10</v>
      </c>
      <c r="U139" s="417">
        <f>'Wang W'!$E69</f>
        <v>0.65</v>
      </c>
      <c r="V139" s="416">
        <f>'Wang W'!$E70</f>
        <v>0.40416666666666662</v>
      </c>
      <c r="W139" s="416">
        <f>'Wang W'!$E71</f>
        <v>0.14768518518518514</v>
      </c>
      <c r="X139" s="417">
        <f>'Wang W'!$E72</f>
        <v>0.5758122743682309</v>
      </c>
      <c r="Y139" s="417">
        <f>'Wang W'!$E73</f>
        <v>0.4365</v>
      </c>
      <c r="Z139" s="417">
        <f>'Wang W'!$E74</f>
        <v>0.15949999999999998</v>
      </c>
      <c r="AA139" s="418">
        <f>'Wang W'!$E75</f>
        <v>89.9</v>
      </c>
      <c r="AB139" s="418">
        <f>'Wang W'!$E76</f>
        <v>9.1</v>
      </c>
      <c r="AC139" s="418">
        <f>'Wang W'!$E77</f>
        <v>0.99999999999999467</v>
      </c>
      <c r="AD139" s="417">
        <f>'Wang W'!$E78</f>
        <v>7.5</v>
      </c>
      <c r="AE139" s="408" t="str">
        <f>'Wang W'!$E79</f>
        <v>n/r</v>
      </c>
      <c r="AF139" s="408" t="str">
        <f>'Wang W'!$E80</f>
        <v>graph</v>
      </c>
      <c r="AG139" s="417">
        <f>'Wang W'!$E51</f>
        <v>0.16250000000000001</v>
      </c>
      <c r="AH139" s="417">
        <f>'Wang W'!$E52</f>
        <v>0.15949999999999998</v>
      </c>
      <c r="AI139" s="417">
        <f>'Wang W'!$E53</f>
        <v>0.14673999999999998</v>
      </c>
      <c r="AJ139" s="417">
        <f>'Wang W'!$E54</f>
        <v>0.10309599999999999</v>
      </c>
      <c r="AK139" s="453">
        <f>'Wang W'!$E55</f>
        <v>1</v>
      </c>
      <c r="AL139" s="417">
        <f>'Wang W'!$E56</f>
        <v>1.0188087774294672</v>
      </c>
      <c r="AM139" s="417">
        <f>'Wang W'!$E57</f>
        <v>0.70257598473490535</v>
      </c>
      <c r="AN139" s="417">
        <f>'Wang W'!$E58</f>
        <v>1.5471017304260106</v>
      </c>
      <c r="AO139" s="417">
        <f>'Wang W'!$E59</f>
        <v>1.0833316353213656</v>
      </c>
      <c r="AP139" s="417">
        <f>'Wang W'!$E60</f>
        <v>1.1329558660258208</v>
      </c>
      <c r="AQ139" s="417" t="str">
        <f>'Wang W'!$E61</f>
        <v>n/a</v>
      </c>
      <c r="AR139" s="418" t="str">
        <f>'Wang W'!$E62</f>
        <v>n/a</v>
      </c>
    </row>
    <row r="140" spans="1:44" x14ac:dyDescent="0.3">
      <c r="A140" s="110"/>
      <c r="B140" s="433"/>
      <c r="C140" s="110"/>
      <c r="D140" s="110"/>
      <c r="E140" s="408"/>
      <c r="F140" s="110"/>
      <c r="G140" s="408"/>
      <c r="H140" s="408"/>
      <c r="I140" s="438"/>
      <c r="J140" s="408"/>
      <c r="K140" s="438"/>
      <c r="L140" s="438"/>
      <c r="M140" s="438"/>
      <c r="N140" s="438"/>
      <c r="O140" s="438"/>
      <c r="P140" s="438" t="str">
        <f>'Wang W'!$F65</f>
        <v>pH controlled to &lt;8</v>
      </c>
      <c r="Q140" s="438" t="str">
        <f>'Wang W'!$F66</f>
        <v>With SCOG</v>
      </c>
      <c r="R140" s="408"/>
      <c r="S140" s="408"/>
      <c r="T140" s="408">
        <f>'Wang W'!$F68</f>
        <v>10</v>
      </c>
      <c r="U140" s="417">
        <f>'Wang W'!$F69</f>
        <v>1.4410000000000001</v>
      </c>
      <c r="V140" s="416">
        <f>'Wang W'!$F70</f>
        <v>0.60416666666666663</v>
      </c>
      <c r="W140" s="416">
        <f>'Wang W'!$F71</f>
        <v>0.2</v>
      </c>
      <c r="X140" s="417">
        <f>'Wang W'!$F72</f>
        <v>0.77978339350180514</v>
      </c>
      <c r="Y140" s="417">
        <f>'Wang W'!$F73</f>
        <v>0.65249999999999997</v>
      </c>
      <c r="Z140" s="417">
        <f>'Wang W'!$F74</f>
        <v>0.21599999999999997</v>
      </c>
      <c r="AA140" s="418">
        <f>'Wang W'!$F75</f>
        <v>98.8</v>
      </c>
      <c r="AB140" s="418">
        <f>'Wang W'!$F76</f>
        <v>0.3</v>
      </c>
      <c r="AC140" s="417">
        <f>'Wang W'!$F77</f>
        <v>0.9000000000000028</v>
      </c>
      <c r="AD140" s="417">
        <f>'Wang W'!$F78</f>
        <v>8</v>
      </c>
      <c r="AE140" s="408" t="str">
        <f>'Wang W'!$F79</f>
        <v>n/r</v>
      </c>
      <c r="AF140" s="408" t="str">
        <f>'Wang W'!$F80</f>
        <v>graph</v>
      </c>
      <c r="AG140" s="417">
        <f>'Wang W'!$F51</f>
        <v>0.36025000000000001</v>
      </c>
      <c r="AH140" s="417">
        <f>'Wang W'!$F52</f>
        <v>0.37549999999999994</v>
      </c>
      <c r="AI140" s="417">
        <f>'Wang W'!$F53</f>
        <v>0.34545999999999993</v>
      </c>
      <c r="AJ140" s="417">
        <f>'Wang W'!$F54</f>
        <v>0.14524799999999999</v>
      </c>
      <c r="AK140" s="453">
        <f>'Wang W'!$F55</f>
        <v>1</v>
      </c>
      <c r="AL140" s="417">
        <f>'Wang W'!$F56</f>
        <v>0.95938748335552615</v>
      </c>
      <c r="AM140" s="417">
        <f>'Wang W'!$F57</f>
        <v>0.4031866759195003</v>
      </c>
      <c r="AN140" s="417">
        <f>'Wang W'!$F58</f>
        <v>2.5852335316148931</v>
      </c>
      <c r="AO140" s="417">
        <f>'Wang W'!$F59</f>
        <v>2.5504139753176975</v>
      </c>
      <c r="AP140" s="417">
        <f>'Wang W'!$F60</f>
        <v>1.5427514726646565</v>
      </c>
      <c r="AQ140" s="417" t="str">
        <f>'Wang W'!$F61</f>
        <v>n/a</v>
      </c>
      <c r="AR140" s="418" t="str">
        <f>'Wang W'!$F62</f>
        <v>n/a</v>
      </c>
    </row>
    <row r="141" spans="1:44" x14ac:dyDescent="0.3">
      <c r="B141" s="503"/>
      <c r="C141" s="188"/>
      <c r="D141" s="188"/>
      <c r="E141" s="434"/>
      <c r="F141" s="188"/>
      <c r="G141" s="434"/>
      <c r="H141" s="434"/>
      <c r="I141" s="436"/>
      <c r="J141" s="434"/>
      <c r="K141" s="436"/>
      <c r="L141" s="436"/>
      <c r="M141" s="436"/>
      <c r="N141" s="436"/>
      <c r="O141" s="436"/>
      <c r="P141" s="442"/>
      <c r="Q141" s="436"/>
      <c r="R141" s="434"/>
      <c r="S141" s="434"/>
      <c r="T141" s="434"/>
      <c r="U141" s="434"/>
      <c r="V141" s="434"/>
      <c r="W141" s="447"/>
      <c r="X141" s="449"/>
      <c r="Y141" s="449"/>
      <c r="Z141" s="449"/>
      <c r="AA141" s="450"/>
      <c r="AB141" s="450"/>
      <c r="AC141" s="450"/>
      <c r="AD141" s="449"/>
      <c r="AE141" s="434"/>
      <c r="AF141" s="434"/>
      <c r="AG141" s="449"/>
      <c r="AH141" s="449"/>
      <c r="AI141" s="449"/>
      <c r="AJ141" s="450"/>
      <c r="AK141" s="458"/>
      <c r="AL141" s="449"/>
      <c r="AM141" s="449"/>
      <c r="AN141" s="449"/>
      <c r="AO141" s="449"/>
      <c r="AP141" s="449"/>
      <c r="AQ141" s="449"/>
      <c r="AR141" s="450"/>
    </row>
    <row r="142" spans="1:44" x14ac:dyDescent="0.3">
      <c r="AG142" s="412"/>
      <c r="AH142" s="412"/>
      <c r="AJ142" s="413"/>
      <c r="AR142" s="413"/>
    </row>
    <row r="143" spans="1:44" x14ac:dyDescent="0.3">
      <c r="AG143" s="412"/>
      <c r="AH143" s="412"/>
      <c r="AJ143" s="413"/>
      <c r="AR143" s="413"/>
    </row>
    <row r="144" spans="1:44" x14ac:dyDescent="0.3">
      <c r="AG144" s="412"/>
      <c r="AH144" s="412"/>
      <c r="AJ144" s="413"/>
      <c r="AR144" s="413"/>
    </row>
    <row r="145" spans="33:44" x14ac:dyDescent="0.3">
      <c r="AG145" s="412"/>
      <c r="AH145" s="412"/>
      <c r="AJ145" s="413"/>
      <c r="AR145" s="413"/>
    </row>
    <row r="146" spans="33:44" x14ac:dyDescent="0.3">
      <c r="AG146" s="412"/>
      <c r="AH146" s="412"/>
      <c r="AJ146" s="413"/>
      <c r="AR146" s="413"/>
    </row>
    <row r="147" spans="33:44" x14ac:dyDescent="0.3">
      <c r="AG147" s="412"/>
      <c r="AH147" s="412"/>
      <c r="AJ147" s="413"/>
      <c r="AR147" s="413"/>
    </row>
    <row r="148" spans="33:44" x14ac:dyDescent="0.3">
      <c r="AG148" s="412"/>
      <c r="AH148" s="412"/>
      <c r="AJ148" s="413"/>
      <c r="AR148" s="413"/>
    </row>
    <row r="149" spans="33:44" x14ac:dyDescent="0.3">
      <c r="AG149" s="412"/>
      <c r="AH149" s="412"/>
      <c r="AJ149" s="413"/>
      <c r="AR149" s="413"/>
    </row>
    <row r="150" spans="33:44" x14ac:dyDescent="0.3">
      <c r="AG150" s="412"/>
      <c r="AH150" s="412"/>
      <c r="AJ150" s="413"/>
      <c r="AR150" s="413"/>
    </row>
    <row r="151" spans="33:44" x14ac:dyDescent="0.3">
      <c r="AG151" s="412"/>
      <c r="AH151" s="412"/>
      <c r="AJ151" s="413"/>
      <c r="AR151" s="413"/>
    </row>
    <row r="152" spans="33:44" x14ac:dyDescent="0.3">
      <c r="AG152" s="412"/>
      <c r="AH152" s="412"/>
    </row>
    <row r="153" spans="33:44" x14ac:dyDescent="0.3">
      <c r="AG153" s="412"/>
      <c r="AH153" s="412"/>
    </row>
    <row r="154" spans="33:44" x14ac:dyDescent="0.3">
      <c r="AG154" s="412"/>
      <c r="AH154" s="41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B07C-0371-4A96-9355-A69E392F69CB}">
  <dimension ref="A1:AU175"/>
  <sheetViews>
    <sheetView workbookViewId="0">
      <selection activeCell="A2" sqref="A2"/>
    </sheetView>
  </sheetViews>
  <sheetFormatPr defaultColWidth="12.109375" defaultRowHeight="15" x14ac:dyDescent="0.3"/>
  <cols>
    <col min="1" max="1" width="12.109375" style="245"/>
    <col min="2" max="2" width="20.5546875" style="245" bestFit="1" customWidth="1"/>
    <col min="3" max="3" width="3.88671875" style="245" bestFit="1" customWidth="1"/>
    <col min="4" max="4" width="28.44140625" style="245" bestFit="1" customWidth="1"/>
    <col min="5" max="5" width="5.88671875" style="258" bestFit="1" customWidth="1"/>
    <col min="6" max="6" width="13.33203125" style="245" bestFit="1" customWidth="1"/>
    <col min="7" max="7" width="8.44140625" style="259" bestFit="1" customWidth="1"/>
    <col min="8" max="8" width="11.44140625" style="258" bestFit="1" customWidth="1"/>
    <col min="9" max="9" width="11.77734375" style="247" bestFit="1" customWidth="1"/>
    <col min="10" max="10" width="9.6640625" style="259" bestFit="1" customWidth="1"/>
    <col min="11" max="11" width="19.109375" style="245" bestFit="1" customWidth="1"/>
    <col min="12" max="12" width="17" style="245" hidden="1" customWidth="1"/>
    <col min="13" max="13" width="11.88671875" style="245" bestFit="1" customWidth="1"/>
    <col min="14" max="14" width="27" style="245" bestFit="1" customWidth="1"/>
    <col min="15" max="15" width="47.21875" style="245" hidden="1" customWidth="1"/>
    <col min="16" max="16" width="21.109375" style="253" bestFit="1" customWidth="1"/>
    <col min="17" max="17" width="3.88671875" style="245" bestFit="1" customWidth="1"/>
    <col min="18" max="18" width="18.44140625" style="245" bestFit="1" customWidth="1"/>
    <col min="19" max="19" width="10.33203125" style="258" bestFit="1" customWidth="1"/>
    <col min="20" max="20" width="5.109375" style="258" bestFit="1" customWidth="1"/>
    <col min="21" max="21" width="8.21875" style="258" bestFit="1" customWidth="1"/>
    <col min="22" max="22" width="8.88671875" style="258" bestFit="1" customWidth="1"/>
    <col min="23" max="23" width="6.77734375" style="262" bestFit="1" customWidth="1"/>
    <col min="24" max="24" width="7.6640625" style="263" bestFit="1" customWidth="1"/>
    <col min="25" max="26" width="7.44140625" style="264" bestFit="1" customWidth="1"/>
    <col min="27" max="28" width="4.88671875" style="265" bestFit="1" customWidth="1"/>
    <col min="29" max="29" width="4.44140625" style="265" bestFit="1" customWidth="1"/>
    <col min="30" max="30" width="4.44140625" style="263" bestFit="1" customWidth="1"/>
    <col min="31" max="31" width="12" style="249" hidden="1" customWidth="1"/>
    <col min="32" max="32" width="12" style="419" hidden="1" customWidth="1"/>
    <col min="33" max="33" width="9.33203125" style="258" hidden="1" customWidth="1"/>
    <col min="34" max="34" width="5.77734375" style="267" hidden="1" customWidth="1"/>
    <col min="35" max="36" width="5.33203125" style="258" bestFit="1" customWidth="1"/>
    <col min="37" max="37" width="9.109375" style="258" bestFit="1" customWidth="1"/>
    <col min="38" max="38" width="9.33203125" style="258" bestFit="1" customWidth="1"/>
    <col min="39" max="39" width="8.88671875" style="258" bestFit="1" customWidth="1"/>
    <col min="40" max="40" width="6.33203125" style="258" bestFit="1" customWidth="1"/>
    <col min="41" max="41" width="9.109375" style="258" bestFit="1" customWidth="1"/>
    <col min="42" max="42" width="7.6640625" style="258" bestFit="1" customWidth="1"/>
    <col min="43" max="44" width="9.109375" style="258" bestFit="1" customWidth="1"/>
    <col min="45" max="16384" width="12.109375" style="245"/>
  </cols>
  <sheetData>
    <row r="1" spans="1:44" ht="18.600000000000001" x14ac:dyDescent="0.45">
      <c r="A1" s="494" t="s">
        <v>2327</v>
      </c>
      <c r="L1" s="245" t="s">
        <v>2080</v>
      </c>
      <c r="O1" s="245" t="s">
        <v>2080</v>
      </c>
      <c r="P1" s="248"/>
      <c r="AE1" s="249" t="s">
        <v>2080</v>
      </c>
      <c r="AF1" s="419" t="s">
        <v>2080</v>
      </c>
      <c r="AG1" s="258" t="s">
        <v>2080</v>
      </c>
      <c r="AH1" s="267" t="s">
        <v>2080</v>
      </c>
    </row>
    <row r="2" spans="1:44" x14ac:dyDescent="0.3">
      <c r="B2" s="252"/>
      <c r="C2" s="252"/>
      <c r="L2" s="246" t="s">
        <v>2095</v>
      </c>
      <c r="Q2" s="252"/>
      <c r="S2" s="273" t="s">
        <v>2123</v>
      </c>
      <c r="V2" s="273" t="s">
        <v>2123</v>
      </c>
    </row>
    <row r="3" spans="1:44" ht="16.8" x14ac:dyDescent="0.3">
      <c r="B3" s="304"/>
      <c r="C3" s="360" t="s">
        <v>2092</v>
      </c>
      <c r="D3" s="360" t="s">
        <v>1311</v>
      </c>
      <c r="E3" s="460" t="s">
        <v>667</v>
      </c>
      <c r="F3" s="360" t="s">
        <v>1184</v>
      </c>
      <c r="G3" s="460" t="s">
        <v>956</v>
      </c>
      <c r="H3" s="460" t="s">
        <v>32</v>
      </c>
      <c r="I3" s="360" t="s">
        <v>326</v>
      </c>
      <c r="J3" s="460" t="s">
        <v>344</v>
      </c>
      <c r="K3" s="467" t="s">
        <v>1332</v>
      </c>
      <c r="L3" s="360" t="s">
        <v>1330</v>
      </c>
      <c r="M3" s="360" t="s">
        <v>2109</v>
      </c>
      <c r="N3" s="360" t="s">
        <v>1541</v>
      </c>
      <c r="O3" s="360" t="s">
        <v>1599</v>
      </c>
      <c r="P3" s="461" t="s">
        <v>1795</v>
      </c>
      <c r="Q3" s="360" t="s">
        <v>2092</v>
      </c>
      <c r="R3" s="360" t="s">
        <v>2101</v>
      </c>
      <c r="S3" s="460" t="s">
        <v>33</v>
      </c>
      <c r="T3" s="460" t="s">
        <v>26</v>
      </c>
      <c r="U3" s="460" t="s">
        <v>2099</v>
      </c>
      <c r="V3" s="460" t="s">
        <v>351</v>
      </c>
      <c r="W3" s="462" t="s">
        <v>2100</v>
      </c>
      <c r="X3" s="463" t="s">
        <v>2084</v>
      </c>
      <c r="Y3" s="463" t="s">
        <v>293</v>
      </c>
      <c r="Z3" s="463" t="s">
        <v>402</v>
      </c>
      <c r="AA3" s="464" t="s">
        <v>3</v>
      </c>
      <c r="AB3" s="464" t="s">
        <v>277</v>
      </c>
      <c r="AC3" s="464" t="s">
        <v>13</v>
      </c>
      <c r="AD3" s="463" t="s">
        <v>35</v>
      </c>
      <c r="AE3" s="360" t="s">
        <v>52</v>
      </c>
      <c r="AF3" s="468" t="s">
        <v>558</v>
      </c>
      <c r="AG3" s="465" t="s">
        <v>1328</v>
      </c>
      <c r="AH3" s="466" t="s">
        <v>402</v>
      </c>
      <c r="AI3" s="465" t="s">
        <v>2086</v>
      </c>
      <c r="AJ3" s="465" t="s">
        <v>2237</v>
      </c>
      <c r="AK3" s="465" t="s">
        <v>2230</v>
      </c>
      <c r="AL3" s="465" t="s">
        <v>2231</v>
      </c>
      <c r="AM3" s="465" t="s">
        <v>2232</v>
      </c>
      <c r="AN3" s="465" t="s">
        <v>2231</v>
      </c>
      <c r="AO3" s="465" t="s">
        <v>2231</v>
      </c>
      <c r="AP3" s="465" t="s">
        <v>2235</v>
      </c>
      <c r="AQ3" s="465" t="s">
        <v>2230</v>
      </c>
      <c r="AR3" s="465" t="s">
        <v>2230</v>
      </c>
    </row>
    <row r="4" spans="1:44" s="258" customFormat="1" ht="16.8" x14ac:dyDescent="0.3">
      <c r="B4" s="314"/>
      <c r="C4" s="314"/>
      <c r="D4" s="314"/>
      <c r="E4" s="314" t="s">
        <v>503</v>
      </c>
      <c r="F4" s="314"/>
      <c r="G4" s="314" t="s">
        <v>22</v>
      </c>
      <c r="H4" s="314" t="s">
        <v>22</v>
      </c>
      <c r="I4" s="314"/>
      <c r="J4" s="314"/>
      <c r="K4" s="314"/>
      <c r="L4" s="314"/>
      <c r="M4" s="314"/>
      <c r="N4" s="314"/>
      <c r="O4" s="314"/>
      <c r="P4" s="335"/>
      <c r="Q4" s="314"/>
      <c r="R4" s="314"/>
      <c r="S4" s="314" t="s">
        <v>270</v>
      </c>
      <c r="T4" s="314" t="s">
        <v>25</v>
      </c>
      <c r="U4" s="314" t="s">
        <v>338</v>
      </c>
      <c r="V4" s="314" t="s">
        <v>377</v>
      </c>
      <c r="W4" s="317" t="s">
        <v>377</v>
      </c>
      <c r="X4" s="316" t="s">
        <v>302</v>
      </c>
      <c r="Y4" s="316" t="s">
        <v>338</v>
      </c>
      <c r="Z4" s="316" t="s">
        <v>338</v>
      </c>
      <c r="AA4" s="319" t="s">
        <v>302</v>
      </c>
      <c r="AB4" s="319" t="s">
        <v>302</v>
      </c>
      <c r="AC4" s="319" t="s">
        <v>302</v>
      </c>
      <c r="AD4" s="316"/>
      <c r="AE4" s="314" t="s">
        <v>621</v>
      </c>
      <c r="AF4" s="317" t="s">
        <v>621</v>
      </c>
      <c r="AG4" s="314"/>
      <c r="AH4" s="321"/>
      <c r="AI4" s="314"/>
      <c r="AJ4" s="476" t="s">
        <v>277</v>
      </c>
      <c r="AK4" s="476" t="s">
        <v>2229</v>
      </c>
      <c r="AL4" s="476" t="s">
        <v>1328</v>
      </c>
      <c r="AM4" s="476" t="s">
        <v>2233</v>
      </c>
      <c r="AN4" s="476" t="s">
        <v>2086</v>
      </c>
      <c r="AO4" s="476" t="s">
        <v>2234</v>
      </c>
      <c r="AP4" s="476" t="s">
        <v>2236</v>
      </c>
      <c r="AQ4" s="476" t="s">
        <v>402</v>
      </c>
      <c r="AR4" s="476" t="s">
        <v>2086</v>
      </c>
    </row>
    <row r="5" spans="1:44" hidden="1" x14ac:dyDescent="0.3">
      <c r="B5" s="283"/>
      <c r="C5" s="283"/>
      <c r="D5" s="284"/>
      <c r="E5" s="285"/>
      <c r="F5" s="284"/>
      <c r="G5" s="285"/>
      <c r="H5" s="285"/>
      <c r="I5" s="284"/>
      <c r="J5" s="285"/>
      <c r="K5" s="284"/>
      <c r="L5" s="284"/>
      <c r="M5" s="284"/>
      <c r="N5" s="284"/>
      <c r="O5" s="284"/>
      <c r="P5" s="286"/>
      <c r="Q5" s="283"/>
      <c r="R5" s="284"/>
      <c r="S5" s="285"/>
      <c r="T5" s="285"/>
      <c r="U5" s="287"/>
      <c r="V5" s="287"/>
      <c r="W5" s="287"/>
      <c r="X5" s="288"/>
      <c r="Y5" s="289"/>
      <c r="Z5" s="289"/>
      <c r="AA5" s="290"/>
      <c r="AB5" s="290"/>
      <c r="AC5" s="290"/>
      <c r="AD5" s="289"/>
      <c r="AE5" s="469"/>
      <c r="AF5" s="421"/>
      <c r="AG5" s="285"/>
      <c r="AH5" s="291"/>
      <c r="AI5" s="285"/>
      <c r="AJ5" s="285"/>
      <c r="AK5" s="285"/>
      <c r="AL5" s="285"/>
      <c r="AM5" s="285"/>
      <c r="AN5" s="285"/>
      <c r="AO5" s="285"/>
      <c r="AP5" s="285"/>
      <c r="AQ5" s="285"/>
      <c r="AR5" s="285"/>
    </row>
    <row r="6" spans="1:44" hidden="1" x14ac:dyDescent="0.3">
      <c r="B6" s="294"/>
      <c r="C6" s="294"/>
      <c r="D6" s="294"/>
      <c r="E6" s="293"/>
      <c r="F6" s="294"/>
      <c r="G6" s="293"/>
      <c r="H6" s="293"/>
      <c r="I6" s="294"/>
      <c r="J6" s="293"/>
      <c r="K6" s="294"/>
      <c r="L6" s="294"/>
      <c r="M6" s="294"/>
      <c r="N6" s="294"/>
      <c r="O6" s="294"/>
      <c r="P6" s="296"/>
      <c r="Q6" s="294"/>
      <c r="R6" s="303"/>
      <c r="S6" s="300"/>
      <c r="T6" s="300"/>
      <c r="U6" s="299"/>
      <c r="V6" s="299"/>
      <c r="W6" s="299"/>
      <c r="X6" s="336"/>
      <c r="Y6" s="297"/>
      <c r="Z6" s="297"/>
      <c r="AA6" s="300"/>
      <c r="AB6" s="300"/>
      <c r="AC6" s="300"/>
      <c r="AD6" s="297"/>
      <c r="AE6" s="295"/>
      <c r="AF6" s="422"/>
      <c r="AG6" s="293"/>
      <c r="AH6" s="301"/>
      <c r="AI6" s="293"/>
      <c r="AJ6" s="293"/>
      <c r="AK6" s="293"/>
      <c r="AL6" s="293"/>
      <c r="AM6" s="293"/>
      <c r="AN6" s="293"/>
      <c r="AO6" s="293"/>
      <c r="AP6" s="293"/>
      <c r="AQ6" s="293"/>
      <c r="AR6" s="293"/>
    </row>
    <row r="7" spans="1:44" hidden="1" x14ac:dyDescent="0.3">
      <c r="B7" s="247"/>
      <c r="C7" s="247"/>
      <c r="D7" s="247"/>
      <c r="E7" s="259"/>
      <c r="F7" s="247"/>
      <c r="H7" s="259"/>
      <c r="K7" s="247"/>
      <c r="L7" s="247"/>
      <c r="M7" s="247"/>
      <c r="N7" s="247"/>
      <c r="O7" s="247"/>
      <c r="P7" s="280"/>
      <c r="Q7" s="247"/>
      <c r="R7" s="250"/>
      <c r="S7" s="276"/>
      <c r="T7" s="259"/>
      <c r="U7" s="263"/>
      <c r="V7" s="262"/>
      <c r="X7" s="337"/>
      <c r="Y7" s="263"/>
      <c r="Z7" s="263"/>
      <c r="AA7" s="276"/>
      <c r="AB7" s="276"/>
      <c r="AC7" s="276"/>
      <c r="AG7" s="263"/>
      <c r="AH7" s="281"/>
      <c r="AI7" s="263"/>
      <c r="AJ7" s="263"/>
      <c r="AK7" s="263"/>
      <c r="AL7" s="263"/>
      <c r="AM7" s="263"/>
      <c r="AN7" s="263"/>
      <c r="AO7" s="263"/>
      <c r="AP7" s="263"/>
      <c r="AQ7" s="276"/>
      <c r="AR7" s="276"/>
    </row>
    <row r="8" spans="1:44" hidden="1" x14ac:dyDescent="0.3">
      <c r="B8" s="304"/>
      <c r="C8" s="304"/>
      <c r="D8" s="304"/>
      <c r="E8" s="305"/>
      <c r="F8" s="304"/>
      <c r="G8" s="305"/>
      <c r="H8" s="305"/>
      <c r="I8" s="304"/>
      <c r="J8" s="305"/>
      <c r="K8" s="304"/>
      <c r="L8" s="304"/>
      <c r="M8" s="304"/>
      <c r="N8" s="304"/>
      <c r="O8" s="304"/>
      <c r="P8" s="306"/>
      <c r="Q8" s="304"/>
      <c r="R8" s="304"/>
      <c r="S8" s="305"/>
      <c r="T8" s="305"/>
      <c r="U8" s="307"/>
      <c r="V8" s="308"/>
      <c r="W8" s="308"/>
      <c r="X8" s="338"/>
      <c r="Y8" s="307"/>
      <c r="Z8" s="307"/>
      <c r="AA8" s="309"/>
      <c r="AB8" s="309"/>
      <c r="AC8" s="309"/>
      <c r="AD8" s="307"/>
      <c r="AE8" s="323"/>
      <c r="AF8" s="423"/>
      <c r="AG8" s="307"/>
      <c r="AH8" s="311"/>
      <c r="AI8" s="307"/>
      <c r="AJ8" s="307"/>
      <c r="AK8" s="307"/>
      <c r="AL8" s="307"/>
      <c r="AM8" s="307"/>
      <c r="AN8" s="307"/>
      <c r="AO8" s="307"/>
      <c r="AP8" s="307"/>
      <c r="AQ8" s="309"/>
      <c r="AR8" s="309"/>
    </row>
    <row r="9" spans="1:44" ht="16.8" hidden="1" x14ac:dyDescent="0.3">
      <c r="B9" s="312"/>
      <c r="C9" s="312"/>
      <c r="D9" s="313"/>
      <c r="E9" s="314"/>
      <c r="F9" s="313"/>
      <c r="G9" s="314"/>
      <c r="H9" s="314"/>
      <c r="I9" s="313"/>
      <c r="J9" s="314"/>
      <c r="K9" s="313"/>
      <c r="L9" s="313"/>
      <c r="M9" s="313"/>
      <c r="N9" s="313"/>
      <c r="O9" s="313"/>
      <c r="P9" s="315"/>
      <c r="Q9" s="312"/>
      <c r="R9" s="313"/>
      <c r="S9" s="314"/>
      <c r="T9" s="314"/>
      <c r="U9" s="316"/>
      <c r="V9" s="317"/>
      <c r="W9" s="317"/>
      <c r="X9" s="339"/>
      <c r="Y9" s="316"/>
      <c r="Z9" s="316"/>
      <c r="AA9" s="319"/>
      <c r="AB9" s="319"/>
      <c r="AC9" s="319"/>
      <c r="AD9" s="316"/>
      <c r="AE9" s="324"/>
      <c r="AF9" s="424"/>
      <c r="AG9" s="316"/>
      <c r="AH9" s="321"/>
      <c r="AI9" s="316"/>
      <c r="AJ9" s="316"/>
      <c r="AK9" s="316"/>
      <c r="AL9" s="316"/>
      <c r="AM9" s="316"/>
      <c r="AN9" s="316"/>
      <c r="AO9" s="316"/>
      <c r="AP9" s="316"/>
      <c r="AQ9" s="319"/>
      <c r="AR9" s="319"/>
    </row>
    <row r="10" spans="1:44" ht="16.8" hidden="1" x14ac:dyDescent="0.3">
      <c r="B10" s="312"/>
      <c r="C10" s="312"/>
      <c r="D10" s="313"/>
      <c r="E10" s="314"/>
      <c r="F10" s="313"/>
      <c r="G10" s="314"/>
      <c r="H10" s="314"/>
      <c r="I10" s="313"/>
      <c r="J10" s="314"/>
      <c r="K10" s="313"/>
      <c r="L10" s="313"/>
      <c r="M10" s="313"/>
      <c r="N10" s="313"/>
      <c r="O10" s="313"/>
      <c r="P10" s="315"/>
      <c r="Q10" s="312"/>
      <c r="R10" s="313"/>
      <c r="S10" s="314"/>
      <c r="T10" s="314"/>
      <c r="U10" s="316"/>
      <c r="V10" s="317"/>
      <c r="W10" s="317"/>
      <c r="X10" s="339"/>
      <c r="Y10" s="316"/>
      <c r="Z10" s="316"/>
      <c r="AA10" s="319"/>
      <c r="AB10" s="319"/>
      <c r="AC10" s="319"/>
      <c r="AD10" s="316"/>
      <c r="AE10" s="324"/>
      <c r="AF10" s="424"/>
      <c r="AG10" s="316"/>
      <c r="AH10" s="321"/>
      <c r="AI10" s="316"/>
      <c r="AJ10" s="316"/>
      <c r="AK10" s="316"/>
      <c r="AL10" s="316"/>
      <c r="AM10" s="316"/>
      <c r="AN10" s="316"/>
      <c r="AO10" s="316"/>
      <c r="AP10" s="316"/>
      <c r="AQ10" s="319"/>
      <c r="AR10" s="319"/>
    </row>
    <row r="11" spans="1:44" hidden="1" x14ac:dyDescent="0.3">
      <c r="B11" s="294"/>
      <c r="C11" s="294"/>
      <c r="D11" s="294"/>
      <c r="E11" s="293"/>
      <c r="F11" s="294"/>
      <c r="G11" s="293"/>
      <c r="H11" s="293"/>
      <c r="I11" s="294"/>
      <c r="J11" s="293"/>
      <c r="K11" s="294"/>
      <c r="L11" s="294"/>
      <c r="M11" s="294"/>
      <c r="N11" s="294"/>
      <c r="O11" s="294"/>
      <c r="P11" s="296"/>
      <c r="Q11" s="294"/>
      <c r="R11" s="294"/>
      <c r="S11" s="293"/>
      <c r="T11" s="293"/>
      <c r="U11" s="297"/>
      <c r="V11" s="299"/>
      <c r="W11" s="299"/>
      <c r="X11" s="336"/>
      <c r="Y11" s="297"/>
      <c r="Z11" s="297"/>
      <c r="AA11" s="300"/>
      <c r="AB11" s="300"/>
      <c r="AC11" s="300"/>
      <c r="AD11" s="297"/>
      <c r="AE11" s="295"/>
      <c r="AF11" s="422"/>
      <c r="AG11" s="297"/>
      <c r="AH11" s="301"/>
      <c r="AI11" s="297"/>
      <c r="AJ11" s="297"/>
      <c r="AK11" s="297"/>
      <c r="AL11" s="297"/>
      <c r="AM11" s="297"/>
      <c r="AN11" s="297"/>
      <c r="AO11" s="297"/>
      <c r="AP11" s="297"/>
      <c r="AQ11" s="300"/>
      <c r="AR11" s="300"/>
    </row>
    <row r="12" spans="1:44" ht="16.8" hidden="1" x14ac:dyDescent="0.3">
      <c r="B12" s="282"/>
      <c r="C12" s="282"/>
      <c r="D12" s="247"/>
      <c r="E12" s="259"/>
      <c r="F12" s="247"/>
      <c r="H12" s="259"/>
      <c r="K12" s="247"/>
      <c r="L12" s="247"/>
      <c r="M12" s="247"/>
      <c r="N12" s="247"/>
      <c r="O12" s="247"/>
      <c r="P12" s="280"/>
      <c r="Q12" s="282"/>
      <c r="R12" s="247"/>
      <c r="S12" s="259"/>
      <c r="T12" s="259"/>
      <c r="U12" s="263"/>
      <c r="V12" s="262"/>
      <c r="X12" s="337"/>
      <c r="Y12" s="263"/>
      <c r="Z12" s="263"/>
      <c r="AA12" s="276"/>
      <c r="AB12" s="276"/>
      <c r="AC12" s="276"/>
      <c r="AG12" s="263"/>
      <c r="AH12" s="281"/>
      <c r="AI12" s="263"/>
      <c r="AJ12" s="263"/>
      <c r="AK12" s="263"/>
      <c r="AL12" s="263"/>
      <c r="AM12" s="263"/>
      <c r="AN12" s="263"/>
      <c r="AO12" s="263"/>
      <c r="AP12" s="263"/>
      <c r="AQ12" s="276"/>
      <c r="AR12" s="276"/>
    </row>
    <row r="13" spans="1:44" hidden="1" x14ac:dyDescent="0.3">
      <c r="B13" s="247"/>
      <c r="C13" s="247"/>
      <c r="D13" s="247"/>
      <c r="E13" s="259"/>
      <c r="F13" s="247"/>
      <c r="H13" s="259"/>
      <c r="K13" s="247"/>
      <c r="L13" s="247"/>
      <c r="M13" s="247"/>
      <c r="N13" s="247"/>
      <c r="O13" s="247"/>
      <c r="P13" s="280"/>
      <c r="Q13" s="247"/>
      <c r="R13" s="247"/>
      <c r="S13" s="259"/>
      <c r="T13" s="259"/>
      <c r="U13" s="263"/>
      <c r="V13" s="262"/>
      <c r="X13" s="337"/>
      <c r="Y13" s="263"/>
      <c r="Z13" s="263"/>
      <c r="AA13" s="276"/>
      <c r="AB13" s="276"/>
      <c r="AC13" s="276"/>
      <c r="AG13" s="263"/>
      <c r="AH13" s="281"/>
      <c r="AI13" s="263"/>
      <c r="AJ13" s="263"/>
      <c r="AK13" s="263"/>
      <c r="AL13" s="263"/>
      <c r="AM13" s="263"/>
      <c r="AN13" s="263"/>
      <c r="AO13" s="263"/>
      <c r="AP13" s="263"/>
      <c r="AQ13" s="276"/>
      <c r="AR13" s="276"/>
    </row>
    <row r="14" spans="1:44" hidden="1" x14ac:dyDescent="0.3">
      <c r="B14" s="247"/>
      <c r="C14" s="247"/>
      <c r="D14" s="247"/>
      <c r="E14" s="259"/>
      <c r="F14" s="247"/>
      <c r="H14" s="259"/>
      <c r="K14" s="247"/>
      <c r="L14" s="247"/>
      <c r="M14" s="247"/>
      <c r="N14" s="247"/>
      <c r="O14" s="247"/>
      <c r="P14" s="280"/>
      <c r="Q14" s="247"/>
      <c r="R14" s="247"/>
      <c r="S14" s="259"/>
      <c r="T14" s="259"/>
      <c r="U14" s="263"/>
      <c r="V14" s="262"/>
      <c r="X14" s="337"/>
      <c r="Y14" s="263"/>
      <c r="Z14" s="263"/>
      <c r="AA14" s="276"/>
      <c r="AB14" s="276"/>
      <c r="AC14" s="276"/>
      <c r="AG14" s="263"/>
      <c r="AH14" s="281"/>
      <c r="AI14" s="263"/>
      <c r="AJ14" s="263"/>
      <c r="AK14" s="263"/>
      <c r="AL14" s="263"/>
      <c r="AM14" s="263"/>
      <c r="AN14" s="263"/>
      <c r="AO14" s="263"/>
      <c r="AP14" s="263"/>
      <c r="AQ14" s="276"/>
      <c r="AR14" s="276"/>
    </row>
    <row r="15" spans="1:44" hidden="1" x14ac:dyDescent="0.3">
      <c r="B15" s="304"/>
      <c r="C15" s="304"/>
      <c r="D15" s="304"/>
      <c r="E15" s="305"/>
      <c r="F15" s="304"/>
      <c r="G15" s="305"/>
      <c r="H15" s="305"/>
      <c r="I15" s="304"/>
      <c r="J15" s="305"/>
      <c r="K15" s="304"/>
      <c r="L15" s="304"/>
      <c r="M15" s="304"/>
      <c r="N15" s="304"/>
      <c r="O15" s="304"/>
      <c r="P15" s="306"/>
      <c r="Q15" s="304"/>
      <c r="R15" s="322"/>
      <c r="S15" s="309"/>
      <c r="T15" s="305"/>
      <c r="U15" s="307"/>
      <c r="V15" s="308"/>
      <c r="W15" s="308"/>
      <c r="X15" s="338"/>
      <c r="Y15" s="307"/>
      <c r="Z15" s="307"/>
      <c r="AA15" s="309"/>
      <c r="AB15" s="309"/>
      <c r="AC15" s="309"/>
      <c r="AD15" s="307"/>
      <c r="AE15" s="323"/>
      <c r="AF15" s="423"/>
      <c r="AG15" s="307"/>
      <c r="AH15" s="311"/>
      <c r="AI15" s="307"/>
      <c r="AJ15" s="307"/>
      <c r="AK15" s="307"/>
      <c r="AL15" s="307"/>
      <c r="AM15" s="307"/>
      <c r="AN15" s="307"/>
      <c r="AO15" s="307"/>
      <c r="AP15" s="307"/>
      <c r="AQ15" s="309"/>
      <c r="AR15" s="309"/>
    </row>
    <row r="16" spans="1:44" hidden="1" x14ac:dyDescent="0.3">
      <c r="B16" s="313"/>
      <c r="C16" s="313"/>
      <c r="D16" s="313"/>
      <c r="E16" s="314"/>
      <c r="F16" s="313"/>
      <c r="G16" s="314"/>
      <c r="H16" s="314"/>
      <c r="I16" s="313"/>
      <c r="J16" s="314"/>
      <c r="K16" s="313"/>
      <c r="L16" s="313"/>
      <c r="M16" s="313"/>
      <c r="N16" s="313"/>
      <c r="O16" s="313"/>
      <c r="P16" s="315"/>
      <c r="Q16" s="313"/>
      <c r="R16" s="313"/>
      <c r="S16" s="319"/>
      <c r="T16" s="314"/>
      <c r="U16" s="316"/>
      <c r="V16" s="317"/>
      <c r="W16" s="317"/>
      <c r="X16" s="339"/>
      <c r="Y16" s="316"/>
      <c r="Z16" s="316"/>
      <c r="AA16" s="319"/>
      <c r="AB16" s="319"/>
      <c r="AC16" s="319"/>
      <c r="AD16" s="316"/>
      <c r="AE16" s="324"/>
      <c r="AF16" s="424"/>
      <c r="AG16" s="316"/>
      <c r="AH16" s="321"/>
      <c r="AI16" s="316"/>
      <c r="AJ16" s="316"/>
      <c r="AK16" s="316"/>
      <c r="AL16" s="316"/>
      <c r="AM16" s="316"/>
      <c r="AN16" s="316"/>
      <c r="AO16" s="316"/>
      <c r="AP16" s="316"/>
      <c r="AQ16" s="319"/>
      <c r="AR16" s="319"/>
    </row>
    <row r="17" spans="2:44" hidden="1" x14ac:dyDescent="0.3">
      <c r="B17" s="313"/>
      <c r="C17" s="313"/>
      <c r="D17" s="313"/>
      <c r="E17" s="314"/>
      <c r="F17" s="313"/>
      <c r="G17" s="314"/>
      <c r="H17" s="314"/>
      <c r="I17" s="313"/>
      <c r="J17" s="314"/>
      <c r="K17" s="313"/>
      <c r="L17" s="313"/>
      <c r="M17" s="313"/>
      <c r="N17" s="313"/>
      <c r="O17" s="313"/>
      <c r="P17" s="315"/>
      <c r="Q17" s="313"/>
      <c r="R17" s="313"/>
      <c r="S17" s="319"/>
      <c r="T17" s="314"/>
      <c r="U17" s="316"/>
      <c r="V17" s="317"/>
      <c r="W17" s="317"/>
      <c r="X17" s="339"/>
      <c r="Y17" s="316"/>
      <c r="Z17" s="316"/>
      <c r="AA17" s="319"/>
      <c r="AB17" s="319"/>
      <c r="AC17" s="319"/>
      <c r="AD17" s="316"/>
      <c r="AE17" s="324"/>
      <c r="AF17" s="424"/>
      <c r="AG17" s="316"/>
      <c r="AH17" s="321"/>
      <c r="AI17" s="316"/>
      <c r="AJ17" s="316"/>
      <c r="AK17" s="316"/>
      <c r="AL17" s="316"/>
      <c r="AM17" s="316"/>
      <c r="AN17" s="316"/>
      <c r="AO17" s="316"/>
      <c r="AP17" s="316"/>
      <c r="AQ17" s="319"/>
      <c r="AR17" s="319"/>
    </row>
    <row r="18" spans="2:44" hidden="1" x14ac:dyDescent="0.3">
      <c r="B18" s="294"/>
      <c r="C18" s="294"/>
      <c r="D18" s="294"/>
      <c r="E18" s="293"/>
      <c r="F18" s="294"/>
      <c r="G18" s="293"/>
      <c r="H18" s="293"/>
      <c r="I18" s="294"/>
      <c r="J18" s="293"/>
      <c r="K18" s="294"/>
      <c r="L18" s="294"/>
      <c r="M18" s="294"/>
      <c r="N18" s="294"/>
      <c r="O18" s="294"/>
      <c r="P18" s="296"/>
      <c r="Q18" s="294"/>
      <c r="R18" s="302"/>
      <c r="S18" s="300"/>
      <c r="T18" s="298"/>
      <c r="U18" s="297"/>
      <c r="V18" s="299"/>
      <c r="W18" s="299"/>
      <c r="X18" s="336"/>
      <c r="Y18" s="297"/>
      <c r="Z18" s="297"/>
      <c r="AA18" s="300"/>
      <c r="AB18" s="300"/>
      <c r="AC18" s="300"/>
      <c r="AD18" s="297"/>
      <c r="AE18" s="295"/>
      <c r="AF18" s="422"/>
      <c r="AG18" s="297"/>
      <c r="AH18" s="301"/>
      <c r="AI18" s="297"/>
      <c r="AJ18" s="297"/>
      <c r="AK18" s="297"/>
      <c r="AL18" s="297"/>
      <c r="AM18" s="297"/>
      <c r="AN18" s="297"/>
      <c r="AO18" s="297"/>
      <c r="AP18" s="297"/>
      <c r="AQ18" s="300"/>
      <c r="AR18" s="300"/>
    </row>
    <row r="19" spans="2:44" ht="16.8" hidden="1" x14ac:dyDescent="0.3">
      <c r="B19" s="282"/>
      <c r="C19" s="282"/>
      <c r="D19" s="247"/>
      <c r="E19" s="259"/>
      <c r="F19" s="247"/>
      <c r="H19" s="259"/>
      <c r="K19" s="247"/>
      <c r="L19" s="247"/>
      <c r="M19" s="247"/>
      <c r="N19" s="247"/>
      <c r="O19" s="247"/>
      <c r="P19" s="280"/>
      <c r="Q19" s="282"/>
      <c r="R19" s="250"/>
      <c r="S19" s="259"/>
      <c r="T19" s="259"/>
      <c r="U19" s="263"/>
      <c r="V19" s="262"/>
      <c r="X19" s="337"/>
      <c r="Y19" s="263"/>
      <c r="Z19" s="263"/>
      <c r="AA19" s="276"/>
      <c r="AB19" s="276"/>
      <c r="AC19" s="276"/>
      <c r="AG19" s="263"/>
      <c r="AH19" s="281"/>
      <c r="AI19" s="263"/>
      <c r="AJ19" s="263"/>
      <c r="AK19" s="263"/>
      <c r="AL19" s="263"/>
      <c r="AM19" s="263"/>
      <c r="AN19" s="263"/>
      <c r="AO19" s="263"/>
      <c r="AP19" s="263"/>
      <c r="AQ19" s="276"/>
      <c r="AR19" s="276"/>
    </row>
    <row r="20" spans="2:44" hidden="1" x14ac:dyDescent="0.3">
      <c r="B20" s="304"/>
      <c r="C20" s="304"/>
      <c r="D20" s="304"/>
      <c r="E20" s="305"/>
      <c r="F20" s="304"/>
      <c r="G20" s="305"/>
      <c r="H20" s="305"/>
      <c r="I20" s="304"/>
      <c r="J20" s="305"/>
      <c r="K20" s="304"/>
      <c r="L20" s="304"/>
      <c r="M20" s="304"/>
      <c r="N20" s="304"/>
      <c r="O20" s="304"/>
      <c r="P20" s="306"/>
      <c r="Q20" s="304"/>
      <c r="R20" s="323"/>
      <c r="S20" s="305"/>
      <c r="T20" s="305"/>
      <c r="U20" s="307"/>
      <c r="V20" s="308"/>
      <c r="W20" s="308"/>
      <c r="X20" s="338"/>
      <c r="Y20" s="307"/>
      <c r="Z20" s="307"/>
      <c r="AA20" s="309"/>
      <c r="AB20" s="309"/>
      <c r="AC20" s="309"/>
      <c r="AD20" s="307"/>
      <c r="AE20" s="323"/>
      <c r="AF20" s="423"/>
      <c r="AG20" s="307"/>
      <c r="AH20" s="311"/>
      <c r="AI20" s="307"/>
      <c r="AJ20" s="307"/>
      <c r="AK20" s="307"/>
      <c r="AL20" s="307"/>
      <c r="AM20" s="307"/>
      <c r="AN20" s="307"/>
      <c r="AO20" s="307"/>
      <c r="AP20" s="307"/>
      <c r="AQ20" s="309"/>
      <c r="AR20" s="309"/>
    </row>
    <row r="21" spans="2:44" hidden="1" x14ac:dyDescent="0.3">
      <c r="B21" s="313"/>
      <c r="C21" s="313"/>
      <c r="D21" s="313"/>
      <c r="E21" s="314"/>
      <c r="F21" s="313"/>
      <c r="G21" s="314"/>
      <c r="H21" s="314"/>
      <c r="I21" s="313"/>
      <c r="J21" s="314"/>
      <c r="K21" s="313"/>
      <c r="L21" s="313"/>
      <c r="M21" s="313"/>
      <c r="N21" s="313"/>
      <c r="O21" s="313"/>
      <c r="P21" s="315"/>
      <c r="Q21" s="313"/>
      <c r="R21" s="324"/>
      <c r="S21" s="314"/>
      <c r="T21" s="314"/>
      <c r="U21" s="316"/>
      <c r="V21" s="317"/>
      <c r="W21" s="317"/>
      <c r="X21" s="339"/>
      <c r="Y21" s="316"/>
      <c r="Z21" s="316"/>
      <c r="AA21" s="319"/>
      <c r="AB21" s="319"/>
      <c r="AC21" s="319"/>
      <c r="AD21" s="316"/>
      <c r="AE21" s="324"/>
      <c r="AF21" s="424"/>
      <c r="AG21" s="318"/>
      <c r="AH21" s="321"/>
      <c r="AI21" s="318"/>
      <c r="AJ21" s="318"/>
      <c r="AK21" s="318"/>
      <c r="AL21" s="318"/>
      <c r="AM21" s="318"/>
      <c r="AN21" s="318"/>
      <c r="AO21" s="318"/>
      <c r="AP21" s="318"/>
      <c r="AQ21" s="325"/>
      <c r="AR21" s="325"/>
    </row>
    <row r="22" spans="2:44" hidden="1" x14ac:dyDescent="0.3">
      <c r="B22" s="313"/>
      <c r="C22" s="313"/>
      <c r="D22" s="313"/>
      <c r="E22" s="314"/>
      <c r="F22" s="313"/>
      <c r="G22" s="314"/>
      <c r="H22" s="314"/>
      <c r="I22" s="313"/>
      <c r="J22" s="314"/>
      <c r="K22" s="313"/>
      <c r="L22" s="313"/>
      <c r="M22" s="313"/>
      <c r="N22" s="313"/>
      <c r="O22" s="313"/>
      <c r="P22" s="315"/>
      <c r="Q22" s="313"/>
      <c r="R22" s="324"/>
      <c r="S22" s="314"/>
      <c r="T22" s="314"/>
      <c r="U22" s="316"/>
      <c r="V22" s="317"/>
      <c r="W22" s="317"/>
      <c r="X22" s="339"/>
      <c r="Y22" s="316"/>
      <c r="Z22" s="316"/>
      <c r="AA22" s="319"/>
      <c r="AB22" s="319"/>
      <c r="AC22" s="319"/>
      <c r="AD22" s="316"/>
      <c r="AE22" s="324"/>
      <c r="AF22" s="424"/>
      <c r="AG22" s="318"/>
      <c r="AH22" s="321"/>
      <c r="AI22" s="318"/>
      <c r="AJ22" s="318"/>
      <c r="AK22" s="318"/>
      <c r="AL22" s="318"/>
      <c r="AM22" s="318"/>
      <c r="AN22" s="318"/>
      <c r="AO22" s="318"/>
      <c r="AP22" s="318"/>
      <c r="AQ22" s="325"/>
      <c r="AR22" s="325"/>
    </row>
    <row r="23" spans="2:44" hidden="1" x14ac:dyDescent="0.3">
      <c r="B23" s="294"/>
      <c r="C23" s="294"/>
      <c r="D23" s="294"/>
      <c r="E23" s="293"/>
      <c r="F23" s="294"/>
      <c r="G23" s="293"/>
      <c r="H23" s="293"/>
      <c r="I23" s="294"/>
      <c r="J23" s="293"/>
      <c r="K23" s="294"/>
      <c r="L23" s="294"/>
      <c r="M23" s="294"/>
      <c r="N23" s="294"/>
      <c r="O23" s="294"/>
      <c r="P23" s="296"/>
      <c r="Q23" s="294"/>
      <c r="R23" s="295"/>
      <c r="S23" s="293"/>
      <c r="T23" s="293"/>
      <c r="U23" s="297"/>
      <c r="V23" s="299"/>
      <c r="W23" s="299"/>
      <c r="X23" s="336"/>
      <c r="Y23" s="297"/>
      <c r="Z23" s="297"/>
      <c r="AA23" s="300"/>
      <c r="AB23" s="300"/>
      <c r="AC23" s="300"/>
      <c r="AD23" s="297"/>
      <c r="AE23" s="295"/>
      <c r="AF23" s="422"/>
      <c r="AG23" s="297"/>
      <c r="AH23" s="301"/>
      <c r="AI23" s="297"/>
      <c r="AJ23" s="297"/>
      <c r="AK23" s="297"/>
      <c r="AL23" s="297"/>
      <c r="AM23" s="297"/>
      <c r="AN23" s="297"/>
      <c r="AO23" s="297"/>
      <c r="AP23" s="297"/>
      <c r="AQ23" s="300"/>
      <c r="AR23" s="300"/>
    </row>
    <row r="24" spans="2:44" hidden="1" x14ac:dyDescent="0.3">
      <c r="B24" s="247"/>
      <c r="C24" s="247"/>
      <c r="D24" s="247"/>
      <c r="E24" s="259"/>
      <c r="F24" s="247"/>
      <c r="H24" s="259"/>
      <c r="K24" s="247"/>
      <c r="L24" s="247"/>
      <c r="M24" s="247"/>
      <c r="N24" s="247"/>
      <c r="O24" s="247"/>
      <c r="P24" s="280"/>
      <c r="Q24" s="247"/>
      <c r="R24" s="249"/>
      <c r="S24" s="259"/>
      <c r="T24" s="259"/>
      <c r="U24" s="263"/>
      <c r="V24" s="262"/>
      <c r="X24" s="337"/>
      <c r="Y24" s="263"/>
      <c r="Z24" s="263"/>
      <c r="AA24" s="276"/>
      <c r="AB24" s="276"/>
      <c r="AC24" s="276"/>
      <c r="AG24" s="263"/>
      <c r="AH24" s="281"/>
      <c r="AI24" s="263"/>
      <c r="AJ24" s="263"/>
      <c r="AK24" s="263"/>
      <c r="AL24" s="263"/>
      <c r="AM24" s="263"/>
      <c r="AN24" s="263"/>
      <c r="AO24" s="263"/>
      <c r="AP24" s="263"/>
      <c r="AQ24" s="276"/>
      <c r="AR24" s="276"/>
    </row>
    <row r="25" spans="2:44" hidden="1" x14ac:dyDescent="0.3">
      <c r="B25" s="247"/>
      <c r="C25" s="247"/>
      <c r="D25" s="247"/>
      <c r="E25" s="259"/>
      <c r="F25" s="247"/>
      <c r="H25" s="259"/>
      <c r="K25" s="247"/>
      <c r="L25" s="247"/>
      <c r="M25" s="247"/>
      <c r="N25" s="247"/>
      <c r="O25" s="247"/>
      <c r="P25" s="280"/>
      <c r="Q25" s="247"/>
      <c r="R25" s="249"/>
      <c r="S25" s="259"/>
      <c r="T25" s="259"/>
      <c r="U25" s="263"/>
      <c r="V25" s="262"/>
      <c r="X25" s="337"/>
      <c r="Y25" s="263"/>
      <c r="Z25" s="263"/>
      <c r="AA25" s="276"/>
      <c r="AB25" s="276"/>
      <c r="AC25" s="276"/>
      <c r="AG25" s="263"/>
      <c r="AH25" s="281"/>
      <c r="AI25" s="263"/>
      <c r="AJ25" s="263"/>
      <c r="AK25" s="263"/>
      <c r="AL25" s="263"/>
      <c r="AM25" s="263"/>
      <c r="AN25" s="263"/>
      <c r="AO25" s="263"/>
      <c r="AP25" s="263"/>
      <c r="AQ25" s="276"/>
      <c r="AR25" s="276"/>
    </row>
    <row r="26" spans="2:44" hidden="1" x14ac:dyDescent="0.3">
      <c r="B26" s="247"/>
      <c r="C26" s="247"/>
      <c r="D26" s="247"/>
      <c r="E26" s="259"/>
      <c r="F26" s="247"/>
      <c r="H26" s="259"/>
      <c r="K26" s="247"/>
      <c r="L26" s="247"/>
      <c r="M26" s="247"/>
      <c r="N26" s="247"/>
      <c r="O26" s="247"/>
      <c r="P26" s="280"/>
      <c r="Q26" s="247"/>
      <c r="R26" s="249"/>
      <c r="S26" s="259"/>
      <c r="T26" s="259"/>
      <c r="U26" s="263"/>
      <c r="V26" s="262"/>
      <c r="X26" s="337"/>
      <c r="Y26" s="263"/>
      <c r="Z26" s="263"/>
      <c r="AA26" s="276"/>
      <c r="AB26" s="276"/>
      <c r="AC26" s="276"/>
      <c r="AG26" s="263"/>
      <c r="AH26" s="281"/>
      <c r="AI26" s="263"/>
      <c r="AJ26" s="263"/>
      <c r="AK26" s="263"/>
      <c r="AL26" s="263"/>
      <c r="AM26" s="263"/>
      <c r="AN26" s="263"/>
      <c r="AO26" s="263"/>
      <c r="AP26" s="263"/>
      <c r="AQ26" s="276"/>
      <c r="AR26" s="276"/>
    </row>
    <row r="27" spans="2:44" hidden="1" x14ac:dyDescent="0.3">
      <c r="B27" s="247"/>
      <c r="C27" s="247"/>
      <c r="D27" s="247"/>
      <c r="E27" s="259"/>
      <c r="F27" s="247"/>
      <c r="H27" s="259"/>
      <c r="K27" s="247"/>
      <c r="L27" s="247"/>
      <c r="M27" s="247"/>
      <c r="N27" s="247"/>
      <c r="O27" s="247"/>
      <c r="P27" s="280"/>
      <c r="Q27" s="247"/>
      <c r="R27" s="249"/>
      <c r="S27" s="259"/>
      <c r="T27" s="259"/>
      <c r="U27" s="263"/>
      <c r="V27" s="262"/>
      <c r="X27" s="337"/>
      <c r="Y27" s="263"/>
      <c r="Z27" s="263"/>
      <c r="AA27" s="276"/>
      <c r="AB27" s="276"/>
      <c r="AC27" s="276"/>
      <c r="AG27" s="263"/>
      <c r="AH27" s="281"/>
      <c r="AI27" s="263"/>
      <c r="AJ27" s="263"/>
      <c r="AK27" s="263"/>
      <c r="AL27" s="263"/>
      <c r="AM27" s="263"/>
      <c r="AN27" s="263"/>
      <c r="AO27" s="263"/>
      <c r="AP27" s="263"/>
      <c r="AQ27" s="276"/>
      <c r="AR27" s="276"/>
    </row>
    <row r="28" spans="2:44" hidden="1" x14ac:dyDescent="0.3">
      <c r="B28" s="304"/>
      <c r="C28" s="304"/>
      <c r="D28" s="304"/>
      <c r="E28" s="305"/>
      <c r="F28" s="304"/>
      <c r="G28" s="305"/>
      <c r="H28" s="305"/>
      <c r="I28" s="304"/>
      <c r="J28" s="305"/>
      <c r="K28" s="304"/>
      <c r="L28" s="304"/>
      <c r="M28" s="304"/>
      <c r="N28" s="304"/>
      <c r="O28" s="304"/>
      <c r="P28" s="306"/>
      <c r="Q28" s="304"/>
      <c r="R28" s="323"/>
      <c r="S28" s="326"/>
      <c r="T28" s="305"/>
      <c r="U28" s="307"/>
      <c r="V28" s="308"/>
      <c r="W28" s="308"/>
      <c r="X28" s="338"/>
      <c r="Y28" s="307"/>
      <c r="Z28" s="307"/>
      <c r="AA28" s="309"/>
      <c r="AB28" s="309"/>
      <c r="AC28" s="309"/>
      <c r="AD28" s="307"/>
      <c r="AE28" s="323"/>
      <c r="AF28" s="423"/>
      <c r="AG28" s="307"/>
      <c r="AH28" s="311"/>
      <c r="AI28" s="307"/>
      <c r="AJ28" s="307"/>
      <c r="AK28" s="307"/>
      <c r="AL28" s="307"/>
      <c r="AM28" s="307"/>
      <c r="AN28" s="307"/>
      <c r="AO28" s="307"/>
      <c r="AP28" s="307"/>
      <c r="AQ28" s="309"/>
      <c r="AR28" s="309"/>
    </row>
    <row r="29" spans="2:44" hidden="1" x14ac:dyDescent="0.3">
      <c r="B29" s="313"/>
      <c r="C29" s="313"/>
      <c r="D29" s="313"/>
      <c r="E29" s="314"/>
      <c r="F29" s="313"/>
      <c r="G29" s="314"/>
      <c r="H29" s="314"/>
      <c r="I29" s="313"/>
      <c r="J29" s="314"/>
      <c r="K29" s="313"/>
      <c r="L29" s="313"/>
      <c r="M29" s="313"/>
      <c r="N29" s="313"/>
      <c r="O29" s="313"/>
      <c r="P29" s="315"/>
      <c r="Q29" s="313"/>
      <c r="R29" s="324"/>
      <c r="S29" s="314"/>
      <c r="T29" s="314"/>
      <c r="U29" s="316"/>
      <c r="V29" s="317"/>
      <c r="W29" s="317"/>
      <c r="X29" s="339"/>
      <c r="Y29" s="316"/>
      <c r="Z29" s="316"/>
      <c r="AA29" s="319"/>
      <c r="AB29" s="319"/>
      <c r="AC29" s="319"/>
      <c r="AD29" s="316"/>
      <c r="AE29" s="324"/>
      <c r="AF29" s="424"/>
      <c r="AG29" s="318"/>
      <c r="AH29" s="321"/>
      <c r="AI29" s="318"/>
      <c r="AJ29" s="318"/>
      <c r="AK29" s="318"/>
      <c r="AL29" s="318"/>
      <c r="AM29" s="318"/>
      <c r="AN29" s="318"/>
      <c r="AO29" s="318"/>
      <c r="AP29" s="318"/>
      <c r="AQ29" s="325"/>
      <c r="AR29" s="325"/>
    </row>
    <row r="30" spans="2:44" hidden="1" x14ac:dyDescent="0.3">
      <c r="B30" s="313"/>
      <c r="C30" s="313"/>
      <c r="D30" s="313"/>
      <c r="E30" s="314"/>
      <c r="F30" s="313"/>
      <c r="G30" s="314"/>
      <c r="H30" s="314"/>
      <c r="I30" s="313"/>
      <c r="J30" s="314"/>
      <c r="K30" s="313"/>
      <c r="L30" s="313"/>
      <c r="M30" s="313"/>
      <c r="N30" s="313"/>
      <c r="O30" s="313"/>
      <c r="P30" s="315"/>
      <c r="Q30" s="313"/>
      <c r="R30" s="324"/>
      <c r="S30" s="314"/>
      <c r="T30" s="314"/>
      <c r="U30" s="316"/>
      <c r="V30" s="317"/>
      <c r="W30" s="317"/>
      <c r="X30" s="339"/>
      <c r="Y30" s="316"/>
      <c r="Z30" s="316"/>
      <c r="AA30" s="319"/>
      <c r="AB30" s="319"/>
      <c r="AC30" s="319"/>
      <c r="AD30" s="316"/>
      <c r="AE30" s="324"/>
      <c r="AF30" s="424"/>
      <c r="AG30" s="318"/>
      <c r="AH30" s="321"/>
      <c r="AI30" s="318"/>
      <c r="AJ30" s="318"/>
      <c r="AK30" s="318"/>
      <c r="AL30" s="318"/>
      <c r="AM30" s="318"/>
      <c r="AN30" s="318"/>
      <c r="AO30" s="318"/>
      <c r="AP30" s="318"/>
      <c r="AQ30" s="325"/>
      <c r="AR30" s="325"/>
    </row>
    <row r="31" spans="2:44" hidden="1" x14ac:dyDescent="0.3">
      <c r="B31" s="294"/>
      <c r="C31" s="294"/>
      <c r="D31" s="294"/>
      <c r="E31" s="293"/>
      <c r="F31" s="294"/>
      <c r="G31" s="293"/>
      <c r="H31" s="293"/>
      <c r="I31" s="294"/>
      <c r="J31" s="293"/>
      <c r="K31" s="294"/>
      <c r="L31" s="294"/>
      <c r="M31" s="294"/>
      <c r="N31" s="294"/>
      <c r="O31" s="294"/>
      <c r="P31" s="296"/>
      <c r="Q31" s="294"/>
      <c r="R31" s="295"/>
      <c r="S31" s="297"/>
      <c r="T31" s="293"/>
      <c r="U31" s="297"/>
      <c r="V31" s="299"/>
      <c r="W31" s="299"/>
      <c r="X31" s="336"/>
      <c r="Y31" s="297"/>
      <c r="Z31" s="297"/>
      <c r="AA31" s="300"/>
      <c r="AB31" s="300"/>
      <c r="AC31" s="300"/>
      <c r="AD31" s="297"/>
      <c r="AE31" s="295"/>
      <c r="AF31" s="422"/>
      <c r="AG31" s="297"/>
      <c r="AH31" s="301"/>
      <c r="AI31" s="297"/>
      <c r="AJ31" s="297"/>
      <c r="AK31" s="297"/>
      <c r="AL31" s="297"/>
      <c r="AM31" s="297"/>
      <c r="AN31" s="297"/>
      <c r="AO31" s="297"/>
      <c r="AP31" s="297"/>
      <c r="AQ31" s="300"/>
      <c r="AR31" s="300"/>
    </row>
    <row r="32" spans="2:44" hidden="1" x14ac:dyDescent="0.3">
      <c r="B32" s="247"/>
      <c r="C32" s="247"/>
      <c r="D32" s="247"/>
      <c r="E32" s="259"/>
      <c r="F32" s="247"/>
      <c r="H32" s="259"/>
      <c r="K32" s="247"/>
      <c r="L32" s="247"/>
      <c r="M32" s="247"/>
      <c r="N32" s="247"/>
      <c r="O32" s="247"/>
      <c r="P32" s="280"/>
      <c r="Q32" s="247"/>
      <c r="R32" s="249"/>
      <c r="S32" s="259"/>
      <c r="T32" s="259"/>
      <c r="U32" s="263"/>
      <c r="V32" s="262"/>
      <c r="X32" s="337"/>
      <c r="Y32" s="263"/>
      <c r="Z32" s="263"/>
      <c r="AA32" s="276"/>
      <c r="AB32" s="276"/>
      <c r="AC32" s="276"/>
      <c r="AG32" s="263"/>
      <c r="AH32" s="281"/>
      <c r="AI32" s="263"/>
      <c r="AJ32" s="263"/>
      <c r="AK32" s="263"/>
      <c r="AL32" s="263"/>
      <c r="AM32" s="263"/>
      <c r="AN32" s="263"/>
      <c r="AO32" s="263"/>
      <c r="AP32" s="263"/>
      <c r="AQ32" s="276"/>
      <c r="AR32" s="276"/>
    </row>
    <row r="33" spans="2:44" hidden="1" x14ac:dyDescent="0.3">
      <c r="B33" s="247"/>
      <c r="C33" s="247"/>
      <c r="D33" s="247"/>
      <c r="E33" s="259"/>
      <c r="F33" s="247"/>
      <c r="H33" s="259"/>
      <c r="K33" s="247"/>
      <c r="L33" s="247"/>
      <c r="M33" s="247"/>
      <c r="N33" s="247"/>
      <c r="O33" s="247"/>
      <c r="P33" s="280"/>
      <c r="Q33" s="247"/>
      <c r="R33" s="249"/>
      <c r="S33" s="263"/>
      <c r="T33" s="259"/>
      <c r="U33" s="263"/>
      <c r="V33" s="262"/>
      <c r="X33" s="337"/>
      <c r="Y33" s="263"/>
      <c r="Z33" s="263"/>
      <c r="AA33" s="276"/>
      <c r="AB33" s="276"/>
      <c r="AC33" s="276"/>
      <c r="AG33" s="263"/>
      <c r="AH33" s="281"/>
      <c r="AI33" s="263"/>
      <c r="AJ33" s="263"/>
      <c r="AK33" s="263"/>
      <c r="AL33" s="263"/>
      <c r="AM33" s="263"/>
      <c r="AN33" s="263"/>
      <c r="AO33" s="263"/>
      <c r="AP33" s="263"/>
      <c r="AQ33" s="276"/>
      <c r="AR33" s="276"/>
    </row>
    <row r="34" spans="2:44" hidden="1" x14ac:dyDescent="0.3">
      <c r="B34" s="247"/>
      <c r="C34" s="247"/>
      <c r="D34" s="247"/>
      <c r="E34" s="259"/>
      <c r="F34" s="247"/>
      <c r="H34" s="259"/>
      <c r="K34" s="247"/>
      <c r="L34" s="247"/>
      <c r="M34" s="247"/>
      <c r="N34" s="247"/>
      <c r="O34" s="247"/>
      <c r="P34" s="280"/>
      <c r="Q34" s="247"/>
      <c r="R34" s="249"/>
      <c r="S34" s="259"/>
      <c r="T34" s="259"/>
      <c r="U34" s="263"/>
      <c r="V34" s="262"/>
      <c r="X34" s="337"/>
      <c r="Y34" s="263"/>
      <c r="Z34" s="263"/>
      <c r="AA34" s="276"/>
      <c r="AB34" s="276"/>
      <c r="AC34" s="276"/>
      <c r="AG34" s="263"/>
      <c r="AH34" s="281"/>
      <c r="AI34" s="263"/>
      <c r="AJ34" s="263"/>
      <c r="AK34" s="263"/>
      <c r="AL34" s="263"/>
      <c r="AM34" s="263"/>
      <c r="AN34" s="263"/>
      <c r="AO34" s="263"/>
      <c r="AP34" s="263"/>
      <c r="AQ34" s="276"/>
      <c r="AR34" s="276"/>
    </row>
    <row r="35" spans="2:44" hidden="1" x14ac:dyDescent="0.3">
      <c r="B35" s="247"/>
      <c r="C35" s="247"/>
      <c r="D35" s="247"/>
      <c r="E35" s="259"/>
      <c r="F35" s="247"/>
      <c r="H35" s="259"/>
      <c r="K35" s="247"/>
      <c r="L35" s="247"/>
      <c r="M35" s="247"/>
      <c r="N35" s="247"/>
      <c r="O35" s="247"/>
      <c r="P35" s="280"/>
      <c r="Q35" s="247"/>
      <c r="R35" s="249"/>
      <c r="S35" s="263"/>
      <c r="T35" s="259"/>
      <c r="U35" s="263"/>
      <c r="V35" s="262"/>
      <c r="X35" s="337"/>
      <c r="Y35" s="263"/>
      <c r="Z35" s="263"/>
      <c r="AA35" s="276"/>
      <c r="AB35" s="276"/>
      <c r="AC35" s="276"/>
      <c r="AG35" s="263"/>
      <c r="AH35" s="281"/>
      <c r="AI35" s="263"/>
      <c r="AJ35" s="263"/>
      <c r="AK35" s="263"/>
      <c r="AL35" s="263"/>
      <c r="AM35" s="263"/>
      <c r="AN35" s="263"/>
      <c r="AO35" s="263"/>
      <c r="AP35" s="263"/>
      <c r="AQ35" s="276"/>
      <c r="AR35" s="276"/>
    </row>
    <row r="36" spans="2:44" hidden="1" x14ac:dyDescent="0.3">
      <c r="B36" s="247"/>
      <c r="C36" s="247"/>
      <c r="D36" s="247"/>
      <c r="E36" s="259"/>
      <c r="F36" s="247"/>
      <c r="H36" s="259"/>
      <c r="K36" s="247"/>
      <c r="L36" s="247"/>
      <c r="M36" s="247"/>
      <c r="N36" s="247"/>
      <c r="O36" s="247"/>
      <c r="P36" s="280"/>
      <c r="Q36" s="247"/>
      <c r="R36" s="249"/>
      <c r="S36" s="259"/>
      <c r="T36" s="259"/>
      <c r="U36" s="263"/>
      <c r="V36" s="262"/>
      <c r="X36" s="337"/>
      <c r="Y36" s="263"/>
      <c r="Z36" s="263"/>
      <c r="AA36" s="276"/>
      <c r="AB36" s="276"/>
      <c r="AC36" s="276"/>
      <c r="AG36" s="263"/>
      <c r="AH36" s="281"/>
      <c r="AI36" s="263"/>
      <c r="AJ36" s="263"/>
      <c r="AK36" s="263"/>
      <c r="AL36" s="263"/>
      <c r="AM36" s="263"/>
      <c r="AN36" s="263"/>
      <c r="AO36" s="263"/>
      <c r="AP36" s="263"/>
      <c r="AQ36" s="276"/>
      <c r="AR36" s="276"/>
    </row>
    <row r="37" spans="2:44" hidden="1" x14ac:dyDescent="0.3">
      <c r="B37" s="304"/>
      <c r="C37" s="304"/>
      <c r="D37" s="304"/>
      <c r="E37" s="305"/>
      <c r="F37" s="304"/>
      <c r="G37" s="305"/>
      <c r="H37" s="305"/>
      <c r="I37" s="304"/>
      <c r="J37" s="305"/>
      <c r="K37" s="304"/>
      <c r="L37" s="304"/>
      <c r="M37" s="304"/>
      <c r="N37" s="304"/>
      <c r="O37" s="304"/>
      <c r="P37" s="306"/>
      <c r="Q37" s="304"/>
      <c r="R37" s="323"/>
      <c r="S37" s="307"/>
      <c r="T37" s="326"/>
      <c r="U37" s="307"/>
      <c r="V37" s="308"/>
      <c r="W37" s="308"/>
      <c r="X37" s="338"/>
      <c r="Y37" s="307"/>
      <c r="Z37" s="307"/>
      <c r="AA37" s="309"/>
      <c r="AB37" s="309"/>
      <c r="AC37" s="309"/>
      <c r="AD37" s="307"/>
      <c r="AE37" s="323"/>
      <c r="AF37" s="423"/>
      <c r="AG37" s="307"/>
      <c r="AH37" s="311"/>
      <c r="AI37" s="307"/>
      <c r="AJ37" s="307"/>
      <c r="AK37" s="307"/>
      <c r="AL37" s="307"/>
      <c r="AM37" s="307"/>
      <c r="AN37" s="307"/>
      <c r="AO37" s="307"/>
      <c r="AP37" s="307"/>
      <c r="AQ37" s="309"/>
      <c r="AR37" s="309"/>
    </row>
    <row r="38" spans="2:44" hidden="1" x14ac:dyDescent="0.3">
      <c r="B38" s="327"/>
      <c r="C38" s="327"/>
      <c r="D38" s="327"/>
      <c r="E38" s="328"/>
      <c r="F38" s="327"/>
      <c r="G38" s="328"/>
      <c r="H38" s="328"/>
      <c r="I38" s="327"/>
      <c r="J38" s="328"/>
      <c r="K38" s="327"/>
      <c r="L38" s="327"/>
      <c r="M38" s="327"/>
      <c r="N38" s="327"/>
      <c r="O38" s="327"/>
      <c r="P38" s="330"/>
      <c r="Q38" s="327"/>
      <c r="R38" s="329"/>
      <c r="S38" s="328"/>
      <c r="T38" s="328"/>
      <c r="U38" s="331"/>
      <c r="V38" s="332"/>
      <c r="W38" s="332"/>
      <c r="X38" s="340"/>
      <c r="Y38" s="331"/>
      <c r="Z38" s="331"/>
      <c r="AA38" s="333"/>
      <c r="AB38" s="333"/>
      <c r="AC38" s="333"/>
      <c r="AD38" s="331"/>
      <c r="AE38" s="329"/>
      <c r="AF38" s="425"/>
      <c r="AG38" s="331"/>
      <c r="AH38" s="334"/>
      <c r="AI38" s="331"/>
      <c r="AJ38" s="331"/>
      <c r="AK38" s="331"/>
      <c r="AL38" s="331"/>
      <c r="AM38" s="331"/>
      <c r="AN38" s="331"/>
      <c r="AO38" s="331"/>
      <c r="AP38" s="331"/>
      <c r="AQ38" s="333"/>
      <c r="AR38" s="333"/>
    </row>
    <row r="39" spans="2:44" hidden="1" x14ac:dyDescent="0.3">
      <c r="B39" s="294"/>
      <c r="C39" s="294"/>
      <c r="D39" s="294"/>
      <c r="E39" s="293"/>
      <c r="F39" s="294"/>
      <c r="G39" s="293"/>
      <c r="H39" s="293"/>
      <c r="I39" s="294"/>
      <c r="J39" s="293"/>
      <c r="K39" s="294"/>
      <c r="L39" s="294"/>
      <c r="M39" s="294"/>
      <c r="N39" s="294"/>
      <c r="O39" s="294"/>
      <c r="P39" s="296"/>
      <c r="Q39" s="294"/>
      <c r="R39" s="295"/>
      <c r="S39" s="297"/>
      <c r="T39" s="298"/>
      <c r="U39" s="297"/>
      <c r="V39" s="299"/>
      <c r="W39" s="299"/>
      <c r="X39" s="336"/>
      <c r="Y39" s="297"/>
      <c r="Z39" s="297"/>
      <c r="AA39" s="300"/>
      <c r="AB39" s="300"/>
      <c r="AC39" s="300"/>
      <c r="AD39" s="297"/>
      <c r="AE39" s="295"/>
      <c r="AF39" s="422"/>
      <c r="AG39" s="297"/>
      <c r="AH39" s="301"/>
      <c r="AI39" s="297"/>
      <c r="AJ39" s="297"/>
      <c r="AK39" s="297"/>
      <c r="AL39" s="297"/>
      <c r="AM39" s="297"/>
      <c r="AN39" s="297"/>
      <c r="AO39" s="297"/>
      <c r="AP39" s="297"/>
      <c r="AQ39" s="300"/>
      <c r="AR39" s="300"/>
    </row>
    <row r="40" spans="2:44" hidden="1" x14ac:dyDescent="0.3">
      <c r="B40" s="247"/>
      <c r="C40" s="247"/>
      <c r="D40" s="247"/>
      <c r="E40" s="259"/>
      <c r="F40" s="247"/>
      <c r="H40" s="259"/>
      <c r="K40" s="247"/>
      <c r="L40" s="247"/>
      <c r="M40" s="247"/>
      <c r="N40" s="247"/>
      <c r="O40" s="247"/>
      <c r="P40" s="280"/>
      <c r="Q40" s="247"/>
      <c r="R40" s="249"/>
      <c r="S40" s="259"/>
      <c r="T40" s="259"/>
      <c r="U40" s="263"/>
      <c r="V40" s="262"/>
      <c r="X40" s="337"/>
      <c r="Y40" s="263"/>
      <c r="Z40" s="263"/>
      <c r="AA40" s="276"/>
      <c r="AB40" s="276"/>
      <c r="AC40" s="276"/>
      <c r="AG40" s="263"/>
      <c r="AH40" s="281"/>
      <c r="AI40" s="263"/>
      <c r="AJ40" s="263"/>
      <c r="AK40" s="263"/>
      <c r="AL40" s="263"/>
      <c r="AM40" s="263"/>
      <c r="AN40" s="263"/>
      <c r="AO40" s="263"/>
      <c r="AP40" s="263"/>
      <c r="AQ40" s="276"/>
      <c r="AR40" s="276"/>
    </row>
    <row r="41" spans="2:44" hidden="1" x14ac:dyDescent="0.3">
      <c r="B41" s="304"/>
      <c r="C41" s="304"/>
      <c r="D41" s="304"/>
      <c r="E41" s="305"/>
      <c r="F41" s="304"/>
      <c r="G41" s="305"/>
      <c r="H41" s="305"/>
      <c r="I41" s="304"/>
      <c r="J41" s="305"/>
      <c r="K41" s="304"/>
      <c r="L41" s="304"/>
      <c r="M41" s="304"/>
      <c r="N41" s="304"/>
      <c r="O41" s="304"/>
      <c r="P41" s="306"/>
      <c r="Q41" s="304"/>
      <c r="R41" s="304"/>
      <c r="S41" s="305"/>
      <c r="T41" s="305"/>
      <c r="U41" s="307"/>
      <c r="V41" s="308"/>
      <c r="W41" s="305"/>
      <c r="X41" s="338"/>
      <c r="Y41" s="307"/>
      <c r="Z41" s="305"/>
      <c r="AA41" s="326"/>
      <c r="AB41" s="326"/>
      <c r="AC41" s="309"/>
      <c r="AD41" s="307"/>
      <c r="AE41" s="323"/>
      <c r="AF41" s="423"/>
      <c r="AG41" s="307"/>
      <c r="AH41" s="311"/>
      <c r="AI41" s="307"/>
      <c r="AJ41" s="307"/>
      <c r="AK41" s="307"/>
      <c r="AL41" s="307"/>
      <c r="AM41" s="307"/>
      <c r="AN41" s="307"/>
      <c r="AO41" s="307"/>
      <c r="AP41" s="307"/>
      <c r="AQ41" s="309"/>
      <c r="AR41" s="309"/>
    </row>
    <row r="42" spans="2:44" hidden="1" x14ac:dyDescent="0.3">
      <c r="B42" s="313"/>
      <c r="C42" s="313"/>
      <c r="D42" s="313"/>
      <c r="E42" s="314"/>
      <c r="F42" s="313"/>
      <c r="G42" s="314"/>
      <c r="H42" s="314"/>
      <c r="I42" s="313"/>
      <c r="J42" s="314"/>
      <c r="K42" s="313"/>
      <c r="L42" s="313"/>
      <c r="M42" s="313"/>
      <c r="N42" s="313"/>
      <c r="O42" s="313"/>
      <c r="P42" s="315"/>
      <c r="Q42" s="313"/>
      <c r="R42" s="313"/>
      <c r="S42" s="314"/>
      <c r="T42" s="314"/>
      <c r="U42" s="316"/>
      <c r="V42" s="317"/>
      <c r="W42" s="317"/>
      <c r="X42" s="339"/>
      <c r="Y42" s="316"/>
      <c r="Z42" s="314"/>
      <c r="AA42" s="335"/>
      <c r="AB42" s="335"/>
      <c r="AC42" s="319"/>
      <c r="AD42" s="316"/>
      <c r="AE42" s="324"/>
      <c r="AF42" s="424"/>
      <c r="AG42" s="318"/>
      <c r="AH42" s="321"/>
      <c r="AI42" s="318"/>
      <c r="AJ42" s="318"/>
      <c r="AK42" s="318"/>
      <c r="AL42" s="318"/>
      <c r="AM42" s="318"/>
      <c r="AN42" s="318"/>
      <c r="AO42" s="318"/>
      <c r="AP42" s="318"/>
      <c r="AQ42" s="325"/>
      <c r="AR42" s="325"/>
    </row>
    <row r="43" spans="2:44" hidden="1" x14ac:dyDescent="0.3">
      <c r="B43" s="313"/>
      <c r="C43" s="313"/>
      <c r="D43" s="313"/>
      <c r="E43" s="314"/>
      <c r="F43" s="313"/>
      <c r="G43" s="314"/>
      <c r="H43" s="314"/>
      <c r="I43" s="313"/>
      <c r="J43" s="314"/>
      <c r="K43" s="313"/>
      <c r="L43" s="313"/>
      <c r="M43" s="313"/>
      <c r="N43" s="313"/>
      <c r="O43" s="313"/>
      <c r="P43" s="315"/>
      <c r="Q43" s="313"/>
      <c r="R43" s="313"/>
      <c r="S43" s="314"/>
      <c r="T43" s="314"/>
      <c r="U43" s="316"/>
      <c r="V43" s="314"/>
      <c r="W43" s="314"/>
      <c r="X43" s="339"/>
      <c r="Y43" s="316"/>
      <c r="Z43" s="314"/>
      <c r="AA43" s="335"/>
      <c r="AB43" s="335"/>
      <c r="AC43" s="319"/>
      <c r="AD43" s="316"/>
      <c r="AE43" s="324"/>
      <c r="AF43" s="424"/>
      <c r="AG43" s="318"/>
      <c r="AH43" s="321"/>
      <c r="AI43" s="318"/>
      <c r="AJ43" s="318"/>
      <c r="AK43" s="318"/>
      <c r="AL43" s="318"/>
      <c r="AM43" s="318"/>
      <c r="AN43" s="318"/>
      <c r="AO43" s="318"/>
      <c r="AP43" s="318"/>
      <c r="AQ43" s="325"/>
      <c r="AR43" s="325"/>
    </row>
    <row r="44" spans="2:44" hidden="1" x14ac:dyDescent="0.3">
      <c r="B44" s="327"/>
      <c r="C44" s="327"/>
      <c r="D44" s="327"/>
      <c r="E44" s="328"/>
      <c r="F44" s="327"/>
      <c r="G44" s="328"/>
      <c r="H44" s="328"/>
      <c r="I44" s="327"/>
      <c r="J44" s="328"/>
      <c r="K44" s="327"/>
      <c r="L44" s="327"/>
      <c r="M44" s="327"/>
      <c r="N44" s="327"/>
      <c r="O44" s="327"/>
      <c r="P44" s="330"/>
      <c r="Q44" s="327"/>
      <c r="R44" s="327"/>
      <c r="S44" s="328"/>
      <c r="T44" s="328"/>
      <c r="U44" s="331"/>
      <c r="V44" s="328"/>
      <c r="W44" s="328"/>
      <c r="X44" s="340"/>
      <c r="Y44" s="331"/>
      <c r="Z44" s="328"/>
      <c r="AA44" s="343"/>
      <c r="AB44" s="343"/>
      <c r="AC44" s="333"/>
      <c r="AD44" s="331"/>
      <c r="AE44" s="329"/>
      <c r="AF44" s="425"/>
      <c r="AG44" s="344"/>
      <c r="AH44" s="334"/>
      <c r="AI44" s="344"/>
      <c r="AJ44" s="344"/>
      <c r="AK44" s="344"/>
      <c r="AL44" s="344"/>
      <c r="AM44" s="344"/>
      <c r="AN44" s="344"/>
      <c r="AO44" s="344"/>
      <c r="AP44" s="344"/>
      <c r="AQ44" s="345"/>
      <c r="AR44" s="345"/>
    </row>
    <row r="45" spans="2:44" hidden="1" x14ac:dyDescent="0.3">
      <c r="B45" s="283"/>
      <c r="C45" s="283"/>
      <c r="D45" s="284"/>
      <c r="E45" s="285"/>
      <c r="F45" s="284"/>
      <c r="G45" s="285"/>
      <c r="H45" s="285"/>
      <c r="I45" s="284"/>
      <c r="J45" s="285"/>
      <c r="K45" s="284"/>
      <c r="L45" s="284"/>
      <c r="M45" s="284"/>
      <c r="N45" s="284"/>
      <c r="O45" s="284"/>
      <c r="P45" s="286"/>
      <c r="Q45" s="283"/>
      <c r="R45" s="284"/>
      <c r="S45" s="285"/>
      <c r="T45" s="285"/>
      <c r="U45" s="289"/>
      <c r="V45" s="285"/>
      <c r="W45" s="287"/>
      <c r="X45" s="341"/>
      <c r="Y45" s="289"/>
      <c r="Z45" s="289"/>
      <c r="AA45" s="290"/>
      <c r="AB45" s="290"/>
      <c r="AC45" s="290"/>
      <c r="AD45" s="289"/>
      <c r="AE45" s="469"/>
      <c r="AF45" s="421"/>
      <c r="AG45" s="288"/>
      <c r="AH45" s="291"/>
      <c r="AI45" s="288"/>
      <c r="AJ45" s="288"/>
      <c r="AK45" s="288"/>
      <c r="AL45" s="288"/>
      <c r="AM45" s="288"/>
      <c r="AN45" s="288"/>
      <c r="AO45" s="288"/>
      <c r="AP45" s="288"/>
      <c r="AQ45" s="292"/>
      <c r="AR45" s="292"/>
    </row>
    <row r="46" spans="2:44" hidden="1" x14ac:dyDescent="0.3">
      <c r="B46" s="294"/>
      <c r="C46" s="294"/>
      <c r="D46" s="294"/>
      <c r="E46" s="293"/>
      <c r="F46" s="294"/>
      <c r="G46" s="293"/>
      <c r="H46" s="293"/>
      <c r="I46" s="294"/>
      <c r="J46" s="293"/>
      <c r="K46" s="294"/>
      <c r="L46" s="294"/>
      <c r="M46" s="294"/>
      <c r="N46" s="294"/>
      <c r="O46" s="294"/>
      <c r="P46" s="296"/>
      <c r="Q46" s="294"/>
      <c r="R46" s="295"/>
      <c r="S46" s="300"/>
      <c r="T46" s="293"/>
      <c r="U46" s="297"/>
      <c r="V46" s="299"/>
      <c r="W46" s="299"/>
      <c r="X46" s="336"/>
      <c r="Y46" s="297"/>
      <c r="Z46" s="297"/>
      <c r="AA46" s="300"/>
      <c r="AB46" s="300"/>
      <c r="AC46" s="300"/>
      <c r="AD46" s="297"/>
      <c r="AE46" s="295"/>
      <c r="AF46" s="422"/>
      <c r="AG46" s="297"/>
      <c r="AH46" s="374"/>
      <c r="AI46" s="297"/>
      <c r="AJ46" s="297"/>
      <c r="AK46" s="297"/>
      <c r="AL46" s="297"/>
      <c r="AM46" s="297"/>
      <c r="AN46" s="297"/>
      <c r="AO46" s="297"/>
      <c r="AP46" s="297"/>
      <c r="AQ46" s="300"/>
      <c r="AR46" s="300"/>
    </row>
    <row r="47" spans="2:44" hidden="1" x14ac:dyDescent="0.3">
      <c r="B47" s="375"/>
      <c r="C47" s="375"/>
      <c r="D47" s="375"/>
      <c r="E47" s="376"/>
      <c r="F47" s="375"/>
      <c r="G47" s="376"/>
      <c r="H47" s="376"/>
      <c r="I47" s="375"/>
      <c r="J47" s="376"/>
      <c r="K47" s="375"/>
      <c r="L47" s="375"/>
      <c r="M47" s="375"/>
      <c r="N47" s="375"/>
      <c r="O47" s="375"/>
      <c r="P47" s="378"/>
      <c r="Q47" s="375"/>
      <c r="R47" s="377"/>
      <c r="S47" s="376"/>
      <c r="T47" s="376"/>
      <c r="U47" s="379"/>
      <c r="V47" s="380"/>
      <c r="W47" s="380"/>
      <c r="X47" s="381"/>
      <c r="Y47" s="379"/>
      <c r="Z47" s="379"/>
      <c r="AA47" s="382"/>
      <c r="AB47" s="382"/>
      <c r="AC47" s="382"/>
      <c r="AD47" s="379"/>
      <c r="AE47" s="377"/>
      <c r="AF47" s="426"/>
      <c r="AG47" s="379"/>
      <c r="AH47" s="383"/>
      <c r="AI47" s="379"/>
      <c r="AJ47" s="379"/>
      <c r="AK47" s="379"/>
      <c r="AL47" s="379"/>
      <c r="AM47" s="379"/>
      <c r="AN47" s="379"/>
      <c r="AO47" s="379"/>
      <c r="AP47" s="379"/>
      <c r="AQ47" s="382"/>
      <c r="AR47" s="382"/>
    </row>
    <row r="48" spans="2:44" hidden="1" x14ac:dyDescent="0.3">
      <c r="B48" s="375"/>
      <c r="C48" s="375"/>
      <c r="D48" s="375"/>
      <c r="E48" s="376"/>
      <c r="F48" s="375"/>
      <c r="G48" s="376"/>
      <c r="H48" s="376"/>
      <c r="I48" s="375"/>
      <c r="J48" s="376"/>
      <c r="K48" s="375"/>
      <c r="L48" s="375"/>
      <c r="M48" s="375"/>
      <c r="N48" s="375"/>
      <c r="O48" s="375"/>
      <c r="P48" s="378"/>
      <c r="Q48" s="375"/>
      <c r="R48" s="377"/>
      <c r="S48" s="376"/>
      <c r="T48" s="376"/>
      <c r="U48" s="379"/>
      <c r="V48" s="380"/>
      <c r="W48" s="380"/>
      <c r="X48" s="381"/>
      <c r="Y48" s="379"/>
      <c r="Z48" s="379"/>
      <c r="AA48" s="382"/>
      <c r="AB48" s="382"/>
      <c r="AC48" s="382"/>
      <c r="AD48" s="379"/>
      <c r="AE48" s="377"/>
      <c r="AF48" s="426"/>
      <c r="AG48" s="379"/>
      <c r="AH48" s="383"/>
      <c r="AI48" s="379"/>
      <c r="AJ48" s="379"/>
      <c r="AK48" s="379"/>
      <c r="AL48" s="379"/>
      <c r="AM48" s="379"/>
      <c r="AN48" s="379"/>
      <c r="AO48" s="379"/>
      <c r="AP48" s="379"/>
      <c r="AQ48" s="382"/>
      <c r="AR48" s="382"/>
    </row>
    <row r="49" spans="2:44" hidden="1" x14ac:dyDescent="0.3">
      <c r="B49" s="362"/>
      <c r="C49" s="362"/>
      <c r="D49" s="362"/>
      <c r="E49" s="363"/>
      <c r="F49" s="362"/>
      <c r="G49" s="363"/>
      <c r="H49" s="363"/>
      <c r="I49" s="362"/>
      <c r="J49" s="363"/>
      <c r="K49" s="362"/>
      <c r="L49" s="362"/>
      <c r="M49" s="362"/>
      <c r="N49" s="362"/>
      <c r="O49" s="362"/>
      <c r="P49" s="365"/>
      <c r="Q49" s="362"/>
      <c r="R49" s="364"/>
      <c r="S49" s="363"/>
      <c r="T49" s="363"/>
      <c r="U49" s="366"/>
      <c r="V49" s="367"/>
      <c r="W49" s="367"/>
      <c r="X49" s="368"/>
      <c r="Y49" s="366"/>
      <c r="Z49" s="366"/>
      <c r="AA49" s="369"/>
      <c r="AB49" s="369"/>
      <c r="AC49" s="369"/>
      <c r="AD49" s="366"/>
      <c r="AE49" s="364"/>
      <c r="AF49" s="392"/>
      <c r="AG49" s="366"/>
      <c r="AH49" s="370"/>
      <c r="AI49" s="366"/>
      <c r="AJ49" s="366"/>
      <c r="AK49" s="366"/>
      <c r="AL49" s="366"/>
      <c r="AM49" s="366"/>
      <c r="AN49" s="366"/>
      <c r="AO49" s="366"/>
      <c r="AP49" s="366"/>
      <c r="AQ49" s="369"/>
      <c r="AR49" s="369"/>
    </row>
    <row r="50" spans="2:44" hidden="1" x14ac:dyDescent="0.3">
      <c r="B50" s="304"/>
      <c r="C50" s="304"/>
      <c r="D50" s="359"/>
      <c r="E50" s="305"/>
      <c r="F50" s="304"/>
      <c r="G50" s="305"/>
      <c r="H50" s="305"/>
      <c r="I50" s="304"/>
      <c r="J50" s="305"/>
      <c r="K50" s="304"/>
      <c r="L50" s="304"/>
      <c r="M50" s="304"/>
      <c r="N50" s="304"/>
      <c r="O50" s="304"/>
      <c r="P50" s="306"/>
      <c r="Q50" s="304"/>
      <c r="R50" s="310"/>
      <c r="S50" s="307"/>
      <c r="T50" s="326"/>
      <c r="U50" s="307"/>
      <c r="V50" s="308"/>
      <c r="W50" s="308"/>
      <c r="X50" s="338"/>
      <c r="Y50" s="307"/>
      <c r="Z50" s="307"/>
      <c r="AA50" s="309"/>
      <c r="AB50" s="309"/>
      <c r="AC50" s="309"/>
      <c r="AD50" s="307"/>
      <c r="AE50" s="323"/>
      <c r="AF50" s="423"/>
      <c r="AG50" s="307"/>
      <c r="AH50" s="346"/>
      <c r="AI50" s="307"/>
      <c r="AJ50" s="307"/>
      <c r="AK50" s="307"/>
      <c r="AL50" s="307"/>
      <c r="AM50" s="307"/>
      <c r="AN50" s="307"/>
      <c r="AO50" s="307"/>
      <c r="AP50" s="307"/>
      <c r="AQ50" s="309"/>
      <c r="AR50" s="309"/>
    </row>
    <row r="51" spans="2:44" hidden="1" x14ac:dyDescent="0.3">
      <c r="B51" s="347"/>
      <c r="C51" s="347"/>
      <c r="D51" s="347"/>
      <c r="E51" s="348"/>
      <c r="F51" s="347"/>
      <c r="G51" s="348"/>
      <c r="H51" s="348"/>
      <c r="I51" s="347"/>
      <c r="J51" s="348"/>
      <c r="K51" s="347"/>
      <c r="L51" s="347"/>
      <c r="M51" s="347"/>
      <c r="N51" s="347"/>
      <c r="O51" s="347"/>
      <c r="P51" s="350"/>
      <c r="Q51" s="347"/>
      <c r="R51" s="349"/>
      <c r="S51" s="351"/>
      <c r="T51" s="352"/>
      <c r="U51" s="351"/>
      <c r="V51" s="353"/>
      <c r="W51" s="353"/>
      <c r="X51" s="354"/>
      <c r="Y51" s="351"/>
      <c r="Z51" s="351"/>
      <c r="AA51" s="355"/>
      <c r="AB51" s="355"/>
      <c r="AC51" s="355"/>
      <c r="AD51" s="351"/>
      <c r="AE51" s="391"/>
      <c r="AF51" s="427"/>
      <c r="AG51" s="351"/>
      <c r="AH51" s="356"/>
      <c r="AI51" s="351"/>
      <c r="AJ51" s="351"/>
      <c r="AK51" s="351"/>
      <c r="AL51" s="351"/>
      <c r="AM51" s="351"/>
      <c r="AN51" s="351"/>
      <c r="AO51" s="351"/>
      <c r="AP51" s="351"/>
      <c r="AQ51" s="355"/>
      <c r="AR51" s="355"/>
    </row>
    <row r="52" spans="2:44" hidden="1" x14ac:dyDescent="0.3">
      <c r="B52" s="327"/>
      <c r="C52" s="327"/>
      <c r="D52" s="327"/>
      <c r="E52" s="328"/>
      <c r="F52" s="327"/>
      <c r="G52" s="328"/>
      <c r="H52" s="328"/>
      <c r="I52" s="327"/>
      <c r="J52" s="328"/>
      <c r="K52" s="327"/>
      <c r="L52" s="327"/>
      <c r="M52" s="327"/>
      <c r="N52" s="327"/>
      <c r="O52" s="327"/>
      <c r="P52" s="330"/>
      <c r="Q52" s="327"/>
      <c r="R52" s="357"/>
      <c r="S52" s="331"/>
      <c r="T52" s="343"/>
      <c r="U52" s="331"/>
      <c r="V52" s="332"/>
      <c r="W52" s="332"/>
      <c r="X52" s="340"/>
      <c r="Y52" s="331"/>
      <c r="Z52" s="331"/>
      <c r="AA52" s="333"/>
      <c r="AB52" s="333"/>
      <c r="AC52" s="333"/>
      <c r="AD52" s="331"/>
      <c r="AE52" s="329"/>
      <c r="AF52" s="425"/>
      <c r="AG52" s="331"/>
      <c r="AH52" s="358"/>
      <c r="AI52" s="331"/>
      <c r="AJ52" s="331"/>
      <c r="AK52" s="331"/>
      <c r="AL52" s="331"/>
      <c r="AM52" s="331"/>
      <c r="AN52" s="331"/>
      <c r="AO52" s="331"/>
      <c r="AP52" s="331"/>
      <c r="AQ52" s="333"/>
      <c r="AR52" s="333"/>
    </row>
    <row r="53" spans="2:44" hidden="1" x14ac:dyDescent="0.3">
      <c r="B53" s="375"/>
      <c r="C53" s="375"/>
      <c r="D53" s="375"/>
      <c r="E53" s="376"/>
      <c r="F53" s="375"/>
      <c r="G53" s="376"/>
      <c r="H53" s="376"/>
      <c r="I53" s="375"/>
      <c r="J53" s="376"/>
      <c r="K53" s="375"/>
      <c r="L53" s="375"/>
      <c r="M53" s="375"/>
      <c r="N53" s="375"/>
      <c r="O53" s="375"/>
      <c r="P53" s="378"/>
      <c r="Q53" s="375"/>
      <c r="R53" s="384"/>
      <c r="S53" s="379"/>
      <c r="T53" s="385"/>
      <c r="U53" s="379"/>
      <c r="V53" s="379"/>
      <c r="W53" s="380"/>
      <c r="X53" s="381"/>
      <c r="Y53" s="379"/>
      <c r="Z53" s="379"/>
      <c r="AA53" s="382"/>
      <c r="AB53" s="382"/>
      <c r="AC53" s="382"/>
      <c r="AD53" s="379"/>
      <c r="AE53" s="377"/>
      <c r="AF53" s="426"/>
      <c r="AG53" s="379"/>
      <c r="AH53" s="386"/>
      <c r="AI53" s="379"/>
      <c r="AJ53" s="379"/>
      <c r="AK53" s="379"/>
      <c r="AL53" s="379"/>
      <c r="AM53" s="379"/>
      <c r="AN53" s="379"/>
      <c r="AO53" s="379"/>
      <c r="AP53" s="379"/>
      <c r="AQ53" s="382"/>
      <c r="AR53" s="382"/>
    </row>
    <row r="54" spans="2:44" s="254" customFormat="1" hidden="1" x14ac:dyDescent="0.3">
      <c r="B54" s="375"/>
      <c r="C54" s="375"/>
      <c r="D54" s="375"/>
      <c r="E54" s="376"/>
      <c r="F54" s="375"/>
      <c r="G54" s="376"/>
      <c r="H54" s="376"/>
      <c r="I54" s="375"/>
      <c r="J54" s="376"/>
      <c r="K54" s="375"/>
      <c r="L54" s="375"/>
      <c r="M54" s="375"/>
      <c r="N54" s="375"/>
      <c r="O54" s="375"/>
      <c r="P54" s="378"/>
      <c r="Q54" s="375"/>
      <c r="R54" s="384"/>
      <c r="S54" s="379"/>
      <c r="T54" s="385"/>
      <c r="U54" s="379"/>
      <c r="V54" s="379"/>
      <c r="W54" s="380"/>
      <c r="X54" s="381"/>
      <c r="Y54" s="379"/>
      <c r="Z54" s="379"/>
      <c r="AA54" s="382"/>
      <c r="AB54" s="382"/>
      <c r="AC54" s="382"/>
      <c r="AD54" s="379"/>
      <c r="AE54" s="377"/>
      <c r="AF54" s="426"/>
      <c r="AG54" s="379"/>
      <c r="AH54" s="386"/>
      <c r="AI54" s="379"/>
      <c r="AJ54" s="379"/>
      <c r="AK54" s="379"/>
      <c r="AL54" s="379"/>
      <c r="AM54" s="379"/>
      <c r="AN54" s="379"/>
      <c r="AO54" s="379"/>
      <c r="AP54" s="379"/>
      <c r="AQ54" s="382"/>
      <c r="AR54" s="382"/>
    </row>
    <row r="55" spans="2:44" s="254" customFormat="1" hidden="1" x14ac:dyDescent="0.3">
      <c r="B55" s="375"/>
      <c r="C55" s="375"/>
      <c r="D55" s="375"/>
      <c r="E55" s="376"/>
      <c r="F55" s="375"/>
      <c r="G55" s="376"/>
      <c r="H55" s="376"/>
      <c r="I55" s="375"/>
      <c r="J55" s="376"/>
      <c r="K55" s="375"/>
      <c r="L55" s="375"/>
      <c r="M55" s="375"/>
      <c r="N55" s="375"/>
      <c r="O55" s="375"/>
      <c r="P55" s="378"/>
      <c r="Q55" s="375"/>
      <c r="R55" s="384"/>
      <c r="S55" s="379"/>
      <c r="T55" s="385"/>
      <c r="U55" s="379"/>
      <c r="V55" s="379"/>
      <c r="W55" s="380"/>
      <c r="X55" s="381"/>
      <c r="Y55" s="379"/>
      <c r="Z55" s="379"/>
      <c r="AA55" s="382"/>
      <c r="AB55" s="382"/>
      <c r="AC55" s="382"/>
      <c r="AD55" s="379"/>
      <c r="AE55" s="377"/>
      <c r="AF55" s="426"/>
      <c r="AG55" s="379"/>
      <c r="AH55" s="386"/>
      <c r="AI55" s="379"/>
      <c r="AJ55" s="379"/>
      <c r="AK55" s="379"/>
      <c r="AL55" s="379"/>
      <c r="AM55" s="379"/>
      <c r="AN55" s="379"/>
      <c r="AO55" s="379"/>
      <c r="AP55" s="379"/>
      <c r="AQ55" s="382"/>
      <c r="AR55" s="382"/>
    </row>
    <row r="56" spans="2:44" s="254" customFormat="1" hidden="1" x14ac:dyDescent="0.3">
      <c r="B56" s="375"/>
      <c r="C56" s="375"/>
      <c r="D56" s="375"/>
      <c r="E56" s="376"/>
      <c r="F56" s="375"/>
      <c r="G56" s="376"/>
      <c r="H56" s="376"/>
      <c r="I56" s="375"/>
      <c r="J56" s="376"/>
      <c r="K56" s="375"/>
      <c r="L56" s="375"/>
      <c r="M56" s="375"/>
      <c r="N56" s="375"/>
      <c r="O56" s="375"/>
      <c r="P56" s="378"/>
      <c r="Q56" s="375"/>
      <c r="R56" s="384"/>
      <c r="S56" s="379"/>
      <c r="T56" s="385"/>
      <c r="U56" s="379"/>
      <c r="V56" s="379"/>
      <c r="W56" s="380"/>
      <c r="X56" s="381"/>
      <c r="Y56" s="379"/>
      <c r="Z56" s="379"/>
      <c r="AA56" s="382"/>
      <c r="AB56" s="382"/>
      <c r="AC56" s="382"/>
      <c r="AD56" s="379"/>
      <c r="AE56" s="377"/>
      <c r="AF56" s="426"/>
      <c r="AG56" s="379"/>
      <c r="AH56" s="386"/>
      <c r="AI56" s="379"/>
      <c r="AJ56" s="379"/>
      <c r="AK56" s="379"/>
      <c r="AL56" s="379"/>
      <c r="AM56" s="379"/>
      <c r="AN56" s="379"/>
      <c r="AO56" s="379"/>
      <c r="AP56" s="379"/>
      <c r="AQ56" s="382"/>
      <c r="AR56" s="382"/>
    </row>
    <row r="57" spans="2:44" s="254" customFormat="1" hidden="1" x14ac:dyDescent="0.3">
      <c r="B57" s="375"/>
      <c r="C57" s="375"/>
      <c r="D57" s="375"/>
      <c r="E57" s="376"/>
      <c r="F57" s="375"/>
      <c r="G57" s="376"/>
      <c r="H57" s="376"/>
      <c r="I57" s="375"/>
      <c r="J57" s="376"/>
      <c r="K57" s="375"/>
      <c r="L57" s="375"/>
      <c r="M57" s="375"/>
      <c r="N57" s="375"/>
      <c r="O57" s="375"/>
      <c r="P57" s="378"/>
      <c r="Q57" s="375"/>
      <c r="R57" s="384"/>
      <c r="S57" s="379"/>
      <c r="T57" s="385"/>
      <c r="U57" s="379"/>
      <c r="V57" s="379"/>
      <c r="W57" s="380"/>
      <c r="X57" s="381"/>
      <c r="Y57" s="379"/>
      <c r="Z57" s="379"/>
      <c r="AA57" s="382"/>
      <c r="AB57" s="382"/>
      <c r="AC57" s="382"/>
      <c r="AD57" s="379"/>
      <c r="AE57" s="377"/>
      <c r="AF57" s="426"/>
      <c r="AG57" s="379"/>
      <c r="AH57" s="386"/>
      <c r="AI57" s="379"/>
      <c r="AJ57" s="379"/>
      <c r="AK57" s="379"/>
      <c r="AL57" s="379"/>
      <c r="AM57" s="379"/>
      <c r="AN57" s="379"/>
      <c r="AO57" s="379"/>
      <c r="AP57" s="379"/>
      <c r="AQ57" s="382"/>
      <c r="AR57" s="382"/>
    </row>
    <row r="58" spans="2:44" s="254" customFormat="1" hidden="1" x14ac:dyDescent="0.3">
      <c r="B58" s="362"/>
      <c r="C58" s="362"/>
      <c r="D58" s="362"/>
      <c r="E58" s="363"/>
      <c r="F58" s="362"/>
      <c r="G58" s="363"/>
      <c r="H58" s="363"/>
      <c r="I58" s="362"/>
      <c r="J58" s="363"/>
      <c r="K58" s="362"/>
      <c r="L58" s="362"/>
      <c r="M58" s="362"/>
      <c r="N58" s="362"/>
      <c r="O58" s="362"/>
      <c r="P58" s="365"/>
      <c r="Q58" s="362"/>
      <c r="R58" s="387"/>
      <c r="S58" s="366"/>
      <c r="T58" s="371"/>
      <c r="U58" s="366"/>
      <c r="V58" s="366"/>
      <c r="W58" s="367"/>
      <c r="X58" s="368"/>
      <c r="Y58" s="366"/>
      <c r="Z58" s="366"/>
      <c r="AA58" s="369"/>
      <c r="AB58" s="369"/>
      <c r="AC58" s="369"/>
      <c r="AD58" s="366"/>
      <c r="AE58" s="364"/>
      <c r="AF58" s="392"/>
      <c r="AG58" s="366"/>
      <c r="AH58" s="388"/>
      <c r="AI58" s="366"/>
      <c r="AJ58" s="366"/>
      <c r="AK58" s="366"/>
      <c r="AL58" s="366"/>
      <c r="AM58" s="366"/>
      <c r="AN58" s="366"/>
      <c r="AO58" s="366"/>
      <c r="AP58" s="366"/>
      <c r="AQ58" s="369"/>
      <c r="AR58" s="369"/>
    </row>
    <row r="59" spans="2:44" hidden="1" x14ac:dyDescent="0.3">
      <c r="B59" s="304"/>
      <c r="C59" s="304"/>
      <c r="D59" s="304"/>
      <c r="E59" s="305"/>
      <c r="F59" s="304"/>
      <c r="G59" s="305"/>
      <c r="H59" s="305"/>
      <c r="I59" s="304"/>
      <c r="J59" s="305"/>
      <c r="K59" s="304"/>
      <c r="L59" s="304"/>
      <c r="M59" s="304"/>
      <c r="N59" s="304"/>
      <c r="O59" s="304"/>
      <c r="P59" s="306"/>
      <c r="Q59" s="304"/>
      <c r="R59" s="310"/>
      <c r="S59" s="307"/>
      <c r="T59" s="326"/>
      <c r="U59" s="307"/>
      <c r="V59" s="308"/>
      <c r="W59" s="308"/>
      <c r="X59" s="338"/>
      <c r="Y59" s="307"/>
      <c r="Z59" s="307"/>
      <c r="AA59" s="309"/>
      <c r="AB59" s="309"/>
      <c r="AC59" s="309"/>
      <c r="AD59" s="307"/>
      <c r="AE59" s="323"/>
      <c r="AF59" s="423"/>
      <c r="AG59" s="307"/>
      <c r="AH59" s="346"/>
      <c r="AI59" s="307"/>
      <c r="AJ59" s="307"/>
      <c r="AK59" s="307"/>
      <c r="AL59" s="307"/>
      <c r="AM59" s="307"/>
      <c r="AN59" s="307"/>
      <c r="AO59" s="307"/>
      <c r="AP59" s="307"/>
      <c r="AQ59" s="309"/>
      <c r="AR59" s="309"/>
    </row>
    <row r="60" spans="2:44" hidden="1" x14ac:dyDescent="0.3">
      <c r="B60" s="327"/>
      <c r="C60" s="327"/>
      <c r="D60" s="327"/>
      <c r="E60" s="328"/>
      <c r="F60" s="327"/>
      <c r="G60" s="328"/>
      <c r="H60" s="328"/>
      <c r="I60" s="327"/>
      <c r="J60" s="328"/>
      <c r="K60" s="327"/>
      <c r="L60" s="327"/>
      <c r="M60" s="327"/>
      <c r="N60" s="327"/>
      <c r="O60" s="327"/>
      <c r="P60" s="330"/>
      <c r="Q60" s="327"/>
      <c r="R60" s="357"/>
      <c r="S60" s="331"/>
      <c r="T60" s="343"/>
      <c r="U60" s="331"/>
      <c r="V60" s="332"/>
      <c r="W60" s="332"/>
      <c r="X60" s="340"/>
      <c r="Y60" s="331"/>
      <c r="Z60" s="331"/>
      <c r="AA60" s="333"/>
      <c r="AB60" s="333"/>
      <c r="AC60" s="333"/>
      <c r="AD60" s="331"/>
      <c r="AE60" s="329"/>
      <c r="AF60" s="425"/>
      <c r="AG60" s="331"/>
      <c r="AH60" s="358"/>
      <c r="AI60" s="331"/>
      <c r="AJ60" s="331"/>
      <c r="AK60" s="331"/>
      <c r="AL60" s="331"/>
      <c r="AM60" s="331"/>
      <c r="AN60" s="331"/>
      <c r="AO60" s="331"/>
      <c r="AP60" s="331"/>
      <c r="AQ60" s="333"/>
      <c r="AR60" s="333"/>
    </row>
    <row r="61" spans="2:44" hidden="1" x14ac:dyDescent="0.3">
      <c r="B61" s="375"/>
      <c r="C61" s="375"/>
      <c r="D61" s="375"/>
      <c r="E61" s="376"/>
      <c r="F61" s="375"/>
      <c r="G61" s="376"/>
      <c r="H61" s="376"/>
      <c r="I61" s="375"/>
      <c r="J61" s="376"/>
      <c r="K61" s="375"/>
      <c r="L61" s="375"/>
      <c r="M61" s="375"/>
      <c r="N61" s="375"/>
      <c r="O61" s="375"/>
      <c r="P61" s="378"/>
      <c r="Q61" s="375"/>
      <c r="R61" s="389"/>
      <c r="S61" s="382"/>
      <c r="T61" s="385"/>
      <c r="U61" s="379"/>
      <c r="V61" s="380"/>
      <c r="W61" s="380"/>
      <c r="X61" s="381"/>
      <c r="Y61" s="379"/>
      <c r="Z61" s="379"/>
      <c r="AA61" s="382"/>
      <c r="AB61" s="382"/>
      <c r="AC61" s="382"/>
      <c r="AD61" s="379"/>
      <c r="AE61" s="377"/>
      <c r="AF61" s="426"/>
      <c r="AG61" s="379"/>
      <c r="AH61" s="386"/>
      <c r="AI61" s="379"/>
      <c r="AJ61" s="379"/>
      <c r="AK61" s="379"/>
      <c r="AL61" s="379"/>
      <c r="AM61" s="379"/>
      <c r="AN61" s="379"/>
      <c r="AO61" s="379"/>
      <c r="AP61" s="379"/>
      <c r="AQ61" s="382"/>
      <c r="AR61" s="382"/>
    </row>
    <row r="62" spans="2:44" hidden="1" x14ac:dyDescent="0.3">
      <c r="B62" s="375"/>
      <c r="C62" s="375"/>
      <c r="D62" s="375"/>
      <c r="E62" s="376"/>
      <c r="F62" s="375"/>
      <c r="G62" s="376"/>
      <c r="H62" s="376"/>
      <c r="I62" s="375"/>
      <c r="J62" s="376"/>
      <c r="K62" s="375"/>
      <c r="L62" s="375"/>
      <c r="M62" s="375"/>
      <c r="N62" s="375"/>
      <c r="O62" s="375"/>
      <c r="P62" s="378"/>
      <c r="Q62" s="375"/>
      <c r="R62" s="389"/>
      <c r="S62" s="382"/>
      <c r="T62" s="385"/>
      <c r="U62" s="379"/>
      <c r="V62" s="380"/>
      <c r="W62" s="380"/>
      <c r="X62" s="381"/>
      <c r="Y62" s="379"/>
      <c r="Z62" s="379"/>
      <c r="AA62" s="382"/>
      <c r="AB62" s="382"/>
      <c r="AC62" s="382"/>
      <c r="AD62" s="379"/>
      <c r="AE62" s="377"/>
      <c r="AF62" s="426"/>
      <c r="AG62" s="379"/>
      <c r="AH62" s="386"/>
      <c r="AI62" s="379"/>
      <c r="AJ62" s="379"/>
      <c r="AK62" s="379"/>
      <c r="AL62" s="379"/>
      <c r="AM62" s="379"/>
      <c r="AN62" s="379"/>
      <c r="AO62" s="379"/>
      <c r="AP62" s="379"/>
      <c r="AQ62" s="382"/>
      <c r="AR62" s="382"/>
    </row>
    <row r="63" spans="2:44" hidden="1" x14ac:dyDescent="0.3">
      <c r="B63" s="375"/>
      <c r="C63" s="375"/>
      <c r="D63" s="375"/>
      <c r="E63" s="376"/>
      <c r="F63" s="375"/>
      <c r="G63" s="376"/>
      <c r="H63" s="376"/>
      <c r="I63" s="375"/>
      <c r="J63" s="376"/>
      <c r="K63" s="375"/>
      <c r="L63" s="375"/>
      <c r="M63" s="375"/>
      <c r="N63" s="375"/>
      <c r="O63" s="375"/>
      <c r="P63" s="378"/>
      <c r="Q63" s="375"/>
      <c r="R63" s="389"/>
      <c r="S63" s="382"/>
      <c r="T63" s="385"/>
      <c r="U63" s="379"/>
      <c r="V63" s="380"/>
      <c r="W63" s="380"/>
      <c r="X63" s="381"/>
      <c r="Y63" s="379"/>
      <c r="Z63" s="379"/>
      <c r="AA63" s="382"/>
      <c r="AB63" s="382"/>
      <c r="AC63" s="382"/>
      <c r="AD63" s="379"/>
      <c r="AE63" s="377"/>
      <c r="AF63" s="426"/>
      <c r="AG63" s="379"/>
      <c r="AH63" s="386"/>
      <c r="AI63" s="379"/>
      <c r="AJ63" s="379"/>
      <c r="AK63" s="379"/>
      <c r="AL63" s="379"/>
      <c r="AM63" s="379"/>
      <c r="AN63" s="379"/>
      <c r="AO63" s="379"/>
      <c r="AP63" s="379"/>
      <c r="AQ63" s="382"/>
      <c r="AR63" s="382"/>
    </row>
    <row r="64" spans="2:44" hidden="1" x14ac:dyDescent="0.3">
      <c r="B64" s="362"/>
      <c r="C64" s="362"/>
      <c r="D64" s="362"/>
      <c r="E64" s="363"/>
      <c r="F64" s="362"/>
      <c r="G64" s="363"/>
      <c r="H64" s="363"/>
      <c r="I64" s="362"/>
      <c r="J64" s="363"/>
      <c r="K64" s="362"/>
      <c r="L64" s="362"/>
      <c r="M64" s="362"/>
      <c r="N64" s="362"/>
      <c r="O64" s="362"/>
      <c r="P64" s="365"/>
      <c r="Q64" s="362"/>
      <c r="R64" s="390"/>
      <c r="S64" s="369"/>
      <c r="T64" s="371"/>
      <c r="U64" s="366"/>
      <c r="V64" s="367"/>
      <c r="W64" s="367"/>
      <c r="X64" s="368"/>
      <c r="Y64" s="366"/>
      <c r="Z64" s="366"/>
      <c r="AA64" s="369"/>
      <c r="AB64" s="369"/>
      <c r="AC64" s="369"/>
      <c r="AD64" s="366"/>
      <c r="AE64" s="364"/>
      <c r="AF64" s="392"/>
      <c r="AG64" s="366"/>
      <c r="AH64" s="388"/>
      <c r="AI64" s="366"/>
      <c r="AJ64" s="366"/>
      <c r="AK64" s="366"/>
      <c r="AL64" s="366"/>
      <c r="AM64" s="366"/>
      <c r="AN64" s="366"/>
      <c r="AO64" s="366"/>
      <c r="AP64" s="366"/>
      <c r="AQ64" s="369"/>
      <c r="AR64" s="369"/>
    </row>
    <row r="65" spans="2:44" x14ac:dyDescent="0.3">
      <c r="B65" s="395" t="s">
        <v>2111</v>
      </c>
      <c r="C65" s="395"/>
      <c r="D65" s="395"/>
      <c r="E65" s="397"/>
      <c r="F65" s="396"/>
      <c r="G65" s="397"/>
      <c r="H65" s="397"/>
      <c r="I65" s="396"/>
      <c r="J65" s="397"/>
      <c r="K65" s="396"/>
      <c r="L65" s="396"/>
      <c r="M65" s="396"/>
      <c r="N65" s="396"/>
      <c r="O65" s="396"/>
      <c r="P65" s="398"/>
      <c r="Q65" s="395"/>
      <c r="R65" s="396"/>
      <c r="S65" s="399"/>
      <c r="T65" s="400"/>
      <c r="U65" s="401"/>
      <c r="V65" s="402"/>
      <c r="W65" s="402"/>
      <c r="X65" s="403"/>
      <c r="Y65" s="401"/>
      <c r="Z65" s="401"/>
      <c r="AA65" s="399"/>
      <c r="AB65" s="399"/>
      <c r="AC65" s="399"/>
      <c r="AD65" s="401"/>
      <c r="AE65" s="404"/>
      <c r="AF65" s="428"/>
      <c r="AG65" s="401"/>
      <c r="AH65" s="405"/>
      <c r="AI65" s="401"/>
      <c r="AJ65" s="401"/>
      <c r="AK65" s="401"/>
      <c r="AL65" s="401"/>
      <c r="AM65" s="401"/>
      <c r="AN65" s="401"/>
      <c r="AO65" s="401"/>
      <c r="AP65" s="401"/>
      <c r="AQ65" s="399"/>
      <c r="AR65" s="399"/>
    </row>
    <row r="66" spans="2:44" x14ac:dyDescent="0.3">
      <c r="B66" s="375" t="str">
        <f>Tao!B122</f>
        <v>Tao et al., 2020</v>
      </c>
      <c r="C66" s="375">
        <f>All!C66</f>
        <v>12</v>
      </c>
      <c r="D66" s="375" t="str">
        <f>Tao!$D221</f>
        <v>Commercial and industrial FW</v>
      </c>
      <c r="E66" s="376">
        <f>Tao!$D222</f>
        <v>37</v>
      </c>
      <c r="F66" s="375" t="str">
        <f>Tao!$D223</f>
        <v>CSTR</v>
      </c>
      <c r="G66" s="376">
        <f>Tao!$D224</f>
        <v>3</v>
      </c>
      <c r="H66" s="376">
        <f>Tao!$D225</f>
        <v>2</v>
      </c>
      <c r="I66" s="375" t="str">
        <f>Tao!$D226</f>
        <v>Impeller</v>
      </c>
      <c r="J66" s="376" t="str">
        <f>Tao!$D227</f>
        <v>Yes</v>
      </c>
      <c r="K66" s="375" t="str">
        <f>Tao!$D228</f>
        <v>Bubble</v>
      </c>
      <c r="L66" s="375" t="str">
        <f>Tao!$D229</f>
        <v>Continuous</v>
      </c>
      <c r="M66" s="375" t="str">
        <f>Tao!$D230</f>
        <v>Sequential</v>
      </c>
      <c r="N66" s="375" t="str">
        <f>Tao!$D231</f>
        <v>H2, exogenous CO2 + H2</v>
      </c>
      <c r="O66" s="375" t="str">
        <f>Tao!$D232</f>
        <v>Additional data provided by authors</v>
      </c>
      <c r="P66" s="378" t="str">
        <f>Tao!$D$268</f>
        <v xml:space="preserve">Additional data </v>
      </c>
      <c r="Q66" s="375">
        <f>C66</f>
        <v>12</v>
      </c>
      <c r="R66" s="375" t="str">
        <f>Tao!$D$269</f>
        <v>No H2</v>
      </c>
      <c r="S66" s="379">
        <f>Tao!$D$270</f>
        <v>4.1399999999999997</v>
      </c>
      <c r="T66" s="376">
        <f>Tao!$D$271</f>
        <v>25</v>
      </c>
      <c r="U66" s="379"/>
      <c r="V66" s="380">
        <f>Tao!$D$273</f>
        <v>0.56061474637681163</v>
      </c>
      <c r="W66" s="380"/>
      <c r="X66" s="381"/>
      <c r="Y66" s="379">
        <f>Tao!$D$276</f>
        <v>2.3209450500000006</v>
      </c>
      <c r="Z66" s="379"/>
      <c r="AA66" s="382">
        <f>Tao!$D$278</f>
        <v>65.466666666666654</v>
      </c>
      <c r="AB66" s="382">
        <f>Tao!$D$279</f>
        <v>34.226666666666674</v>
      </c>
      <c r="AC66" s="382">
        <f>Tao!$D$280</f>
        <v>0</v>
      </c>
      <c r="AD66" s="379">
        <f>Tao!$D$281</f>
        <v>8.1086666666666662</v>
      </c>
      <c r="AE66" s="377">
        <f>Tao!$D$282</f>
        <v>0.33673746111438879</v>
      </c>
      <c r="AF66" s="426" t="str">
        <f>Tao!$D$283</f>
        <v>n/r</v>
      </c>
      <c r="AG66" s="379"/>
      <c r="AH66" s="386"/>
      <c r="AI66" s="379"/>
      <c r="AJ66" s="379"/>
      <c r="AK66" s="379"/>
      <c r="AL66" s="379"/>
      <c r="AM66" s="379"/>
      <c r="AN66" s="379"/>
      <c r="AO66" s="379"/>
      <c r="AP66" s="379"/>
      <c r="AQ66" s="382"/>
      <c r="AR66" s="382"/>
    </row>
    <row r="67" spans="2:44" x14ac:dyDescent="0.3">
      <c r="B67" s="375"/>
      <c r="C67" s="375"/>
      <c r="D67" s="375"/>
      <c r="E67" s="376"/>
      <c r="F67" s="375"/>
      <c r="G67" s="376"/>
      <c r="H67" s="376"/>
      <c r="I67" s="375"/>
      <c r="J67" s="376"/>
      <c r="K67" s="375"/>
      <c r="L67" s="375"/>
      <c r="M67" s="375"/>
      <c r="N67" s="375"/>
      <c r="O67" s="375"/>
      <c r="P67" s="378" t="str">
        <f>Tao!$E$268</f>
        <v>provided by</v>
      </c>
      <c r="Q67" s="375"/>
      <c r="R67" s="375" t="str">
        <f>Tao!$E$269</f>
        <v>With H2</v>
      </c>
      <c r="S67" s="376">
        <f>Tao!$E$270</f>
        <v>4.1399999999999997</v>
      </c>
      <c r="T67" s="376">
        <f>Tao!$E$271</f>
        <v>25</v>
      </c>
      <c r="U67" s="379">
        <f>Tao!$E$272</f>
        <v>3.7</v>
      </c>
      <c r="V67" s="380">
        <f>Tao!$E$273</f>
        <v>0.77607195383789596</v>
      </c>
      <c r="W67" s="380">
        <f>Tao!$E$274</f>
        <v>0.21545720746108432</v>
      </c>
      <c r="X67" s="381">
        <f>Tao!$E$275</f>
        <v>0.38432311824396231</v>
      </c>
      <c r="Y67" s="379">
        <f>Tao!$E$276</f>
        <v>3.2129378888888893</v>
      </c>
      <c r="Z67" s="379">
        <f>Tao!$E$277</f>
        <v>0.89199283888888869</v>
      </c>
      <c r="AA67" s="382">
        <f>Tao!$E$278</f>
        <v>90.422222222222217</v>
      </c>
      <c r="AB67" s="382">
        <f>Tao!$E$279</f>
        <v>9.1444444444444457</v>
      </c>
      <c r="AC67" s="382">
        <f>Tao!$E$280</f>
        <v>0</v>
      </c>
      <c r="AD67" s="379">
        <f>Tao!$E$281</f>
        <v>8.517777777777777</v>
      </c>
      <c r="AE67" s="377">
        <f>Tao!$E$282</f>
        <v>0</v>
      </c>
      <c r="AF67" s="426" t="str">
        <f>Tao!$E$283</f>
        <v>n/r</v>
      </c>
      <c r="AG67" s="379">
        <f>Tao!$E254</f>
        <v>0.92500000000000004</v>
      </c>
      <c r="AH67" s="386">
        <f>Tao!$E255</f>
        <v>0.89199283888888869</v>
      </c>
      <c r="AI67" s="379">
        <f>Tao!$E256</f>
        <v>0.88848864079442613</v>
      </c>
      <c r="AJ67" s="379">
        <f>Tao!$E257</f>
        <v>3.0492461852515294</v>
      </c>
      <c r="AK67" s="379">
        <f>Tao!$E258</f>
        <v>1</v>
      </c>
      <c r="AL67" s="379">
        <f>Tao!$E259</f>
        <v>0.96431658258258235</v>
      </c>
      <c r="AM67" s="379">
        <f>Tao!$E260</f>
        <v>0.96052826031829852</v>
      </c>
      <c r="AN67" s="379">
        <f>Tao!$E261</f>
        <v>1.0410937827780533</v>
      </c>
      <c r="AO67" s="379">
        <f>Tao!$E262</f>
        <v>0.73510966520368259</v>
      </c>
      <c r="AP67" s="379">
        <f>Tao!$E263</f>
        <v>1.0009914661747841</v>
      </c>
      <c r="AQ67" s="382">
        <f>Tao!$E264</f>
        <v>4</v>
      </c>
      <c r="AR67" s="382">
        <f>Tao!$E265</f>
        <v>4.1643751311122132</v>
      </c>
    </row>
    <row r="68" spans="2:44" x14ac:dyDescent="0.3">
      <c r="B68" s="362"/>
      <c r="C68" s="362"/>
      <c r="D68" s="362"/>
      <c r="E68" s="363"/>
      <c r="F68" s="362"/>
      <c r="G68" s="363"/>
      <c r="H68" s="363"/>
      <c r="I68" s="362"/>
      <c r="J68" s="363"/>
      <c r="K68" s="362"/>
      <c r="L68" s="362"/>
      <c r="M68" s="362"/>
      <c r="N68" s="362"/>
      <c r="O68" s="362"/>
      <c r="P68" s="365" t="str">
        <f>Tao!$F$268</f>
        <v>authors</v>
      </c>
      <c r="Q68" s="362"/>
      <c r="R68" s="362" t="str">
        <f>Tao!$F$269</f>
        <v>With H2 and CO2</v>
      </c>
      <c r="S68" s="363">
        <f>Tao!$F$270</f>
        <v>4.1399999999999997</v>
      </c>
      <c r="T68" s="363">
        <f>Tao!$F$271</f>
        <v>25</v>
      </c>
      <c r="U68" s="366">
        <f>Tao!$F$272</f>
        <v>10.9</v>
      </c>
      <c r="V68" s="367">
        <f>Tao!$F$273</f>
        <v>1.2145773128019326</v>
      </c>
      <c r="W68" s="367">
        <f>Tao!$F$274</f>
        <v>0.65396256642512096</v>
      </c>
      <c r="X68" s="368">
        <f>Tao!$F$275</f>
        <v>0.84265713145680698</v>
      </c>
      <c r="Y68" s="366">
        <f>Tao!$F$276</f>
        <v>5.0283500749999996</v>
      </c>
      <c r="Z68" s="366">
        <f>Tao!$F$277</f>
        <v>2.707405024999999</v>
      </c>
      <c r="AA68" s="369">
        <f>Tao!$F$278</f>
        <v>89.275000000000006</v>
      </c>
      <c r="AB68" s="369">
        <f>Tao!$F$279</f>
        <v>9.9049999999999976</v>
      </c>
      <c r="AC68" s="369">
        <f>Tao!$F$280</f>
        <v>0</v>
      </c>
      <c r="AD68" s="366">
        <f>Tao!$F$281</f>
        <v>8.5060000000000002</v>
      </c>
      <c r="AE68" s="364">
        <f>Tao!$F$282</f>
        <v>0</v>
      </c>
      <c r="AF68" s="392" t="str">
        <f>Tao!$F$283</f>
        <v>n/r</v>
      </c>
      <c r="AG68" s="366">
        <f>Tao!$F254</f>
        <v>2.7250000000000001</v>
      </c>
      <c r="AH68" s="388">
        <f>Tao!$F255</f>
        <v>2.707405024999999</v>
      </c>
      <c r="AI68" s="366">
        <f>Tao!$F256</f>
        <v>2.6555226614543277</v>
      </c>
      <c r="AJ68" s="366">
        <f>Tao!$F257</f>
        <v>4.2613214469282195</v>
      </c>
      <c r="AK68" s="366">
        <f>Tao!$F258</f>
        <v>1</v>
      </c>
      <c r="AL68" s="366">
        <f>Tao!$F259</f>
        <v>0.99354312844036663</v>
      </c>
      <c r="AM68" s="366">
        <f>Tao!$F260</f>
        <v>0.97450372897406523</v>
      </c>
      <c r="AN68" s="366">
        <f>Tao!$F261</f>
        <v>1.0261633385977669</v>
      </c>
      <c r="AO68" s="366">
        <f>Tao!$F262</f>
        <v>0.51931511408682252</v>
      </c>
      <c r="AP68" s="366">
        <f>Tao!$F263</f>
        <v>1.5805527836186395</v>
      </c>
      <c r="AQ68" s="369">
        <f>Tao!$F264</f>
        <v>4</v>
      </c>
      <c r="AR68" s="369">
        <f>Tao!$F265</f>
        <v>4.1046533543910675</v>
      </c>
    </row>
    <row r="69" spans="2:44" x14ac:dyDescent="0.3">
      <c r="B69" s="347" t="str">
        <f>Zhang!B2</f>
        <v>Zhang (pers com 2022)</v>
      </c>
      <c r="C69" s="347">
        <f>All!C69</f>
        <v>53</v>
      </c>
      <c r="D69" s="347" t="str">
        <f>Zhang!$D6</f>
        <v>Source separated domestic FW</v>
      </c>
      <c r="E69" s="348">
        <f>Zhang!$D7</f>
        <v>37</v>
      </c>
      <c r="F69" s="347" t="str">
        <f>Zhang!$D8</f>
        <v>CSTR</v>
      </c>
      <c r="G69" s="348">
        <f>Zhang!$D9</f>
        <v>5</v>
      </c>
      <c r="H69" s="348">
        <f>Zhang!$D10</f>
        <v>4</v>
      </c>
      <c r="I69" s="347" t="str">
        <f>Zhang!$D11</f>
        <v>Mechanical</v>
      </c>
      <c r="J69" s="348" t="str">
        <f>Zhang!$D12</f>
        <v>Yes</v>
      </c>
      <c r="K69" s="347" t="str">
        <f>Zhang!$D13</f>
        <v>Bubble</v>
      </c>
      <c r="L69" s="347" t="str">
        <f>Zhang!$D14</f>
        <v>Batch with recirc</v>
      </c>
      <c r="M69" s="347" t="str">
        <f>Zhang!$D15</f>
        <v>Parallel</v>
      </c>
      <c r="N69" s="347" t="str">
        <f>Zhang!$D16</f>
        <v>with/without H2</v>
      </c>
      <c r="O69" s="347" t="str">
        <f>Zhang!$D17</f>
        <v>Pers. com.</v>
      </c>
      <c r="P69" s="350" t="str">
        <f>Zhang!$D55</f>
        <v>Pers. com.</v>
      </c>
      <c r="Q69" s="347">
        <f>C69</f>
        <v>53</v>
      </c>
      <c r="R69" s="347" t="str">
        <f>Zhang!$D56</f>
        <v>No H2</v>
      </c>
      <c r="S69" s="348">
        <f>Zhang!$D57</f>
        <v>3</v>
      </c>
      <c r="T69" s="352">
        <f>Zhang!$D58</f>
        <v>80.566666666666649</v>
      </c>
      <c r="U69" s="351"/>
      <c r="V69" s="353">
        <f>Zhang!$D60</f>
        <v>0.44639286934011152</v>
      </c>
      <c r="W69" s="353"/>
      <c r="X69" s="354"/>
      <c r="Y69" s="351">
        <f>Zhang!$D63</f>
        <v>1.316780266295138</v>
      </c>
      <c r="Z69" s="348"/>
      <c r="AA69" s="355">
        <f>Zhang!$D65</f>
        <v>61.820833333333333</v>
      </c>
      <c r="AB69" s="355">
        <f>Zhang!$D66</f>
        <v>36.340000000000003</v>
      </c>
      <c r="AC69" s="355"/>
      <c r="AD69" s="351">
        <f>Zhang!$D68</f>
        <v>8.0666666666666682</v>
      </c>
      <c r="AE69" s="391">
        <f>Zhang!$D69</f>
        <v>0.38748030170814562</v>
      </c>
      <c r="AF69" s="427" t="str">
        <f>Zhang!$D70</f>
        <v>convert</v>
      </c>
      <c r="AG69" s="351"/>
      <c r="AH69" s="356"/>
      <c r="AI69" s="351"/>
      <c r="AJ69" s="351"/>
      <c r="AK69" s="351"/>
      <c r="AL69" s="351"/>
      <c r="AM69" s="351"/>
      <c r="AN69" s="351"/>
      <c r="AO69" s="351"/>
      <c r="AP69" s="351"/>
      <c r="AQ69" s="355"/>
      <c r="AR69" s="355"/>
    </row>
    <row r="70" spans="2:44" x14ac:dyDescent="0.3">
      <c r="B70" s="327"/>
      <c r="C70" s="327"/>
      <c r="D70" s="327"/>
      <c r="E70" s="328"/>
      <c r="F70" s="327"/>
      <c r="G70" s="328"/>
      <c r="H70" s="328"/>
      <c r="I70" s="327"/>
      <c r="J70" s="328"/>
      <c r="K70" s="327"/>
      <c r="L70" s="327"/>
      <c r="M70" s="327"/>
      <c r="N70" s="327"/>
      <c r="O70" s="327"/>
      <c r="P70" s="330" t="str">
        <f>Zhang!$E55</f>
        <v>-</v>
      </c>
      <c r="Q70" s="327"/>
      <c r="R70" s="327" t="str">
        <f>Zhang!$E56</f>
        <v>With H2</v>
      </c>
      <c r="S70" s="328">
        <f>Zhang!$E57</f>
        <v>3</v>
      </c>
      <c r="T70" s="343">
        <f>Zhang!$E58</f>
        <v>80.566666666666649</v>
      </c>
      <c r="U70" s="331">
        <f>Zhang!$E59</f>
        <v>2.4181818181818175</v>
      </c>
      <c r="V70" s="332">
        <f>Zhang!$E60</f>
        <v>0.71877462461332353</v>
      </c>
      <c r="W70" s="332">
        <f>Zhang!$E61</f>
        <v>0.27238175527321201</v>
      </c>
      <c r="X70" s="340">
        <f>Zhang!$E62</f>
        <v>0.61018392985502967</v>
      </c>
      <c r="Y70" s="331">
        <f>Zhang!$E63</f>
        <v>1.9404215008193262</v>
      </c>
      <c r="Z70" s="331">
        <f>Zhang!$E64</f>
        <v>0.62364123452418818</v>
      </c>
      <c r="AA70" s="333">
        <f>Zhang!$E65</f>
        <v>74.41</v>
      </c>
      <c r="AB70" s="333">
        <f>Zhang!$E66</f>
        <v>17.908333333333335</v>
      </c>
      <c r="AC70" s="333">
        <f>Zhang!$E67</f>
        <v>9.6444444444444457</v>
      </c>
      <c r="AD70" s="331">
        <f>Zhang!$E68</f>
        <v>8.1366666666666685</v>
      </c>
      <c r="AE70" s="329">
        <f>Zhang!$E69</f>
        <v>0.4199831358902299</v>
      </c>
      <c r="AF70" s="425" t="str">
        <f>Zhang!$E70</f>
        <v>convert</v>
      </c>
      <c r="AG70" s="331">
        <f>Zhang!$D41</f>
        <v>0.54166987544500578</v>
      </c>
      <c r="AH70" s="358">
        <f>Zhang!$D42</f>
        <v>0.62364123452418818</v>
      </c>
      <c r="AI70" s="331">
        <f>Zhang!$D43</f>
        <v>0.30703665902432231</v>
      </c>
      <c r="AJ70" s="331">
        <f>Zhang!$D44</f>
        <v>3.1241046555361929</v>
      </c>
      <c r="AK70" s="331">
        <f>Zhang!$D45</f>
        <v>0.89599528269098727</v>
      </c>
      <c r="AL70" s="331">
        <f>Zhang!$D46</f>
        <v>1.1513308433699387</v>
      </c>
      <c r="AM70" s="331">
        <f>Zhang!$D47</f>
        <v>0.56683355110357225</v>
      </c>
      <c r="AN70" s="331">
        <f>Zhang!$D48</f>
        <v>2.0311621306261856</v>
      </c>
      <c r="AO70" s="331">
        <f>Zhang!$D49</f>
        <v>0.80569644081860559</v>
      </c>
      <c r="AP70" s="331">
        <f>Zhang!$D50</f>
        <v>1.1514260158295744</v>
      </c>
      <c r="AQ70" s="333">
        <f>Zhang!$D51</f>
        <v>3.4742402872592408</v>
      </c>
      <c r="AR70" s="333">
        <f>Zhang!$D52</f>
        <v>7.0567453041768111</v>
      </c>
    </row>
    <row r="71" spans="2:44" x14ac:dyDescent="0.3">
      <c r="B71" s="375" t="str">
        <f>Kim!B2</f>
        <v>Kim et al., 2021</v>
      </c>
      <c r="C71" s="375">
        <f>All!C71</f>
        <v>54</v>
      </c>
      <c r="D71" s="375" t="str">
        <f>Kim!$D6</f>
        <v>FW</v>
      </c>
      <c r="E71" s="376">
        <f>Kim!$D7</f>
        <v>37</v>
      </c>
      <c r="F71" s="375" t="str">
        <f>Kim!$D8</f>
        <v>CSTR</v>
      </c>
      <c r="G71" s="376">
        <f>Kim!$D9</f>
        <v>3.7</v>
      </c>
      <c r="H71" s="376">
        <f>Kim!$D10</f>
        <v>3</v>
      </c>
      <c r="I71" s="375" t="str">
        <f>Kim!$D11</f>
        <v>Mechanical</v>
      </c>
      <c r="J71" s="376" t="str">
        <f>Kim!$D12</f>
        <v>No</v>
      </c>
      <c r="K71" s="375" t="str">
        <f>Kim!$D13</f>
        <v>Sparger</v>
      </c>
      <c r="L71" s="375" t="str">
        <f>Kim!$D14</f>
        <v>n/r</v>
      </c>
      <c r="M71" s="375" t="str">
        <f>Kim!$D15</f>
        <v>Sequential</v>
      </c>
      <c r="N71" s="375" t="str">
        <f>Kim!$D16</f>
        <v>H2 and pressure</v>
      </c>
      <c r="O71" s="375" t="str">
        <f>Kim!$D17</f>
        <v>1 reactor</v>
      </c>
      <c r="P71" s="378" t="str">
        <f>Kim!$D$73</f>
        <v>1 bar</v>
      </c>
      <c r="Q71" s="375">
        <f>C71</f>
        <v>54</v>
      </c>
      <c r="R71" s="378" t="str">
        <f>Kim!$D$74</f>
        <v>No H2</v>
      </c>
      <c r="S71" s="379">
        <f>Kim!$D$75</f>
        <v>2.6720000000000002</v>
      </c>
      <c r="T71" s="385">
        <f>Kim!$D$76</f>
        <v>75</v>
      </c>
      <c r="U71" s="379"/>
      <c r="V71" s="380">
        <f>Kim!$D$78</f>
        <v>0.28000000000000003</v>
      </c>
      <c r="W71" s="380"/>
      <c r="X71" s="381"/>
      <c r="Y71" s="379">
        <f>Kim!$D$81</f>
        <v>0.75</v>
      </c>
      <c r="Z71" s="379"/>
      <c r="AA71" s="382">
        <f>Kim!$D$83</f>
        <v>52.4</v>
      </c>
      <c r="AB71" s="382">
        <f>Kim!$D$84</f>
        <v>47</v>
      </c>
      <c r="AC71" s="382"/>
      <c r="AD71" s="379">
        <f>Kim!$D$86</f>
        <v>7.5</v>
      </c>
      <c r="AE71" s="377" t="str">
        <f>Kim!$D$87</f>
        <v>n/r</v>
      </c>
      <c r="AF71" s="426" t="str">
        <f>Kim!$D$88</f>
        <v>Tot org acid</v>
      </c>
      <c r="AG71" s="379"/>
      <c r="AH71" s="386"/>
      <c r="AI71" s="379"/>
      <c r="AJ71" s="379"/>
      <c r="AK71" s="379"/>
      <c r="AL71" s="379"/>
      <c r="AM71" s="379"/>
      <c r="AN71" s="379"/>
      <c r="AO71" s="379"/>
      <c r="AP71" s="379"/>
      <c r="AQ71" s="382"/>
      <c r="AR71" s="382"/>
    </row>
    <row r="72" spans="2:44" x14ac:dyDescent="0.3">
      <c r="B72" s="375"/>
      <c r="C72" s="375"/>
      <c r="D72" s="375"/>
      <c r="E72" s="376"/>
      <c r="F72" s="375"/>
      <c r="G72" s="376"/>
      <c r="H72" s="376"/>
      <c r="I72" s="375"/>
      <c r="J72" s="376"/>
      <c r="K72" s="375"/>
      <c r="L72" s="375"/>
      <c r="M72" s="375"/>
      <c r="N72" s="375"/>
      <c r="O72" s="375"/>
      <c r="P72" s="378" t="str">
        <f>Kim!$E73</f>
        <v>5 bar</v>
      </c>
      <c r="Q72" s="375"/>
      <c r="R72" s="378" t="str">
        <f>Kim!$E74</f>
        <v>No H2</v>
      </c>
      <c r="S72" s="379">
        <f>Kim!$E75</f>
        <v>2.6720000000000002</v>
      </c>
      <c r="T72" s="385">
        <f>Kim!$E76</f>
        <v>75</v>
      </c>
      <c r="U72" s="379"/>
      <c r="V72" s="380">
        <f>Kim!$E78</f>
        <v>0.26</v>
      </c>
      <c r="W72" s="380"/>
      <c r="X72" s="381"/>
      <c r="Y72" s="379">
        <f>Kim!$E81</f>
        <v>0.68</v>
      </c>
      <c r="Z72" s="379"/>
      <c r="AA72" s="382">
        <f>Kim!$E83</f>
        <v>74</v>
      </c>
      <c r="AB72" s="382">
        <f>Kim!$E84</f>
        <v>25.5</v>
      </c>
      <c r="AC72" s="382"/>
      <c r="AD72" s="379">
        <f>Kim!$E86</f>
        <v>7.2</v>
      </c>
      <c r="AE72" s="377" t="str">
        <f>Kim!$E87</f>
        <v>n/r</v>
      </c>
      <c r="AF72" s="426" t="str">
        <f>Kim!$E88</f>
        <v>Tot org acid</v>
      </c>
      <c r="AG72" s="379"/>
      <c r="AH72" s="386"/>
      <c r="AI72" s="379"/>
      <c r="AJ72" s="379"/>
      <c r="AK72" s="379"/>
      <c r="AL72" s="379"/>
      <c r="AM72" s="379"/>
      <c r="AN72" s="379"/>
      <c r="AO72" s="379"/>
      <c r="AP72" s="379"/>
      <c r="AQ72" s="382"/>
      <c r="AR72" s="382"/>
    </row>
    <row r="73" spans="2:44" x14ac:dyDescent="0.3">
      <c r="B73" s="362"/>
      <c r="C73" s="362"/>
      <c r="D73" s="362"/>
      <c r="E73" s="363"/>
      <c r="F73" s="362"/>
      <c r="G73" s="363"/>
      <c r="H73" s="363"/>
      <c r="I73" s="362"/>
      <c r="J73" s="363"/>
      <c r="K73" s="362"/>
      <c r="L73" s="362"/>
      <c r="M73" s="362"/>
      <c r="N73" s="362"/>
      <c r="O73" s="362"/>
      <c r="P73" s="365" t="str">
        <f>Kim!$H$73</f>
        <v>5 bar</v>
      </c>
      <c r="Q73" s="362"/>
      <c r="R73" s="365" t="str">
        <f>Kim!$H$74</f>
        <v>With H2</v>
      </c>
      <c r="S73" s="366">
        <f>Kim!$H$75</f>
        <v>2.6720000000000002</v>
      </c>
      <c r="T73" s="371">
        <f>Kim!$H$76</f>
        <v>75</v>
      </c>
      <c r="U73" s="366">
        <f>Kim!$H$77</f>
        <v>0.54</v>
      </c>
      <c r="V73" s="367">
        <f>Kim!$H$78</f>
        <v>0.28000000000000003</v>
      </c>
      <c r="W73" s="367">
        <f>Kim!$H$79</f>
        <v>2.0000000000000018E-2</v>
      </c>
      <c r="X73" s="368">
        <f>Kim!$H$80</f>
        <v>7.6923076923076983E-2</v>
      </c>
      <c r="Y73" s="366">
        <f>Kim!$H$81</f>
        <v>0.85</v>
      </c>
      <c r="Z73" s="366">
        <f>Kim!$H$82</f>
        <v>0.16999999999999993</v>
      </c>
      <c r="AA73" s="369">
        <f>Kim!$H$83</f>
        <v>90.6</v>
      </c>
      <c r="AB73" s="369">
        <f>Kim!$H$84</f>
        <v>7.5</v>
      </c>
      <c r="AC73" s="369">
        <f>Kim!$H$85</f>
        <v>0.8</v>
      </c>
      <c r="AD73" s="366">
        <f>Kim!$H$86</f>
        <v>7.8</v>
      </c>
      <c r="AE73" s="364" t="str">
        <f>Kim!$H$87</f>
        <v>n/r</v>
      </c>
      <c r="AF73" s="392" t="str">
        <f>Kim!$H$88</f>
        <v>Tot org acid</v>
      </c>
      <c r="AG73" s="366">
        <f>Kim!$H$58</f>
        <v>0.13312000000000002</v>
      </c>
      <c r="AH73" s="388">
        <f>Kim!$H$59</f>
        <v>0.16999999999999993</v>
      </c>
      <c r="AI73" s="366">
        <f>Kim!$H$60</f>
        <v>0.15900000000000003</v>
      </c>
      <c r="AJ73" s="366">
        <f>Kim!$H$61</f>
        <v>2.3529411764705883</v>
      </c>
      <c r="AK73" s="366">
        <f>Kim!$H$62</f>
        <v>0.9860740740740741</v>
      </c>
      <c r="AL73" s="366">
        <f>Kim!$H$63</f>
        <v>1.2770432692307685</v>
      </c>
      <c r="AM73" s="366">
        <f>Kim!$H$64</f>
        <v>1.1944110576923077</v>
      </c>
      <c r="AN73" s="366">
        <f>Kim!$H$65</f>
        <v>1.0691823899371062</v>
      </c>
      <c r="AO73" s="366">
        <f>Kim!$H$66</f>
        <v>0.74074074074074037</v>
      </c>
      <c r="AP73" s="366">
        <f>Kim!$H$67</f>
        <v>0.99353545801279974</v>
      </c>
      <c r="AQ73" s="369">
        <f>Kim!$H$68</f>
        <v>3.1322352941176486</v>
      </c>
      <c r="AR73" s="369">
        <f>Kim!$H$69</f>
        <v>3.3489308176100625</v>
      </c>
    </row>
    <row r="74" spans="2:44" x14ac:dyDescent="0.3">
      <c r="B74" s="347" t="str">
        <f>Yang!B2</f>
        <v>Yang et al., 2020</v>
      </c>
      <c r="C74" s="347">
        <f>All!C74</f>
        <v>55</v>
      </c>
      <c r="D74" s="347" t="str">
        <f>Yang!$D6</f>
        <v>FW</v>
      </c>
      <c r="E74" s="348">
        <f>Yang!$D7</f>
        <v>37</v>
      </c>
      <c r="F74" s="347" t="str">
        <f>Yang!$D8</f>
        <v>CSTR</v>
      </c>
      <c r="G74" s="348">
        <f>Yang!$D9</f>
        <v>5</v>
      </c>
      <c r="H74" s="348">
        <f>Yang!$D10</f>
        <v>4</v>
      </c>
      <c r="I74" s="347" t="str">
        <f>Yang!$D11</f>
        <v>Mechanical</v>
      </c>
      <c r="J74" s="348" t="str">
        <f>Yang!$D12</f>
        <v>No</v>
      </c>
      <c r="K74" s="347" t="str">
        <f>Yang!$D13</f>
        <v>Aeration basket</v>
      </c>
      <c r="L74" s="347" t="str">
        <f>Yang!$D14</f>
        <v>Continuous</v>
      </c>
      <c r="M74" s="347" t="str">
        <f>Yang!$D15</f>
        <v>Sequential</v>
      </c>
      <c r="N74" s="347" t="str">
        <f>Yang!$D16</f>
        <v>Syngas injection rate</v>
      </c>
      <c r="O74" s="347" t="str">
        <f>Yang!$D17</f>
        <v>Syngas addition</v>
      </c>
      <c r="P74" s="350" t="str">
        <f>Yang!$D87</f>
        <v>Meso</v>
      </c>
      <c r="Q74" s="347">
        <f>C74</f>
        <v>55</v>
      </c>
      <c r="R74" s="350" t="str">
        <f>Yang!$D88</f>
        <v>No syngas</v>
      </c>
      <c r="S74" s="355">
        <f>Yang!$D89</f>
        <v>3.52</v>
      </c>
      <c r="T74" s="352">
        <f>Yang!$D90</f>
        <v>20</v>
      </c>
      <c r="U74" s="351"/>
      <c r="V74" s="353">
        <f>Yang!$D92</f>
        <v>0.32102272727272724</v>
      </c>
      <c r="W74" s="353"/>
      <c r="X74" s="354"/>
      <c r="Y74" s="351">
        <f>Yang!$D95</f>
        <v>1.1299999999999999</v>
      </c>
      <c r="Z74" s="351"/>
      <c r="AA74" s="355">
        <f>Yang!$D97</f>
        <v>62.173314993122418</v>
      </c>
      <c r="AB74" s="355">
        <f>Yang!$D98</f>
        <v>37.826685006877582</v>
      </c>
      <c r="AC74" s="355"/>
      <c r="AD74" s="351">
        <f>Yang!$D100</f>
        <v>7.12</v>
      </c>
      <c r="AE74" s="391" t="str">
        <f>Yang!$D101</f>
        <v>n/r</v>
      </c>
      <c r="AF74" s="427" t="str">
        <f>Yang!$D102</f>
        <v>TVFA - low</v>
      </c>
      <c r="AG74" s="351"/>
      <c r="AH74" s="356"/>
      <c r="AI74" s="351"/>
      <c r="AJ74" s="351"/>
      <c r="AK74" s="351"/>
      <c r="AL74" s="351"/>
      <c r="AM74" s="351"/>
      <c r="AN74" s="351"/>
      <c r="AO74" s="351"/>
      <c r="AP74" s="351"/>
      <c r="AQ74" s="355"/>
      <c r="AR74" s="355"/>
    </row>
    <row r="75" spans="2:44" x14ac:dyDescent="0.3">
      <c r="B75" s="347"/>
      <c r="C75" s="347"/>
      <c r="D75" s="347"/>
      <c r="E75" s="348"/>
      <c r="F75" s="347"/>
      <c r="G75" s="348"/>
      <c r="H75" s="348"/>
      <c r="I75" s="347"/>
      <c r="J75" s="348"/>
      <c r="K75" s="347"/>
      <c r="L75" s="347"/>
      <c r="M75" s="347"/>
      <c r="N75" s="347"/>
      <c r="O75" s="347"/>
      <c r="P75" s="350" t="str">
        <f>Yang!$H87</f>
        <v>-</v>
      </c>
      <c r="Q75" s="347"/>
      <c r="R75" s="350" t="str">
        <f>Yang!$H88</f>
        <v>With syngas</v>
      </c>
      <c r="S75" s="355">
        <f>Yang!$H89</f>
        <v>3.52</v>
      </c>
      <c r="T75" s="352">
        <f>Yang!$H90</f>
        <v>20</v>
      </c>
      <c r="U75" s="351">
        <f>Yang!$H91</f>
        <v>1.325</v>
      </c>
      <c r="V75" s="353">
        <f>Yang!$H92</f>
        <v>0.42208806818181815</v>
      </c>
      <c r="W75" s="353">
        <f>Yang!$H93</f>
        <v>0.10106534090909092</v>
      </c>
      <c r="X75" s="354">
        <f>Yang!$H94</f>
        <v>0.31482300884955761</v>
      </c>
      <c r="Y75" s="351">
        <f>Yang!$H95</f>
        <v>1.4857499999999999</v>
      </c>
      <c r="Z75" s="351">
        <f>Yang!$H96</f>
        <v>0.35575000000000001</v>
      </c>
      <c r="AA75" s="355">
        <f>Yang!$H97</f>
        <v>61.054915521694369</v>
      </c>
      <c r="AB75" s="355">
        <f>Yang!$H98</f>
        <v>36.984300164580134</v>
      </c>
      <c r="AC75" s="355">
        <f>Yang!$H99</f>
        <v>2</v>
      </c>
      <c r="AD75" s="351">
        <f>Yang!$H100</f>
        <v>7.19</v>
      </c>
      <c r="AE75" s="391" t="str">
        <f>Yang!$H101</f>
        <v>n/r</v>
      </c>
      <c r="AF75" s="427" t="str">
        <f>Yang!$H102</f>
        <v>TVFA - low</v>
      </c>
      <c r="AG75" s="351">
        <f>Yang!$H$72</f>
        <v>0.31774999999999998</v>
      </c>
      <c r="AH75" s="356">
        <f>Yang!$H$73</f>
        <v>0.35575000000000001</v>
      </c>
      <c r="AI75" s="351">
        <f>Yang!$H$74</f>
        <v>0.21250000000000002</v>
      </c>
      <c r="AJ75" s="351" t="str">
        <f>Yang!$H$75</f>
        <v>n/a</v>
      </c>
      <c r="AK75" s="351">
        <f>Yang!$H$76</f>
        <v>0.96398867924528309</v>
      </c>
      <c r="AL75" s="351">
        <f>Yang!$H$77</f>
        <v>1.1195908733280882</v>
      </c>
      <c r="AM75" s="351">
        <f>Yang!$H$78</f>
        <v>0.66547403281178441</v>
      </c>
      <c r="AN75" s="351">
        <f>Yang!$H$79</f>
        <v>1.6741176470588235</v>
      </c>
      <c r="AO75" s="351">
        <f>Yang!$H$80</f>
        <v>0.5174545454545455</v>
      </c>
      <c r="AP75" s="351">
        <f>Yang!$H$81</f>
        <v>1.3126547455295736</v>
      </c>
      <c r="AQ75" s="355" t="str">
        <f>Yang!$H$82</f>
        <v>n/a</v>
      </c>
      <c r="AR75" s="355" t="str">
        <f>Yang!$H$83</f>
        <v>n/a</v>
      </c>
    </row>
    <row r="76" spans="2:44" x14ac:dyDescent="0.3">
      <c r="B76" s="347"/>
      <c r="C76" s="347"/>
      <c r="D76" s="347"/>
      <c r="E76" s="348">
        <f>Yang!$E7</f>
        <v>55</v>
      </c>
      <c r="F76" s="347"/>
      <c r="G76" s="348"/>
      <c r="H76" s="348"/>
      <c r="I76" s="347"/>
      <c r="J76" s="348"/>
      <c r="K76" s="347"/>
      <c r="L76" s="347"/>
      <c r="M76" s="347"/>
      <c r="N76" s="347"/>
      <c r="O76" s="347"/>
      <c r="P76" s="350" t="str">
        <f>Yang!$I87</f>
        <v>Thermo</v>
      </c>
      <c r="Q76" s="347"/>
      <c r="R76" s="350" t="str">
        <f>Yang!$I88</f>
        <v>No syngas</v>
      </c>
      <c r="S76" s="355">
        <f>Yang!$I89</f>
        <v>3.52</v>
      </c>
      <c r="T76" s="352">
        <f>Yang!$I90</f>
        <v>20</v>
      </c>
      <c r="U76" s="351"/>
      <c r="V76" s="353">
        <f>Yang!$I92</f>
        <v>0.38380681818181817</v>
      </c>
      <c r="W76" s="353"/>
      <c r="X76" s="354"/>
      <c r="Y76" s="351">
        <f>Yang!$I95</f>
        <v>1.351</v>
      </c>
      <c r="Z76" s="351"/>
      <c r="AA76" s="355">
        <f>Yang!$I97</f>
        <v>63.54656632173095</v>
      </c>
      <c r="AB76" s="355">
        <f>Yang!$I98</f>
        <v>36.45343367826905</v>
      </c>
      <c r="AC76" s="355"/>
      <c r="AD76" s="351">
        <f>Yang!$I100</f>
        <v>7.22</v>
      </c>
      <c r="AE76" s="391" t="str">
        <f>Yang!$I101</f>
        <v>n/r</v>
      </c>
      <c r="AF76" s="427" t="str">
        <f>Yang!$I102</f>
        <v>TVFA - low</v>
      </c>
      <c r="AG76" s="351"/>
      <c r="AH76" s="356"/>
      <c r="AI76" s="351"/>
      <c r="AJ76" s="351"/>
      <c r="AK76" s="351"/>
      <c r="AL76" s="351"/>
      <c r="AM76" s="351"/>
      <c r="AN76" s="351"/>
      <c r="AO76" s="351"/>
      <c r="AP76" s="351"/>
      <c r="AQ76" s="355"/>
      <c r="AR76" s="355"/>
    </row>
    <row r="77" spans="2:44" x14ac:dyDescent="0.3">
      <c r="B77" s="327"/>
      <c r="C77" s="327"/>
      <c r="D77" s="327"/>
      <c r="E77" s="328"/>
      <c r="F77" s="327"/>
      <c r="G77" s="328"/>
      <c r="H77" s="328"/>
      <c r="I77" s="327"/>
      <c r="J77" s="328"/>
      <c r="K77" s="327"/>
      <c r="L77" s="327"/>
      <c r="M77" s="327"/>
      <c r="N77" s="327"/>
      <c r="O77" s="327"/>
      <c r="P77" s="330" t="str">
        <f>Yang!$M87</f>
        <v>-</v>
      </c>
      <c r="Q77" s="327"/>
      <c r="R77" s="330" t="str">
        <f>Yang!$M88</f>
        <v>With syngas</v>
      </c>
      <c r="S77" s="333">
        <f>Yang!$M89</f>
        <v>3.52</v>
      </c>
      <c r="T77" s="343">
        <f>Yang!$M90</f>
        <v>20</v>
      </c>
      <c r="U77" s="331">
        <f>Yang!$M91</f>
        <v>1.325</v>
      </c>
      <c r="V77" s="332">
        <f>Yang!$M92</f>
        <v>0.50894886363636371</v>
      </c>
      <c r="W77" s="332">
        <f>Yang!$M93</f>
        <v>0.12514204545454555</v>
      </c>
      <c r="X77" s="340">
        <f>Yang!$M94</f>
        <v>0.32605477424130297</v>
      </c>
      <c r="Y77" s="331">
        <f>Yang!$M95</f>
        <v>1.7915000000000001</v>
      </c>
      <c r="Z77" s="331">
        <f>Yang!$M96</f>
        <v>0.44050000000000011</v>
      </c>
      <c r="AA77" s="333">
        <f>Yang!$M97</f>
        <v>64.048868052896538</v>
      </c>
      <c r="AB77" s="333">
        <f>Yang!$M98</f>
        <v>35.751531148700266</v>
      </c>
      <c r="AC77" s="333">
        <f>Yang!$M99</f>
        <v>0.2</v>
      </c>
      <c r="AD77" s="331">
        <f>Yang!$M100</f>
        <v>7.22</v>
      </c>
      <c r="AE77" s="329" t="str">
        <f>Yang!$M101</f>
        <v>n/r</v>
      </c>
      <c r="AF77" s="425" t="str">
        <f>Yang!$M102</f>
        <v>TVFA - low</v>
      </c>
      <c r="AG77" s="331">
        <f>Yang!$M$72</f>
        <v>0.32950000000000002</v>
      </c>
      <c r="AH77" s="358">
        <f>Yang!$M$73</f>
        <v>0.4405</v>
      </c>
      <c r="AI77" s="331">
        <f>Yang!$M$74</f>
        <v>0.3125</v>
      </c>
      <c r="AJ77" s="331" t="str">
        <f>Yang!$M$75</f>
        <v>n/a</v>
      </c>
      <c r="AK77" s="331">
        <f>Yang!$M$76</f>
        <v>0.99578641509433974</v>
      </c>
      <c r="AL77" s="331">
        <f>Yang!$M$77</f>
        <v>1.3368740515933231</v>
      </c>
      <c r="AM77" s="331">
        <f>Yang!$M$78</f>
        <v>0.94738812672566741</v>
      </c>
      <c r="AN77" s="331">
        <f>Yang!$M$79</f>
        <v>1.4096000000000004</v>
      </c>
      <c r="AO77" s="331">
        <f>Yang!$M$80</f>
        <v>0.56838709677419352</v>
      </c>
      <c r="AP77" s="331">
        <f>Yang!$M$81</f>
        <v>1.3130291627469428</v>
      </c>
      <c r="AQ77" s="333" t="str">
        <f>Yang!$M$82</f>
        <v>n/a</v>
      </c>
      <c r="AR77" s="333" t="str">
        <f>Yang!$M$83</f>
        <v>n/a</v>
      </c>
    </row>
    <row r="78" spans="2:44" x14ac:dyDescent="0.3">
      <c r="B78" s="375" t="str">
        <f>Thapa!B2</f>
        <v>Thapa et al., 2021</v>
      </c>
      <c r="C78" s="375">
        <f>All!C78</f>
        <v>57</v>
      </c>
      <c r="D78" s="375" t="str">
        <f>Thapa!$D6</f>
        <v>Thermally-treated FW digestate</v>
      </c>
      <c r="E78" s="376">
        <f>Thapa!$D7</f>
        <v>37</v>
      </c>
      <c r="F78" s="375" t="str">
        <f>Thapa!$D8</f>
        <v>Trickling filter</v>
      </c>
      <c r="G78" s="376" t="str">
        <f>Thapa!$D9</f>
        <v>n/r</v>
      </c>
      <c r="H78" s="376">
        <f>Thapa!$D10</f>
        <v>1.1000000000000001</v>
      </c>
      <c r="I78" s="375" t="str">
        <f>Thapa!$D11</f>
        <v>Liquid recirc</v>
      </c>
      <c r="J78" s="376" t="str">
        <f>Thapa!$D12</f>
        <v>Yes</v>
      </c>
      <c r="K78" s="375" t="str">
        <f>Thapa!$D13</f>
        <v>Headspace</v>
      </c>
      <c r="L78" s="375" t="str">
        <f>Thapa!$D14</f>
        <v>Continuous</v>
      </c>
      <c r="M78" s="375" t="str">
        <f>Thapa!$D15</f>
        <v>Sequential</v>
      </c>
      <c r="N78" s="375" t="str">
        <f>Thapa!$D16</f>
        <v>H2 and recirc rate</v>
      </c>
      <c r="O78" s="375" t="str">
        <f>Thapa!$D17</f>
        <v>1 reactor</v>
      </c>
      <c r="P78" s="378" t="str">
        <f>Thapa!$D104</f>
        <v>-</v>
      </c>
      <c r="Q78" s="375">
        <f>C78</f>
        <v>57</v>
      </c>
      <c r="R78" s="375" t="str">
        <f>Thapa!$D105</f>
        <v>No H2</v>
      </c>
      <c r="S78" s="376">
        <f>Thapa!$D106</f>
        <v>1.8800000000000001</v>
      </c>
      <c r="T78" s="376">
        <f>Thapa!$D107</f>
        <v>10</v>
      </c>
      <c r="U78" s="379"/>
      <c r="V78" s="380">
        <f>Thapa!$D109</f>
        <v>0.23936170212765956</v>
      </c>
      <c r="W78" s="380"/>
      <c r="X78" s="381"/>
      <c r="Y78" s="379">
        <f>Thapa!$D112</f>
        <v>0.45</v>
      </c>
      <c r="Z78" s="379"/>
      <c r="AA78" s="382">
        <f>Thapa!$D114</f>
        <v>48.65</v>
      </c>
      <c r="AB78" s="382">
        <f>Thapa!$D115</f>
        <v>51.35</v>
      </c>
      <c r="AC78" s="382">
        <f>Thapa!$D116</f>
        <v>0</v>
      </c>
      <c r="AD78" s="379">
        <f>Thapa!$D117</f>
        <v>7.82</v>
      </c>
      <c r="AE78" s="377" t="str">
        <f>Thapa!$D118</f>
        <v>n/r</v>
      </c>
      <c r="AF78" s="426">
        <f>Thapa!$D119</f>
        <v>1.4444983248810808E-3</v>
      </c>
      <c r="AG78" s="379"/>
      <c r="AH78" s="386"/>
      <c r="AI78" s="379"/>
      <c r="AJ78" s="379"/>
      <c r="AK78" s="379"/>
      <c r="AL78" s="379"/>
      <c r="AM78" s="379"/>
      <c r="AN78" s="379"/>
      <c r="AO78" s="379"/>
      <c r="AP78" s="379"/>
      <c r="AQ78" s="382"/>
      <c r="AR78" s="382"/>
    </row>
    <row r="79" spans="2:44" x14ac:dyDescent="0.3">
      <c r="B79" s="375"/>
      <c r="C79" s="375"/>
      <c r="D79" s="375"/>
      <c r="E79" s="376"/>
      <c r="F79" s="375"/>
      <c r="G79" s="376"/>
      <c r="H79" s="376"/>
      <c r="I79" s="375"/>
      <c r="J79" s="376"/>
      <c r="K79" s="375"/>
      <c r="L79" s="375"/>
      <c r="M79" s="375"/>
      <c r="N79" s="375"/>
      <c r="O79" s="375"/>
      <c r="P79" s="378" t="str">
        <f>Thapa!$F104</f>
        <v>Lowest H2%</v>
      </c>
      <c r="Q79" s="375"/>
      <c r="R79" s="375" t="str">
        <f>Thapa!$F105</f>
        <v>With H2</v>
      </c>
      <c r="S79" s="376">
        <f>Thapa!$F106</f>
        <v>1.8800000000000001</v>
      </c>
      <c r="T79" s="376">
        <f>Thapa!$F107</f>
        <v>10</v>
      </c>
      <c r="U79" s="379">
        <f>Thapa!$F108</f>
        <v>1.4</v>
      </c>
      <c r="V79" s="380">
        <f>Thapa!$F109</f>
        <v>0.41489361702127658</v>
      </c>
      <c r="W79" s="380">
        <f>Thapa!$F110</f>
        <v>0.17553191489361702</v>
      </c>
      <c r="X79" s="381">
        <f>Thapa!$F111</f>
        <v>0.73333333333333339</v>
      </c>
      <c r="Y79" s="379">
        <f>Thapa!$F112</f>
        <v>0.78</v>
      </c>
      <c r="Z79" s="379">
        <f>Thapa!$F113</f>
        <v>0.33</v>
      </c>
      <c r="AA79" s="382">
        <f>Thapa!$F114</f>
        <v>71.430000000000007</v>
      </c>
      <c r="AB79" s="382">
        <f>Thapa!$F115</f>
        <v>22.82</v>
      </c>
      <c r="AC79" s="382">
        <f>Thapa!$F116</f>
        <v>5.75</v>
      </c>
      <c r="AD79" s="379">
        <f>Thapa!$F117</f>
        <v>7.98</v>
      </c>
      <c r="AE79" s="377" t="str">
        <f>Thapa!$F118</f>
        <v>n/r</v>
      </c>
      <c r="AF79" s="426">
        <f>Thapa!$F119</f>
        <v>3.2025287763335873E-2</v>
      </c>
      <c r="AG79" s="379">
        <f>Thapa!$F89</f>
        <v>0.33499999999999996</v>
      </c>
      <c r="AH79" s="386">
        <f>Thapa!$F90</f>
        <v>0.33</v>
      </c>
      <c r="AI79" s="379">
        <f>Thapa!$F91</f>
        <v>0.26</v>
      </c>
      <c r="AJ79" s="379">
        <f>Thapa!$F92</f>
        <v>2.7450980392156858</v>
      </c>
      <c r="AK79" s="379">
        <f>Thapa!$F93</f>
        <v>0.95714285714285707</v>
      </c>
      <c r="AL79" s="379">
        <f>Thapa!$F94</f>
        <v>0.98507462686567182</v>
      </c>
      <c r="AM79" s="379">
        <f>Thapa!$F95</f>
        <v>0.77611940298507476</v>
      </c>
      <c r="AN79" s="379">
        <f>Thapa!$F96</f>
        <v>1.2692307692307692</v>
      </c>
      <c r="AO79" s="379">
        <f>Thapa!$F97</f>
        <v>0.6470588235294118</v>
      </c>
      <c r="AP79" s="379">
        <f>Thapa!$F98</f>
        <v>1.1354166666666667</v>
      </c>
      <c r="AQ79" s="382">
        <f>Thapa!$F99</f>
        <v>4.0606060606060597</v>
      </c>
      <c r="AR79" s="382">
        <f>Thapa!$F100</f>
        <v>5.1538461538461533</v>
      </c>
    </row>
    <row r="80" spans="2:44" x14ac:dyDescent="0.3">
      <c r="B80" s="362"/>
      <c r="C80" s="362"/>
      <c r="D80" s="362"/>
      <c r="E80" s="363"/>
      <c r="F80" s="362"/>
      <c r="G80" s="363"/>
      <c r="H80" s="363"/>
      <c r="I80" s="362"/>
      <c r="J80" s="363"/>
      <c r="K80" s="362"/>
      <c r="L80" s="362"/>
      <c r="M80" s="362"/>
      <c r="N80" s="362"/>
      <c r="O80" s="362"/>
      <c r="P80" s="365" t="str">
        <f>Thapa!$G104</f>
        <v>Highest SMP</v>
      </c>
      <c r="Q80" s="362"/>
      <c r="R80" s="362" t="str">
        <f>Thapa!$G105</f>
        <v>With H2</v>
      </c>
      <c r="S80" s="363">
        <f>Thapa!$G106</f>
        <v>1.8800000000000001</v>
      </c>
      <c r="T80" s="363">
        <f>Thapa!$G107</f>
        <v>10</v>
      </c>
      <c r="U80" s="366">
        <f>Thapa!$G108</f>
        <v>1.5</v>
      </c>
      <c r="V80" s="367">
        <f>Thapa!$G109</f>
        <v>0.45212765957446804</v>
      </c>
      <c r="W80" s="367">
        <f>Thapa!$G110</f>
        <v>0.21276595744680848</v>
      </c>
      <c r="X80" s="368">
        <f>Thapa!$G111</f>
        <v>0.88888888888888884</v>
      </c>
      <c r="Y80" s="366">
        <f>Thapa!$G112</f>
        <v>0.85</v>
      </c>
      <c r="Z80" s="366">
        <f>Thapa!$G113</f>
        <v>0.39999999999999997</v>
      </c>
      <c r="AA80" s="369">
        <f>Thapa!$G114</f>
        <v>68.180000000000007</v>
      </c>
      <c r="AB80" s="369">
        <f>Thapa!$G115</f>
        <v>16.72</v>
      </c>
      <c r="AC80" s="369">
        <f>Thapa!$G116</f>
        <v>15.1</v>
      </c>
      <c r="AD80" s="366">
        <f>Thapa!$G117</f>
        <v>8.02</v>
      </c>
      <c r="AE80" s="364" t="str">
        <f>Thapa!$G118</f>
        <v>n/r</v>
      </c>
      <c r="AF80" s="392">
        <f>Thapa!$G119</f>
        <v>3.4109266018419987E-2</v>
      </c>
      <c r="AG80" s="366">
        <f>Thapa!$G89</f>
        <v>0.32750000000000001</v>
      </c>
      <c r="AH80" s="388">
        <f>Thapa!$G90</f>
        <v>0.39999999999999997</v>
      </c>
      <c r="AI80" s="366">
        <f>Thapa!$G91</f>
        <v>0.31</v>
      </c>
      <c r="AJ80" s="366">
        <f>Thapa!$G92</f>
        <v>2.9411764705882351</v>
      </c>
      <c r="AK80" s="366">
        <f>Thapa!$G93</f>
        <v>0.87333333333333341</v>
      </c>
      <c r="AL80" s="366">
        <f>Thapa!$G94</f>
        <v>1.2213740458015265</v>
      </c>
      <c r="AM80" s="366">
        <f>Thapa!$G95</f>
        <v>0.94656488549618312</v>
      </c>
      <c r="AN80" s="366">
        <f>Thapa!$G96</f>
        <v>1.2903225806451613</v>
      </c>
      <c r="AO80" s="366">
        <f>Thapa!$G97</f>
        <v>0.78431372549019596</v>
      </c>
      <c r="AP80" s="366">
        <f>Thapa!$G98</f>
        <v>1.2916666666666667</v>
      </c>
      <c r="AQ80" s="369">
        <f>Thapa!$G99</f>
        <v>3.2750000000000004</v>
      </c>
      <c r="AR80" s="369">
        <f>Thapa!$G100</f>
        <v>4.225806451612903</v>
      </c>
    </row>
    <row r="81" spans="2:47" x14ac:dyDescent="0.3">
      <c r="B81" s="347" t="str">
        <f>Treu!B82</f>
        <v>Treu et al., 2019</v>
      </c>
      <c r="C81" s="347">
        <f>All!C81</f>
        <v>61</v>
      </c>
      <c r="D81" s="347" t="str">
        <f>Treu!$D85</f>
        <v>Whey</v>
      </c>
      <c r="E81" s="348">
        <f>Treu!$D86</f>
        <v>37</v>
      </c>
      <c r="F81" s="347" t="str">
        <f>Treu!$D87</f>
        <v>CSTR</v>
      </c>
      <c r="G81" s="348" t="str">
        <f>Treu!$D88</f>
        <v>n/r</v>
      </c>
      <c r="H81" s="348">
        <f>Treu!$D89</f>
        <v>1.5</v>
      </c>
      <c r="I81" s="347" t="str">
        <f>Treu!$D90</f>
        <v>Magnetic</v>
      </c>
      <c r="J81" s="348" t="str">
        <f>Treu!$D91</f>
        <v>Yes</v>
      </c>
      <c r="K81" s="347" t="str">
        <f>Treu!$D92</f>
        <v xml:space="preserve">Ceramic </v>
      </c>
      <c r="L81" s="347" t="str">
        <f>Treu!$D93</f>
        <v>Continuous</v>
      </c>
      <c r="M81" s="347" t="str">
        <f>Treu!$D94</f>
        <v>Sequential</v>
      </c>
      <c r="N81" s="347" t="str">
        <f>Treu!$D95</f>
        <v>Temperature + feedstock</v>
      </c>
      <c r="O81" s="347" t="str">
        <f>Treu!$D96</f>
        <v>1 reactor at each temp</v>
      </c>
      <c r="P81" s="347" t="str">
        <f>Treu!$E178</f>
        <v>with buffer</v>
      </c>
      <c r="Q81" s="347">
        <f>C81</f>
        <v>61</v>
      </c>
      <c r="R81" s="347" t="str">
        <f>Treu!$E179</f>
        <v>No H2</v>
      </c>
      <c r="S81" s="348">
        <f>Treu!$E180</f>
        <v>2.2000000000000002</v>
      </c>
      <c r="T81" s="348">
        <f>Treu!$E181</f>
        <v>25</v>
      </c>
      <c r="U81" s="351"/>
      <c r="V81" s="353">
        <f>Treu!$E183</f>
        <v>0.28827171717171712</v>
      </c>
      <c r="W81" s="353"/>
      <c r="X81" s="354"/>
      <c r="Y81" s="351">
        <f>Treu!$E186</f>
        <v>0.63419777777777775</v>
      </c>
      <c r="Z81" s="351"/>
      <c r="AA81" s="355">
        <f>Treu!$E188</f>
        <v>58.56666666666667</v>
      </c>
      <c r="AB81" s="355">
        <f>Treu!$E189</f>
        <v>41.43333333333333</v>
      </c>
      <c r="AC81" s="355"/>
      <c r="AD81" s="351">
        <f>Treu!$E191</f>
        <v>6.88</v>
      </c>
      <c r="AE81" s="391" t="str">
        <f>Treu!$E192</f>
        <v>n/r</v>
      </c>
      <c r="AF81" s="427">
        <f>Treu!$E193</f>
        <v>0.10780437592487202</v>
      </c>
      <c r="AG81" s="351"/>
      <c r="AH81" s="356"/>
      <c r="AI81" s="351"/>
      <c r="AJ81" s="351"/>
      <c r="AK81" s="351"/>
      <c r="AL81" s="351"/>
      <c r="AM81" s="351"/>
      <c r="AN81" s="351"/>
      <c r="AO81" s="351"/>
      <c r="AP81" s="351"/>
      <c r="AQ81" s="355"/>
      <c r="AR81" s="355"/>
    </row>
    <row r="82" spans="2:47" x14ac:dyDescent="0.3">
      <c r="B82" s="327"/>
      <c r="C82" s="327"/>
      <c r="D82" s="327"/>
      <c r="E82" s="328"/>
      <c r="F82" s="327"/>
      <c r="G82" s="328"/>
      <c r="H82" s="328"/>
      <c r="I82" s="327"/>
      <c r="J82" s="328"/>
      <c r="K82" s="327"/>
      <c r="L82" s="327"/>
      <c r="M82" s="327"/>
      <c r="N82" s="327"/>
      <c r="O82" s="327"/>
      <c r="P82" s="327" t="str">
        <f>Treu!$F178</f>
        <v>-</v>
      </c>
      <c r="Q82" s="327"/>
      <c r="R82" s="327" t="str">
        <f>Treu!$F179</f>
        <v>With H2</v>
      </c>
      <c r="S82" s="328">
        <f>Treu!$F180</f>
        <v>2.2000000000000002</v>
      </c>
      <c r="T82" s="328">
        <f>Treu!$F181</f>
        <v>25</v>
      </c>
      <c r="U82" s="331">
        <f>Treu!$F182</f>
        <v>0.89733390754442521</v>
      </c>
      <c r="V82" s="332">
        <f>Treu!$F183</f>
        <v>0.43434949494949499</v>
      </c>
      <c r="W82" s="332">
        <f>Treu!$F184</f>
        <v>0.14607777777777786</v>
      </c>
      <c r="X82" s="340">
        <f>Treu!$F185</f>
        <v>0.50673641941350267</v>
      </c>
      <c r="Y82" s="331">
        <f>Treu!$F186</f>
        <v>0.95556888888888902</v>
      </c>
      <c r="Z82" s="331">
        <f>Treu!$F187</f>
        <v>0.32137111111111127</v>
      </c>
      <c r="AA82" s="333">
        <f>Treu!$F188</f>
        <v>56.466666666666669</v>
      </c>
      <c r="AB82" s="333">
        <f>Treu!$F189</f>
        <v>24.966666666666665</v>
      </c>
      <c r="AC82" s="333">
        <f>Treu!$F190</f>
        <v>18.566666666666666</v>
      </c>
      <c r="AD82" s="331">
        <f>Treu!$F191</f>
        <v>7.586666666666666</v>
      </c>
      <c r="AE82" s="329" t="str">
        <f>Treu!$F192</f>
        <v>n/r</v>
      </c>
      <c r="AF82" s="425">
        <f>Treu!$F193</f>
        <v>4.2041754363994856E-2</v>
      </c>
      <c r="AG82" s="331">
        <f>Treu!$F161</f>
        <v>0.14578390913062944</v>
      </c>
      <c r="AH82" s="358">
        <f>Treu!$F162</f>
        <v>0.32137111111111127</v>
      </c>
      <c r="AI82" s="331">
        <f>Treu!$F163</f>
        <v>2.6163354139522088E-2</v>
      </c>
      <c r="AJ82" s="331">
        <f>Treu!$F164</f>
        <v>2</v>
      </c>
      <c r="AK82" s="331">
        <f>Treu!$F165</f>
        <v>0.64985356244731884</v>
      </c>
      <c r="AL82" s="331">
        <f>Treu!$F166</f>
        <v>2.2044347214146054</v>
      </c>
      <c r="AM82" s="331">
        <f>Treu!$F167</f>
        <v>0.1794666797971404</v>
      </c>
      <c r="AN82" s="331">
        <f>Treu!$F168</f>
        <v>12.283253492550156</v>
      </c>
      <c r="AO82" s="331">
        <f>Treu!$F169</f>
        <v>0.7606352026124743</v>
      </c>
      <c r="AP82" s="331">
        <f>Treu!$F170</f>
        <v>1.2726173901231734</v>
      </c>
      <c r="AQ82" s="333">
        <f>Treu!$F171</f>
        <v>1.8145241322606116</v>
      </c>
      <c r="AR82" s="333">
        <f>Treu!$F172</f>
        <v>22.288259884906697</v>
      </c>
    </row>
    <row r="83" spans="2:47" x14ac:dyDescent="0.3">
      <c r="B83" s="375" t="str">
        <f>Font!B2</f>
        <v>Fontana et al., 2018a</v>
      </c>
      <c r="C83" s="375">
        <f>All!C83</f>
        <v>62</v>
      </c>
      <c r="D83" s="375" t="str">
        <f>Font!$D6</f>
        <v>cheese whey permeate + powder</v>
      </c>
      <c r="E83" s="376">
        <f>Font!$D7</f>
        <v>55</v>
      </c>
      <c r="F83" s="375" t="str">
        <f>Font!$D8</f>
        <v>CSTR</v>
      </c>
      <c r="G83" s="376" t="str">
        <f>Font!$D9</f>
        <v>n/r</v>
      </c>
      <c r="H83" s="376">
        <f>Font!$D10</f>
        <v>3</v>
      </c>
      <c r="I83" s="375" t="str">
        <f>Font!$D11</f>
        <v>Magnetic</v>
      </c>
      <c r="J83" s="376" t="str">
        <f>Font!$D12</f>
        <v>Yes</v>
      </c>
      <c r="K83" s="375" t="str">
        <f>Font!$D13</f>
        <v>Ceramic membrane</v>
      </c>
      <c r="L83" s="375" t="str">
        <f>Font!$D14</f>
        <v>Continuous</v>
      </c>
      <c r="M83" s="375" t="str">
        <f>Font!$D15</f>
        <v>Sequential</v>
      </c>
      <c r="N83" s="375" t="str">
        <f>Font!$D16</f>
        <v>H2 addition</v>
      </c>
      <c r="O83" s="375" t="str">
        <f>Font!$D17</f>
        <v>Also tested power-tochemicals (p2C) in 2-stage set-up</v>
      </c>
      <c r="P83" s="378" t="str">
        <f>Font!$D60</f>
        <v>-</v>
      </c>
      <c r="Q83" s="375">
        <f>C83</f>
        <v>62</v>
      </c>
      <c r="R83" s="377" t="str">
        <f>Font!$D61</f>
        <v>No H2</v>
      </c>
      <c r="S83" s="382">
        <f>Font!$D62</f>
        <v>2.4</v>
      </c>
      <c r="T83" s="385">
        <f>Font!$D63</f>
        <v>15</v>
      </c>
      <c r="U83" s="379"/>
      <c r="V83" s="380">
        <f>Font!$D65</f>
        <v>0.11</v>
      </c>
      <c r="W83" s="380"/>
      <c r="X83" s="381"/>
      <c r="Y83" s="379">
        <f>Font!$D68</f>
        <v>0.26400000000000001</v>
      </c>
      <c r="Z83" s="379"/>
      <c r="AA83" s="382">
        <f>Font!$D70</f>
        <v>44.6</v>
      </c>
      <c r="AB83" s="382">
        <f>Font!$D71</f>
        <v>55.4</v>
      </c>
      <c r="AC83" s="382"/>
      <c r="AD83" s="379" t="str">
        <f>Font!$D73</f>
        <v>n/r</v>
      </c>
      <c r="AE83" s="377" t="str">
        <f>Font!$D74</f>
        <v>n/r</v>
      </c>
      <c r="AF83" s="426" t="str">
        <f>Font!$D75</f>
        <v>n/r?</v>
      </c>
      <c r="AG83" s="379"/>
      <c r="AH83" s="386"/>
      <c r="AI83" s="379"/>
      <c r="AJ83" s="379"/>
      <c r="AK83" s="379"/>
      <c r="AL83" s="379"/>
      <c r="AM83" s="379"/>
      <c r="AN83" s="379"/>
      <c r="AO83" s="379"/>
      <c r="AP83" s="379"/>
      <c r="AQ83" s="382"/>
      <c r="AR83" s="382"/>
    </row>
    <row r="84" spans="2:47" x14ac:dyDescent="0.3">
      <c r="B84" s="362"/>
      <c r="C84" s="362"/>
      <c r="D84" s="362"/>
      <c r="E84" s="363"/>
      <c r="F84" s="362"/>
      <c r="G84" s="363"/>
      <c r="H84" s="363"/>
      <c r="I84" s="362"/>
      <c r="J84" s="363"/>
      <c r="K84" s="362"/>
      <c r="L84" s="362"/>
      <c r="M84" s="362"/>
      <c r="N84" s="362"/>
      <c r="O84" s="362"/>
      <c r="P84" s="362" t="str">
        <f>Font!$F60</f>
        <v>-</v>
      </c>
      <c r="Q84" s="362"/>
      <c r="R84" s="362" t="str">
        <f>Font!$F61</f>
        <v>With H2</v>
      </c>
      <c r="S84" s="369">
        <f>Font!$F62</f>
        <v>2.4</v>
      </c>
      <c r="T84" s="363">
        <f>Font!$F63</f>
        <v>15</v>
      </c>
      <c r="U84" s="366">
        <f>Font!$F64</f>
        <v>0.81599999999999995</v>
      </c>
      <c r="V84" s="363">
        <f>Font!$F65</f>
        <v>0.14199999999999999</v>
      </c>
      <c r="W84" s="367">
        <f>Font!$F66</f>
        <v>3.1999999999999987E-2</v>
      </c>
      <c r="X84" s="368">
        <f>Font!$F67</f>
        <v>0.29090909090909078</v>
      </c>
      <c r="Y84" s="366">
        <f>Font!$F68</f>
        <v>0.34079999999999999</v>
      </c>
      <c r="Z84" s="366">
        <f>Font!$F69</f>
        <v>7.6799999999999979E-2</v>
      </c>
      <c r="AA84" s="369">
        <f>Font!$F70</f>
        <v>51.6</v>
      </c>
      <c r="AB84" s="369">
        <f>Font!$F71</f>
        <v>23</v>
      </c>
      <c r="AC84" s="369">
        <f>Font!$F72</f>
        <v>25.4</v>
      </c>
      <c r="AD84" s="366" t="str">
        <f>Font!$F73</f>
        <v>n/r</v>
      </c>
      <c r="AE84" s="364" t="str">
        <f>Font!$F74</f>
        <v>n/r</v>
      </c>
      <c r="AF84" s="392" t="str">
        <f>Font!$F75</f>
        <v>n/r?</v>
      </c>
      <c r="AG84" s="366">
        <f>Font!$F45</f>
        <v>0.19860351117191063</v>
      </c>
      <c r="AH84" s="388">
        <f>Font!$F46</f>
        <v>7.6799999999999979E-2</v>
      </c>
      <c r="AI84" s="366">
        <f>Font!$F47</f>
        <v>0.17602127437689016</v>
      </c>
      <c r="AJ84" s="366">
        <f>Font!$F48</f>
        <v>2.4883491959304234</v>
      </c>
      <c r="AK84" s="366">
        <f>Font!$F49</f>
        <v>0.79441404468764254</v>
      </c>
      <c r="AL84" s="366">
        <f>Font!$F50</f>
        <v>0.38670011193066028</v>
      </c>
      <c r="AM84" s="366">
        <f>Font!$F51</f>
        <v>0.88629487635053261</v>
      </c>
      <c r="AN84" s="366">
        <f>Font!$F52</f>
        <v>0.43631089634971448</v>
      </c>
      <c r="AO84" s="366">
        <f>Font!$F53</f>
        <v>0.23419757138168687</v>
      </c>
      <c r="AP84" s="366">
        <f>Font!$F54</f>
        <v>0.83237618040873862</v>
      </c>
      <c r="AQ84" s="369">
        <f>Font!$F55</f>
        <v>8.4406492248062026</v>
      </c>
      <c r="AR84" s="369">
        <f>Font!$F56</f>
        <v>3.6827472290487173</v>
      </c>
    </row>
    <row r="85" spans="2:47" x14ac:dyDescent="0.3">
      <c r="B85" s="347" t="str">
        <f>Lovato!B2</f>
        <v>Lovato et al., 2017</v>
      </c>
      <c r="C85" s="347">
        <f>All!C85</f>
        <v>63</v>
      </c>
      <c r="D85" s="347" t="str">
        <f>Lovato!$D6</f>
        <v>Whey + CM</v>
      </c>
      <c r="E85" s="348">
        <f>Lovato!$D7</f>
        <v>55</v>
      </c>
      <c r="F85" s="347" t="str">
        <f>Lovato!$D8</f>
        <v>CSTR</v>
      </c>
      <c r="G85" s="348">
        <f>Lovato!$D9</f>
        <v>1.8</v>
      </c>
      <c r="H85" s="348">
        <f>Lovato!$D10</f>
        <v>1.2</v>
      </c>
      <c r="I85" s="347" t="str">
        <f>Lovato!$D11</f>
        <v>tbc</v>
      </c>
      <c r="J85" s="348" t="str">
        <f>Lovato!$D12</f>
        <v>tbc</v>
      </c>
      <c r="K85" s="347" t="str">
        <f>Lovato!$D13</f>
        <v>tbc</v>
      </c>
      <c r="L85" s="347" t="str">
        <f>Lovato!$D14</f>
        <v>tbc</v>
      </c>
      <c r="M85" s="347" t="str">
        <f>Lovato!$D15</f>
        <v>Sequential</v>
      </c>
      <c r="N85" s="347" t="str">
        <f>Lovato!$D16</f>
        <v>with/without H2</v>
      </c>
      <c r="O85" s="347" t="str">
        <f>Lovato!$D17</f>
        <v>1 reactor</v>
      </c>
      <c r="P85" s="350" t="str">
        <f>Lovato!$D77</f>
        <v>-</v>
      </c>
      <c r="Q85" s="347">
        <f>C85</f>
        <v>63</v>
      </c>
      <c r="R85" s="349" t="str">
        <f>Lovato!$D78</f>
        <v>No H2</v>
      </c>
      <c r="S85" s="351">
        <f>Lovato!$D79</f>
        <v>3.7066666666666666</v>
      </c>
      <c r="T85" s="348">
        <f>Lovato!$D80</f>
        <v>15</v>
      </c>
      <c r="U85" s="351"/>
      <c r="V85" s="353">
        <f>Lovato!$D82</f>
        <v>0.24373397680766506</v>
      </c>
      <c r="W85" s="353"/>
      <c r="X85" s="354"/>
      <c r="Y85" s="351">
        <f>Lovato!$D85</f>
        <v>0.90344060736707843</v>
      </c>
      <c r="Z85" s="351"/>
      <c r="AA85" s="355">
        <f>Lovato!$D87</f>
        <v>65.606969248525914</v>
      </c>
      <c r="AB85" s="355">
        <f>Lovato!$D88</f>
        <v>34.392991750083503</v>
      </c>
      <c r="AC85" s="355"/>
      <c r="AD85" s="351">
        <f>Lovato!$D90</f>
        <v>7.7391105312569399</v>
      </c>
      <c r="AE85" s="391">
        <f>Lovato!$D91</f>
        <v>0.10991196540070783</v>
      </c>
      <c r="AF85" s="427">
        <f>Lovato!$D92</f>
        <v>1.3747359991587301E-3</v>
      </c>
      <c r="AG85" s="351"/>
      <c r="AH85" s="393"/>
      <c r="AI85" s="351"/>
      <c r="AJ85" s="351"/>
      <c r="AK85" s="351"/>
      <c r="AL85" s="351"/>
      <c r="AM85" s="351"/>
      <c r="AN85" s="351"/>
      <c r="AO85" s="351"/>
      <c r="AP85" s="351"/>
      <c r="AQ85" s="355"/>
      <c r="AR85" s="355"/>
    </row>
    <row r="86" spans="2:47" x14ac:dyDescent="0.3">
      <c r="B86" s="327"/>
      <c r="C86" s="327"/>
      <c r="D86" s="327"/>
      <c r="E86" s="328"/>
      <c r="F86" s="327"/>
      <c r="G86" s="328"/>
      <c r="H86" s="328"/>
      <c r="I86" s="327"/>
      <c r="J86" s="328"/>
      <c r="K86" s="327"/>
      <c r="L86" s="327"/>
      <c r="M86" s="327"/>
      <c r="N86" s="327"/>
      <c r="O86" s="327"/>
      <c r="P86" s="330" t="str">
        <f>Lovato!$E77</f>
        <v>-</v>
      </c>
      <c r="Q86" s="327"/>
      <c r="R86" s="329" t="str">
        <f>Lovato!$E78</f>
        <v>With H2</v>
      </c>
      <c r="S86" s="331">
        <f>Lovato!$E79</f>
        <v>3.7066666666666666</v>
      </c>
      <c r="T86" s="343">
        <f>Lovato!$E80</f>
        <v>15</v>
      </c>
      <c r="U86" s="331">
        <f>Lovato!$E81</f>
        <v>0.8</v>
      </c>
      <c r="V86" s="332">
        <f>Lovato!$E82</f>
        <v>0.28285003715212287</v>
      </c>
      <c r="W86" s="332">
        <f>Lovato!$E83</f>
        <v>3.9116060344457804E-2</v>
      </c>
      <c r="X86" s="340">
        <f>Lovato!$E84</f>
        <v>0.16048669478414576</v>
      </c>
      <c r="Y86" s="331">
        <f>Lovato!$E85</f>
        <v>1.0484308043772022</v>
      </c>
      <c r="Z86" s="331">
        <f>Lovato!$E86</f>
        <v>0.14499019701012372</v>
      </c>
      <c r="AA86" s="333">
        <f>Lovato!$E87</f>
        <v>72.702284443104006</v>
      </c>
      <c r="AB86" s="333">
        <f>Lovato!$E88</f>
        <v>22.183590476906414</v>
      </c>
      <c r="AC86" s="333">
        <f>Lovato!$E89</f>
        <v>5.1141250799895763</v>
      </c>
      <c r="AD86" s="331">
        <f>Lovato!$E90</f>
        <v>7.9158771962726826</v>
      </c>
      <c r="AE86" s="329">
        <f>Lovato!$E91</f>
        <v>0.12059393120791559</v>
      </c>
      <c r="AF86" s="425">
        <f>Lovato!$E92</f>
        <v>1.0727821164823999E-3</v>
      </c>
      <c r="AG86" s="331">
        <f>Lovato!$E63</f>
        <v>0.18156245600681509</v>
      </c>
      <c r="AH86" s="334">
        <f>Lovato!$E64</f>
        <v>0.14499019701012372</v>
      </c>
      <c r="AI86" s="331">
        <f>Lovato!$E65</f>
        <v>0.15370174656413571</v>
      </c>
      <c r="AJ86" s="331">
        <f>Lovato!$E66</f>
        <v>1.6891584889528783</v>
      </c>
      <c r="AK86" s="331">
        <f>Lovato!$E67</f>
        <v>0.90781228003407544</v>
      </c>
      <c r="AL86" s="394">
        <f>Lovato!$E68</f>
        <v>0.79856926480814627</v>
      </c>
      <c r="AM86" s="331">
        <f>Lovato!$E69</f>
        <v>0.84655027225654178</v>
      </c>
      <c r="AN86" s="331">
        <f>Lovato!$E70</f>
        <v>0.94332172698911465</v>
      </c>
      <c r="AO86" s="331">
        <f>Lovato!$E71</f>
        <v>0.30613927761825088</v>
      </c>
      <c r="AP86" s="331">
        <f>Lovato!$E72</f>
        <v>0.99367375584023476</v>
      </c>
      <c r="AQ86" s="333">
        <f>Lovato!$E73</f>
        <v>5.0089581158135195</v>
      </c>
      <c r="AR86" s="333">
        <f>Lovato!$E74</f>
        <v>4.7250590202253511</v>
      </c>
    </row>
    <row r="87" spans="2:47" x14ac:dyDescent="0.3">
      <c r="B87" s="375" t="str">
        <f>Treu!B82</f>
        <v>Treu et al., 2019</v>
      </c>
      <c r="C87" s="375">
        <f>All!C87</f>
        <v>61</v>
      </c>
      <c r="D87" s="375" t="str">
        <f>Treu!$E85</f>
        <v>Whey + CM</v>
      </c>
      <c r="E87" s="376">
        <f>Treu!$E86</f>
        <v>54</v>
      </c>
      <c r="F87" s="375" t="str">
        <f>Treu!$E87</f>
        <v>CSTR</v>
      </c>
      <c r="G87" s="376" t="str">
        <f>Treu!$E88</f>
        <v>n/r</v>
      </c>
      <c r="H87" s="376">
        <f>Treu!$E89</f>
        <v>1.5</v>
      </c>
      <c r="I87" s="375" t="str">
        <f>Treu!$E90</f>
        <v>Magnetic</v>
      </c>
      <c r="J87" s="376" t="str">
        <f>Treu!$E91</f>
        <v>Yes</v>
      </c>
      <c r="K87" s="375" t="str">
        <f>Treu!$E92</f>
        <v xml:space="preserve">Ceramic </v>
      </c>
      <c r="L87" s="375" t="str">
        <f>Treu!$E93</f>
        <v>Continuous</v>
      </c>
      <c r="M87" s="375" t="str">
        <f>Treu!$E94</f>
        <v>Sequential</v>
      </c>
      <c r="N87" s="375" t="str">
        <f>Treu!$E95</f>
        <v>Temperature + feedstock</v>
      </c>
      <c r="O87" s="375">
        <f>Treu!$E96</f>
        <v>0</v>
      </c>
      <c r="P87" s="378" t="str">
        <f>Treu!$J178</f>
        <v>-</v>
      </c>
      <c r="Q87" s="375">
        <f>C87</f>
        <v>61</v>
      </c>
      <c r="R87" s="377" t="str">
        <f>Treu!$J179</f>
        <v>No H2</v>
      </c>
      <c r="S87" s="382">
        <f>Treu!$J180</f>
        <v>2.2000000000000002</v>
      </c>
      <c r="T87" s="385">
        <f>Treu!$J181</f>
        <v>15</v>
      </c>
      <c r="U87" s="379"/>
      <c r="V87" s="380">
        <f>Treu!$J183</f>
        <v>0.41179797979797977</v>
      </c>
      <c r="W87" s="380"/>
      <c r="X87" s="381"/>
      <c r="Y87" s="379">
        <f>Treu!$J186</f>
        <v>0.90595555555555562</v>
      </c>
      <c r="Z87" s="379"/>
      <c r="AA87" s="382">
        <f>Treu!$J188</f>
        <v>68.199999999999989</v>
      </c>
      <c r="AB87" s="382">
        <f>Treu!$J189</f>
        <v>31.800000000000011</v>
      </c>
      <c r="AC87" s="382"/>
      <c r="AD87" s="379">
        <f>Treu!$J191</f>
        <v>7.7600000000000007</v>
      </c>
      <c r="AE87" s="377" t="str">
        <f>Treu!$J192</f>
        <v>n/r</v>
      </c>
      <c r="AF87" s="426">
        <f>Treu!$J193</f>
        <v>1.7106355865294633E-3</v>
      </c>
      <c r="AG87" s="379"/>
      <c r="AH87" s="386"/>
      <c r="AI87" s="379"/>
      <c r="AJ87" s="379"/>
      <c r="AK87" s="379"/>
      <c r="AL87" s="379"/>
      <c r="AM87" s="379"/>
      <c r="AN87" s="379"/>
      <c r="AO87" s="379"/>
      <c r="AP87" s="379"/>
      <c r="AQ87" s="382"/>
      <c r="AR87" s="382"/>
    </row>
    <row r="88" spans="2:47" x14ac:dyDescent="0.3">
      <c r="B88" s="362"/>
      <c r="C88" s="362"/>
      <c r="D88" s="362"/>
      <c r="E88" s="363"/>
      <c r="F88" s="362"/>
      <c r="G88" s="363"/>
      <c r="H88" s="363"/>
      <c r="I88" s="362"/>
      <c r="J88" s="363"/>
      <c r="K88" s="362"/>
      <c r="L88" s="362"/>
      <c r="M88" s="362"/>
      <c r="N88" s="362"/>
      <c r="O88" s="362"/>
      <c r="P88" s="365" t="str">
        <f>Treu!$K178</f>
        <v>-</v>
      </c>
      <c r="Q88" s="362"/>
      <c r="R88" s="364" t="str">
        <f>Treu!$K179</f>
        <v>With H2</v>
      </c>
      <c r="S88" s="369">
        <f>Treu!$K180</f>
        <v>2.2000000000000002</v>
      </c>
      <c r="T88" s="371">
        <f>Treu!$K181</f>
        <v>15</v>
      </c>
      <c r="U88" s="366">
        <f>Treu!$K182</f>
        <v>0.8448500488758558</v>
      </c>
      <c r="V88" s="367">
        <f>Treu!$K183</f>
        <v>0.44390168759244031</v>
      </c>
      <c r="W88" s="367">
        <f>Treu!$K184</f>
        <v>3.2103707794460534E-2</v>
      </c>
      <c r="X88" s="368">
        <f>Treu!$K185</f>
        <v>7.7959847715158778E-2</v>
      </c>
      <c r="Y88" s="366">
        <f>Treu!$K186</f>
        <v>0.97658371270336874</v>
      </c>
      <c r="Z88" s="366">
        <f>Treu!$K187</f>
        <v>7.062815714781312E-2</v>
      </c>
      <c r="AA88" s="369">
        <f>Treu!$K188</f>
        <v>73.245134898902336</v>
      </c>
      <c r="AB88" s="369">
        <f>Treu!$K189</f>
        <v>21.615053896948297</v>
      </c>
      <c r="AC88" s="369">
        <f>Treu!$K190</f>
        <v>5.1398112041493675</v>
      </c>
      <c r="AD88" s="366">
        <f>Treu!$K191</f>
        <v>8.0266666666666655</v>
      </c>
      <c r="AE88" s="364" t="str">
        <f>Treu!$K192</f>
        <v>n/r</v>
      </c>
      <c r="AF88" s="392">
        <f>Treu!$K193</f>
        <v>4.8477261553296641E-4</v>
      </c>
      <c r="AG88" s="366">
        <f>Treu!$K161</f>
        <v>0.19408012549023876</v>
      </c>
      <c r="AH88" s="370">
        <f>Treu!$K162</f>
        <v>7.062815714781312E-2</v>
      </c>
      <c r="AI88" s="366">
        <f>Treu!$K163</f>
        <v>0.13422964307777252</v>
      </c>
      <c r="AJ88" s="366">
        <f>Treu!$K164</f>
        <v>2</v>
      </c>
      <c r="AK88" s="366">
        <f>Treu!$K165</f>
        <v>0.91888555015640339</v>
      </c>
      <c r="AL88" s="366">
        <f>Treu!$K166</f>
        <v>0.36391236335719163</v>
      </c>
      <c r="AM88" s="366">
        <f>Treu!$K167</f>
        <v>0.69161972530012394</v>
      </c>
      <c r="AN88" s="366">
        <f>Treu!$K168</f>
        <v>0.52617406653529752</v>
      </c>
      <c r="AO88" s="366">
        <f>Treu!$K169</f>
        <v>0.24507039916628537</v>
      </c>
      <c r="AP88" s="366">
        <f>Treu!$K170</f>
        <v>0.95212103602849163</v>
      </c>
      <c r="AQ88" s="369">
        <f>Treu!$K171</f>
        <v>10.991657340517095</v>
      </c>
      <c r="AR88" s="369">
        <f>Treu!$K172</f>
        <v>5.7835250408224335</v>
      </c>
    </row>
    <row r="89" spans="2:47" x14ac:dyDescent="0.3">
      <c r="B89" s="347" t="str">
        <f>Bass!B101</f>
        <v>Bassani et al., 2016</v>
      </c>
      <c r="C89" s="347">
        <f>All!C89</f>
        <v>65</v>
      </c>
      <c r="D89" s="347" t="str">
        <f>Bass!$D105</f>
        <v>Potato-starch wastewater</v>
      </c>
      <c r="E89" s="348">
        <f>Bass!$D106</f>
        <v>55</v>
      </c>
      <c r="F89" s="347" t="str">
        <f>Bass!$D107</f>
        <v>UASB</v>
      </c>
      <c r="G89" s="348" t="str">
        <f>Bass!$D108</f>
        <v>n/r</v>
      </c>
      <c r="H89" s="348">
        <f>Bass!$D109</f>
        <v>1.4</v>
      </c>
      <c r="I89" s="347" t="str">
        <f>Bass!$D110</f>
        <v>Liquid recirc</v>
      </c>
      <c r="J89" s="348" t="str">
        <f>Bass!$D111</f>
        <v>No</v>
      </c>
      <c r="K89" s="347" t="str">
        <f>Bass!$D112</f>
        <v>Separate chamber</v>
      </c>
      <c r="L89" s="347" t="str">
        <f>Bass!$D113</f>
        <v>Continuous</v>
      </c>
      <c r="M89" s="347" t="str">
        <f>Bass!$D114</f>
        <v>Parallel</v>
      </c>
      <c r="N89" s="347" t="str">
        <f>Bass!$D115</f>
        <v xml:space="preserve">Liquid recirc + injection </v>
      </c>
      <c r="O89" s="347" t="str">
        <f>Bass!$D116</f>
        <v>2 reactors</v>
      </c>
      <c r="P89" s="350" t="str">
        <f>Bass!$I163</f>
        <v>Rashig</v>
      </c>
      <c r="Q89" s="347">
        <f>C89</f>
        <v>65</v>
      </c>
      <c r="R89" s="391" t="str">
        <f>Bass!$I164</f>
        <v>No H2</v>
      </c>
      <c r="S89" s="351">
        <f>Bass!$I165</f>
        <v>3.73</v>
      </c>
      <c r="T89" s="352">
        <f>Bass!$I166</f>
        <v>5</v>
      </c>
      <c r="U89" s="351"/>
      <c r="V89" s="353">
        <f>Bass!$I168</f>
        <v>0.32895442359249327</v>
      </c>
      <c r="W89" s="353"/>
      <c r="X89" s="354"/>
      <c r="Y89" s="351">
        <f>Bass!$I171</f>
        <v>1.2270000000000001</v>
      </c>
      <c r="Z89" s="351"/>
      <c r="AA89" s="355">
        <f>Bass!$I173</f>
        <v>60.9</v>
      </c>
      <c r="AB89" s="355">
        <f>Bass!$I174</f>
        <v>39.1</v>
      </c>
      <c r="AC89" s="355"/>
      <c r="AD89" s="351">
        <f>Bass!$I176</f>
        <v>7.6</v>
      </c>
      <c r="AE89" s="391" t="str">
        <f>Bass!$I177</f>
        <v>n/r</v>
      </c>
      <c r="AF89" s="427" t="str">
        <f>Bass!$I178</f>
        <v>TVFA + Hac</v>
      </c>
      <c r="AG89" s="351"/>
      <c r="AH89" s="356"/>
      <c r="AI89" s="351"/>
      <c r="AJ89" s="351"/>
      <c r="AK89" s="351"/>
      <c r="AL89" s="351"/>
      <c r="AM89" s="351"/>
      <c r="AN89" s="351"/>
      <c r="AO89" s="351"/>
      <c r="AP89" s="351"/>
      <c r="AQ89" s="355"/>
      <c r="AR89" s="355"/>
    </row>
    <row r="90" spans="2:47" x14ac:dyDescent="0.3">
      <c r="B90" s="347"/>
      <c r="C90" s="347"/>
      <c r="D90" s="347"/>
      <c r="E90" s="348"/>
      <c r="F90" s="347"/>
      <c r="G90" s="348"/>
      <c r="H90" s="348"/>
      <c r="I90" s="347"/>
      <c r="J90" s="348"/>
      <c r="K90" s="347"/>
      <c r="L90" s="347"/>
      <c r="M90" s="347"/>
      <c r="N90" s="347"/>
      <c r="O90" s="347"/>
      <c r="P90" s="350" t="str">
        <f>Bass!$H163</f>
        <v>-</v>
      </c>
      <c r="Q90" s="347"/>
      <c r="R90" s="391" t="str">
        <f>Bass!$H164</f>
        <v>With H2</v>
      </c>
      <c r="S90" s="351">
        <f>Bass!$H165</f>
        <v>3.73</v>
      </c>
      <c r="T90" s="352">
        <f>Bass!$H166</f>
        <v>5</v>
      </c>
      <c r="U90" s="351">
        <f>Bass!$H167</f>
        <v>2.6360000000000001</v>
      </c>
      <c r="V90" s="353">
        <f>Bass!$H168</f>
        <v>0.40134048257372656</v>
      </c>
      <c r="W90" s="353">
        <f>Bass!$H169</f>
        <v>7.2386058981233292E-2</v>
      </c>
      <c r="X90" s="354">
        <f>Bass!$H170</f>
        <v>0.18036072144288587</v>
      </c>
      <c r="Y90" s="351">
        <f>Bass!$H171</f>
        <v>1.4970000000000001</v>
      </c>
      <c r="Z90" s="351">
        <f>Bass!$H172</f>
        <v>0.27</v>
      </c>
      <c r="AA90" s="355">
        <f>Bass!$H173</f>
        <v>44.9</v>
      </c>
      <c r="AB90" s="355">
        <f>Bass!$H174</f>
        <v>18.5</v>
      </c>
      <c r="AC90" s="355">
        <f>Bass!$H175</f>
        <v>36.6</v>
      </c>
      <c r="AD90" s="351">
        <f>Bass!$H176</f>
        <v>7.9</v>
      </c>
      <c r="AE90" s="391" t="str">
        <f>Bass!$H177</f>
        <v>n/r</v>
      </c>
      <c r="AF90" s="427" t="str">
        <f>Bass!$H178</f>
        <v>TVFA + Hac</v>
      </c>
      <c r="AG90" s="351">
        <f>Bass!$H149</f>
        <v>0.35299999999999998</v>
      </c>
      <c r="AH90" s="356">
        <f>Bass!$H150</f>
        <v>0.27</v>
      </c>
      <c r="AI90" s="351">
        <f>Bass!$H151</f>
        <v>0.17100000000000001</v>
      </c>
      <c r="AJ90" s="351">
        <f>Bass!$H152</f>
        <v>3.3457508583323285</v>
      </c>
      <c r="AK90" s="351">
        <f>Bass!$H153</f>
        <v>0.53566009104704104</v>
      </c>
      <c r="AL90" s="351">
        <f>Bass!$H154</f>
        <v>0.76487252124645899</v>
      </c>
      <c r="AM90" s="351">
        <f>Bass!$H155</f>
        <v>0.48441926345609071</v>
      </c>
      <c r="AN90" s="351">
        <f>Bass!$H156</f>
        <v>1.5789473684210527</v>
      </c>
      <c r="AO90" s="351">
        <f>Bass!$H157</f>
        <v>0.34269830491264369</v>
      </c>
      <c r="AP90" s="351">
        <f>Bass!$H158</f>
        <v>1.049107142857143</v>
      </c>
      <c r="AQ90" s="355">
        <f>Bass!$H159</f>
        <v>5.2296296296296294</v>
      </c>
      <c r="AR90" s="355">
        <f>Bass!$H160</f>
        <v>8.257309941520468</v>
      </c>
    </row>
    <row r="91" spans="2:47" x14ac:dyDescent="0.3">
      <c r="B91" s="347"/>
      <c r="C91" s="347"/>
      <c r="D91" s="347"/>
      <c r="E91" s="348"/>
      <c r="F91" s="347"/>
      <c r="G91" s="348"/>
      <c r="H91" s="348"/>
      <c r="I91" s="347"/>
      <c r="J91" s="348"/>
      <c r="K91" s="347"/>
      <c r="L91" s="347"/>
      <c r="M91" s="347"/>
      <c r="N91" s="347"/>
      <c r="O91" s="347"/>
      <c r="P91" s="350" t="str">
        <f>Bass!$N163</f>
        <v>Ceramic with gas recirc</v>
      </c>
      <c r="Q91" s="347"/>
      <c r="R91" s="391" t="str">
        <f>Bass!$N164</f>
        <v>No H2</v>
      </c>
      <c r="S91" s="351">
        <f>Bass!$N165</f>
        <v>3.73</v>
      </c>
      <c r="T91" s="352">
        <f>Bass!$N166</f>
        <v>5</v>
      </c>
      <c r="U91" s="351" t="s">
        <v>2077</v>
      </c>
      <c r="V91" s="353">
        <f>Bass!$N168</f>
        <v>0.31126005361930292</v>
      </c>
      <c r="W91" s="353"/>
      <c r="X91" s="354"/>
      <c r="Y91" s="351">
        <f>Bass!$N171</f>
        <v>1.161</v>
      </c>
      <c r="Z91" s="351"/>
      <c r="AA91" s="355">
        <f>Bass!$N173</f>
        <v>61.1</v>
      </c>
      <c r="AB91" s="355">
        <f>Bass!$N174</f>
        <v>38.9</v>
      </c>
      <c r="AC91" s="355"/>
      <c r="AD91" s="351">
        <f>Bass!$N176</f>
        <v>7.64</v>
      </c>
      <c r="AE91" s="391" t="str">
        <f>Bass!$N177</f>
        <v>n/r</v>
      </c>
      <c r="AF91" s="427" t="str">
        <f>Bass!$N178</f>
        <v>TVFA + Hac</v>
      </c>
      <c r="AG91" s="351"/>
      <c r="AH91" s="356"/>
      <c r="AI91" s="351"/>
      <c r="AJ91" s="351"/>
      <c r="AK91" s="351"/>
      <c r="AL91" s="351"/>
      <c r="AM91" s="351"/>
      <c r="AN91" s="351"/>
      <c r="AO91" s="351"/>
      <c r="AP91" s="351"/>
      <c r="AQ91" s="355"/>
      <c r="AR91" s="355"/>
    </row>
    <row r="92" spans="2:47" x14ac:dyDescent="0.3">
      <c r="B92" s="327"/>
      <c r="C92" s="327"/>
      <c r="D92" s="327"/>
      <c r="E92" s="328"/>
      <c r="F92" s="327"/>
      <c r="G92" s="328"/>
      <c r="H92" s="328"/>
      <c r="I92" s="327"/>
      <c r="J92" s="328"/>
      <c r="K92" s="327"/>
      <c r="L92" s="327"/>
      <c r="M92" s="327"/>
      <c r="N92" s="327"/>
      <c r="O92" s="327"/>
      <c r="P92" s="330" t="str">
        <f>Bass!$M163</f>
        <v>-</v>
      </c>
      <c r="Q92" s="327"/>
      <c r="R92" s="329" t="str">
        <f>Bass!$M164</f>
        <v>With H2</v>
      </c>
      <c r="S92" s="331">
        <f>Bass!$M165</f>
        <v>3.73</v>
      </c>
      <c r="T92" s="343">
        <f>Bass!$M166</f>
        <v>5</v>
      </c>
      <c r="U92" s="331">
        <f>Bass!$M167</f>
        <v>2.1440000000000001</v>
      </c>
      <c r="V92" s="332">
        <f>Bass!$M168</f>
        <v>0.36595174262734587</v>
      </c>
      <c r="W92" s="332">
        <f>Bass!$M169</f>
        <v>5.4691689008042943E-2</v>
      </c>
      <c r="X92" s="340">
        <f>Bass!$M170</f>
        <v>0.14945054945054956</v>
      </c>
      <c r="Y92" s="331">
        <f>Bass!$M171</f>
        <v>1.365</v>
      </c>
      <c r="Z92" s="331">
        <f>Bass!$M172</f>
        <v>0.20399999999999996</v>
      </c>
      <c r="AA92" s="333">
        <f>Bass!$M173</f>
        <v>66.400000000000006</v>
      </c>
      <c r="AB92" s="333">
        <f>Bass!$M174</f>
        <v>20.5</v>
      </c>
      <c r="AC92" s="333">
        <f>Bass!$M175</f>
        <v>13</v>
      </c>
      <c r="AD92" s="331">
        <f>Bass!$M176</f>
        <v>7.83</v>
      </c>
      <c r="AE92" s="329" t="str">
        <f>Bass!$M177</f>
        <v>n/r</v>
      </c>
      <c r="AF92" s="425" t="str">
        <f>Bass!$M178</f>
        <v>TVFA + Hac</v>
      </c>
      <c r="AG92" s="331">
        <f>Bass!$M149</f>
        <v>0.46825</v>
      </c>
      <c r="AH92" s="358">
        <f>Bass!$M150</f>
        <v>0.20399999999999999</v>
      </c>
      <c r="AI92" s="331">
        <f>Bass!$M151</f>
        <v>0.31900000000000001</v>
      </c>
      <c r="AJ92" s="331">
        <f>Bass!$M152</f>
        <v>2.9008253281017455</v>
      </c>
      <c r="AK92" s="331">
        <f>Bass!$M153</f>
        <v>0.8736007462686568</v>
      </c>
      <c r="AL92" s="331">
        <f>Bass!$M154</f>
        <v>0.43566470902295779</v>
      </c>
      <c r="AM92" s="331">
        <f>Bass!$M155</f>
        <v>0.68126001067805664</v>
      </c>
      <c r="AN92" s="331">
        <f>Bass!$M156</f>
        <v>0.63949843260188077</v>
      </c>
      <c r="AO92" s="331">
        <f>Bass!$M157</f>
        <v>0.2760113651738601</v>
      </c>
      <c r="AP92" s="331">
        <f>Bass!$M158</f>
        <v>0.93950552340873228</v>
      </c>
      <c r="AQ92" s="333">
        <f>Bass!$M159</f>
        <v>9.1813725490196099</v>
      </c>
      <c r="AR92" s="333">
        <f>Bass!$M160</f>
        <v>5.8714733542319753</v>
      </c>
    </row>
    <row r="93" spans="2:47" x14ac:dyDescent="0.3">
      <c r="B93" s="375" t="str">
        <f>Deschamps!B2</f>
        <v>Deschamps et al., 2021</v>
      </c>
      <c r="C93" s="375">
        <f>All!C93</f>
        <v>66</v>
      </c>
      <c r="D93" s="375" t="str">
        <f>Deschamps!$D6</f>
        <v>Ethanol distillery wastewater</v>
      </c>
      <c r="E93" s="376">
        <f>Deschamps!$D7</f>
        <v>37</v>
      </c>
      <c r="F93" s="375" t="str">
        <f>Deschamps!$D8</f>
        <v>AnMBR</v>
      </c>
      <c r="G93" s="376" t="str">
        <f>Deschamps!$D9</f>
        <v>?</v>
      </c>
      <c r="H93" s="376" t="str">
        <f>Deschamps!$D10</f>
        <v>148 calc</v>
      </c>
      <c r="I93" s="375" t="str">
        <f>Deschamps!$D11</f>
        <v>Liquid recirc</v>
      </c>
      <c r="J93" s="376" t="str">
        <f>Deschamps!$D12</f>
        <v>No</v>
      </c>
      <c r="K93" s="375" t="str">
        <f>Deschamps!$D13</f>
        <v>Tubular ceramic</v>
      </c>
      <c r="L93" s="375" t="str">
        <f>Deschamps!$D14</f>
        <v>Continuous</v>
      </c>
      <c r="M93" s="375" t="str">
        <f>Deschamps!$D15</f>
        <v>Sequential</v>
      </c>
      <c r="N93" s="375" t="str">
        <f>Deschamps!$D16</f>
        <v>H2 addition</v>
      </c>
      <c r="O93" s="375" t="str">
        <f>Deschamps!$D17</f>
        <v>1 reactor</v>
      </c>
      <c r="P93" s="378" t="str">
        <f>Deschamps!$D87</f>
        <v>Control period</v>
      </c>
      <c r="Q93" s="375">
        <f>C93</f>
        <v>66</v>
      </c>
      <c r="R93" s="375" t="str">
        <f>Deschamps!$D88</f>
        <v>No H2</v>
      </c>
      <c r="S93" s="376">
        <f>Deschamps!$D89</f>
        <v>3.5</v>
      </c>
      <c r="T93" s="376">
        <f>Deschamps!$D90</f>
        <v>3.5</v>
      </c>
      <c r="U93" s="379"/>
      <c r="V93" s="380">
        <f>Deschamps!$D92</f>
        <v>0.29696893004926112</v>
      </c>
      <c r="W93" s="380"/>
      <c r="X93" s="381"/>
      <c r="Y93" s="379">
        <f>Deschamps!$D95</f>
        <v>1.0393912551724138</v>
      </c>
      <c r="Z93" s="379"/>
      <c r="AA93" s="382">
        <f>Deschamps!$D97</f>
        <v>74.7</v>
      </c>
      <c r="AB93" s="382">
        <f>Deschamps!$D98</f>
        <v>25.3</v>
      </c>
      <c r="AC93" s="382"/>
      <c r="AD93" s="379">
        <f>Deschamps!$D100</f>
        <v>7.3</v>
      </c>
      <c r="AE93" s="377" t="str">
        <f>Deschamps!$D101</f>
        <v>n/r</v>
      </c>
      <c r="AF93" s="426" t="str">
        <f>Deschamps!$D102</f>
        <v>n/r</v>
      </c>
      <c r="AG93" s="379"/>
      <c r="AH93" s="386"/>
      <c r="AI93" s="379"/>
      <c r="AJ93" s="379"/>
      <c r="AK93" s="379"/>
      <c r="AL93" s="379"/>
      <c r="AM93" s="379"/>
      <c r="AN93" s="379"/>
      <c r="AO93" s="379"/>
      <c r="AP93" s="379"/>
      <c r="AQ93" s="382"/>
      <c r="AR93" s="382"/>
    </row>
    <row r="94" spans="2:47" x14ac:dyDescent="0.3">
      <c r="B94" s="362"/>
      <c r="C94" s="362"/>
      <c r="D94" s="362"/>
      <c r="E94" s="363"/>
      <c r="F94" s="362"/>
      <c r="G94" s="363"/>
      <c r="H94" s="363"/>
      <c r="I94" s="362"/>
      <c r="J94" s="363"/>
      <c r="K94" s="362"/>
      <c r="L94" s="362"/>
      <c r="M94" s="362"/>
      <c r="N94" s="362"/>
      <c r="O94" s="362"/>
      <c r="P94" s="365" t="str">
        <f>Deschamps!$G87</f>
        <v>-</v>
      </c>
      <c r="Q94" s="362"/>
      <c r="R94" s="362" t="str">
        <f>Deschamps!$G88</f>
        <v>With H2</v>
      </c>
      <c r="S94" s="363">
        <f>Deschamps!$G89</f>
        <v>4.4000000000000004</v>
      </c>
      <c r="T94" s="363">
        <f>Deschamps!$G90</f>
        <v>4.4000000000000004</v>
      </c>
      <c r="U94" s="366">
        <f>Deschamps!$G91</f>
        <v>1.8768</v>
      </c>
      <c r="V94" s="367">
        <f>Deschamps!$G92</f>
        <v>0.38878882758620698</v>
      </c>
      <c r="W94" s="367">
        <f>Deschamps!$G93</f>
        <v>9.181989753694586E-2</v>
      </c>
      <c r="X94" s="368">
        <f>Deschamps!$G94</f>
        <v>0.30919024936957146</v>
      </c>
      <c r="Y94" s="366">
        <f>Deschamps!$G95</f>
        <v>1.7106708413793108</v>
      </c>
      <c r="Z94" s="366">
        <f>Deschamps!$G96</f>
        <v>0.40400754916256187</v>
      </c>
      <c r="AA94" s="369">
        <f>Deschamps!$G97</f>
        <v>97.9</v>
      </c>
      <c r="AB94" s="369">
        <f>Deschamps!$G98</f>
        <v>1.4</v>
      </c>
      <c r="AC94" s="369">
        <f>Deschamps!$G99</f>
        <v>0.7</v>
      </c>
      <c r="AD94" s="366">
        <f>Deschamps!$G100</f>
        <v>7.9</v>
      </c>
      <c r="AE94" s="364" t="str">
        <f>Deschamps!$G101</f>
        <v>n/r</v>
      </c>
      <c r="AF94" s="392" t="str">
        <f>Deschamps!$G102</f>
        <v>n/r</v>
      </c>
      <c r="AG94" s="366">
        <f>Deschamps!$G73</f>
        <v>0.46614211034482761</v>
      </c>
      <c r="AH94" s="388">
        <f>Deschamps!$G74</f>
        <v>0.40400754916256187</v>
      </c>
      <c r="AI94" s="366">
        <f>Deschamps!$G75</f>
        <v>0.41808817182266012</v>
      </c>
      <c r="AJ94" s="366">
        <f>Deschamps!$G76</f>
        <v>5.331372368783895</v>
      </c>
      <c r="AK94" s="366">
        <f>Deschamps!$G77</f>
        <v>0.99348275862068969</v>
      </c>
      <c r="AL94" s="366">
        <f>Deschamps!$G78</f>
        <v>0.86670468124773836</v>
      </c>
      <c r="AM94" s="366">
        <f>Deschamps!$G79</f>
        <v>0.8969113979283706</v>
      </c>
      <c r="AN94" s="366">
        <f>Deschamps!$G80</f>
        <v>0.96632140393086552</v>
      </c>
      <c r="AO94" s="366">
        <f>Deschamps!$G81</f>
        <v>1.1476527516972419</v>
      </c>
      <c r="AP94" s="366">
        <f>Deschamps!$G82</f>
        <v>1.2558139534883725</v>
      </c>
      <c r="AQ94" s="369">
        <f>Deschamps!$G83</f>
        <v>4.6151821797494623</v>
      </c>
      <c r="AR94" s="369">
        <f>Deschamps!$G84</f>
        <v>4.459749323332213</v>
      </c>
    </row>
    <row r="95" spans="2:47" x14ac:dyDescent="0.3">
      <c r="B95" s="347" t="str">
        <f>Tao!B2</f>
        <v>Tao et al., 2019</v>
      </c>
      <c r="C95" s="347">
        <f>All!C95</f>
        <v>67</v>
      </c>
      <c r="D95" s="347" t="str">
        <f>Tao!$D6</f>
        <v>Synthetic organic feed</v>
      </c>
      <c r="E95" s="348">
        <f>Tao!$D7</f>
        <v>37</v>
      </c>
      <c r="F95" s="347" t="str">
        <f>Tao!$D8</f>
        <v>CSTR</v>
      </c>
      <c r="G95" s="348">
        <f>Tao!$D9</f>
        <v>1</v>
      </c>
      <c r="H95" s="348">
        <f>Tao!$D10</f>
        <v>0.5</v>
      </c>
      <c r="I95" s="347" t="str">
        <f>Tao!$D11</f>
        <v>Impeller</v>
      </c>
      <c r="J95" s="348" t="str">
        <f>Tao!$D12</f>
        <v>Yes</v>
      </c>
      <c r="K95" s="347" t="str">
        <f>Tao!$D13</f>
        <v>Bubble</v>
      </c>
      <c r="L95" s="347" t="str">
        <f>Tao!$D14</f>
        <v>Continuous</v>
      </c>
      <c r="M95" s="347" t="str">
        <f>Tao!$D15</f>
        <v>Parallel</v>
      </c>
      <c r="N95" s="347" t="str">
        <f>Tao!$D16</f>
        <v>OLR and additional CO2</v>
      </c>
      <c r="O95" s="347" t="str">
        <f>Tao!$D17</f>
        <v>Additional data provided by authors</v>
      </c>
      <c r="P95" s="350" t="str">
        <f>Tao!$D103</f>
        <v>Average of duplicates</v>
      </c>
      <c r="Q95" s="347">
        <f>C95</f>
        <v>67</v>
      </c>
      <c r="R95" s="347" t="str">
        <f>Tao!$D104</f>
        <v>OLR 2 no H2</v>
      </c>
      <c r="S95" s="348">
        <f>Tao!$D105</f>
        <v>2</v>
      </c>
      <c r="T95" s="348">
        <f>Tao!$D106</f>
        <v>15</v>
      </c>
      <c r="U95" s="351"/>
      <c r="V95" s="353">
        <f>Tao!$D108</f>
        <v>0.28862321052631579</v>
      </c>
      <c r="W95" s="353"/>
      <c r="X95" s="354"/>
      <c r="Y95" s="351">
        <f>Tao!$D111</f>
        <v>0.57724642105263158</v>
      </c>
      <c r="Z95" s="348"/>
      <c r="AA95" s="355">
        <f>Tao!$D113</f>
        <v>49.868421052631575</v>
      </c>
      <c r="AB95" s="355">
        <f>Tao!$D114</f>
        <v>47.297368421052624</v>
      </c>
      <c r="AC95" s="355"/>
      <c r="AD95" s="351">
        <f>Tao!$D116</f>
        <v>7.1371052631578937</v>
      </c>
      <c r="AE95" s="391">
        <f>Tao!$D117</f>
        <v>5.0688685424090628E-2</v>
      </c>
      <c r="AF95" s="427" t="str">
        <f>Tao!$D118</f>
        <v>total VFA</v>
      </c>
      <c r="AG95" s="351"/>
      <c r="AH95" s="356"/>
      <c r="AI95" s="351"/>
      <c r="AJ95" s="351"/>
      <c r="AK95" s="351"/>
      <c r="AL95" s="351"/>
      <c r="AM95" s="351"/>
      <c r="AN95" s="351"/>
      <c r="AO95" s="351"/>
      <c r="AP95" s="351"/>
      <c r="AQ95" s="355"/>
      <c r="AR95" s="355"/>
      <c r="AS95" s="254"/>
      <c r="AT95" s="254"/>
      <c r="AU95" s="254"/>
    </row>
    <row r="96" spans="2:47" x14ac:dyDescent="0.3">
      <c r="B96" s="347"/>
      <c r="C96" s="347"/>
      <c r="D96" s="347"/>
      <c r="E96" s="348"/>
      <c r="F96" s="347"/>
      <c r="G96" s="348"/>
      <c r="H96" s="348"/>
      <c r="I96" s="347"/>
      <c r="J96" s="348"/>
      <c r="K96" s="347"/>
      <c r="L96" s="347"/>
      <c r="M96" s="347"/>
      <c r="N96" s="347"/>
      <c r="O96" s="347"/>
      <c r="P96" s="350" t="str">
        <f>Tao!$H103</f>
        <v>Average of duplicates</v>
      </c>
      <c r="Q96" s="347"/>
      <c r="R96" s="347" t="str">
        <f>Tao!$H104</f>
        <v>OLR 2 with H2</v>
      </c>
      <c r="S96" s="348">
        <f>Tao!$H105</f>
        <v>2</v>
      </c>
      <c r="T96" s="348">
        <f>Tao!$H106</f>
        <v>15</v>
      </c>
      <c r="U96" s="351">
        <f>Tao!$H107</f>
        <v>2.1</v>
      </c>
      <c r="V96" s="353">
        <f>Tao!$H108</f>
        <v>0.53226879999999999</v>
      </c>
      <c r="W96" s="353">
        <f>Tao!$H109</f>
        <v>0.2436455894736842</v>
      </c>
      <c r="X96" s="354">
        <f>Tao!$H110</f>
        <v>0.84416492017182843</v>
      </c>
      <c r="Y96" s="351">
        <f>Tao!$H111</f>
        <v>1.0645376</v>
      </c>
      <c r="Z96" s="351">
        <f>Tao!$H112</f>
        <v>0.52413653468880117</v>
      </c>
      <c r="AA96" s="355">
        <f>Tao!$H113</f>
        <v>92.465000000000003</v>
      </c>
      <c r="AB96" s="355">
        <f>Tao!$H114</f>
        <v>4.18</v>
      </c>
      <c r="AC96" s="355">
        <f>Tao!$H115</f>
        <v>0.30000000000000004</v>
      </c>
      <c r="AD96" s="351">
        <f>Tao!$H116</f>
        <v>7.8710000000000013</v>
      </c>
      <c r="AE96" s="391">
        <f>Tao!$H117</f>
        <v>3.5088290933992704E-2</v>
      </c>
      <c r="AF96" s="427" t="str">
        <f>Tao!$H118</f>
        <v>total VFA</v>
      </c>
      <c r="AG96" s="351">
        <f>Tao!$H89</f>
        <v>0.52413653468880117</v>
      </c>
      <c r="AH96" s="354">
        <f>Tao!$H90</f>
        <v>0.4872911789473684</v>
      </c>
      <c r="AI96" s="351">
        <f>Tao!$H91</f>
        <v>0.49936168418860177</v>
      </c>
      <c r="AJ96" s="351">
        <f>Tao!$H92</f>
        <v>3.8357181342822488</v>
      </c>
      <c r="AK96" s="351">
        <f>Tao!$H93</f>
        <v>0.99835530416914509</v>
      </c>
      <c r="AL96" s="351">
        <f>Tao!$H94</f>
        <v>0.92970275242631351</v>
      </c>
      <c r="AM96" s="351">
        <f>Tao!$H95</f>
        <v>0.95273206719903791</v>
      </c>
      <c r="AN96" s="351">
        <f>Tao!$H96</f>
        <v>0.97582813094511567</v>
      </c>
      <c r="AO96" s="351">
        <f>Tao!$H97</f>
        <v>0.89005314845914152</v>
      </c>
      <c r="AP96" s="351">
        <f>Tao!$H98</f>
        <v>0.9892681045279601</v>
      </c>
      <c r="AQ96" s="355">
        <f>Tao!$H99</f>
        <v>4</v>
      </c>
      <c r="AR96" s="355">
        <f>Tao!$H100</f>
        <v>4.1984521542973834</v>
      </c>
      <c r="AS96" s="254"/>
      <c r="AT96" s="254"/>
      <c r="AU96" s="254"/>
    </row>
    <row r="97" spans="2:47" x14ac:dyDescent="0.3">
      <c r="B97" s="347"/>
      <c r="C97" s="347"/>
      <c r="D97" s="347"/>
      <c r="E97" s="348"/>
      <c r="F97" s="347"/>
      <c r="G97" s="348"/>
      <c r="H97" s="348"/>
      <c r="I97" s="347"/>
      <c r="J97" s="348"/>
      <c r="K97" s="347"/>
      <c r="L97" s="347"/>
      <c r="M97" s="347"/>
      <c r="N97" s="347"/>
      <c r="O97" s="347"/>
      <c r="P97" s="350" t="str">
        <f>Tao!$L103</f>
        <v>Average of duplicates</v>
      </c>
      <c r="Q97" s="347"/>
      <c r="R97" s="347" t="str">
        <f>Tao!$L104</f>
        <v>OLR 2 with H2+CO2</v>
      </c>
      <c r="S97" s="348">
        <f>Tao!$L105</f>
        <v>2</v>
      </c>
      <c r="T97" s="348">
        <f>Tao!$L106</f>
        <v>15</v>
      </c>
      <c r="U97" s="351">
        <f>Tao!$L107</f>
        <v>6.2</v>
      </c>
      <c r="V97" s="353">
        <f>Tao!$L108</f>
        <v>0.96287266666666671</v>
      </c>
      <c r="W97" s="353">
        <f>Tao!$L109</f>
        <v>0.67424945614035092</v>
      </c>
      <c r="X97" s="354">
        <f>Tao!$L110</f>
        <v>2.3360888229010777</v>
      </c>
      <c r="Y97" s="351">
        <f>Tao!$L111</f>
        <v>1.9257453333333334</v>
      </c>
      <c r="Z97" s="351">
        <f>Tao!$L112</f>
        <v>1.55</v>
      </c>
      <c r="AA97" s="355">
        <f>Tao!$L113</f>
        <v>89.108333333333334</v>
      </c>
      <c r="AB97" s="355">
        <f>Tao!$L114</f>
        <v>4.3500000000000005</v>
      </c>
      <c r="AC97" s="355">
        <f>Tao!$L115</f>
        <v>0</v>
      </c>
      <c r="AD97" s="351">
        <f>Tao!$L116</f>
        <v>7.8425000000000011</v>
      </c>
      <c r="AE97" s="391" t="str">
        <f>Tao!$L117</f>
        <v>n/r</v>
      </c>
      <c r="AF97" s="427" t="str">
        <f>Tao!$L118</f>
        <v>total VFA</v>
      </c>
      <c r="AG97" s="351">
        <f>Tao!$L89</f>
        <v>1.55</v>
      </c>
      <c r="AH97" s="354">
        <f>Tao!$L90</f>
        <v>1.3484989122807018</v>
      </c>
      <c r="AI97" s="351">
        <f>Tao!$L91</f>
        <v>1.5534764068591005</v>
      </c>
      <c r="AJ97" s="351">
        <f>Tao!$L92</f>
        <v>3.763310851271533</v>
      </c>
      <c r="AK97" s="351">
        <f>Tao!$L93</f>
        <v>1</v>
      </c>
      <c r="AL97" s="351">
        <f>Tao!$L94</f>
        <v>0.86999929824561406</v>
      </c>
      <c r="AM97" s="351">
        <f>Tao!$L95</f>
        <v>1.0022428431349035</v>
      </c>
      <c r="AN97" s="351">
        <f>Tao!$L96</f>
        <v>0.86805239289547187</v>
      </c>
      <c r="AO97" s="351">
        <f>Tao!$L97</f>
        <v>0.81851944992158454</v>
      </c>
      <c r="AP97" s="351">
        <f>Tao!$L98</f>
        <v>1.7957651963478625</v>
      </c>
      <c r="AQ97" s="355">
        <f>Tao!$L99</f>
        <v>4.5977048579994824</v>
      </c>
      <c r="AR97" s="355">
        <f>Tao!$L100</f>
        <v>3.9910487038135862</v>
      </c>
      <c r="AS97" s="254"/>
      <c r="AT97" s="254"/>
      <c r="AU97" s="254"/>
    </row>
    <row r="98" spans="2:47" x14ac:dyDescent="0.3">
      <c r="B98" s="347"/>
      <c r="C98" s="347"/>
      <c r="D98" s="347"/>
      <c r="E98" s="348"/>
      <c r="F98" s="347"/>
      <c r="G98" s="348"/>
      <c r="H98" s="348"/>
      <c r="I98" s="347"/>
      <c r="J98" s="348"/>
      <c r="K98" s="347"/>
      <c r="L98" s="347"/>
      <c r="M98" s="347"/>
      <c r="N98" s="347"/>
      <c r="O98" s="347"/>
      <c r="P98" s="350" t="str">
        <f>Tao!$E103</f>
        <v>Average of duplicates</v>
      </c>
      <c r="Q98" s="347"/>
      <c r="R98" s="347" t="str">
        <f>Tao!$E104</f>
        <v>OLR 3 no H2</v>
      </c>
      <c r="S98" s="348">
        <f>Tao!$E105</f>
        <v>3</v>
      </c>
      <c r="T98" s="348">
        <f>Tao!$E106</f>
        <v>15</v>
      </c>
      <c r="U98" s="351"/>
      <c r="V98" s="353">
        <f>Tao!$E108</f>
        <v>0.2880609833333333</v>
      </c>
      <c r="W98" s="353"/>
      <c r="X98" s="354"/>
      <c r="Y98" s="351">
        <f>Tao!$E111</f>
        <v>0.86418294999999989</v>
      </c>
      <c r="Z98" s="348"/>
      <c r="AA98" s="355">
        <f>Tao!$E113</f>
        <v>50.057499999999997</v>
      </c>
      <c r="AB98" s="355">
        <f>Tao!$E114</f>
        <v>47.347499999999997</v>
      </c>
      <c r="AC98" s="355"/>
      <c r="AD98" s="351">
        <f>Tao!$E116</f>
        <v>7.346000000000001</v>
      </c>
      <c r="AE98" s="391">
        <f>Tao!$E117</f>
        <v>7.4380428646482005E-2</v>
      </c>
      <c r="AF98" s="427" t="str">
        <f>Tao!$E118</f>
        <v>total VFA</v>
      </c>
      <c r="AG98" s="351"/>
      <c r="AH98" s="354"/>
      <c r="AI98" s="351"/>
      <c r="AJ98" s="351"/>
      <c r="AK98" s="351"/>
      <c r="AL98" s="351"/>
      <c r="AM98" s="351"/>
      <c r="AN98" s="351"/>
      <c r="AO98" s="351"/>
      <c r="AP98" s="351"/>
      <c r="AQ98" s="355"/>
      <c r="AR98" s="355"/>
      <c r="AS98" s="254"/>
      <c r="AT98" s="254"/>
      <c r="AU98" s="254"/>
    </row>
    <row r="99" spans="2:47" x14ac:dyDescent="0.3">
      <c r="B99" s="347"/>
      <c r="C99" s="347"/>
      <c r="D99" s="347"/>
      <c r="E99" s="348"/>
      <c r="F99" s="347"/>
      <c r="G99" s="348"/>
      <c r="H99" s="348"/>
      <c r="I99" s="347"/>
      <c r="J99" s="348"/>
      <c r="K99" s="347"/>
      <c r="L99" s="347"/>
      <c r="M99" s="347"/>
      <c r="N99" s="347"/>
      <c r="O99" s="347"/>
      <c r="P99" s="350" t="str">
        <f>Tao!$I103</f>
        <v>Average of duplicates</v>
      </c>
      <c r="Q99" s="347"/>
      <c r="R99" s="347" t="str">
        <f>Tao!$I104</f>
        <v>OLR 3 with H2</v>
      </c>
      <c r="S99" s="348">
        <f>Tao!$I105</f>
        <v>3</v>
      </c>
      <c r="T99" s="348">
        <f>Tao!$I106</f>
        <v>15</v>
      </c>
      <c r="U99" s="351">
        <f>Tao!$I107</f>
        <v>2.9</v>
      </c>
      <c r="V99" s="353">
        <f>Tao!$I108</f>
        <v>0.49322864999999994</v>
      </c>
      <c r="W99" s="353">
        <f>Tao!$I109</f>
        <v>0.20516766666666664</v>
      </c>
      <c r="X99" s="354">
        <f>Tao!$I110</f>
        <v>0.71223691696301117</v>
      </c>
      <c r="Y99" s="351">
        <f>Tao!$I111</f>
        <v>1.4796859499999999</v>
      </c>
      <c r="Z99" s="351">
        <f>Tao!$I112</f>
        <v>0.72119185205076797</v>
      </c>
      <c r="AA99" s="355">
        <f>Tao!$I113</f>
        <v>92.282499999999985</v>
      </c>
      <c r="AB99" s="355">
        <f>Tao!$I114</f>
        <v>4.3249999999999993</v>
      </c>
      <c r="AC99" s="355">
        <f>Tao!$I115</f>
        <v>0.95000000000000007</v>
      </c>
      <c r="AD99" s="351">
        <f>Tao!$I116</f>
        <v>7.9635000000000007</v>
      </c>
      <c r="AE99" s="391">
        <f>Tao!$I117</f>
        <v>4.5332547500742996E-2</v>
      </c>
      <c r="AF99" s="427" t="str">
        <f>Tao!$I118</f>
        <v>total VFA</v>
      </c>
      <c r="AG99" s="351">
        <f>Tao!$I89</f>
        <v>0.72119185205076797</v>
      </c>
      <c r="AH99" s="354">
        <f>Tao!$I90</f>
        <v>0.61550300000000002</v>
      </c>
      <c r="AI99" s="351">
        <f>Tao!$I91</f>
        <v>0.74804965831631698</v>
      </c>
      <c r="AJ99" s="351">
        <f>Tao!$I92</f>
        <v>3.5478431187505799</v>
      </c>
      <c r="AK99" s="351">
        <f>Tao!$I93</f>
        <v>0.99474738213899028</v>
      </c>
      <c r="AL99" s="351">
        <f>Tao!$I94</f>
        <v>0.85345251509673459</v>
      </c>
      <c r="AM99" s="351">
        <f>Tao!$I95</f>
        <v>1.03724086203855</v>
      </c>
      <c r="AN99" s="351">
        <f>Tao!$I96</f>
        <v>0.82281034842707079</v>
      </c>
      <c r="AO99" s="351">
        <f>Tao!$I97</f>
        <v>0.75300278728287529</v>
      </c>
      <c r="AP99" s="351">
        <f>Tao!$I98</f>
        <v>0.92117735668997758</v>
      </c>
      <c r="AQ99" s="355">
        <f>Tao!$I99</f>
        <v>4</v>
      </c>
      <c r="AR99" s="355">
        <f>Tao!$I100</f>
        <v>3.8563849019007663</v>
      </c>
      <c r="AS99" s="254"/>
      <c r="AT99" s="254"/>
      <c r="AU99" s="254"/>
    </row>
    <row r="100" spans="2:47" x14ac:dyDescent="0.3">
      <c r="B100" s="347"/>
      <c r="C100" s="347"/>
      <c r="D100" s="347"/>
      <c r="E100" s="348"/>
      <c r="F100" s="347"/>
      <c r="G100" s="348"/>
      <c r="H100" s="348"/>
      <c r="I100" s="347"/>
      <c r="J100" s="348"/>
      <c r="K100" s="347"/>
      <c r="L100" s="347"/>
      <c r="M100" s="347"/>
      <c r="N100" s="347"/>
      <c r="O100" s="347"/>
      <c r="P100" s="350" t="str">
        <f>Tao!$M103</f>
        <v>Average of duplicates</v>
      </c>
      <c r="Q100" s="347"/>
      <c r="R100" s="347" t="str">
        <f>Tao!$M104</f>
        <v>OLR 3 with H2+CO2</v>
      </c>
      <c r="S100" s="348">
        <f>Tao!$M105</f>
        <v>3</v>
      </c>
      <c r="T100" s="348">
        <f>Tao!$M106</f>
        <v>15</v>
      </c>
      <c r="U100" s="351">
        <f>Tao!$M107</f>
        <v>9.1199999999999992</v>
      </c>
      <c r="V100" s="353">
        <f>Tao!$M108</f>
        <v>0.91828977777777765</v>
      </c>
      <c r="W100" s="353">
        <f>Tao!$M109</f>
        <v>0.63022879444444435</v>
      </c>
      <c r="X100" s="354">
        <f>Tao!$M110</f>
        <v>2.1878311569712561</v>
      </c>
      <c r="Y100" s="351">
        <f>Tao!$M111</f>
        <v>2.7548693333333327</v>
      </c>
      <c r="Z100" s="351">
        <f>Tao!$M112</f>
        <v>2.2799999999999998</v>
      </c>
      <c r="AA100" s="355">
        <f>Tao!$M113</f>
        <v>88.033333333333331</v>
      </c>
      <c r="AB100" s="355">
        <f>Tao!$M114</f>
        <v>4.8833333333333329</v>
      </c>
      <c r="AC100" s="355">
        <f>Tao!$M115</f>
        <v>0</v>
      </c>
      <c r="AD100" s="351">
        <f>Tao!$M116</f>
        <v>7.753333333333333</v>
      </c>
      <c r="AE100" s="391" t="str">
        <f>Tao!$M117</f>
        <v>n/r</v>
      </c>
      <c r="AF100" s="427" t="str">
        <f>Tao!$M118</f>
        <v>total VFA</v>
      </c>
      <c r="AG100" s="351">
        <f>Tao!$M89</f>
        <v>2.2799999999999998</v>
      </c>
      <c r="AH100" s="354">
        <f>Tao!$M90</f>
        <v>1.8906863833333327</v>
      </c>
      <c r="AI100" s="351">
        <f>Tao!$M91</f>
        <v>2.3045815440175774</v>
      </c>
      <c r="AJ100" s="351">
        <f>Tao!$M92</f>
        <v>3.7112424863916584</v>
      </c>
      <c r="AK100" s="351">
        <f>Tao!$M93</f>
        <v>1</v>
      </c>
      <c r="AL100" s="351">
        <f>Tao!$M94</f>
        <v>0.82924841374268987</v>
      </c>
      <c r="AM100" s="351">
        <f>Tao!$M95</f>
        <v>1.0107813789550779</v>
      </c>
      <c r="AN100" s="351">
        <f>Tao!$M96</f>
        <v>0.82040333449746317</v>
      </c>
      <c r="AO100" s="351">
        <f>Tao!$M97</f>
        <v>0.76938548621368974</v>
      </c>
      <c r="AP100" s="351">
        <f>Tao!$M98</f>
        <v>1.7291381437881257</v>
      </c>
      <c r="AQ100" s="355">
        <f>Tao!$M99</f>
        <v>4.8236450425591926</v>
      </c>
      <c r="AR100" s="355">
        <f>Tao!$M100</f>
        <v>3.957334477347719</v>
      </c>
      <c r="AS100" s="254"/>
      <c r="AT100" s="254"/>
      <c r="AU100" s="254"/>
    </row>
    <row r="101" spans="2:47" x14ac:dyDescent="0.3">
      <c r="B101" s="347"/>
      <c r="C101" s="347"/>
      <c r="D101" s="347"/>
      <c r="E101" s="348"/>
      <c r="F101" s="347"/>
      <c r="G101" s="348"/>
      <c r="H101" s="348"/>
      <c r="I101" s="347"/>
      <c r="J101" s="348"/>
      <c r="K101" s="347"/>
      <c r="L101" s="347"/>
      <c r="M101" s="347"/>
      <c r="N101" s="347"/>
      <c r="O101" s="347"/>
      <c r="P101" s="350" t="str">
        <f>Tao!$F103</f>
        <v>Average of duplicates</v>
      </c>
      <c r="Q101" s="347"/>
      <c r="R101" s="347" t="str">
        <f>Tao!$F104</f>
        <v>OLR 4 no H2</v>
      </c>
      <c r="S101" s="348">
        <f>Tao!$F105</f>
        <v>4</v>
      </c>
      <c r="T101" s="348">
        <f>Tao!$F106</f>
        <v>15</v>
      </c>
      <c r="U101" s="351"/>
      <c r="V101" s="353">
        <f>Tao!$F108</f>
        <v>0.29047977499999994</v>
      </c>
      <c r="W101" s="353"/>
      <c r="X101" s="354"/>
      <c r="Y101" s="351">
        <f>Tao!$F111</f>
        <v>1.1619190999999998</v>
      </c>
      <c r="Z101" s="348"/>
      <c r="AA101" s="355">
        <f>Tao!$F113</f>
        <v>49.86249999999999</v>
      </c>
      <c r="AB101" s="355">
        <f>Tao!$F114</f>
        <v>47.6875</v>
      </c>
      <c r="AC101" s="355"/>
      <c r="AD101" s="351">
        <f>Tao!$F116</f>
        <v>7.3910000000000018</v>
      </c>
      <c r="AE101" s="391">
        <f>Tao!$F117</f>
        <v>8.5302835631161658E-2</v>
      </c>
      <c r="AF101" s="427" t="str">
        <f>Tao!$F118</f>
        <v>total VFA</v>
      </c>
      <c r="AG101" s="351"/>
      <c r="AH101" s="354"/>
      <c r="AI101" s="351"/>
      <c r="AJ101" s="351"/>
      <c r="AK101" s="351"/>
      <c r="AL101" s="351"/>
      <c r="AM101" s="351"/>
      <c r="AN101" s="351"/>
      <c r="AO101" s="351"/>
      <c r="AP101" s="351"/>
      <c r="AQ101" s="355"/>
      <c r="AR101" s="355"/>
      <c r="AS101" s="254"/>
      <c r="AT101" s="254"/>
      <c r="AU101" s="254"/>
    </row>
    <row r="102" spans="2:47" x14ac:dyDescent="0.3">
      <c r="B102" s="347"/>
      <c r="C102" s="347"/>
      <c r="D102" s="347"/>
      <c r="E102" s="348"/>
      <c r="F102" s="347"/>
      <c r="G102" s="348"/>
      <c r="H102" s="348"/>
      <c r="I102" s="347"/>
      <c r="J102" s="348"/>
      <c r="K102" s="347"/>
      <c r="L102" s="347"/>
      <c r="M102" s="347"/>
      <c r="N102" s="347"/>
      <c r="O102" s="347"/>
      <c r="P102" s="350" t="str">
        <f>Tao!$J103</f>
        <v>Average of duplicates</v>
      </c>
      <c r="Q102" s="347"/>
      <c r="R102" s="347" t="str">
        <f>Tao!$J104</f>
        <v>OLR 4 with H2</v>
      </c>
      <c r="S102" s="348">
        <f>Tao!$J105</f>
        <v>4</v>
      </c>
      <c r="T102" s="348">
        <f>Tao!$J106</f>
        <v>15</v>
      </c>
      <c r="U102" s="351">
        <f>Tao!$J107</f>
        <v>4.43</v>
      </c>
      <c r="V102" s="353">
        <f>Tao!$J108</f>
        <v>0.56214045000000001</v>
      </c>
      <c r="W102" s="353">
        <f>Tao!$J109</f>
        <v>0.27166067500000007</v>
      </c>
      <c r="X102" s="354">
        <f>Tao!$J110</f>
        <v>0.93521373389937434</v>
      </c>
      <c r="Y102" s="351">
        <f>Tao!$J111</f>
        <v>2.2485618000000001</v>
      </c>
      <c r="Z102" s="351">
        <f>Tao!$J112</f>
        <v>1.1074999999999999</v>
      </c>
      <c r="AA102" s="355">
        <f>Tao!$J113</f>
        <v>91.385000000000005</v>
      </c>
      <c r="AB102" s="355">
        <f>Tao!$J114</f>
        <v>5.5424999999999995</v>
      </c>
      <c r="AC102" s="355">
        <f>Tao!$J115</f>
        <v>0</v>
      </c>
      <c r="AD102" s="351">
        <f>Tao!$J116</f>
        <v>8.1600000000000019</v>
      </c>
      <c r="AE102" s="391">
        <f>Tao!$J117</f>
        <v>6.6514990359891182E-2</v>
      </c>
      <c r="AF102" s="427" t="str">
        <f>Tao!$J118</f>
        <v>total VFA</v>
      </c>
      <c r="AG102" s="351">
        <f>Tao!$J89</f>
        <v>1.1074999999999999</v>
      </c>
      <c r="AH102" s="354">
        <f>Tao!$J90</f>
        <v>1.0866427000000003</v>
      </c>
      <c r="AI102" s="351">
        <f>Tao!$J91</f>
        <v>0.97486097426988616</v>
      </c>
      <c r="AJ102" s="351">
        <f>Tao!$J92</f>
        <v>3.9865510459442497</v>
      </c>
      <c r="AK102" s="351">
        <f>Tao!$J93</f>
        <v>1</v>
      </c>
      <c r="AL102" s="351">
        <f>Tao!$J94</f>
        <v>0.98116722347629826</v>
      </c>
      <c r="AM102" s="351">
        <f>Tao!$J95</f>
        <v>0.88023564268161281</v>
      </c>
      <c r="AN102" s="351">
        <f>Tao!$J96</f>
        <v>1.1146642738610315</v>
      </c>
      <c r="AO102" s="351">
        <f>Tao!$J97</f>
        <v>0.97786830524891311</v>
      </c>
      <c r="AP102" s="351">
        <f>Tao!$J98</f>
        <v>1.0491746972588112</v>
      </c>
      <c r="AQ102" s="355">
        <f>Tao!$J99</f>
        <v>4</v>
      </c>
      <c r="AR102" s="355">
        <f>Tao!$J100</f>
        <v>4.544237708682318</v>
      </c>
      <c r="AS102" s="254"/>
      <c r="AT102" s="254"/>
      <c r="AU102" s="254"/>
    </row>
    <row r="103" spans="2:47" x14ac:dyDescent="0.3">
      <c r="B103" s="347"/>
      <c r="C103" s="347"/>
      <c r="D103" s="347"/>
      <c r="E103" s="348"/>
      <c r="F103" s="347"/>
      <c r="G103" s="348"/>
      <c r="H103" s="348"/>
      <c r="I103" s="347"/>
      <c r="J103" s="348"/>
      <c r="K103" s="347"/>
      <c r="L103" s="347"/>
      <c r="M103" s="347"/>
      <c r="N103" s="347"/>
      <c r="O103" s="347"/>
      <c r="P103" s="350" t="str">
        <f>Tao!$G103</f>
        <v>Average of duplicates</v>
      </c>
      <c r="Q103" s="347"/>
      <c r="R103" s="347" t="str">
        <f>Tao!$G104</f>
        <v>OLR 5 no H2</v>
      </c>
      <c r="S103" s="348">
        <f>Tao!$G105</f>
        <v>5</v>
      </c>
      <c r="T103" s="348">
        <f>Tao!$G106</f>
        <v>15</v>
      </c>
      <c r="U103" s="351"/>
      <c r="V103" s="353">
        <f>Tao!$G108</f>
        <v>0.27758357</v>
      </c>
      <c r="W103" s="353"/>
      <c r="X103" s="354"/>
      <c r="Y103" s="351">
        <f>Tao!$G111</f>
        <v>1.38791785</v>
      </c>
      <c r="Z103" s="348"/>
      <c r="AA103" s="355">
        <f>Tao!$G113</f>
        <v>48.625</v>
      </c>
      <c r="AB103" s="355">
        <f>Tao!$G114</f>
        <v>48.877500000000005</v>
      </c>
      <c r="AC103" s="355"/>
      <c r="AD103" s="351">
        <f>Tao!$G116</f>
        <v>7.3760000000000012</v>
      </c>
      <c r="AE103" s="391">
        <f>Tao!$G117</f>
        <v>7.8384253819022767E-2</v>
      </c>
      <c r="AF103" s="427" t="str">
        <f>Tao!$G118</f>
        <v>total VFA</v>
      </c>
      <c r="AG103" s="351"/>
      <c r="AH103" s="354"/>
      <c r="AI103" s="351"/>
      <c r="AJ103" s="351"/>
      <c r="AK103" s="351"/>
      <c r="AL103" s="351"/>
      <c r="AM103" s="351"/>
      <c r="AN103" s="351"/>
      <c r="AO103" s="351"/>
      <c r="AP103" s="351"/>
      <c r="AQ103" s="355"/>
      <c r="AR103" s="355"/>
      <c r="AS103" s="254"/>
      <c r="AT103" s="254"/>
      <c r="AU103" s="254"/>
    </row>
    <row r="104" spans="2:47" x14ac:dyDescent="0.3">
      <c r="B104" s="327"/>
      <c r="C104" s="327"/>
      <c r="D104" s="327"/>
      <c r="E104" s="328"/>
      <c r="F104" s="327"/>
      <c r="G104" s="328"/>
      <c r="H104" s="328"/>
      <c r="I104" s="327"/>
      <c r="J104" s="328"/>
      <c r="K104" s="327"/>
      <c r="L104" s="327"/>
      <c r="M104" s="327"/>
      <c r="N104" s="327"/>
      <c r="O104" s="327"/>
      <c r="P104" s="330" t="str">
        <f>Tao!$K103</f>
        <v>Average of duplicates</v>
      </c>
      <c r="Q104" s="327"/>
      <c r="R104" s="327" t="str">
        <f>Tao!$K104</f>
        <v>OLR 5 with H2</v>
      </c>
      <c r="S104" s="328">
        <f>Tao!$K105</f>
        <v>5</v>
      </c>
      <c r="T104" s="328">
        <f>Tao!$K106</f>
        <v>15</v>
      </c>
      <c r="U104" s="331">
        <f>Tao!$K107</f>
        <v>4.2</v>
      </c>
      <c r="V104" s="332">
        <f>Tao!$K108</f>
        <v>0.45132210999999994</v>
      </c>
      <c r="W104" s="332">
        <f>Tao!$K109</f>
        <v>0.17373853999999994</v>
      </c>
      <c r="X104" s="340">
        <f>Tao!$K110</f>
        <v>0.6258963381730408</v>
      </c>
      <c r="Y104" s="331">
        <f>Tao!$K111</f>
        <v>2.2566105499999995</v>
      </c>
      <c r="Z104" s="331">
        <f>Tao!$K112</f>
        <v>0.96658138716591468</v>
      </c>
      <c r="AA104" s="333">
        <f>Tao!$K113</f>
        <v>72.024999999999977</v>
      </c>
      <c r="AB104" s="333">
        <f>Tao!$K114</f>
        <v>15.269999999999998</v>
      </c>
      <c r="AC104" s="333">
        <f>Tao!$K115</f>
        <v>10.65</v>
      </c>
      <c r="AD104" s="331">
        <f>Tao!$K116</f>
        <v>7.7720000000000002</v>
      </c>
      <c r="AE104" s="329">
        <f>Tao!$K117</f>
        <v>8.9249488373238942E-2</v>
      </c>
      <c r="AF104" s="425" t="str">
        <f>Tao!$K118</f>
        <v>total VFA</v>
      </c>
      <c r="AG104" s="331">
        <f>Tao!$K89</f>
        <v>0.96658138716591468</v>
      </c>
      <c r="AH104" s="340">
        <f>Tao!$K90</f>
        <v>0.86869269999999954</v>
      </c>
      <c r="AI104" s="331">
        <f>Tao!$K91</f>
        <v>0.91670166441173151</v>
      </c>
      <c r="AJ104" s="331">
        <f>Tao!$K92</f>
        <v>3.0104828611487422</v>
      </c>
      <c r="AK104" s="331">
        <f>Tao!$K93</f>
        <v>0.92055370206277587</v>
      </c>
      <c r="AL104" s="331">
        <f>Tao!$K94</f>
        <v>0.89872690653300114</v>
      </c>
      <c r="AM104" s="331">
        <f>Tao!$K95</f>
        <v>0.94839573426875712</v>
      </c>
      <c r="AN104" s="331">
        <f>Tao!$K96</f>
        <v>0.94762858378517245</v>
      </c>
      <c r="AO104" s="331">
        <f>Tao!$K97</f>
        <v>0.62266297260833914</v>
      </c>
      <c r="AP104" s="331">
        <f>Tao!$K98</f>
        <v>0.98274947011749059</v>
      </c>
      <c r="AQ104" s="333">
        <f>Tao!$K99</f>
        <v>4</v>
      </c>
      <c r="AR104" s="333">
        <f>Tao!$K100</f>
        <v>4.2176486623320013</v>
      </c>
      <c r="AS104" s="254"/>
      <c r="AT104" s="254"/>
      <c r="AU104" s="254"/>
    </row>
    <row r="105" spans="2:47" s="254" customFormat="1" x14ac:dyDescent="0.3">
      <c r="B105" s="375" t="str">
        <f>Tao!B122</f>
        <v>Tao et al., 2020</v>
      </c>
      <c r="C105" s="375">
        <f>All!C105</f>
        <v>12</v>
      </c>
      <c r="D105" s="375" t="str">
        <f>Tao!$D128</f>
        <v>Synthetic organic feed</v>
      </c>
      <c r="E105" s="376">
        <f>Tao!$D129</f>
        <v>37</v>
      </c>
      <c r="F105" s="375" t="str">
        <f>Tao!$D130</f>
        <v>CSTR</v>
      </c>
      <c r="G105" s="376">
        <f>Tao!$D131</f>
        <v>1</v>
      </c>
      <c r="H105" s="376">
        <f>Tao!$D132</f>
        <v>0.5</v>
      </c>
      <c r="I105" s="375" t="str">
        <f>Tao!$D133</f>
        <v>Impeller</v>
      </c>
      <c r="J105" s="376" t="str">
        <f>Tao!$D134</f>
        <v>Yes</v>
      </c>
      <c r="K105" s="375" t="str">
        <f>Tao!$D135</f>
        <v>Bubble</v>
      </c>
      <c r="L105" s="375" t="str">
        <f>Tao!$D136</f>
        <v>Continuous</v>
      </c>
      <c r="M105" s="375" t="str">
        <f>Tao!$D137</f>
        <v>Parallel</v>
      </c>
      <c r="N105" s="375" t="str">
        <f>Tao!$D138</f>
        <v>TAN concentration</v>
      </c>
      <c r="O105" s="375" t="str">
        <f>Tao!$D139</f>
        <v>Additional data provided by authors</v>
      </c>
      <c r="P105" s="378" t="str">
        <f>Tao!$D200</f>
        <v>TAN 2 g N/L</v>
      </c>
      <c r="Q105" s="375">
        <f>C105</f>
        <v>12</v>
      </c>
      <c r="R105" s="375" t="str">
        <f>Tao!$D201</f>
        <v>No H2</v>
      </c>
      <c r="S105" s="376">
        <f>Tao!$D202</f>
        <v>3</v>
      </c>
      <c r="T105" s="376">
        <f>Tao!$D203</f>
        <v>15</v>
      </c>
      <c r="U105" s="379"/>
      <c r="V105" s="380">
        <f>Tao!$D205</f>
        <v>0.29522933333333334</v>
      </c>
      <c r="W105" s="380"/>
      <c r="X105" s="381"/>
      <c r="Y105" s="379">
        <f>Tao!$D208</f>
        <v>0.88568800000000003</v>
      </c>
      <c r="Z105" s="379"/>
      <c r="AA105" s="382">
        <f>Tao!$D210</f>
        <v>54.344999999999999</v>
      </c>
      <c r="AB105" s="382">
        <f>Tao!$D211</f>
        <v>45.295000000000002</v>
      </c>
      <c r="AC105" s="382">
        <f>Tao!$D212</f>
        <v>0</v>
      </c>
      <c r="AD105" s="379">
        <f>Tao!$D213</f>
        <v>7.6660000000000004</v>
      </c>
      <c r="AE105" s="377">
        <f>Tao!$D214</f>
        <v>0.14278880821321224</v>
      </c>
      <c r="AF105" s="426" t="str">
        <f>Tao!$D215</f>
        <v>n/r</v>
      </c>
      <c r="AG105" s="379"/>
      <c r="AH105" s="381"/>
      <c r="AI105" s="379"/>
      <c r="AJ105" s="379"/>
      <c r="AK105" s="379"/>
      <c r="AL105" s="379"/>
      <c r="AM105" s="379"/>
      <c r="AN105" s="379"/>
      <c r="AO105" s="379"/>
      <c r="AP105" s="379"/>
      <c r="AQ105" s="382"/>
      <c r="AR105" s="382"/>
    </row>
    <row r="106" spans="2:47" x14ac:dyDescent="0.3">
      <c r="B106" s="375"/>
      <c r="C106" s="375"/>
      <c r="D106" s="375"/>
      <c r="E106" s="376"/>
      <c r="F106" s="375"/>
      <c r="G106" s="376"/>
      <c r="H106" s="376"/>
      <c r="I106" s="375"/>
      <c r="J106" s="376"/>
      <c r="K106" s="375"/>
      <c r="L106" s="375"/>
      <c r="M106" s="375"/>
      <c r="N106" s="375"/>
      <c r="O106" s="375"/>
      <c r="P106" s="378" t="str">
        <f>Tao!$E200</f>
        <v>TAN 2 g N/L</v>
      </c>
      <c r="Q106" s="375"/>
      <c r="R106" s="375" t="str">
        <f>Tao!$E201</f>
        <v>with H2</v>
      </c>
      <c r="S106" s="376">
        <f>Tao!$E202</f>
        <v>3</v>
      </c>
      <c r="T106" s="376">
        <f>Tao!$E203</f>
        <v>15</v>
      </c>
      <c r="U106" s="379">
        <f>Tao!$E204</f>
        <v>2.4</v>
      </c>
      <c r="V106" s="380">
        <f>Tao!$E205</f>
        <v>0.46169355555555558</v>
      </c>
      <c r="W106" s="380">
        <f>Tao!$E206</f>
        <v>0.16646422222222224</v>
      </c>
      <c r="X106" s="381">
        <f>Tao!$E207</f>
        <v>0.5638471636362542</v>
      </c>
      <c r="Y106" s="379">
        <f>Tao!$E208</f>
        <v>1.3850806666666666</v>
      </c>
      <c r="Z106" s="379">
        <f>Tao!$E209</f>
        <v>0.4993926666666666</v>
      </c>
      <c r="AA106" s="382">
        <f>Tao!$E210</f>
        <v>88.549999999999983</v>
      </c>
      <c r="AB106" s="382">
        <f>Tao!$E211</f>
        <v>10.727777777777778</v>
      </c>
      <c r="AC106" s="382">
        <f>Tao!$E212</f>
        <v>0</v>
      </c>
      <c r="AD106" s="379">
        <f>Tao!$E213</f>
        <v>8.2277777777777779</v>
      </c>
      <c r="AE106" s="377">
        <f>Tao!$E214</f>
        <v>0.14278880821321224</v>
      </c>
      <c r="AF106" s="426" t="str">
        <f>Tao!$E215</f>
        <v>n/r</v>
      </c>
      <c r="AG106" s="379">
        <f>Tao!$E185</f>
        <v>0.6</v>
      </c>
      <c r="AH106" s="386">
        <f>Tao!$E186</f>
        <v>0.4993926666666666</v>
      </c>
      <c r="AI106" s="379">
        <f>Tao!$E187</f>
        <v>0.57011685853932592</v>
      </c>
      <c r="AJ106" s="379">
        <f>Tao!$E188</f>
        <v>3.2513399822625524</v>
      </c>
      <c r="AK106" s="379">
        <f>Tao!$E189</f>
        <v>1</v>
      </c>
      <c r="AL106" s="379">
        <f>Tao!$E190</f>
        <v>0.83232111111111107</v>
      </c>
      <c r="AM106" s="379">
        <f>Tao!$E191</f>
        <v>0.95019476423220994</v>
      </c>
      <c r="AN106" s="379">
        <f>Tao!$E192</f>
        <v>0.8759479029371996</v>
      </c>
      <c r="AO106" s="379">
        <f>Tao!$E193</f>
        <v>0.67653972665918682</v>
      </c>
      <c r="AP106" s="379">
        <f>Tao!$E194</f>
        <v>0.95644646909211661</v>
      </c>
      <c r="AQ106" s="382">
        <f>Tao!$E195</f>
        <v>4.8058374906052554</v>
      </c>
      <c r="AR106" s="382">
        <f>Tao!$E196</f>
        <v>4.209663271752647</v>
      </c>
    </row>
    <row r="107" spans="2:47" x14ac:dyDescent="0.3">
      <c r="B107" s="375"/>
      <c r="C107" s="375"/>
      <c r="D107" s="375"/>
      <c r="E107" s="376"/>
      <c r="F107" s="375"/>
      <c r="G107" s="376"/>
      <c r="H107" s="376"/>
      <c r="I107" s="375"/>
      <c r="J107" s="376"/>
      <c r="K107" s="375"/>
      <c r="L107" s="375"/>
      <c r="M107" s="375"/>
      <c r="N107" s="375"/>
      <c r="O107" s="375"/>
      <c r="P107" s="378" t="str">
        <f>Tao!$F200</f>
        <v>TAN 3 g N/L</v>
      </c>
      <c r="Q107" s="375"/>
      <c r="R107" s="375" t="str">
        <f>Tao!$F201</f>
        <v>No H2</v>
      </c>
      <c r="S107" s="376">
        <f>Tao!$F202</f>
        <v>3</v>
      </c>
      <c r="T107" s="376">
        <f>Tao!$F203</f>
        <v>15</v>
      </c>
      <c r="U107" s="379"/>
      <c r="V107" s="380">
        <f>Tao!$F205</f>
        <v>0.24240716666666665</v>
      </c>
      <c r="W107" s="380"/>
      <c r="X107" s="381"/>
      <c r="Y107" s="379">
        <f>Tao!$F208</f>
        <v>0.72722149999999997</v>
      </c>
      <c r="Z107" s="379"/>
      <c r="AA107" s="382">
        <f>Tao!$F210</f>
        <v>54.53</v>
      </c>
      <c r="AB107" s="382">
        <f>Tao!$F211</f>
        <v>45.105000000000004</v>
      </c>
      <c r="AC107" s="382">
        <f>Tao!$F212</f>
        <v>0</v>
      </c>
      <c r="AD107" s="379">
        <f>Tao!$F213</f>
        <v>7.8120000000000003</v>
      </c>
      <c r="AE107" s="377">
        <f>Tao!$F214</f>
        <v>0.21418321231981838</v>
      </c>
      <c r="AF107" s="426" t="str">
        <f>Tao!$F215</f>
        <v>n/r</v>
      </c>
      <c r="AG107" s="379"/>
      <c r="AH107" s="386"/>
      <c r="AI107" s="379"/>
      <c r="AJ107" s="379"/>
      <c r="AK107" s="379"/>
      <c r="AL107" s="379"/>
      <c r="AM107" s="379"/>
      <c r="AN107" s="379"/>
      <c r="AO107" s="379"/>
      <c r="AP107" s="379"/>
      <c r="AQ107" s="382"/>
      <c r="AR107" s="382"/>
    </row>
    <row r="108" spans="2:47" x14ac:dyDescent="0.3">
      <c r="B108" s="362"/>
      <c r="C108" s="362"/>
      <c r="D108" s="362"/>
      <c r="E108" s="363"/>
      <c r="F108" s="362"/>
      <c r="G108" s="363"/>
      <c r="H108" s="363"/>
      <c r="I108" s="362"/>
      <c r="J108" s="363"/>
      <c r="K108" s="362"/>
      <c r="L108" s="362"/>
      <c r="M108" s="362"/>
      <c r="N108" s="362"/>
      <c r="O108" s="362"/>
      <c r="P108" s="365" t="str">
        <f>Tao!$G200</f>
        <v>TAN 3 g N/L</v>
      </c>
      <c r="Q108" s="362"/>
      <c r="R108" s="362" t="str">
        <f>Tao!$G201</f>
        <v>with H2</v>
      </c>
      <c r="S108" s="363">
        <f>Tao!$G202</f>
        <v>3</v>
      </c>
      <c r="T108" s="363">
        <f>Tao!$G203</f>
        <v>15</v>
      </c>
      <c r="U108" s="366">
        <f>Tao!$G204</f>
        <v>1.6</v>
      </c>
      <c r="V108" s="367">
        <f>Tao!$G205</f>
        <v>0.37369658974358977</v>
      </c>
      <c r="W108" s="367">
        <f>Tao!$G206</f>
        <v>0.13128942307692312</v>
      </c>
      <c r="X108" s="368">
        <f>Tao!$G207</f>
        <v>0.54160701963675362</v>
      </c>
      <c r="Y108" s="366">
        <f>Tao!$G208</f>
        <v>1.1210897692307693</v>
      </c>
      <c r="Z108" s="366">
        <f>Tao!$G209</f>
        <v>0.39386826923076934</v>
      </c>
      <c r="AA108" s="369">
        <f>Tao!$G210</f>
        <v>80.538461538461547</v>
      </c>
      <c r="AB108" s="369">
        <f>Tao!$G211</f>
        <v>18.561538461538461</v>
      </c>
      <c r="AC108" s="369">
        <f>Tao!$G212</f>
        <v>0</v>
      </c>
      <c r="AD108" s="366">
        <f>Tao!$G213</f>
        <v>8.1719230769230773</v>
      </c>
      <c r="AE108" s="364">
        <f>Tao!$G214</f>
        <v>0.21418321231981838</v>
      </c>
      <c r="AF108" s="392" t="str">
        <f>Tao!$G215</f>
        <v>n/r</v>
      </c>
      <c r="AG108" s="366">
        <f>Tao!$G185</f>
        <v>0.4</v>
      </c>
      <c r="AH108" s="388">
        <f>Tao!$G186</f>
        <v>0.39386826923076934</v>
      </c>
      <c r="AI108" s="366">
        <f>Tao!$G187</f>
        <v>0.34304451597191254</v>
      </c>
      <c r="AJ108" s="366">
        <f>Tao!$G188</f>
        <v>2.6601668779074932</v>
      </c>
      <c r="AK108" s="366">
        <f>Tao!$G189</f>
        <v>1</v>
      </c>
      <c r="AL108" s="366">
        <f>Tao!$G190</f>
        <v>0.98467067307692335</v>
      </c>
      <c r="AM108" s="366">
        <f>Tao!$G191</f>
        <v>0.85761128992978131</v>
      </c>
      <c r="AN108" s="366">
        <f>Tao!$G192</f>
        <v>1.1481549795800208</v>
      </c>
      <c r="AO108" s="366">
        <f>Tao!$G193</f>
        <v>0.65484707754152727</v>
      </c>
      <c r="AP108" s="366">
        <f>Tao!$G194</f>
        <v>1.0382510953646087</v>
      </c>
      <c r="AQ108" s="369">
        <f>Tao!$G195</f>
        <v>4.0622718939122064</v>
      </c>
      <c r="AR108" s="369">
        <f>Tao!$G196</f>
        <v>4.664117703403261</v>
      </c>
    </row>
    <row r="109" spans="2:47" x14ac:dyDescent="0.3">
      <c r="B109" s="304" t="str">
        <f>Wahid!B2</f>
        <v>Wahid et al., 2019</v>
      </c>
      <c r="C109" s="347">
        <f>All!C109</f>
        <v>68</v>
      </c>
      <c r="D109" s="304" t="str">
        <f>Wahid!$D6</f>
        <v>Glucose</v>
      </c>
      <c r="E109" s="305">
        <f>Wahid!$D7</f>
        <v>37</v>
      </c>
      <c r="F109" s="304" t="str">
        <f>Wahid!$D8</f>
        <v>CSTR</v>
      </c>
      <c r="G109" s="305">
        <f>Wahid!$D9</f>
        <v>0.5</v>
      </c>
      <c r="H109" s="307">
        <f>Wahid!$D10</f>
        <v>0.38850000000000001</v>
      </c>
      <c r="I109" s="304" t="str">
        <f>Wahid!$D11</f>
        <v>Shaker</v>
      </c>
      <c r="J109" s="305" t="str">
        <f>Wahid!$D12</f>
        <v>No</v>
      </c>
      <c r="K109" s="304" t="str">
        <f>Wahid!$D13</f>
        <v>Headspace</v>
      </c>
      <c r="L109" s="304" t="str">
        <f>Wahid!$D14</f>
        <v>Intermittent - daily</v>
      </c>
      <c r="M109" s="304" t="str">
        <f>Wahid!$D15</f>
        <v>Parallel</v>
      </c>
      <c r="N109" s="304" t="str">
        <f>Wahid!$D16</f>
        <v>H2 addition</v>
      </c>
      <c r="O109" s="304" t="str">
        <f>Wahid!$D17</f>
        <v>Average of triplicate reactors</v>
      </c>
      <c r="P109" s="306" t="str">
        <f>Wahid!$D77</f>
        <v>-</v>
      </c>
      <c r="Q109" s="347">
        <f>C109</f>
        <v>68</v>
      </c>
      <c r="R109" s="310" t="str">
        <f>Wahid!$D78</f>
        <v>No H2</v>
      </c>
      <c r="S109" s="307">
        <f>Wahid!$D79</f>
        <v>7.0187009479186255E-2</v>
      </c>
      <c r="T109" s="326">
        <f>Wahid!$D80</f>
        <v>21</v>
      </c>
      <c r="U109" s="307"/>
      <c r="V109" s="307">
        <f>Wahid!$D82</f>
        <v>0.35220192715762649</v>
      </c>
      <c r="W109" s="308"/>
      <c r="X109" s="338"/>
      <c r="Y109" s="307">
        <f>Wahid!$D85</f>
        <v>0</v>
      </c>
      <c r="Z109" s="307"/>
      <c r="AA109" s="309">
        <f>Wahid!$D87</f>
        <v>66.7</v>
      </c>
      <c r="AB109" s="309">
        <f>Wahid!$D88</f>
        <v>33.299999999999997</v>
      </c>
      <c r="AC109" s="309"/>
      <c r="AD109" s="307">
        <f>Wahid!$D90</f>
        <v>7.07</v>
      </c>
      <c r="AE109" s="323" t="str">
        <f>Wahid!$D91</f>
        <v>n/a</v>
      </c>
      <c r="AF109" s="423" t="str">
        <f>Wahid!$D92</f>
        <v>conv?</v>
      </c>
      <c r="AG109" s="307"/>
      <c r="AH109" s="346"/>
      <c r="AI109" s="307"/>
      <c r="AJ109" s="307"/>
      <c r="AK109" s="307"/>
      <c r="AL109" s="307"/>
      <c r="AM109" s="307"/>
      <c r="AN109" s="307"/>
      <c r="AO109" s="307"/>
      <c r="AP109" s="307"/>
      <c r="AQ109" s="309"/>
      <c r="AR109" s="309"/>
    </row>
    <row r="110" spans="2:47" x14ac:dyDescent="0.3">
      <c r="B110" s="327"/>
      <c r="C110" s="327"/>
      <c r="D110" s="327"/>
      <c r="E110" s="328"/>
      <c r="F110" s="327"/>
      <c r="G110" s="328"/>
      <c r="H110" s="328"/>
      <c r="I110" s="327"/>
      <c r="J110" s="328"/>
      <c r="K110" s="327"/>
      <c r="L110" s="327"/>
      <c r="M110" s="327"/>
      <c r="N110" s="327"/>
      <c r="O110" s="327"/>
      <c r="P110" s="330" t="str">
        <f>Wahid!$E77</f>
        <v>-</v>
      </c>
      <c r="Q110" s="327"/>
      <c r="R110" s="357" t="str">
        <f>Wahid!$E78</f>
        <v>With H2</v>
      </c>
      <c r="S110" s="331"/>
      <c r="T110" s="331"/>
      <c r="U110" s="331">
        <f>Wahid!$E81</f>
        <v>5.688E-2</v>
      </c>
      <c r="V110" s="331">
        <f>Wahid!$E82</f>
        <v>0.57446527924739088</v>
      </c>
      <c r="W110" s="332">
        <f>Wahid!$E83</f>
        <v>0.22226335208976439</v>
      </c>
      <c r="X110" s="340">
        <f>Wahid!$E84</f>
        <v>0.63106796116504882</v>
      </c>
      <c r="Y110" s="331">
        <f>Wahid!$E85</f>
        <v>4.0320000000000002E-2</v>
      </c>
      <c r="Z110" s="331">
        <f>Wahid!$E86</f>
        <v>1.5600000000000003E-2</v>
      </c>
      <c r="AA110" s="333">
        <f>Wahid!$E87</f>
        <v>94.47</v>
      </c>
      <c r="AB110" s="333">
        <f>Wahid!$E88</f>
        <v>3.09</v>
      </c>
      <c r="AC110" s="333">
        <f>Wahid!$E89</f>
        <v>2.4500000000000002</v>
      </c>
      <c r="AD110" s="331">
        <f>Wahid!$E90</f>
        <v>7.64</v>
      </c>
      <c r="AE110" s="329" t="str">
        <f>Wahid!$E91</f>
        <v>n/a</v>
      </c>
      <c r="AF110" s="425" t="str">
        <f>Wahid!$E92</f>
        <v>Conv?</v>
      </c>
      <c r="AG110" s="331">
        <f>Wahid!$E62</f>
        <v>1.3958583677357892E-2</v>
      </c>
      <c r="AH110" s="358">
        <f>Wahid!$E63</f>
        <v>1.5600000000000003E-2</v>
      </c>
      <c r="AI110" s="331">
        <f>Wahid!$E64</f>
        <v>1.102265059277284E-2</v>
      </c>
      <c r="AJ110" s="331">
        <f>Wahid!$E65</f>
        <v>4.6088515700166193</v>
      </c>
      <c r="AK110" s="331">
        <f>Wahid!$E66</f>
        <v>0.98161629235990799</v>
      </c>
      <c r="AL110" s="331">
        <f>Wahid!$E67</f>
        <v>1.1175918961824642</v>
      </c>
      <c r="AM110" s="331">
        <f>Wahid!$E68</f>
        <v>0.78966826775216414</v>
      </c>
      <c r="AN110" s="331">
        <f>Wahid!$E69</f>
        <v>1.4152675773128804</v>
      </c>
      <c r="AO110" s="331">
        <f>Wahid!$E70</f>
        <v>1.2640310213125752</v>
      </c>
      <c r="AP110" s="331">
        <f>Wahid!$E71</f>
        <v>1.128110400733805</v>
      </c>
      <c r="AQ110" s="333">
        <f>Wahid!$E72</f>
        <v>3.5791240198353562</v>
      </c>
      <c r="AR110" s="333">
        <f>Wahid!$E73</f>
        <v>5.0654181804547225</v>
      </c>
    </row>
    <row r="111" spans="2:47" x14ac:dyDescent="0.3">
      <c r="B111" s="375" t="str">
        <f>Jing!B2</f>
        <v>Jing et al., 2017</v>
      </c>
      <c r="C111" s="375">
        <f>All!C111</f>
        <v>70</v>
      </c>
      <c r="D111" s="375" t="str">
        <f>Jing!$D6</f>
        <v>Glucose</v>
      </c>
      <c r="E111" s="376">
        <f>Jing!$D7</f>
        <v>37</v>
      </c>
      <c r="F111" s="375" t="str">
        <f>Jing!$D8</f>
        <v>UASB</v>
      </c>
      <c r="G111" s="376">
        <f>Jing!$D9</f>
        <v>1.2</v>
      </c>
      <c r="H111" s="376">
        <f>Jing!$D10</f>
        <v>1</v>
      </c>
      <c r="I111" s="375" t="str">
        <f>Jing!$D11</f>
        <v>Upflow</v>
      </c>
      <c r="J111" s="376" t="str">
        <f>Jing!$D12</f>
        <v>Yes</v>
      </c>
      <c r="K111" s="375" t="str">
        <f>Jing!$D13</f>
        <v>Microporous diffuser</v>
      </c>
      <c r="L111" s="375" t="str">
        <f>Jing!$D14</f>
        <v>Continuous</v>
      </c>
      <c r="M111" s="375" t="str">
        <f>Jing!$D15</f>
        <v>Parallel</v>
      </c>
      <c r="N111" s="375" t="str">
        <f>Jing!$D16</f>
        <v>CO flow rate and recirculation</v>
      </c>
      <c r="O111" s="375" t="str">
        <f>Jing!$D17</f>
        <v>CO rather than H2</v>
      </c>
      <c r="P111" s="375" t="str">
        <f>Jing!$K75</f>
        <v>CO not H2</v>
      </c>
      <c r="Q111" s="375">
        <f>C111</f>
        <v>70</v>
      </c>
      <c r="R111" s="375" t="str">
        <f>Jing!$K76</f>
        <v>No CO</v>
      </c>
      <c r="S111" s="376">
        <f>Jing!$K77</f>
        <v>5</v>
      </c>
      <c r="T111" s="376">
        <f>Jing!$K78</f>
        <v>3</v>
      </c>
      <c r="U111" s="379"/>
      <c r="V111" s="380">
        <f>Jing!$K80</f>
        <v>0.31159999999999999</v>
      </c>
      <c r="W111" s="380"/>
      <c r="X111" s="381"/>
      <c r="Y111" s="379">
        <f>Jing!$K83</f>
        <v>1.5580000000000001</v>
      </c>
      <c r="Z111" s="379"/>
      <c r="AA111" s="382">
        <f>Jing!$K85</f>
        <v>74.2</v>
      </c>
      <c r="AB111" s="382">
        <f>Jing!$K86</f>
        <v>24.5</v>
      </c>
      <c r="AC111" s="382"/>
      <c r="AD111" s="379">
        <f>Jing!$K88</f>
        <v>7.67</v>
      </c>
      <c r="AE111" s="377" t="str">
        <f>Jing!$K89</f>
        <v>n/r</v>
      </c>
      <c r="AF111" s="426">
        <f>Jing!$K90</f>
        <v>5.9999999999999995E-5</v>
      </c>
      <c r="AG111" s="379"/>
      <c r="AH111" s="386"/>
      <c r="AI111" s="379"/>
      <c r="AJ111" s="379"/>
      <c r="AK111" s="379"/>
      <c r="AL111" s="379"/>
      <c r="AM111" s="379"/>
      <c r="AN111" s="379"/>
      <c r="AO111" s="379"/>
      <c r="AP111" s="379"/>
      <c r="AQ111" s="382"/>
      <c r="AR111" s="382"/>
    </row>
    <row r="112" spans="2:47" x14ac:dyDescent="0.3">
      <c r="B112" s="362"/>
      <c r="C112" s="362"/>
      <c r="D112" s="362"/>
      <c r="E112" s="363"/>
      <c r="F112" s="362"/>
      <c r="G112" s="363"/>
      <c r="H112" s="363"/>
      <c r="I112" s="362"/>
      <c r="J112" s="363"/>
      <c r="K112" s="362"/>
      <c r="L112" s="362"/>
      <c r="M112" s="362"/>
      <c r="N112" s="362"/>
      <c r="O112" s="362"/>
      <c r="P112" s="362" t="str">
        <f>Jing!$J75</f>
        <v>CO not H2</v>
      </c>
      <c r="Q112" s="362"/>
      <c r="R112" s="362" t="str">
        <f>Jing!$J76</f>
        <v>With CO</v>
      </c>
      <c r="S112" s="363">
        <f>Jing!$J77</f>
        <v>5</v>
      </c>
      <c r="T112" s="363">
        <f>Jing!$J78</f>
        <v>3</v>
      </c>
      <c r="U112" s="366" t="str">
        <f>Jing!$J79</f>
        <v>n/a</v>
      </c>
      <c r="V112" s="367">
        <f>Jing!$J80</f>
        <v>0.53639999999999999</v>
      </c>
      <c r="W112" s="367">
        <f>Jing!$J81</f>
        <v>0.2248</v>
      </c>
      <c r="X112" s="368">
        <f>Jing!$J82</f>
        <v>0.72143774069319644</v>
      </c>
      <c r="Y112" s="366">
        <f>Jing!$J83</f>
        <v>2.6819999999999999</v>
      </c>
      <c r="Z112" s="366">
        <f>Jing!$J84</f>
        <v>1.1239999999999999</v>
      </c>
      <c r="AA112" s="369">
        <f>Jing!$J85</f>
        <v>36.700000000000003</v>
      </c>
      <c r="AB112" s="369">
        <f>Jing!$J86</f>
        <v>55.3</v>
      </c>
      <c r="AC112" s="369">
        <f>Jing!$J87</f>
        <v>5.0999999999999996</v>
      </c>
      <c r="AD112" s="366">
        <f>Jing!$J88</f>
        <v>7.28</v>
      </c>
      <c r="AE112" s="364" t="str">
        <f>Jing!$J89</f>
        <v>n/r</v>
      </c>
      <c r="AF112" s="392">
        <f>Jing!$J90</f>
        <v>1.4000000000000001E-4</v>
      </c>
      <c r="AG112" s="366">
        <f>Jing!$J60</f>
        <v>1.156829375</v>
      </c>
      <c r="AH112" s="388">
        <f>Jing!$J61</f>
        <v>1.1236525000000002</v>
      </c>
      <c r="AI112" s="366" t="str">
        <f>Jing!$J62</f>
        <v>n/a</v>
      </c>
      <c r="AJ112" s="366" t="str">
        <f>Jing!$J63</f>
        <v>n/a</v>
      </c>
      <c r="AK112" s="366">
        <f>Jing!$J64</f>
        <v>0.92546349999999999</v>
      </c>
      <c r="AL112" s="366">
        <f>Jing!$J65</f>
        <v>0.97132085706243421</v>
      </c>
      <c r="AM112" s="366" t="str">
        <f>Jing!$J66</f>
        <v>n/a</v>
      </c>
      <c r="AN112" s="366" t="str">
        <f>Jing!$J67</f>
        <v>n/a</v>
      </c>
      <c r="AO112" s="366">
        <f>Jing!$J68</f>
        <v>2.1839698736637518</v>
      </c>
      <c r="AP112" s="366">
        <f>Jing!$J69</f>
        <v>3.2435470642157576</v>
      </c>
      <c r="AQ112" s="369" t="str">
        <f>Jing!$J70</f>
        <v>n/a</v>
      </c>
      <c r="AR112" s="369" t="str">
        <f>Jing!$J71</f>
        <v>n/a</v>
      </c>
    </row>
    <row r="113" spans="2:44" x14ac:dyDescent="0.3">
      <c r="B113" s="255"/>
      <c r="C113" s="255"/>
      <c r="D113" s="256"/>
      <c r="E113" s="266"/>
      <c r="F113" s="256"/>
      <c r="G113" s="266"/>
      <c r="H113" s="266"/>
      <c r="I113" s="256"/>
      <c r="J113" s="266"/>
      <c r="K113" s="256"/>
      <c r="L113" s="256"/>
      <c r="M113" s="256"/>
      <c r="N113" s="256"/>
      <c r="O113" s="256"/>
      <c r="P113" s="257"/>
      <c r="Q113" s="255"/>
      <c r="R113" s="256"/>
      <c r="S113" s="266"/>
      <c r="T113" s="266"/>
      <c r="U113" s="268"/>
      <c r="V113" s="274"/>
      <c r="W113" s="274"/>
      <c r="X113" s="342"/>
      <c r="Y113" s="268"/>
      <c r="Z113" s="268"/>
      <c r="AA113" s="270"/>
      <c r="AB113" s="270"/>
      <c r="AC113" s="270"/>
      <c r="AD113" s="268"/>
      <c r="AE113" s="470"/>
      <c r="AF113" s="429"/>
      <c r="AG113" s="268"/>
      <c r="AH113" s="269"/>
      <c r="AI113" s="268"/>
      <c r="AJ113" s="268"/>
      <c r="AK113" s="268"/>
      <c r="AL113" s="268"/>
      <c r="AM113" s="268"/>
      <c r="AN113" s="268"/>
      <c r="AO113" s="268"/>
      <c r="AP113" s="268"/>
      <c r="AQ113" s="270"/>
      <c r="AR113" s="270"/>
    </row>
    <row r="114" spans="2:44" x14ac:dyDescent="0.3">
      <c r="G114" s="265"/>
      <c r="I114" s="245"/>
      <c r="J114" s="258"/>
      <c r="P114" s="245"/>
      <c r="U114" s="264"/>
      <c r="V114" s="271"/>
      <c r="W114" s="271"/>
      <c r="X114" s="272"/>
      <c r="AD114" s="264"/>
      <c r="AE114" s="248"/>
      <c r="AF114" s="471"/>
      <c r="AG114" s="264"/>
      <c r="AI114" s="264"/>
      <c r="AJ114" s="264"/>
      <c r="AK114" s="264"/>
      <c r="AL114" s="264"/>
      <c r="AM114" s="264"/>
      <c r="AN114" s="264"/>
      <c r="AO114" s="264"/>
      <c r="AP114" s="264"/>
      <c r="AQ114" s="265"/>
      <c r="AR114" s="265"/>
    </row>
    <row r="115" spans="2:44" x14ac:dyDescent="0.3">
      <c r="P115" s="245"/>
      <c r="U115" s="264"/>
      <c r="V115" s="271"/>
      <c r="W115" s="271"/>
      <c r="X115" s="272"/>
      <c r="AD115" s="264"/>
      <c r="AE115" s="248"/>
      <c r="AF115" s="471"/>
      <c r="AG115" s="264"/>
      <c r="AI115" s="264"/>
      <c r="AJ115" s="264"/>
      <c r="AK115" s="264"/>
      <c r="AL115" s="264"/>
      <c r="AM115" s="264"/>
      <c r="AN115" s="264"/>
      <c r="AO115" s="264"/>
      <c r="AP115" s="264"/>
      <c r="AQ115" s="265"/>
      <c r="AR115" s="265"/>
    </row>
    <row r="116" spans="2:44" x14ac:dyDescent="0.3">
      <c r="P116" s="245"/>
      <c r="U116" s="264"/>
      <c r="V116" s="271"/>
      <c r="W116" s="271"/>
      <c r="X116" s="272"/>
      <c r="AD116" s="264"/>
      <c r="AE116" s="248"/>
      <c r="AF116" s="471"/>
      <c r="AG116" s="264"/>
      <c r="AI116" s="264"/>
      <c r="AJ116" s="264"/>
      <c r="AK116" s="264"/>
      <c r="AL116" s="264"/>
      <c r="AM116" s="264"/>
      <c r="AN116" s="264"/>
      <c r="AO116" s="264"/>
      <c r="AP116" s="264"/>
      <c r="AQ116" s="265"/>
      <c r="AR116" s="265"/>
    </row>
    <row r="117" spans="2:44" x14ac:dyDescent="0.3">
      <c r="P117" s="245"/>
      <c r="U117" s="264"/>
      <c r="V117" s="271"/>
      <c r="W117" s="271"/>
      <c r="X117" s="272"/>
      <c r="AD117" s="264"/>
      <c r="AE117" s="248"/>
      <c r="AF117" s="471"/>
      <c r="AG117" s="264"/>
      <c r="AI117" s="264"/>
      <c r="AJ117" s="264"/>
      <c r="AK117" s="264"/>
      <c r="AL117" s="264"/>
      <c r="AM117" s="264"/>
      <c r="AN117" s="264"/>
      <c r="AO117" s="264"/>
      <c r="AP117" s="264"/>
      <c r="AQ117" s="265"/>
      <c r="AR117" s="265"/>
    </row>
    <row r="118" spans="2:44" x14ac:dyDescent="0.3">
      <c r="P118" s="245"/>
      <c r="U118" s="264"/>
      <c r="V118" s="271"/>
      <c r="W118" s="271"/>
      <c r="X118" s="272"/>
      <c r="AD118" s="264"/>
      <c r="AE118" s="248"/>
      <c r="AF118" s="471"/>
      <c r="AG118" s="264"/>
      <c r="AI118" s="264"/>
      <c r="AJ118" s="264"/>
      <c r="AK118" s="264"/>
      <c r="AL118" s="264"/>
      <c r="AM118" s="264"/>
      <c r="AN118" s="264"/>
      <c r="AO118" s="264"/>
      <c r="AP118" s="264"/>
      <c r="AQ118" s="265"/>
      <c r="AR118" s="265"/>
    </row>
    <row r="119" spans="2:44" x14ac:dyDescent="0.3">
      <c r="P119" s="245"/>
      <c r="U119" s="264"/>
      <c r="V119" s="271"/>
      <c r="W119" s="271"/>
      <c r="X119" s="272"/>
      <c r="AD119" s="264"/>
      <c r="AE119" s="248"/>
      <c r="AF119" s="471"/>
      <c r="AG119" s="264"/>
      <c r="AI119" s="264"/>
      <c r="AJ119" s="264"/>
      <c r="AK119" s="264"/>
      <c r="AL119" s="264"/>
      <c r="AM119" s="264"/>
      <c r="AN119" s="264"/>
      <c r="AO119" s="264"/>
      <c r="AP119" s="264"/>
      <c r="AQ119" s="265"/>
      <c r="AR119" s="265"/>
    </row>
    <row r="120" spans="2:44" x14ac:dyDescent="0.3">
      <c r="G120" s="258"/>
      <c r="I120" s="245"/>
      <c r="J120" s="258"/>
      <c r="U120" s="264"/>
      <c r="V120" s="271"/>
      <c r="W120" s="271"/>
      <c r="X120" s="272"/>
      <c r="AD120" s="264"/>
      <c r="AE120" s="248"/>
      <c r="AF120" s="471"/>
      <c r="AG120" s="264"/>
      <c r="AI120" s="264"/>
      <c r="AJ120" s="264"/>
      <c r="AK120" s="264"/>
      <c r="AL120" s="264"/>
      <c r="AM120" s="264"/>
      <c r="AN120" s="264"/>
      <c r="AO120" s="264"/>
      <c r="AP120" s="264"/>
      <c r="AQ120" s="265"/>
      <c r="AR120" s="265"/>
    </row>
    <row r="121" spans="2:44" x14ac:dyDescent="0.3">
      <c r="U121" s="264"/>
      <c r="V121" s="271"/>
      <c r="W121" s="271"/>
      <c r="X121" s="272"/>
      <c r="AD121" s="264"/>
      <c r="AE121" s="248"/>
      <c r="AF121" s="471"/>
      <c r="AG121" s="264"/>
      <c r="AI121" s="264"/>
      <c r="AJ121" s="264"/>
      <c r="AK121" s="264"/>
      <c r="AL121" s="264"/>
      <c r="AM121" s="264"/>
      <c r="AN121" s="264"/>
      <c r="AO121" s="264"/>
      <c r="AP121" s="264"/>
      <c r="AQ121" s="265"/>
      <c r="AR121" s="265"/>
    </row>
    <row r="122" spans="2:44" x14ac:dyDescent="0.3">
      <c r="B122" s="254"/>
      <c r="C122" s="254"/>
      <c r="G122" s="258"/>
      <c r="I122" s="245"/>
      <c r="J122" s="258"/>
      <c r="P122" s="245"/>
      <c r="Q122" s="254"/>
      <c r="S122" s="261"/>
      <c r="T122" s="265"/>
      <c r="U122" s="264"/>
      <c r="V122" s="271"/>
      <c r="W122" s="271"/>
      <c r="X122" s="272"/>
      <c r="Z122" s="258"/>
      <c r="AD122" s="264"/>
      <c r="AE122" s="248"/>
      <c r="AF122" s="471"/>
      <c r="AG122" s="264"/>
      <c r="AI122" s="264"/>
      <c r="AJ122" s="264"/>
      <c r="AK122" s="264"/>
      <c r="AL122" s="264"/>
      <c r="AM122" s="264"/>
      <c r="AN122" s="264"/>
      <c r="AO122" s="264"/>
      <c r="AP122" s="264"/>
      <c r="AQ122" s="265"/>
      <c r="AR122" s="265"/>
    </row>
    <row r="123" spans="2:44" x14ac:dyDescent="0.3">
      <c r="P123" s="245"/>
      <c r="S123" s="261"/>
      <c r="T123" s="265"/>
      <c r="U123" s="264"/>
      <c r="V123" s="271"/>
      <c r="W123" s="271"/>
      <c r="X123" s="272"/>
      <c r="AD123" s="264"/>
      <c r="AE123" s="248"/>
      <c r="AF123" s="471"/>
      <c r="AG123" s="264"/>
      <c r="AI123" s="264"/>
      <c r="AJ123" s="264"/>
      <c r="AK123" s="264"/>
      <c r="AL123" s="264"/>
      <c r="AM123" s="264"/>
      <c r="AN123" s="264"/>
      <c r="AO123" s="264"/>
      <c r="AP123" s="264"/>
      <c r="AQ123" s="265"/>
      <c r="AR123" s="265"/>
    </row>
    <row r="124" spans="2:44" x14ac:dyDescent="0.3">
      <c r="P124" s="245"/>
      <c r="S124" s="261"/>
      <c r="T124" s="265"/>
      <c r="U124" s="264"/>
      <c r="V124" s="271"/>
      <c r="W124" s="271"/>
      <c r="X124" s="272"/>
      <c r="AD124" s="264"/>
      <c r="AE124" s="248"/>
      <c r="AF124" s="471"/>
      <c r="AG124" s="264"/>
      <c r="AI124" s="264"/>
      <c r="AJ124" s="264"/>
      <c r="AK124" s="264"/>
      <c r="AL124" s="264"/>
      <c r="AM124" s="264"/>
      <c r="AN124" s="264"/>
      <c r="AO124" s="264"/>
      <c r="AP124" s="264"/>
      <c r="AQ124" s="265"/>
      <c r="AR124" s="265"/>
    </row>
    <row r="125" spans="2:44" x14ac:dyDescent="0.3">
      <c r="G125" s="258"/>
      <c r="I125" s="245"/>
      <c r="J125" s="260"/>
      <c r="P125" s="245"/>
      <c r="U125" s="264"/>
      <c r="V125" s="271"/>
      <c r="W125" s="271"/>
      <c r="X125" s="272"/>
      <c r="AD125" s="264"/>
      <c r="AE125" s="248"/>
      <c r="AF125" s="471"/>
      <c r="AG125" s="264"/>
      <c r="AI125" s="264"/>
      <c r="AJ125" s="264"/>
      <c r="AK125" s="264"/>
      <c r="AL125" s="264"/>
      <c r="AM125" s="264"/>
      <c r="AN125" s="264"/>
      <c r="AO125" s="264"/>
      <c r="AP125" s="264"/>
      <c r="AQ125" s="265"/>
      <c r="AR125" s="265"/>
    </row>
    <row r="126" spans="2:44" x14ac:dyDescent="0.3">
      <c r="G126" s="258"/>
      <c r="I126" s="245"/>
      <c r="J126" s="260"/>
      <c r="P126" s="245"/>
      <c r="U126" s="264"/>
      <c r="V126" s="271"/>
      <c r="W126" s="271"/>
      <c r="X126" s="272"/>
      <c r="AD126" s="264"/>
      <c r="AE126" s="248"/>
      <c r="AF126" s="471"/>
      <c r="AG126" s="264"/>
      <c r="AI126" s="264"/>
      <c r="AJ126" s="264"/>
      <c r="AK126" s="264"/>
      <c r="AL126" s="264"/>
      <c r="AM126" s="264"/>
      <c r="AN126" s="264"/>
      <c r="AO126" s="264"/>
      <c r="AP126" s="264"/>
      <c r="AQ126" s="265"/>
      <c r="AR126" s="265"/>
    </row>
    <row r="127" spans="2:44" x14ac:dyDescent="0.3">
      <c r="G127" s="258"/>
      <c r="I127" s="245"/>
      <c r="J127" s="258"/>
      <c r="U127" s="277"/>
      <c r="V127" s="278"/>
      <c r="W127" s="271"/>
      <c r="X127" s="272"/>
      <c r="AD127" s="264"/>
      <c r="AE127" s="248"/>
      <c r="AF127" s="471"/>
      <c r="AG127" s="264"/>
      <c r="AI127" s="264"/>
      <c r="AJ127" s="264"/>
      <c r="AK127" s="264"/>
      <c r="AL127" s="264"/>
      <c r="AM127" s="264"/>
      <c r="AN127" s="264"/>
      <c r="AO127" s="264"/>
      <c r="AP127" s="264"/>
      <c r="AQ127" s="265"/>
      <c r="AR127" s="265"/>
    </row>
    <row r="128" spans="2:44" x14ac:dyDescent="0.3">
      <c r="U128" s="277"/>
      <c r="V128" s="278"/>
      <c r="W128" s="271"/>
      <c r="X128" s="272"/>
      <c r="AD128" s="264"/>
      <c r="AE128" s="248"/>
      <c r="AF128" s="471"/>
      <c r="AG128" s="264"/>
      <c r="AH128" s="258"/>
      <c r="AI128" s="264"/>
      <c r="AJ128" s="264"/>
      <c r="AK128" s="264"/>
      <c r="AL128" s="264"/>
      <c r="AM128" s="264"/>
      <c r="AN128" s="264"/>
      <c r="AO128" s="264"/>
      <c r="AP128" s="264"/>
      <c r="AQ128" s="265"/>
      <c r="AR128" s="265"/>
    </row>
    <row r="129" spans="7:44" x14ac:dyDescent="0.3">
      <c r="U129" s="277"/>
      <c r="V129" s="278"/>
      <c r="W129" s="271"/>
      <c r="X129" s="272"/>
      <c r="AD129" s="264"/>
      <c r="AE129" s="248"/>
      <c r="AF129" s="471"/>
      <c r="AG129" s="264"/>
      <c r="AI129" s="264"/>
      <c r="AJ129" s="264"/>
      <c r="AK129" s="264"/>
      <c r="AL129" s="264"/>
      <c r="AM129" s="264"/>
      <c r="AN129" s="264"/>
      <c r="AO129" s="264"/>
      <c r="AP129" s="264"/>
      <c r="AQ129" s="265"/>
      <c r="AR129" s="265"/>
    </row>
    <row r="130" spans="7:44" x14ac:dyDescent="0.3">
      <c r="U130" s="277"/>
      <c r="V130" s="278"/>
      <c r="W130" s="271"/>
      <c r="X130" s="272"/>
      <c r="AD130" s="264"/>
      <c r="AE130" s="248"/>
      <c r="AF130" s="471"/>
      <c r="AG130" s="264"/>
      <c r="AH130" s="258"/>
      <c r="AI130" s="264"/>
      <c r="AJ130" s="264"/>
      <c r="AK130" s="264"/>
      <c r="AL130" s="264"/>
      <c r="AM130" s="264"/>
      <c r="AN130" s="264"/>
      <c r="AO130" s="264"/>
      <c r="AP130" s="264"/>
      <c r="AQ130" s="265"/>
      <c r="AR130" s="265"/>
    </row>
    <row r="131" spans="7:44" x14ac:dyDescent="0.3">
      <c r="G131" s="258"/>
      <c r="I131" s="245"/>
      <c r="J131" s="258"/>
      <c r="P131" s="245"/>
      <c r="U131" s="264"/>
      <c r="V131" s="271"/>
      <c r="W131" s="271"/>
      <c r="X131" s="272"/>
      <c r="AD131" s="264"/>
      <c r="AE131" s="248"/>
      <c r="AF131" s="471"/>
      <c r="AG131" s="264"/>
      <c r="AI131" s="264"/>
      <c r="AJ131" s="264"/>
      <c r="AK131" s="264"/>
      <c r="AL131" s="264"/>
      <c r="AM131" s="264"/>
      <c r="AN131" s="264"/>
      <c r="AO131" s="264"/>
      <c r="AP131" s="264"/>
      <c r="AQ131" s="265"/>
      <c r="AR131" s="265"/>
    </row>
    <row r="132" spans="7:44" x14ac:dyDescent="0.3">
      <c r="P132" s="245"/>
      <c r="U132" s="264"/>
      <c r="V132" s="271"/>
      <c r="W132" s="271"/>
      <c r="X132" s="272"/>
      <c r="AD132" s="264"/>
      <c r="AE132" s="248"/>
      <c r="AF132" s="471"/>
      <c r="AG132" s="264"/>
      <c r="AI132" s="264"/>
      <c r="AJ132" s="264"/>
      <c r="AK132" s="264"/>
      <c r="AL132" s="264"/>
      <c r="AM132" s="264"/>
      <c r="AN132" s="264"/>
      <c r="AO132" s="264"/>
      <c r="AP132" s="264"/>
      <c r="AQ132" s="265"/>
      <c r="AR132" s="265"/>
    </row>
    <row r="133" spans="7:44" x14ac:dyDescent="0.3">
      <c r="P133" s="245"/>
      <c r="U133" s="264"/>
      <c r="V133" s="271"/>
      <c r="W133" s="271"/>
      <c r="X133" s="272"/>
      <c r="AD133" s="264"/>
      <c r="AE133" s="248"/>
      <c r="AF133" s="471"/>
      <c r="AG133" s="264"/>
      <c r="AI133" s="264"/>
      <c r="AJ133" s="264"/>
      <c r="AK133" s="264"/>
      <c r="AL133" s="264"/>
      <c r="AM133" s="264"/>
      <c r="AN133" s="264"/>
      <c r="AO133" s="264"/>
      <c r="AP133" s="264"/>
      <c r="AQ133" s="265"/>
      <c r="AR133" s="265"/>
    </row>
    <row r="134" spans="7:44" x14ac:dyDescent="0.3">
      <c r="G134" s="258"/>
      <c r="I134" s="245"/>
      <c r="J134" s="258"/>
      <c r="P134" s="245"/>
      <c r="T134" s="261"/>
      <c r="U134" s="264"/>
      <c r="W134" s="258"/>
      <c r="X134" s="272"/>
      <c r="Y134" s="271"/>
      <c r="Z134" s="258"/>
      <c r="AA134" s="258"/>
      <c r="AB134" s="258"/>
      <c r="AD134" s="264"/>
      <c r="AE134" s="248"/>
      <c r="AF134" s="471"/>
      <c r="AG134" s="264"/>
      <c r="AI134" s="264"/>
      <c r="AJ134" s="264"/>
      <c r="AK134" s="264"/>
      <c r="AL134" s="264"/>
      <c r="AM134" s="264"/>
      <c r="AN134" s="264"/>
      <c r="AO134" s="264"/>
      <c r="AP134" s="264"/>
      <c r="AQ134" s="265"/>
      <c r="AR134" s="265"/>
    </row>
    <row r="135" spans="7:44" x14ac:dyDescent="0.3">
      <c r="P135" s="245"/>
      <c r="T135" s="261"/>
      <c r="U135" s="264"/>
      <c r="W135" s="258"/>
      <c r="X135" s="272"/>
      <c r="Y135" s="271"/>
      <c r="AA135" s="258"/>
      <c r="AB135" s="258"/>
      <c r="AD135" s="264"/>
      <c r="AE135" s="248"/>
      <c r="AF135" s="471"/>
      <c r="AG135" s="264"/>
      <c r="AI135" s="264"/>
      <c r="AJ135" s="264"/>
      <c r="AK135" s="264"/>
      <c r="AL135" s="264"/>
      <c r="AM135" s="264"/>
      <c r="AN135" s="264"/>
      <c r="AO135" s="264"/>
      <c r="AP135" s="264"/>
      <c r="AQ135" s="265"/>
      <c r="AR135" s="265"/>
    </row>
    <row r="136" spans="7:44" x14ac:dyDescent="0.3">
      <c r="P136" s="245"/>
      <c r="T136" s="261"/>
      <c r="U136" s="264"/>
      <c r="W136" s="258"/>
      <c r="X136" s="272"/>
      <c r="Y136" s="271"/>
      <c r="AA136" s="258"/>
      <c r="AB136" s="258"/>
      <c r="AD136" s="264"/>
      <c r="AE136" s="248"/>
      <c r="AF136" s="471"/>
      <c r="AG136" s="264"/>
      <c r="AI136" s="264"/>
      <c r="AJ136" s="264"/>
      <c r="AK136" s="264"/>
      <c r="AL136" s="264"/>
      <c r="AM136" s="264"/>
      <c r="AN136" s="264"/>
      <c r="AO136" s="264"/>
      <c r="AP136" s="264"/>
      <c r="AQ136" s="265"/>
      <c r="AR136" s="265"/>
    </row>
    <row r="137" spans="7:44" x14ac:dyDescent="0.3">
      <c r="G137" s="258"/>
      <c r="I137" s="245"/>
      <c r="J137" s="258"/>
      <c r="X137" s="337"/>
      <c r="AG137" s="264"/>
      <c r="AI137" s="264"/>
      <c r="AJ137" s="264"/>
      <c r="AK137" s="264"/>
      <c r="AL137" s="264"/>
      <c r="AM137" s="264"/>
      <c r="AN137" s="264"/>
      <c r="AO137" s="264"/>
      <c r="AP137" s="264"/>
      <c r="AQ137" s="265"/>
      <c r="AR137" s="265"/>
    </row>
    <row r="138" spans="7:44" x14ac:dyDescent="0.3">
      <c r="X138" s="337"/>
      <c r="AG138" s="264"/>
      <c r="AI138" s="264"/>
      <c r="AJ138" s="264"/>
      <c r="AK138" s="264"/>
      <c r="AL138" s="264"/>
      <c r="AM138" s="264"/>
      <c r="AN138" s="264"/>
      <c r="AO138" s="264"/>
      <c r="AP138" s="264"/>
      <c r="AQ138" s="265"/>
      <c r="AR138" s="265"/>
    </row>
    <row r="139" spans="7:44" x14ac:dyDescent="0.3">
      <c r="X139" s="337"/>
      <c r="AG139" s="264"/>
      <c r="AI139" s="264"/>
      <c r="AJ139" s="264"/>
      <c r="AK139" s="264"/>
      <c r="AL139" s="264"/>
      <c r="AM139" s="264"/>
      <c r="AN139" s="264"/>
      <c r="AO139" s="264"/>
      <c r="AP139" s="264"/>
      <c r="AQ139" s="265"/>
      <c r="AR139" s="265"/>
    </row>
    <row r="140" spans="7:44" x14ac:dyDescent="0.3">
      <c r="X140" s="337"/>
      <c r="AG140" s="264"/>
      <c r="AI140" s="264"/>
      <c r="AJ140" s="264"/>
      <c r="AK140" s="264"/>
      <c r="AL140" s="264"/>
      <c r="AM140" s="264"/>
      <c r="AN140" s="264"/>
      <c r="AO140" s="264"/>
      <c r="AP140" s="264"/>
      <c r="AQ140" s="265"/>
      <c r="AR140" s="265"/>
    </row>
    <row r="141" spans="7:44" x14ac:dyDescent="0.3">
      <c r="X141" s="337"/>
      <c r="AG141" s="264"/>
      <c r="AI141" s="264"/>
      <c r="AJ141" s="264"/>
      <c r="AK141" s="264"/>
      <c r="AL141" s="264"/>
      <c r="AM141" s="264"/>
      <c r="AN141" s="264"/>
      <c r="AO141" s="264"/>
      <c r="AP141" s="264"/>
      <c r="AQ141" s="265"/>
      <c r="AR141" s="265"/>
    </row>
    <row r="142" spans="7:44" x14ac:dyDescent="0.3">
      <c r="X142" s="337"/>
      <c r="AG142" s="264"/>
      <c r="AI142" s="264"/>
      <c r="AJ142" s="264"/>
      <c r="AK142" s="264"/>
      <c r="AL142" s="264"/>
      <c r="AM142" s="264"/>
      <c r="AN142" s="264"/>
      <c r="AO142" s="264"/>
      <c r="AP142" s="264"/>
      <c r="AQ142" s="265"/>
      <c r="AR142" s="265"/>
    </row>
    <row r="143" spans="7:44" x14ac:dyDescent="0.3">
      <c r="X143" s="337"/>
      <c r="AG143" s="264"/>
      <c r="AI143" s="264"/>
      <c r="AJ143" s="264"/>
      <c r="AK143" s="264"/>
      <c r="AL143" s="264"/>
      <c r="AM143" s="264"/>
      <c r="AN143" s="264"/>
      <c r="AO143" s="264"/>
      <c r="AP143" s="264"/>
      <c r="AQ143" s="265"/>
      <c r="AR143" s="265"/>
    </row>
    <row r="144" spans="7:44" x14ac:dyDescent="0.3">
      <c r="X144" s="337"/>
      <c r="AG144" s="264"/>
      <c r="AI144" s="264"/>
      <c r="AJ144" s="264"/>
      <c r="AK144" s="264"/>
      <c r="AL144" s="264"/>
      <c r="AM144" s="264"/>
      <c r="AN144" s="264"/>
      <c r="AO144" s="264"/>
      <c r="AP144" s="264"/>
      <c r="AQ144" s="265"/>
      <c r="AR144" s="265"/>
    </row>
    <row r="145" spans="24:44" x14ac:dyDescent="0.3">
      <c r="X145" s="337"/>
      <c r="AG145" s="264"/>
      <c r="AI145" s="264"/>
      <c r="AJ145" s="264"/>
      <c r="AK145" s="264"/>
      <c r="AL145" s="264"/>
      <c r="AM145" s="264"/>
      <c r="AN145" s="264"/>
      <c r="AO145" s="264"/>
      <c r="AP145" s="264"/>
      <c r="AQ145" s="265"/>
      <c r="AR145" s="265"/>
    </row>
    <row r="146" spans="24:44" x14ac:dyDescent="0.3">
      <c r="X146" s="337"/>
      <c r="AG146" s="264"/>
      <c r="AI146" s="264"/>
      <c r="AJ146" s="264"/>
      <c r="AK146" s="264"/>
      <c r="AL146" s="264"/>
      <c r="AM146" s="264"/>
      <c r="AN146" s="264"/>
      <c r="AO146" s="264"/>
      <c r="AP146" s="264"/>
      <c r="AQ146" s="265"/>
      <c r="AR146" s="265"/>
    </row>
    <row r="147" spans="24:44" x14ac:dyDescent="0.3">
      <c r="X147" s="337"/>
      <c r="AI147" s="264"/>
      <c r="AJ147" s="264"/>
      <c r="AK147" s="264"/>
      <c r="AL147" s="264"/>
      <c r="AM147" s="264"/>
      <c r="AN147" s="264"/>
      <c r="AO147" s="264"/>
      <c r="AP147" s="264"/>
      <c r="AQ147" s="265"/>
      <c r="AR147" s="265"/>
    </row>
    <row r="148" spans="24:44" x14ac:dyDescent="0.3">
      <c r="X148" s="337"/>
      <c r="AI148" s="264"/>
      <c r="AJ148" s="264"/>
      <c r="AK148" s="264"/>
      <c r="AL148" s="264"/>
      <c r="AM148" s="264"/>
      <c r="AN148" s="264"/>
      <c r="AO148" s="264"/>
      <c r="AP148" s="264"/>
      <c r="AQ148" s="265"/>
      <c r="AR148" s="265"/>
    </row>
    <row r="149" spans="24:44" x14ac:dyDescent="0.3">
      <c r="X149" s="337"/>
      <c r="AI149" s="264"/>
      <c r="AJ149" s="264"/>
      <c r="AK149" s="264"/>
      <c r="AL149" s="264"/>
      <c r="AM149" s="264"/>
      <c r="AN149" s="264"/>
      <c r="AO149" s="264"/>
      <c r="AP149" s="264"/>
      <c r="AQ149" s="265"/>
      <c r="AR149" s="265"/>
    </row>
    <row r="150" spans="24:44" x14ac:dyDescent="0.3">
      <c r="X150" s="337"/>
      <c r="AI150" s="264"/>
      <c r="AJ150" s="264"/>
      <c r="AK150" s="264"/>
      <c r="AL150" s="264"/>
      <c r="AM150" s="264"/>
      <c r="AN150" s="264"/>
      <c r="AO150" s="264"/>
      <c r="AP150" s="264"/>
      <c r="AQ150" s="265"/>
      <c r="AR150" s="265"/>
    </row>
    <row r="151" spans="24:44" x14ac:dyDescent="0.3">
      <c r="X151" s="337"/>
      <c r="AI151" s="264"/>
      <c r="AJ151" s="264"/>
      <c r="AK151" s="264"/>
      <c r="AL151" s="264"/>
      <c r="AM151" s="264"/>
      <c r="AN151" s="264"/>
      <c r="AO151" s="264"/>
      <c r="AP151" s="264"/>
      <c r="AQ151" s="265"/>
      <c r="AR151" s="265"/>
    </row>
    <row r="152" spans="24:44" x14ac:dyDescent="0.3">
      <c r="AI152" s="264"/>
      <c r="AJ152" s="264"/>
      <c r="AK152" s="264"/>
      <c r="AL152" s="264"/>
      <c r="AM152" s="264"/>
      <c r="AN152" s="264"/>
      <c r="AO152" s="264"/>
      <c r="AP152" s="264"/>
      <c r="AQ152" s="265"/>
      <c r="AR152" s="265"/>
    </row>
    <row r="153" spans="24:44" x14ac:dyDescent="0.3">
      <c r="AI153" s="264"/>
      <c r="AJ153" s="264"/>
      <c r="AK153" s="264"/>
      <c r="AL153" s="264"/>
      <c r="AM153" s="264"/>
      <c r="AN153" s="264"/>
      <c r="AO153" s="264"/>
      <c r="AP153" s="264"/>
      <c r="AQ153" s="265"/>
      <c r="AR153" s="265"/>
    </row>
    <row r="154" spans="24:44" x14ac:dyDescent="0.3">
      <c r="AI154" s="264"/>
      <c r="AJ154" s="264"/>
      <c r="AK154" s="264"/>
      <c r="AL154" s="264"/>
      <c r="AM154" s="264"/>
      <c r="AN154" s="264"/>
      <c r="AO154" s="264"/>
      <c r="AP154" s="264"/>
      <c r="AQ154" s="265"/>
      <c r="AR154" s="265"/>
    </row>
    <row r="155" spans="24:44" x14ac:dyDescent="0.3">
      <c r="AI155" s="264"/>
      <c r="AJ155" s="264"/>
      <c r="AK155" s="264"/>
      <c r="AL155" s="264"/>
      <c r="AM155" s="264"/>
      <c r="AN155" s="264"/>
      <c r="AO155" s="264"/>
      <c r="AP155" s="264"/>
      <c r="AQ155" s="265"/>
      <c r="AR155" s="265"/>
    </row>
    <row r="156" spans="24:44" x14ac:dyDescent="0.3">
      <c r="AI156" s="264"/>
      <c r="AJ156" s="264"/>
      <c r="AK156" s="264"/>
      <c r="AL156" s="264"/>
      <c r="AM156" s="264"/>
      <c r="AN156" s="264"/>
      <c r="AO156" s="264"/>
      <c r="AP156" s="264"/>
      <c r="AQ156" s="265"/>
      <c r="AR156" s="265"/>
    </row>
    <row r="157" spans="24:44" x14ac:dyDescent="0.3">
      <c r="AQ157" s="265"/>
      <c r="AR157" s="265"/>
    </row>
    <row r="158" spans="24:44" x14ac:dyDescent="0.3">
      <c r="AQ158" s="265"/>
      <c r="AR158" s="265"/>
    </row>
    <row r="159" spans="24:44" x14ac:dyDescent="0.3">
      <c r="AQ159" s="265"/>
      <c r="AR159" s="265"/>
    </row>
    <row r="160" spans="24:44" x14ac:dyDescent="0.3">
      <c r="AQ160" s="265"/>
      <c r="AR160" s="265"/>
    </row>
    <row r="161" spans="43:44" x14ac:dyDescent="0.3">
      <c r="AQ161" s="265"/>
      <c r="AR161" s="265"/>
    </row>
    <row r="162" spans="43:44" x14ac:dyDescent="0.3">
      <c r="AQ162" s="265"/>
      <c r="AR162" s="265"/>
    </row>
    <row r="163" spans="43:44" x14ac:dyDescent="0.3">
      <c r="AQ163" s="265"/>
      <c r="AR163" s="265"/>
    </row>
    <row r="164" spans="43:44" x14ac:dyDescent="0.3">
      <c r="AQ164" s="265"/>
      <c r="AR164" s="265"/>
    </row>
    <row r="165" spans="43:44" x14ac:dyDescent="0.3">
      <c r="AQ165" s="265"/>
      <c r="AR165" s="265"/>
    </row>
    <row r="166" spans="43:44" x14ac:dyDescent="0.3">
      <c r="AQ166" s="265"/>
      <c r="AR166" s="265"/>
    </row>
    <row r="167" spans="43:44" x14ac:dyDescent="0.3">
      <c r="AQ167" s="265"/>
      <c r="AR167" s="265"/>
    </row>
    <row r="168" spans="43:44" x14ac:dyDescent="0.3">
      <c r="AQ168" s="265"/>
      <c r="AR168" s="265"/>
    </row>
    <row r="169" spans="43:44" x14ac:dyDescent="0.3">
      <c r="AQ169" s="265"/>
      <c r="AR169" s="265"/>
    </row>
    <row r="170" spans="43:44" x14ac:dyDescent="0.3">
      <c r="AQ170" s="265"/>
      <c r="AR170" s="265"/>
    </row>
    <row r="171" spans="43:44" x14ac:dyDescent="0.3">
      <c r="AQ171" s="265"/>
      <c r="AR171" s="265"/>
    </row>
    <row r="172" spans="43:44" x14ac:dyDescent="0.3">
      <c r="AQ172" s="265"/>
      <c r="AR172" s="265"/>
    </row>
    <row r="173" spans="43:44" x14ac:dyDescent="0.3">
      <c r="AQ173" s="265"/>
      <c r="AR173" s="265"/>
    </row>
    <row r="174" spans="43:44" x14ac:dyDescent="0.3">
      <c r="AQ174" s="265"/>
      <c r="AR174" s="265"/>
    </row>
    <row r="175" spans="43:44" x14ac:dyDescent="0.3">
      <c r="AQ175" s="265"/>
      <c r="AR175" s="2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6285-C154-4D76-997A-5877D67A8A6A}">
  <dimension ref="A1:BF175"/>
  <sheetViews>
    <sheetView workbookViewId="0">
      <selection activeCell="A2" sqref="A2"/>
    </sheetView>
  </sheetViews>
  <sheetFormatPr defaultColWidth="12.109375" defaultRowHeight="15" x14ac:dyDescent="0.3"/>
  <cols>
    <col min="1" max="1" width="11.5546875" style="245" customWidth="1"/>
    <col min="2" max="2" width="21.77734375" style="245" bestFit="1" customWidth="1"/>
    <col min="3" max="3" width="3.88671875" style="245" bestFit="1" customWidth="1"/>
    <col min="4" max="4" width="9.21875" style="245" bestFit="1" customWidth="1"/>
    <col min="5" max="5" width="5.88671875" style="258" bestFit="1" customWidth="1"/>
    <col min="6" max="6" width="7.5546875" style="245" bestFit="1" customWidth="1"/>
    <col min="7" max="7" width="8.44140625" style="259" bestFit="1" customWidth="1"/>
    <col min="8" max="8" width="11.44140625" style="258" bestFit="1" customWidth="1"/>
    <col min="9" max="9" width="18.21875" style="247" bestFit="1" customWidth="1"/>
    <col min="10" max="10" width="9.6640625" style="259" bestFit="1" customWidth="1"/>
    <col min="11" max="11" width="7.5546875" style="245" bestFit="1" customWidth="1"/>
    <col min="12" max="12" width="15.33203125" style="245" hidden="1" customWidth="1"/>
    <col min="13" max="13" width="11.88671875" style="245" bestFit="1" customWidth="1"/>
    <col min="14" max="14" width="31.44140625" style="245" bestFit="1" customWidth="1"/>
    <col min="15" max="15" width="53.6640625" style="245" hidden="1" customWidth="1"/>
    <col min="16" max="16" width="30.109375" style="253" bestFit="1" customWidth="1"/>
    <col min="17" max="17" width="3.88671875" style="245" bestFit="1" customWidth="1"/>
    <col min="18" max="18" width="13.5546875" style="245" bestFit="1" customWidth="1"/>
    <col min="19" max="19" width="10.33203125" style="258" bestFit="1" customWidth="1"/>
    <col min="20" max="20" width="5.109375" style="258" bestFit="1" customWidth="1"/>
    <col min="21" max="21" width="8.21875" style="258" bestFit="1" customWidth="1"/>
    <col min="22" max="22" width="6.6640625" style="258" bestFit="1" customWidth="1"/>
    <col min="23" max="23" width="6.77734375" style="262" bestFit="1" customWidth="1"/>
    <col min="24" max="24" width="7.6640625" style="263" bestFit="1" customWidth="1"/>
    <col min="25" max="26" width="7.44140625" style="264" bestFit="1" customWidth="1"/>
    <col min="27" max="27" width="5" style="265" bestFit="1" customWidth="1"/>
    <col min="28" max="28" width="4.88671875" style="265" bestFit="1" customWidth="1"/>
    <col min="29" max="29" width="4.44140625" style="265" bestFit="1" customWidth="1"/>
    <col min="30" max="30" width="4.44140625" style="263" bestFit="1" customWidth="1"/>
    <col min="31" max="31" width="5.44140625" style="249" hidden="1" customWidth="1"/>
    <col min="32" max="32" width="7.33203125" style="419" hidden="1" customWidth="1"/>
    <col min="33" max="33" width="9.33203125" style="258" hidden="1" customWidth="1"/>
    <col min="34" max="34" width="5.77734375" style="258" hidden="1" customWidth="1"/>
    <col min="35" max="35" width="5.33203125" style="258" bestFit="1" customWidth="1"/>
    <col min="36" max="36" width="5.44140625" style="258" bestFit="1" customWidth="1"/>
    <col min="37" max="37" width="9.109375" style="267" bestFit="1" customWidth="1"/>
    <col min="38" max="38" width="9.33203125" style="258" bestFit="1" customWidth="1"/>
    <col min="39" max="39" width="8.88671875" style="258" bestFit="1" customWidth="1"/>
    <col min="40" max="40" width="6.33203125" style="258" bestFit="1" customWidth="1"/>
    <col min="41" max="41" width="9.109375" style="258" bestFit="1" customWidth="1"/>
    <col min="42" max="42" width="7.6640625" style="258" bestFit="1" customWidth="1"/>
    <col min="43" max="44" width="9.109375" style="258" bestFit="1" customWidth="1"/>
    <col min="45" max="16384" width="12.109375" style="245"/>
  </cols>
  <sheetData>
    <row r="1" spans="1:58" ht="18.600000000000001" x14ac:dyDescent="0.3">
      <c r="A1" s="495" t="s">
        <v>2328</v>
      </c>
      <c r="L1" s="245" t="s">
        <v>2080</v>
      </c>
      <c r="O1" s="245" t="s">
        <v>2080</v>
      </c>
      <c r="P1" s="248"/>
      <c r="AE1" s="249" t="s">
        <v>2080</v>
      </c>
      <c r="AF1" s="419" t="s">
        <v>2080</v>
      </c>
      <c r="AG1" s="258" t="s">
        <v>2080</v>
      </c>
      <c r="AH1" s="267" t="s">
        <v>2080</v>
      </c>
      <c r="AK1" s="258"/>
    </row>
    <row r="2" spans="1:58" x14ac:dyDescent="0.3">
      <c r="B2" s="252"/>
      <c r="C2" s="110"/>
      <c r="D2" s="110"/>
      <c r="E2" s="110"/>
      <c r="F2" s="110"/>
      <c r="G2" s="408"/>
      <c r="H2" s="408"/>
      <c r="I2" s="408"/>
      <c r="J2" s="408"/>
      <c r="K2" s="408"/>
      <c r="L2" s="408"/>
      <c r="M2" s="408"/>
      <c r="N2" s="408"/>
      <c r="O2" s="408"/>
      <c r="P2" s="409"/>
      <c r="Q2" s="254"/>
      <c r="R2" s="408"/>
      <c r="S2" s="408"/>
      <c r="T2" s="408"/>
      <c r="U2" s="408"/>
      <c r="V2" s="408"/>
      <c r="W2" s="416"/>
      <c r="X2" s="417"/>
      <c r="Y2" s="417"/>
      <c r="Z2" s="417"/>
      <c r="AA2" s="418"/>
      <c r="AB2" s="418"/>
      <c r="AC2" s="418"/>
      <c r="AD2" s="417"/>
      <c r="AE2" s="416"/>
      <c r="AF2" s="420"/>
      <c r="AH2" s="267"/>
      <c r="AK2" s="258"/>
      <c r="AX2" s="109"/>
      <c r="AY2" s="109"/>
      <c r="AZ2" s="109"/>
      <c r="BA2" s="109"/>
      <c r="BB2" s="109"/>
      <c r="BC2" s="109"/>
      <c r="BD2" s="109"/>
      <c r="BE2" s="109"/>
      <c r="BF2" s="109"/>
    </row>
    <row r="3" spans="1:58" ht="16.8" x14ac:dyDescent="0.3">
      <c r="B3" s="304"/>
      <c r="C3" s="360" t="s">
        <v>2092</v>
      </c>
      <c r="D3" s="360" t="s">
        <v>1311</v>
      </c>
      <c r="E3" s="460" t="s">
        <v>667</v>
      </c>
      <c r="F3" s="360" t="s">
        <v>1184</v>
      </c>
      <c r="G3" s="460" t="s">
        <v>956</v>
      </c>
      <c r="H3" s="460" t="s">
        <v>32</v>
      </c>
      <c r="I3" s="360" t="s">
        <v>326</v>
      </c>
      <c r="J3" s="460" t="s">
        <v>344</v>
      </c>
      <c r="K3" s="467" t="s">
        <v>1332</v>
      </c>
      <c r="L3" s="360" t="s">
        <v>1330</v>
      </c>
      <c r="M3" s="360" t="s">
        <v>2109</v>
      </c>
      <c r="N3" s="360" t="s">
        <v>1541</v>
      </c>
      <c r="O3" s="360" t="s">
        <v>1599</v>
      </c>
      <c r="P3" s="461" t="s">
        <v>1795</v>
      </c>
      <c r="Q3" s="360" t="s">
        <v>2092</v>
      </c>
      <c r="R3" s="360" t="s">
        <v>2101</v>
      </c>
      <c r="S3" s="460" t="s">
        <v>33</v>
      </c>
      <c r="T3" s="460" t="s">
        <v>26</v>
      </c>
      <c r="U3" s="460" t="s">
        <v>2099</v>
      </c>
      <c r="V3" s="460" t="s">
        <v>351</v>
      </c>
      <c r="W3" s="462" t="s">
        <v>2100</v>
      </c>
      <c r="X3" s="463" t="s">
        <v>2084</v>
      </c>
      <c r="Y3" s="463" t="s">
        <v>293</v>
      </c>
      <c r="Z3" s="463" t="s">
        <v>402</v>
      </c>
      <c r="AA3" s="464" t="s">
        <v>3</v>
      </c>
      <c r="AB3" s="464" t="s">
        <v>277</v>
      </c>
      <c r="AC3" s="464" t="s">
        <v>13</v>
      </c>
      <c r="AD3" s="463" t="s">
        <v>35</v>
      </c>
      <c r="AE3" s="360" t="s">
        <v>52</v>
      </c>
      <c r="AF3" s="468" t="s">
        <v>558</v>
      </c>
      <c r="AG3" s="465" t="s">
        <v>1328</v>
      </c>
      <c r="AH3" s="466" t="s">
        <v>402</v>
      </c>
      <c r="AI3" s="465" t="s">
        <v>2086</v>
      </c>
      <c r="AJ3" s="465" t="s">
        <v>2237</v>
      </c>
      <c r="AK3" s="465" t="s">
        <v>2230</v>
      </c>
      <c r="AL3" s="465" t="s">
        <v>2231</v>
      </c>
      <c r="AM3" s="465" t="s">
        <v>2232</v>
      </c>
      <c r="AN3" s="465" t="s">
        <v>2231</v>
      </c>
      <c r="AO3" s="465" t="s">
        <v>2231</v>
      </c>
      <c r="AP3" s="465" t="s">
        <v>2235</v>
      </c>
      <c r="AQ3" s="465" t="s">
        <v>2230</v>
      </c>
      <c r="AR3" s="465" t="s">
        <v>2230</v>
      </c>
    </row>
    <row r="4" spans="1:58" s="258" customFormat="1" ht="16.8" x14ac:dyDescent="0.3">
      <c r="B4" s="314"/>
      <c r="C4" s="314"/>
      <c r="D4" s="314"/>
      <c r="E4" s="314" t="s">
        <v>503</v>
      </c>
      <c r="F4" s="314"/>
      <c r="G4" s="314" t="s">
        <v>22</v>
      </c>
      <c r="H4" s="314" t="s">
        <v>22</v>
      </c>
      <c r="I4" s="314"/>
      <c r="J4" s="314"/>
      <c r="K4" s="314"/>
      <c r="L4" s="314"/>
      <c r="M4" s="314"/>
      <c r="N4" s="314"/>
      <c r="O4" s="314"/>
      <c r="P4" s="335"/>
      <c r="Q4" s="314"/>
      <c r="R4" s="314"/>
      <c r="S4" s="314" t="s">
        <v>270</v>
      </c>
      <c r="T4" s="314" t="s">
        <v>25</v>
      </c>
      <c r="U4" s="314" t="s">
        <v>338</v>
      </c>
      <c r="V4" s="314" t="s">
        <v>377</v>
      </c>
      <c r="W4" s="317" t="s">
        <v>377</v>
      </c>
      <c r="X4" s="316" t="s">
        <v>302</v>
      </c>
      <c r="Y4" s="316" t="s">
        <v>338</v>
      </c>
      <c r="Z4" s="316" t="s">
        <v>338</v>
      </c>
      <c r="AA4" s="319" t="s">
        <v>302</v>
      </c>
      <c r="AB4" s="319" t="s">
        <v>302</v>
      </c>
      <c r="AC4" s="319" t="s">
        <v>302</v>
      </c>
      <c r="AD4" s="316"/>
      <c r="AE4" s="314" t="s">
        <v>621</v>
      </c>
      <c r="AF4" s="317" t="s">
        <v>621</v>
      </c>
      <c r="AG4" s="314"/>
      <c r="AH4" s="321"/>
      <c r="AI4" s="314"/>
      <c r="AJ4" s="476" t="s">
        <v>277</v>
      </c>
      <c r="AK4" s="476" t="s">
        <v>2229</v>
      </c>
      <c r="AL4" s="476" t="s">
        <v>1328</v>
      </c>
      <c r="AM4" s="476" t="s">
        <v>2233</v>
      </c>
      <c r="AN4" s="476" t="s">
        <v>2086</v>
      </c>
      <c r="AO4" s="476" t="s">
        <v>2234</v>
      </c>
      <c r="AP4" s="476" t="s">
        <v>2236</v>
      </c>
      <c r="AQ4" s="476" t="s">
        <v>402</v>
      </c>
      <c r="AR4" s="476" t="s">
        <v>2086</v>
      </c>
    </row>
    <row r="5" spans="1:58" hidden="1" x14ac:dyDescent="0.3">
      <c r="B5" s="283"/>
      <c r="C5" s="283"/>
      <c r="D5" s="284"/>
      <c r="E5" s="285"/>
      <c r="F5" s="284"/>
      <c r="G5" s="285"/>
      <c r="H5" s="285"/>
      <c r="I5" s="284"/>
      <c r="J5" s="285"/>
      <c r="K5" s="284"/>
      <c r="L5" s="284"/>
      <c r="M5" s="284"/>
      <c r="N5" s="284"/>
      <c r="O5" s="284"/>
      <c r="P5" s="286"/>
      <c r="Q5" s="283"/>
      <c r="R5" s="284"/>
      <c r="S5" s="285"/>
      <c r="T5" s="285"/>
      <c r="U5" s="287"/>
      <c r="V5" s="287"/>
      <c r="W5" s="287"/>
      <c r="X5" s="288"/>
      <c r="Y5" s="289"/>
      <c r="Z5" s="289"/>
      <c r="AA5" s="290"/>
      <c r="AB5" s="290"/>
      <c r="AC5" s="290"/>
      <c r="AD5" s="289"/>
      <c r="AE5" s="469"/>
      <c r="AF5" s="421"/>
      <c r="AG5" s="285"/>
      <c r="AH5" s="285"/>
      <c r="AI5" s="285"/>
      <c r="AJ5" s="285"/>
      <c r="AK5" s="291"/>
      <c r="AL5" s="285"/>
      <c r="AM5" s="285"/>
      <c r="AN5" s="285"/>
      <c r="AO5" s="285"/>
      <c r="AP5" s="285"/>
      <c r="AQ5" s="285"/>
      <c r="AR5" s="285"/>
    </row>
    <row r="6" spans="1:58" hidden="1" x14ac:dyDescent="0.3">
      <c r="B6" s="294"/>
      <c r="C6" s="294"/>
      <c r="D6" s="294"/>
      <c r="E6" s="293"/>
      <c r="F6" s="294"/>
      <c r="G6" s="293"/>
      <c r="H6" s="293"/>
      <c r="I6" s="294"/>
      <c r="J6" s="293"/>
      <c r="K6" s="294"/>
      <c r="L6" s="294"/>
      <c r="M6" s="294"/>
      <c r="N6" s="294"/>
      <c r="O6" s="294"/>
      <c r="P6" s="296"/>
      <c r="Q6" s="294"/>
      <c r="R6" s="303"/>
      <c r="S6" s="300"/>
      <c r="T6" s="300"/>
      <c r="U6" s="299"/>
      <c r="V6" s="299"/>
      <c r="W6" s="299"/>
      <c r="X6" s="336"/>
      <c r="Y6" s="297"/>
      <c r="Z6" s="297"/>
      <c r="AA6" s="300"/>
      <c r="AB6" s="300"/>
      <c r="AC6" s="300"/>
      <c r="AD6" s="297"/>
      <c r="AE6" s="295"/>
      <c r="AF6" s="422"/>
      <c r="AG6" s="293"/>
      <c r="AH6" s="293"/>
      <c r="AI6" s="293"/>
      <c r="AJ6" s="293"/>
      <c r="AK6" s="301"/>
      <c r="AL6" s="293"/>
      <c r="AM6" s="293"/>
      <c r="AN6" s="293"/>
      <c r="AO6" s="293"/>
      <c r="AP6" s="293"/>
      <c r="AQ6" s="293"/>
      <c r="AR6" s="293"/>
    </row>
    <row r="7" spans="1:58" hidden="1" x14ac:dyDescent="0.3">
      <c r="B7" s="247"/>
      <c r="C7" s="247"/>
      <c r="D7" s="247"/>
      <c r="E7" s="259"/>
      <c r="F7" s="247"/>
      <c r="H7" s="259"/>
      <c r="K7" s="247"/>
      <c r="L7" s="247"/>
      <c r="M7" s="247"/>
      <c r="N7" s="247"/>
      <c r="O7" s="247"/>
      <c r="P7" s="280"/>
      <c r="Q7" s="247"/>
      <c r="R7" s="250"/>
      <c r="S7" s="276"/>
      <c r="T7" s="259"/>
      <c r="U7" s="263"/>
      <c r="V7" s="262"/>
      <c r="X7" s="337"/>
      <c r="Y7" s="263"/>
      <c r="Z7" s="263"/>
      <c r="AA7" s="276"/>
      <c r="AB7" s="276"/>
      <c r="AC7" s="276"/>
      <c r="AG7" s="263"/>
      <c r="AH7" s="263"/>
      <c r="AI7" s="263"/>
      <c r="AJ7" s="263"/>
      <c r="AK7" s="281"/>
      <c r="AL7" s="263"/>
      <c r="AM7" s="263"/>
      <c r="AN7" s="263"/>
      <c r="AO7" s="263"/>
      <c r="AP7" s="263"/>
      <c r="AQ7" s="276"/>
      <c r="AR7" s="276"/>
    </row>
    <row r="8" spans="1:58" hidden="1" x14ac:dyDescent="0.3">
      <c r="B8" s="304"/>
      <c r="C8" s="304"/>
      <c r="D8" s="304"/>
      <c r="E8" s="305"/>
      <c r="F8" s="304"/>
      <c r="G8" s="305"/>
      <c r="H8" s="305"/>
      <c r="I8" s="304"/>
      <c r="J8" s="305"/>
      <c r="K8" s="304"/>
      <c r="L8" s="304"/>
      <c r="M8" s="304"/>
      <c r="N8" s="304"/>
      <c r="O8" s="304"/>
      <c r="P8" s="306"/>
      <c r="Q8" s="304"/>
      <c r="R8" s="304"/>
      <c r="S8" s="305"/>
      <c r="T8" s="305"/>
      <c r="U8" s="307"/>
      <c r="V8" s="308"/>
      <c r="W8" s="308"/>
      <c r="X8" s="338"/>
      <c r="Y8" s="307"/>
      <c r="Z8" s="307"/>
      <c r="AA8" s="309"/>
      <c r="AB8" s="309"/>
      <c r="AC8" s="309"/>
      <c r="AD8" s="307"/>
      <c r="AE8" s="323"/>
      <c r="AF8" s="423"/>
      <c r="AG8" s="307"/>
      <c r="AH8" s="307"/>
      <c r="AI8" s="307"/>
      <c r="AJ8" s="307"/>
      <c r="AK8" s="311"/>
      <c r="AL8" s="307"/>
      <c r="AM8" s="307"/>
      <c r="AN8" s="307"/>
      <c r="AO8" s="307"/>
      <c r="AP8" s="307"/>
      <c r="AQ8" s="309"/>
      <c r="AR8" s="309"/>
    </row>
    <row r="9" spans="1:58" ht="16.8" hidden="1" x14ac:dyDescent="0.3">
      <c r="B9" s="312"/>
      <c r="C9" s="312"/>
      <c r="D9" s="313"/>
      <c r="E9" s="314"/>
      <c r="F9" s="313"/>
      <c r="G9" s="314"/>
      <c r="H9" s="314"/>
      <c r="I9" s="313"/>
      <c r="J9" s="314"/>
      <c r="K9" s="313"/>
      <c r="L9" s="313"/>
      <c r="M9" s="313"/>
      <c r="N9" s="313"/>
      <c r="O9" s="313"/>
      <c r="P9" s="315"/>
      <c r="Q9" s="312"/>
      <c r="R9" s="313"/>
      <c r="S9" s="314"/>
      <c r="T9" s="314"/>
      <c r="U9" s="316"/>
      <c r="V9" s="317"/>
      <c r="W9" s="317"/>
      <c r="X9" s="339"/>
      <c r="Y9" s="316"/>
      <c r="Z9" s="316"/>
      <c r="AA9" s="319"/>
      <c r="AB9" s="319"/>
      <c r="AC9" s="319"/>
      <c r="AD9" s="316"/>
      <c r="AE9" s="324"/>
      <c r="AF9" s="424"/>
      <c r="AG9" s="316"/>
      <c r="AH9" s="316"/>
      <c r="AI9" s="316"/>
      <c r="AJ9" s="316"/>
      <c r="AK9" s="321"/>
      <c r="AL9" s="316"/>
      <c r="AM9" s="316"/>
      <c r="AN9" s="316"/>
      <c r="AO9" s="316"/>
      <c r="AP9" s="316"/>
      <c r="AQ9" s="319"/>
      <c r="AR9" s="319"/>
    </row>
    <row r="10" spans="1:58" ht="16.8" hidden="1" x14ac:dyDescent="0.3">
      <c r="B10" s="312"/>
      <c r="C10" s="312"/>
      <c r="D10" s="313"/>
      <c r="E10" s="314"/>
      <c r="F10" s="313"/>
      <c r="G10" s="314"/>
      <c r="H10" s="314"/>
      <c r="I10" s="313"/>
      <c r="J10" s="314"/>
      <c r="K10" s="313"/>
      <c r="L10" s="313"/>
      <c r="M10" s="313"/>
      <c r="N10" s="313"/>
      <c r="O10" s="313"/>
      <c r="P10" s="315"/>
      <c r="Q10" s="312"/>
      <c r="R10" s="313"/>
      <c r="S10" s="314"/>
      <c r="T10" s="314"/>
      <c r="U10" s="316"/>
      <c r="V10" s="317"/>
      <c r="W10" s="317"/>
      <c r="X10" s="339"/>
      <c r="Y10" s="316"/>
      <c r="Z10" s="316"/>
      <c r="AA10" s="319"/>
      <c r="AB10" s="319"/>
      <c r="AC10" s="319"/>
      <c r="AD10" s="316"/>
      <c r="AE10" s="324"/>
      <c r="AF10" s="424"/>
      <c r="AG10" s="316"/>
      <c r="AH10" s="316"/>
      <c r="AI10" s="316"/>
      <c r="AJ10" s="316"/>
      <c r="AK10" s="321"/>
      <c r="AL10" s="316"/>
      <c r="AM10" s="316"/>
      <c r="AN10" s="316"/>
      <c r="AO10" s="316"/>
      <c r="AP10" s="316"/>
      <c r="AQ10" s="319"/>
      <c r="AR10" s="319"/>
    </row>
    <row r="11" spans="1:58" hidden="1" x14ac:dyDescent="0.3">
      <c r="B11" s="294"/>
      <c r="C11" s="294"/>
      <c r="D11" s="294"/>
      <c r="E11" s="293"/>
      <c r="F11" s="294"/>
      <c r="G11" s="293"/>
      <c r="H11" s="293"/>
      <c r="I11" s="294"/>
      <c r="J11" s="293"/>
      <c r="K11" s="294"/>
      <c r="L11" s="294"/>
      <c r="M11" s="294"/>
      <c r="N11" s="294"/>
      <c r="O11" s="294"/>
      <c r="P11" s="296"/>
      <c r="Q11" s="294"/>
      <c r="R11" s="294"/>
      <c r="S11" s="293"/>
      <c r="T11" s="293"/>
      <c r="U11" s="297"/>
      <c r="V11" s="299"/>
      <c r="W11" s="299"/>
      <c r="X11" s="336"/>
      <c r="Y11" s="297"/>
      <c r="Z11" s="297"/>
      <c r="AA11" s="300"/>
      <c r="AB11" s="300"/>
      <c r="AC11" s="300"/>
      <c r="AD11" s="297"/>
      <c r="AE11" s="295"/>
      <c r="AF11" s="422"/>
      <c r="AG11" s="297"/>
      <c r="AH11" s="297"/>
      <c r="AI11" s="297"/>
      <c r="AJ11" s="297"/>
      <c r="AK11" s="301"/>
      <c r="AL11" s="297"/>
      <c r="AM11" s="297"/>
      <c r="AN11" s="297"/>
      <c r="AO11" s="297"/>
      <c r="AP11" s="297"/>
      <c r="AQ11" s="300"/>
      <c r="AR11" s="300"/>
    </row>
    <row r="12" spans="1:58" ht="16.8" hidden="1" x14ac:dyDescent="0.3">
      <c r="B12" s="282"/>
      <c r="C12" s="282"/>
      <c r="D12" s="247"/>
      <c r="E12" s="259"/>
      <c r="F12" s="247"/>
      <c r="H12" s="259"/>
      <c r="K12" s="247"/>
      <c r="L12" s="247"/>
      <c r="M12" s="247"/>
      <c r="N12" s="247"/>
      <c r="O12" s="247"/>
      <c r="P12" s="280"/>
      <c r="Q12" s="282"/>
      <c r="R12" s="247"/>
      <c r="S12" s="259"/>
      <c r="T12" s="259"/>
      <c r="U12" s="263"/>
      <c r="V12" s="262"/>
      <c r="X12" s="337"/>
      <c r="Y12" s="263"/>
      <c r="Z12" s="263"/>
      <c r="AA12" s="276"/>
      <c r="AB12" s="276"/>
      <c r="AC12" s="276"/>
      <c r="AG12" s="263"/>
      <c r="AH12" s="263"/>
      <c r="AI12" s="263"/>
      <c r="AJ12" s="263"/>
      <c r="AK12" s="281"/>
      <c r="AL12" s="263"/>
      <c r="AM12" s="263"/>
      <c r="AN12" s="263"/>
      <c r="AO12" s="263"/>
      <c r="AP12" s="263"/>
      <c r="AQ12" s="276"/>
      <c r="AR12" s="276"/>
    </row>
    <row r="13" spans="1:58" hidden="1" x14ac:dyDescent="0.3">
      <c r="B13" s="247"/>
      <c r="C13" s="247"/>
      <c r="D13" s="247"/>
      <c r="E13" s="259"/>
      <c r="F13" s="247"/>
      <c r="H13" s="259"/>
      <c r="K13" s="247"/>
      <c r="L13" s="247"/>
      <c r="M13" s="247"/>
      <c r="N13" s="247"/>
      <c r="O13" s="247"/>
      <c r="P13" s="280"/>
      <c r="Q13" s="247"/>
      <c r="R13" s="247"/>
      <c r="S13" s="259"/>
      <c r="T13" s="259"/>
      <c r="U13" s="263"/>
      <c r="V13" s="262"/>
      <c r="X13" s="337"/>
      <c r="Y13" s="263"/>
      <c r="Z13" s="263"/>
      <c r="AA13" s="276"/>
      <c r="AB13" s="276"/>
      <c r="AC13" s="276"/>
      <c r="AG13" s="263"/>
      <c r="AH13" s="263"/>
      <c r="AI13" s="263"/>
      <c r="AJ13" s="263"/>
      <c r="AK13" s="281"/>
      <c r="AL13" s="263"/>
      <c r="AM13" s="263"/>
      <c r="AN13" s="263"/>
      <c r="AO13" s="263"/>
      <c r="AP13" s="263"/>
      <c r="AQ13" s="276"/>
      <c r="AR13" s="276"/>
    </row>
    <row r="14" spans="1:58" hidden="1" x14ac:dyDescent="0.3">
      <c r="B14" s="247"/>
      <c r="C14" s="247"/>
      <c r="D14" s="247"/>
      <c r="E14" s="259"/>
      <c r="F14" s="247"/>
      <c r="H14" s="259"/>
      <c r="K14" s="247"/>
      <c r="L14" s="247"/>
      <c r="M14" s="247"/>
      <c r="N14" s="247"/>
      <c r="O14" s="247"/>
      <c r="P14" s="280"/>
      <c r="Q14" s="247"/>
      <c r="R14" s="247"/>
      <c r="S14" s="259"/>
      <c r="T14" s="259"/>
      <c r="U14" s="263"/>
      <c r="V14" s="262"/>
      <c r="X14" s="337"/>
      <c r="Y14" s="263"/>
      <c r="Z14" s="263"/>
      <c r="AA14" s="276"/>
      <c r="AB14" s="276"/>
      <c r="AC14" s="276"/>
      <c r="AG14" s="263"/>
      <c r="AH14" s="263"/>
      <c r="AI14" s="263"/>
      <c r="AJ14" s="263"/>
      <c r="AK14" s="281"/>
      <c r="AL14" s="263"/>
      <c r="AM14" s="263"/>
      <c r="AN14" s="263"/>
      <c r="AO14" s="263"/>
      <c r="AP14" s="263"/>
      <c r="AQ14" s="276"/>
      <c r="AR14" s="276"/>
    </row>
    <row r="15" spans="1:58" hidden="1" x14ac:dyDescent="0.3">
      <c r="B15" s="304"/>
      <c r="C15" s="304"/>
      <c r="D15" s="304"/>
      <c r="E15" s="305"/>
      <c r="F15" s="304"/>
      <c r="G15" s="305"/>
      <c r="H15" s="305"/>
      <c r="I15" s="304"/>
      <c r="J15" s="305"/>
      <c r="K15" s="304"/>
      <c r="L15" s="304"/>
      <c r="M15" s="304"/>
      <c r="N15" s="304"/>
      <c r="O15" s="304"/>
      <c r="P15" s="306"/>
      <c r="Q15" s="304"/>
      <c r="R15" s="322"/>
      <c r="S15" s="309"/>
      <c r="T15" s="305"/>
      <c r="U15" s="307"/>
      <c r="V15" s="308"/>
      <c r="W15" s="308"/>
      <c r="X15" s="338"/>
      <c r="Y15" s="307"/>
      <c r="Z15" s="307"/>
      <c r="AA15" s="309"/>
      <c r="AB15" s="309"/>
      <c r="AC15" s="309"/>
      <c r="AD15" s="307"/>
      <c r="AE15" s="323"/>
      <c r="AF15" s="423"/>
      <c r="AG15" s="307"/>
      <c r="AH15" s="307"/>
      <c r="AI15" s="307"/>
      <c r="AJ15" s="307"/>
      <c r="AK15" s="311"/>
      <c r="AL15" s="307"/>
      <c r="AM15" s="307"/>
      <c r="AN15" s="307"/>
      <c r="AO15" s="307"/>
      <c r="AP15" s="307"/>
      <c r="AQ15" s="309"/>
      <c r="AR15" s="309"/>
    </row>
    <row r="16" spans="1:58" hidden="1" x14ac:dyDescent="0.3">
      <c r="B16" s="313"/>
      <c r="C16" s="313"/>
      <c r="D16" s="313"/>
      <c r="E16" s="314"/>
      <c r="F16" s="313"/>
      <c r="G16" s="314"/>
      <c r="H16" s="314"/>
      <c r="I16" s="313"/>
      <c r="J16" s="314"/>
      <c r="K16" s="313"/>
      <c r="L16" s="313"/>
      <c r="M16" s="313"/>
      <c r="N16" s="313"/>
      <c r="O16" s="313"/>
      <c r="P16" s="315"/>
      <c r="Q16" s="313"/>
      <c r="R16" s="313"/>
      <c r="S16" s="319"/>
      <c r="T16" s="314"/>
      <c r="U16" s="316"/>
      <c r="V16" s="317"/>
      <c r="W16" s="317"/>
      <c r="X16" s="339"/>
      <c r="Y16" s="316"/>
      <c r="Z16" s="316"/>
      <c r="AA16" s="319"/>
      <c r="AB16" s="319"/>
      <c r="AC16" s="319"/>
      <c r="AD16" s="316"/>
      <c r="AE16" s="324"/>
      <c r="AF16" s="424"/>
      <c r="AG16" s="316"/>
      <c r="AH16" s="316"/>
      <c r="AI16" s="316"/>
      <c r="AJ16" s="316"/>
      <c r="AK16" s="321"/>
      <c r="AL16" s="316"/>
      <c r="AM16" s="316"/>
      <c r="AN16" s="316"/>
      <c r="AO16" s="316"/>
      <c r="AP16" s="316"/>
      <c r="AQ16" s="319"/>
      <c r="AR16" s="319"/>
    </row>
    <row r="17" spans="2:44" hidden="1" x14ac:dyDescent="0.3">
      <c r="B17" s="313"/>
      <c r="C17" s="313"/>
      <c r="D17" s="313"/>
      <c r="E17" s="314"/>
      <c r="F17" s="313"/>
      <c r="G17" s="314"/>
      <c r="H17" s="314"/>
      <c r="I17" s="313"/>
      <c r="J17" s="314"/>
      <c r="K17" s="313"/>
      <c r="L17" s="313"/>
      <c r="M17" s="313"/>
      <c r="N17" s="313"/>
      <c r="O17" s="313"/>
      <c r="P17" s="315"/>
      <c r="Q17" s="313"/>
      <c r="R17" s="313"/>
      <c r="S17" s="319"/>
      <c r="T17" s="314"/>
      <c r="U17" s="316"/>
      <c r="V17" s="317"/>
      <c r="W17" s="317"/>
      <c r="X17" s="339"/>
      <c r="Y17" s="316"/>
      <c r="Z17" s="316"/>
      <c r="AA17" s="319"/>
      <c r="AB17" s="319"/>
      <c r="AC17" s="319"/>
      <c r="AD17" s="316"/>
      <c r="AE17" s="324"/>
      <c r="AF17" s="424"/>
      <c r="AG17" s="316"/>
      <c r="AH17" s="316"/>
      <c r="AI17" s="316"/>
      <c r="AJ17" s="316"/>
      <c r="AK17" s="321"/>
      <c r="AL17" s="316"/>
      <c r="AM17" s="316"/>
      <c r="AN17" s="316"/>
      <c r="AO17" s="316"/>
      <c r="AP17" s="316"/>
      <c r="AQ17" s="319"/>
      <c r="AR17" s="319"/>
    </row>
    <row r="18" spans="2:44" hidden="1" x14ac:dyDescent="0.3">
      <c r="B18" s="294"/>
      <c r="C18" s="294"/>
      <c r="D18" s="294"/>
      <c r="E18" s="293"/>
      <c r="F18" s="294"/>
      <c r="G18" s="293"/>
      <c r="H18" s="293"/>
      <c r="I18" s="294"/>
      <c r="J18" s="293"/>
      <c r="K18" s="294"/>
      <c r="L18" s="294"/>
      <c r="M18" s="294"/>
      <c r="N18" s="294"/>
      <c r="O18" s="294"/>
      <c r="P18" s="296"/>
      <c r="Q18" s="294"/>
      <c r="R18" s="302"/>
      <c r="S18" s="300"/>
      <c r="T18" s="298"/>
      <c r="U18" s="297"/>
      <c r="V18" s="299"/>
      <c r="W18" s="299"/>
      <c r="X18" s="336"/>
      <c r="Y18" s="297"/>
      <c r="Z18" s="297"/>
      <c r="AA18" s="300"/>
      <c r="AB18" s="300"/>
      <c r="AC18" s="300"/>
      <c r="AD18" s="297"/>
      <c r="AE18" s="295"/>
      <c r="AF18" s="422"/>
      <c r="AG18" s="297"/>
      <c r="AH18" s="297"/>
      <c r="AI18" s="297"/>
      <c r="AJ18" s="297"/>
      <c r="AK18" s="301"/>
      <c r="AL18" s="297"/>
      <c r="AM18" s="297"/>
      <c r="AN18" s="297"/>
      <c r="AO18" s="297"/>
      <c r="AP18" s="297"/>
      <c r="AQ18" s="300"/>
      <c r="AR18" s="300"/>
    </row>
    <row r="19" spans="2:44" ht="16.8" hidden="1" x14ac:dyDescent="0.3">
      <c r="B19" s="282"/>
      <c r="C19" s="282"/>
      <c r="D19" s="247"/>
      <c r="E19" s="259"/>
      <c r="F19" s="247"/>
      <c r="H19" s="259"/>
      <c r="K19" s="247"/>
      <c r="L19" s="247"/>
      <c r="M19" s="247"/>
      <c r="N19" s="247"/>
      <c r="O19" s="247"/>
      <c r="P19" s="280"/>
      <c r="Q19" s="282"/>
      <c r="R19" s="250"/>
      <c r="S19" s="259"/>
      <c r="T19" s="259"/>
      <c r="U19" s="263"/>
      <c r="V19" s="262"/>
      <c r="X19" s="337"/>
      <c r="Y19" s="263"/>
      <c r="Z19" s="263"/>
      <c r="AA19" s="276"/>
      <c r="AB19" s="276"/>
      <c r="AC19" s="276"/>
      <c r="AG19" s="263"/>
      <c r="AH19" s="263"/>
      <c r="AI19" s="263"/>
      <c r="AJ19" s="263"/>
      <c r="AK19" s="281"/>
      <c r="AL19" s="263"/>
      <c r="AM19" s="263"/>
      <c r="AN19" s="263"/>
      <c r="AO19" s="263"/>
      <c r="AP19" s="263"/>
      <c r="AQ19" s="276"/>
      <c r="AR19" s="276"/>
    </row>
    <row r="20" spans="2:44" hidden="1" x14ac:dyDescent="0.3">
      <c r="B20" s="304"/>
      <c r="C20" s="304"/>
      <c r="D20" s="304"/>
      <c r="E20" s="305"/>
      <c r="F20" s="304"/>
      <c r="G20" s="305"/>
      <c r="H20" s="305"/>
      <c r="I20" s="304"/>
      <c r="J20" s="305"/>
      <c r="K20" s="304"/>
      <c r="L20" s="304"/>
      <c r="M20" s="304"/>
      <c r="N20" s="304"/>
      <c r="O20" s="304"/>
      <c r="P20" s="306"/>
      <c r="Q20" s="304"/>
      <c r="R20" s="323"/>
      <c r="S20" s="305"/>
      <c r="T20" s="305"/>
      <c r="U20" s="307"/>
      <c r="V20" s="308"/>
      <c r="W20" s="308"/>
      <c r="X20" s="338"/>
      <c r="Y20" s="307"/>
      <c r="Z20" s="307"/>
      <c r="AA20" s="309"/>
      <c r="AB20" s="309"/>
      <c r="AC20" s="309"/>
      <c r="AD20" s="307"/>
      <c r="AE20" s="323"/>
      <c r="AF20" s="423"/>
      <c r="AG20" s="307"/>
      <c r="AH20" s="307"/>
      <c r="AI20" s="307"/>
      <c r="AJ20" s="307"/>
      <c r="AK20" s="311"/>
      <c r="AL20" s="307"/>
      <c r="AM20" s="307"/>
      <c r="AN20" s="307"/>
      <c r="AO20" s="307"/>
      <c r="AP20" s="307"/>
      <c r="AQ20" s="309"/>
      <c r="AR20" s="309"/>
    </row>
    <row r="21" spans="2:44" hidden="1" x14ac:dyDescent="0.3">
      <c r="B21" s="313"/>
      <c r="C21" s="313"/>
      <c r="D21" s="313"/>
      <c r="E21" s="314"/>
      <c r="F21" s="313"/>
      <c r="G21" s="314"/>
      <c r="H21" s="314"/>
      <c r="I21" s="313"/>
      <c r="J21" s="314"/>
      <c r="K21" s="313"/>
      <c r="L21" s="313"/>
      <c r="M21" s="313"/>
      <c r="N21" s="313"/>
      <c r="O21" s="313"/>
      <c r="P21" s="315"/>
      <c r="Q21" s="313"/>
      <c r="R21" s="324"/>
      <c r="S21" s="314"/>
      <c r="T21" s="314"/>
      <c r="U21" s="316"/>
      <c r="V21" s="317"/>
      <c r="W21" s="317"/>
      <c r="X21" s="339"/>
      <c r="Y21" s="316"/>
      <c r="Z21" s="316"/>
      <c r="AA21" s="319"/>
      <c r="AB21" s="319"/>
      <c r="AC21" s="319"/>
      <c r="AD21" s="316"/>
      <c r="AE21" s="324"/>
      <c r="AF21" s="424"/>
      <c r="AG21" s="318"/>
      <c r="AH21" s="318"/>
      <c r="AI21" s="318"/>
      <c r="AJ21" s="318"/>
      <c r="AK21" s="321"/>
      <c r="AL21" s="318"/>
      <c r="AM21" s="318"/>
      <c r="AN21" s="318"/>
      <c r="AO21" s="318"/>
      <c r="AP21" s="318"/>
      <c r="AQ21" s="325"/>
      <c r="AR21" s="325"/>
    </row>
    <row r="22" spans="2:44" hidden="1" x14ac:dyDescent="0.3">
      <c r="B22" s="313"/>
      <c r="C22" s="313"/>
      <c r="D22" s="313"/>
      <c r="E22" s="314"/>
      <c r="F22" s="313"/>
      <c r="G22" s="314"/>
      <c r="H22" s="314"/>
      <c r="I22" s="313"/>
      <c r="J22" s="314"/>
      <c r="K22" s="313"/>
      <c r="L22" s="313"/>
      <c r="M22" s="313"/>
      <c r="N22" s="313"/>
      <c r="O22" s="313"/>
      <c r="P22" s="315"/>
      <c r="Q22" s="313"/>
      <c r="R22" s="324"/>
      <c r="S22" s="314"/>
      <c r="T22" s="314"/>
      <c r="U22" s="316"/>
      <c r="V22" s="317"/>
      <c r="W22" s="317"/>
      <c r="X22" s="339"/>
      <c r="Y22" s="316"/>
      <c r="Z22" s="316"/>
      <c r="AA22" s="319"/>
      <c r="AB22" s="319"/>
      <c r="AC22" s="319"/>
      <c r="AD22" s="316"/>
      <c r="AE22" s="324"/>
      <c r="AF22" s="424"/>
      <c r="AG22" s="318"/>
      <c r="AH22" s="318"/>
      <c r="AI22" s="318"/>
      <c r="AJ22" s="318"/>
      <c r="AK22" s="321"/>
      <c r="AL22" s="318"/>
      <c r="AM22" s="318"/>
      <c r="AN22" s="318"/>
      <c r="AO22" s="318"/>
      <c r="AP22" s="318"/>
      <c r="AQ22" s="325"/>
      <c r="AR22" s="325"/>
    </row>
    <row r="23" spans="2:44" hidden="1" x14ac:dyDescent="0.3">
      <c r="B23" s="294"/>
      <c r="C23" s="294"/>
      <c r="D23" s="294"/>
      <c r="E23" s="293"/>
      <c r="F23" s="294"/>
      <c r="G23" s="293"/>
      <c r="H23" s="293"/>
      <c r="I23" s="294"/>
      <c r="J23" s="293"/>
      <c r="K23" s="294"/>
      <c r="L23" s="294"/>
      <c r="M23" s="294"/>
      <c r="N23" s="294"/>
      <c r="O23" s="294"/>
      <c r="P23" s="296"/>
      <c r="Q23" s="294"/>
      <c r="R23" s="295"/>
      <c r="S23" s="293"/>
      <c r="T23" s="293"/>
      <c r="U23" s="297"/>
      <c r="V23" s="299"/>
      <c r="W23" s="299"/>
      <c r="X23" s="336"/>
      <c r="Y23" s="297"/>
      <c r="Z23" s="297"/>
      <c r="AA23" s="300"/>
      <c r="AB23" s="300"/>
      <c r="AC23" s="300"/>
      <c r="AD23" s="297"/>
      <c r="AE23" s="295"/>
      <c r="AF23" s="422"/>
      <c r="AG23" s="297"/>
      <c r="AH23" s="297"/>
      <c r="AI23" s="297"/>
      <c r="AJ23" s="297"/>
      <c r="AK23" s="301"/>
      <c r="AL23" s="297"/>
      <c r="AM23" s="297"/>
      <c r="AN23" s="297"/>
      <c r="AO23" s="297"/>
      <c r="AP23" s="297"/>
      <c r="AQ23" s="300"/>
      <c r="AR23" s="300"/>
    </row>
    <row r="24" spans="2:44" hidden="1" x14ac:dyDescent="0.3">
      <c r="B24" s="247"/>
      <c r="C24" s="247"/>
      <c r="D24" s="247"/>
      <c r="E24" s="259"/>
      <c r="F24" s="247"/>
      <c r="H24" s="259"/>
      <c r="K24" s="247"/>
      <c r="L24" s="247"/>
      <c r="M24" s="247"/>
      <c r="N24" s="247"/>
      <c r="O24" s="247"/>
      <c r="P24" s="280"/>
      <c r="Q24" s="247"/>
      <c r="R24" s="249"/>
      <c r="S24" s="259"/>
      <c r="T24" s="259"/>
      <c r="U24" s="263"/>
      <c r="V24" s="262"/>
      <c r="X24" s="337"/>
      <c r="Y24" s="263"/>
      <c r="Z24" s="263"/>
      <c r="AA24" s="276"/>
      <c r="AB24" s="276"/>
      <c r="AC24" s="276"/>
      <c r="AG24" s="263"/>
      <c r="AH24" s="263"/>
      <c r="AI24" s="263"/>
      <c r="AJ24" s="263"/>
      <c r="AK24" s="281"/>
      <c r="AL24" s="263"/>
      <c r="AM24" s="263"/>
      <c r="AN24" s="263"/>
      <c r="AO24" s="263"/>
      <c r="AP24" s="263"/>
      <c r="AQ24" s="276"/>
      <c r="AR24" s="276"/>
    </row>
    <row r="25" spans="2:44" hidden="1" x14ac:dyDescent="0.3">
      <c r="B25" s="247"/>
      <c r="C25" s="247"/>
      <c r="D25" s="247"/>
      <c r="E25" s="259"/>
      <c r="F25" s="247"/>
      <c r="H25" s="259"/>
      <c r="K25" s="247"/>
      <c r="L25" s="247"/>
      <c r="M25" s="247"/>
      <c r="N25" s="247"/>
      <c r="O25" s="247"/>
      <c r="P25" s="280"/>
      <c r="Q25" s="247"/>
      <c r="R25" s="249"/>
      <c r="S25" s="259"/>
      <c r="T25" s="259"/>
      <c r="U25" s="263"/>
      <c r="V25" s="262"/>
      <c r="X25" s="337"/>
      <c r="Y25" s="263"/>
      <c r="Z25" s="263"/>
      <c r="AA25" s="276"/>
      <c r="AB25" s="276"/>
      <c r="AC25" s="276"/>
      <c r="AG25" s="263"/>
      <c r="AH25" s="263"/>
      <c r="AI25" s="263"/>
      <c r="AJ25" s="263"/>
      <c r="AK25" s="281"/>
      <c r="AL25" s="263"/>
      <c r="AM25" s="263"/>
      <c r="AN25" s="263"/>
      <c r="AO25" s="263"/>
      <c r="AP25" s="263"/>
      <c r="AQ25" s="276"/>
      <c r="AR25" s="276"/>
    </row>
    <row r="26" spans="2:44" hidden="1" x14ac:dyDescent="0.3">
      <c r="B26" s="247"/>
      <c r="C26" s="247"/>
      <c r="D26" s="247"/>
      <c r="E26" s="259"/>
      <c r="F26" s="247"/>
      <c r="H26" s="259"/>
      <c r="K26" s="247"/>
      <c r="L26" s="247"/>
      <c r="M26" s="247"/>
      <c r="N26" s="247"/>
      <c r="O26" s="247"/>
      <c r="P26" s="280"/>
      <c r="Q26" s="247"/>
      <c r="R26" s="249"/>
      <c r="S26" s="259"/>
      <c r="T26" s="259"/>
      <c r="U26" s="263"/>
      <c r="V26" s="262"/>
      <c r="X26" s="337"/>
      <c r="Y26" s="263"/>
      <c r="Z26" s="263"/>
      <c r="AA26" s="276"/>
      <c r="AB26" s="276"/>
      <c r="AC26" s="276"/>
      <c r="AG26" s="263"/>
      <c r="AH26" s="263"/>
      <c r="AI26" s="263"/>
      <c r="AJ26" s="263"/>
      <c r="AK26" s="281"/>
      <c r="AL26" s="263"/>
      <c r="AM26" s="263"/>
      <c r="AN26" s="263"/>
      <c r="AO26" s="263"/>
      <c r="AP26" s="263"/>
      <c r="AQ26" s="276"/>
      <c r="AR26" s="276"/>
    </row>
    <row r="27" spans="2:44" hidden="1" x14ac:dyDescent="0.3">
      <c r="B27" s="247"/>
      <c r="C27" s="247"/>
      <c r="D27" s="247"/>
      <c r="E27" s="259"/>
      <c r="F27" s="247"/>
      <c r="H27" s="259"/>
      <c r="K27" s="247"/>
      <c r="L27" s="247"/>
      <c r="M27" s="247"/>
      <c r="N27" s="247"/>
      <c r="O27" s="247"/>
      <c r="P27" s="280"/>
      <c r="Q27" s="247"/>
      <c r="R27" s="249"/>
      <c r="S27" s="259"/>
      <c r="T27" s="259"/>
      <c r="U27" s="263"/>
      <c r="V27" s="262"/>
      <c r="X27" s="337"/>
      <c r="Y27" s="263"/>
      <c r="Z27" s="263"/>
      <c r="AA27" s="276"/>
      <c r="AB27" s="276"/>
      <c r="AC27" s="276"/>
      <c r="AG27" s="263"/>
      <c r="AH27" s="263"/>
      <c r="AI27" s="263"/>
      <c r="AJ27" s="263"/>
      <c r="AK27" s="281"/>
      <c r="AL27" s="263"/>
      <c r="AM27" s="263"/>
      <c r="AN27" s="263"/>
      <c r="AO27" s="263"/>
      <c r="AP27" s="263"/>
      <c r="AQ27" s="276"/>
      <c r="AR27" s="276"/>
    </row>
    <row r="28" spans="2:44" hidden="1" x14ac:dyDescent="0.3">
      <c r="B28" s="304"/>
      <c r="C28" s="304"/>
      <c r="D28" s="304"/>
      <c r="E28" s="305"/>
      <c r="F28" s="304"/>
      <c r="G28" s="305"/>
      <c r="H28" s="305"/>
      <c r="I28" s="304"/>
      <c r="J28" s="305"/>
      <c r="K28" s="304"/>
      <c r="L28" s="304"/>
      <c r="M28" s="304"/>
      <c r="N28" s="304"/>
      <c r="O28" s="304"/>
      <c r="P28" s="306"/>
      <c r="Q28" s="304"/>
      <c r="R28" s="323"/>
      <c r="S28" s="326"/>
      <c r="T28" s="305"/>
      <c r="U28" s="307"/>
      <c r="V28" s="308"/>
      <c r="W28" s="308"/>
      <c r="X28" s="338"/>
      <c r="Y28" s="307"/>
      <c r="Z28" s="307"/>
      <c r="AA28" s="309"/>
      <c r="AB28" s="309"/>
      <c r="AC28" s="309"/>
      <c r="AD28" s="307"/>
      <c r="AE28" s="323"/>
      <c r="AF28" s="423"/>
      <c r="AG28" s="307"/>
      <c r="AH28" s="307"/>
      <c r="AI28" s="307"/>
      <c r="AJ28" s="307"/>
      <c r="AK28" s="311"/>
      <c r="AL28" s="307"/>
      <c r="AM28" s="307"/>
      <c r="AN28" s="307"/>
      <c r="AO28" s="307"/>
      <c r="AP28" s="307"/>
      <c r="AQ28" s="309"/>
      <c r="AR28" s="309"/>
    </row>
    <row r="29" spans="2:44" hidden="1" x14ac:dyDescent="0.3">
      <c r="B29" s="313"/>
      <c r="C29" s="313"/>
      <c r="D29" s="313"/>
      <c r="E29" s="314"/>
      <c r="F29" s="313"/>
      <c r="G29" s="314"/>
      <c r="H29" s="314"/>
      <c r="I29" s="313"/>
      <c r="J29" s="314"/>
      <c r="K29" s="313"/>
      <c r="L29" s="313"/>
      <c r="M29" s="313"/>
      <c r="N29" s="313"/>
      <c r="O29" s="313"/>
      <c r="P29" s="315"/>
      <c r="Q29" s="313"/>
      <c r="R29" s="324"/>
      <c r="S29" s="314"/>
      <c r="T29" s="314"/>
      <c r="U29" s="316"/>
      <c r="V29" s="317"/>
      <c r="W29" s="317"/>
      <c r="X29" s="339"/>
      <c r="Y29" s="316"/>
      <c r="Z29" s="316"/>
      <c r="AA29" s="319"/>
      <c r="AB29" s="319"/>
      <c r="AC29" s="319"/>
      <c r="AD29" s="316"/>
      <c r="AE29" s="324"/>
      <c r="AF29" s="424"/>
      <c r="AG29" s="318"/>
      <c r="AH29" s="318"/>
      <c r="AI29" s="318"/>
      <c r="AJ29" s="318"/>
      <c r="AK29" s="321"/>
      <c r="AL29" s="318"/>
      <c r="AM29" s="318"/>
      <c r="AN29" s="318"/>
      <c r="AO29" s="318"/>
      <c r="AP29" s="318"/>
      <c r="AQ29" s="325"/>
      <c r="AR29" s="325"/>
    </row>
    <row r="30" spans="2:44" hidden="1" x14ac:dyDescent="0.3">
      <c r="B30" s="313"/>
      <c r="C30" s="313"/>
      <c r="D30" s="313"/>
      <c r="E30" s="314"/>
      <c r="F30" s="313"/>
      <c r="G30" s="314"/>
      <c r="H30" s="314"/>
      <c r="I30" s="313"/>
      <c r="J30" s="314"/>
      <c r="K30" s="313"/>
      <c r="L30" s="313"/>
      <c r="M30" s="313"/>
      <c r="N30" s="313"/>
      <c r="O30" s="313"/>
      <c r="P30" s="315"/>
      <c r="Q30" s="313"/>
      <c r="R30" s="324"/>
      <c r="S30" s="314"/>
      <c r="T30" s="314"/>
      <c r="U30" s="316"/>
      <c r="V30" s="317"/>
      <c r="W30" s="317"/>
      <c r="X30" s="339"/>
      <c r="Y30" s="316"/>
      <c r="Z30" s="316"/>
      <c r="AA30" s="319"/>
      <c r="AB30" s="319"/>
      <c r="AC30" s="319"/>
      <c r="AD30" s="316"/>
      <c r="AE30" s="324"/>
      <c r="AF30" s="424"/>
      <c r="AG30" s="318"/>
      <c r="AH30" s="318"/>
      <c r="AI30" s="318"/>
      <c r="AJ30" s="318"/>
      <c r="AK30" s="321"/>
      <c r="AL30" s="318"/>
      <c r="AM30" s="318"/>
      <c r="AN30" s="318"/>
      <c r="AO30" s="318"/>
      <c r="AP30" s="318"/>
      <c r="AQ30" s="325"/>
      <c r="AR30" s="325"/>
    </row>
    <row r="31" spans="2:44" hidden="1" x14ac:dyDescent="0.3">
      <c r="B31" s="294"/>
      <c r="C31" s="294"/>
      <c r="D31" s="294"/>
      <c r="E31" s="293"/>
      <c r="F31" s="294"/>
      <c r="G31" s="293"/>
      <c r="H31" s="293"/>
      <c r="I31" s="294"/>
      <c r="J31" s="293"/>
      <c r="K31" s="294"/>
      <c r="L31" s="294"/>
      <c r="M31" s="294"/>
      <c r="N31" s="294"/>
      <c r="O31" s="294"/>
      <c r="P31" s="296"/>
      <c r="Q31" s="294"/>
      <c r="R31" s="295"/>
      <c r="S31" s="297"/>
      <c r="T31" s="293"/>
      <c r="U31" s="297"/>
      <c r="V31" s="299"/>
      <c r="W31" s="299"/>
      <c r="X31" s="336"/>
      <c r="Y31" s="297"/>
      <c r="Z31" s="297"/>
      <c r="AA31" s="300"/>
      <c r="AB31" s="300"/>
      <c r="AC31" s="300"/>
      <c r="AD31" s="297"/>
      <c r="AE31" s="295"/>
      <c r="AF31" s="422"/>
      <c r="AG31" s="297"/>
      <c r="AH31" s="297"/>
      <c r="AI31" s="297"/>
      <c r="AJ31" s="297"/>
      <c r="AK31" s="301"/>
      <c r="AL31" s="297"/>
      <c r="AM31" s="297"/>
      <c r="AN31" s="297"/>
      <c r="AO31" s="297"/>
      <c r="AP31" s="297"/>
      <c r="AQ31" s="300"/>
      <c r="AR31" s="300"/>
    </row>
    <row r="32" spans="2:44" hidden="1" x14ac:dyDescent="0.3">
      <c r="B32" s="247"/>
      <c r="C32" s="247"/>
      <c r="D32" s="247"/>
      <c r="E32" s="259"/>
      <c r="F32" s="247"/>
      <c r="H32" s="259"/>
      <c r="K32" s="247"/>
      <c r="L32" s="247"/>
      <c r="M32" s="247"/>
      <c r="N32" s="247"/>
      <c r="O32" s="247"/>
      <c r="P32" s="280"/>
      <c r="Q32" s="247"/>
      <c r="R32" s="249"/>
      <c r="S32" s="259"/>
      <c r="T32" s="259"/>
      <c r="U32" s="263"/>
      <c r="V32" s="262"/>
      <c r="X32" s="337"/>
      <c r="Y32" s="263"/>
      <c r="Z32" s="263"/>
      <c r="AA32" s="276"/>
      <c r="AB32" s="276"/>
      <c r="AC32" s="276"/>
      <c r="AG32" s="263"/>
      <c r="AH32" s="263"/>
      <c r="AI32" s="263"/>
      <c r="AJ32" s="263"/>
      <c r="AK32" s="281"/>
      <c r="AL32" s="263"/>
      <c r="AM32" s="263"/>
      <c r="AN32" s="263"/>
      <c r="AO32" s="263"/>
      <c r="AP32" s="263"/>
      <c r="AQ32" s="276"/>
      <c r="AR32" s="276"/>
    </row>
    <row r="33" spans="2:45" hidden="1" x14ac:dyDescent="0.3">
      <c r="B33" s="247"/>
      <c r="C33" s="247"/>
      <c r="D33" s="247"/>
      <c r="E33" s="259"/>
      <c r="F33" s="247"/>
      <c r="H33" s="259"/>
      <c r="K33" s="247"/>
      <c r="L33" s="247"/>
      <c r="M33" s="247"/>
      <c r="N33" s="247"/>
      <c r="O33" s="247"/>
      <c r="P33" s="280"/>
      <c r="Q33" s="247"/>
      <c r="R33" s="249"/>
      <c r="S33" s="263"/>
      <c r="T33" s="259"/>
      <c r="U33" s="263"/>
      <c r="V33" s="262"/>
      <c r="X33" s="337"/>
      <c r="Y33" s="263"/>
      <c r="Z33" s="263"/>
      <c r="AA33" s="276"/>
      <c r="AB33" s="276"/>
      <c r="AC33" s="276"/>
      <c r="AG33" s="263"/>
      <c r="AH33" s="263"/>
      <c r="AI33" s="263"/>
      <c r="AJ33" s="263"/>
      <c r="AK33" s="281"/>
      <c r="AL33" s="263"/>
      <c r="AM33" s="263"/>
      <c r="AN33" s="263"/>
      <c r="AO33" s="263"/>
      <c r="AP33" s="263"/>
      <c r="AQ33" s="276"/>
      <c r="AR33" s="276"/>
    </row>
    <row r="34" spans="2:45" hidden="1" x14ac:dyDescent="0.3">
      <c r="B34" s="247"/>
      <c r="C34" s="247"/>
      <c r="D34" s="247"/>
      <c r="E34" s="259"/>
      <c r="F34" s="247"/>
      <c r="H34" s="259"/>
      <c r="K34" s="247"/>
      <c r="L34" s="247"/>
      <c r="M34" s="247"/>
      <c r="N34" s="247"/>
      <c r="O34" s="247"/>
      <c r="P34" s="280"/>
      <c r="Q34" s="247"/>
      <c r="R34" s="249"/>
      <c r="S34" s="259"/>
      <c r="T34" s="259"/>
      <c r="U34" s="263"/>
      <c r="V34" s="262"/>
      <c r="X34" s="337"/>
      <c r="Y34" s="263"/>
      <c r="Z34" s="263"/>
      <c r="AA34" s="276"/>
      <c r="AB34" s="276"/>
      <c r="AC34" s="276"/>
      <c r="AG34" s="263"/>
      <c r="AH34" s="263"/>
      <c r="AI34" s="263"/>
      <c r="AJ34" s="263"/>
      <c r="AK34" s="281"/>
      <c r="AL34" s="263"/>
      <c r="AM34" s="263"/>
      <c r="AN34" s="263"/>
      <c r="AO34" s="263"/>
      <c r="AP34" s="263"/>
      <c r="AQ34" s="276"/>
      <c r="AR34" s="276"/>
    </row>
    <row r="35" spans="2:45" hidden="1" x14ac:dyDescent="0.3">
      <c r="B35" s="247"/>
      <c r="C35" s="247"/>
      <c r="D35" s="247"/>
      <c r="E35" s="259"/>
      <c r="F35" s="247"/>
      <c r="H35" s="259"/>
      <c r="K35" s="247"/>
      <c r="L35" s="247"/>
      <c r="M35" s="247"/>
      <c r="N35" s="247"/>
      <c r="O35" s="247"/>
      <c r="P35" s="280"/>
      <c r="Q35" s="247"/>
      <c r="R35" s="249"/>
      <c r="S35" s="263"/>
      <c r="T35" s="259"/>
      <c r="U35" s="263"/>
      <c r="V35" s="262"/>
      <c r="X35" s="337"/>
      <c r="Y35" s="263"/>
      <c r="Z35" s="263"/>
      <c r="AA35" s="276"/>
      <c r="AB35" s="276"/>
      <c r="AC35" s="276"/>
      <c r="AG35" s="263"/>
      <c r="AH35" s="263"/>
      <c r="AI35" s="263"/>
      <c r="AJ35" s="263"/>
      <c r="AK35" s="281"/>
      <c r="AL35" s="263"/>
      <c r="AM35" s="263"/>
      <c r="AN35" s="263"/>
      <c r="AO35" s="263"/>
      <c r="AP35" s="263"/>
      <c r="AQ35" s="276"/>
      <c r="AR35" s="276"/>
    </row>
    <row r="36" spans="2:45" hidden="1" x14ac:dyDescent="0.3">
      <c r="B36" s="247"/>
      <c r="C36" s="247"/>
      <c r="D36" s="247"/>
      <c r="E36" s="259"/>
      <c r="F36" s="247"/>
      <c r="H36" s="259"/>
      <c r="K36" s="247"/>
      <c r="L36" s="247"/>
      <c r="M36" s="247"/>
      <c r="N36" s="247"/>
      <c r="O36" s="247"/>
      <c r="P36" s="280"/>
      <c r="Q36" s="247"/>
      <c r="R36" s="249"/>
      <c r="S36" s="259"/>
      <c r="T36" s="259"/>
      <c r="U36" s="263"/>
      <c r="V36" s="262"/>
      <c r="X36" s="337"/>
      <c r="Y36" s="263"/>
      <c r="Z36" s="263"/>
      <c r="AA36" s="276"/>
      <c r="AB36" s="276"/>
      <c r="AC36" s="276"/>
      <c r="AG36" s="263"/>
      <c r="AH36" s="263"/>
      <c r="AI36" s="263"/>
      <c r="AJ36" s="263"/>
      <c r="AK36" s="281"/>
      <c r="AL36" s="263"/>
      <c r="AM36" s="263"/>
      <c r="AN36" s="263"/>
      <c r="AO36" s="263"/>
      <c r="AP36" s="263"/>
      <c r="AQ36" s="276"/>
      <c r="AR36" s="276"/>
    </row>
    <row r="37" spans="2:45" hidden="1" x14ac:dyDescent="0.3">
      <c r="B37" s="304"/>
      <c r="C37" s="304"/>
      <c r="D37" s="304"/>
      <c r="E37" s="305"/>
      <c r="F37" s="304"/>
      <c r="G37" s="305"/>
      <c r="H37" s="305"/>
      <c r="I37" s="304"/>
      <c r="J37" s="305"/>
      <c r="K37" s="304"/>
      <c r="L37" s="304"/>
      <c r="M37" s="304"/>
      <c r="N37" s="304"/>
      <c r="O37" s="304"/>
      <c r="P37" s="306"/>
      <c r="Q37" s="304"/>
      <c r="R37" s="323"/>
      <c r="S37" s="307"/>
      <c r="T37" s="326"/>
      <c r="U37" s="307"/>
      <c r="V37" s="308"/>
      <c r="W37" s="308"/>
      <c r="X37" s="338"/>
      <c r="Y37" s="307"/>
      <c r="Z37" s="307"/>
      <c r="AA37" s="309"/>
      <c r="AB37" s="309"/>
      <c r="AC37" s="309"/>
      <c r="AD37" s="307"/>
      <c r="AE37" s="323"/>
      <c r="AF37" s="423"/>
      <c r="AG37" s="307"/>
      <c r="AH37" s="307"/>
      <c r="AI37" s="307"/>
      <c r="AJ37" s="307"/>
      <c r="AK37" s="311"/>
      <c r="AL37" s="307"/>
      <c r="AM37" s="307"/>
      <c r="AN37" s="307"/>
      <c r="AO37" s="307"/>
      <c r="AP37" s="307"/>
      <c r="AQ37" s="309"/>
      <c r="AR37" s="309"/>
    </row>
    <row r="38" spans="2:45" hidden="1" x14ac:dyDescent="0.3">
      <c r="B38" s="327"/>
      <c r="C38" s="327"/>
      <c r="D38" s="327"/>
      <c r="E38" s="328"/>
      <c r="F38" s="327"/>
      <c r="G38" s="328"/>
      <c r="H38" s="328"/>
      <c r="I38" s="327"/>
      <c r="J38" s="328"/>
      <c r="K38" s="327"/>
      <c r="L38" s="327"/>
      <c r="M38" s="327"/>
      <c r="N38" s="327"/>
      <c r="O38" s="327"/>
      <c r="P38" s="330"/>
      <c r="Q38" s="327"/>
      <c r="R38" s="329"/>
      <c r="S38" s="328"/>
      <c r="T38" s="328"/>
      <c r="U38" s="331"/>
      <c r="V38" s="332"/>
      <c r="W38" s="332"/>
      <c r="X38" s="340"/>
      <c r="Y38" s="331"/>
      <c r="Z38" s="331"/>
      <c r="AA38" s="333"/>
      <c r="AB38" s="333"/>
      <c r="AC38" s="333"/>
      <c r="AD38" s="331"/>
      <c r="AE38" s="329"/>
      <c r="AF38" s="425"/>
      <c r="AG38" s="331"/>
      <c r="AH38" s="331"/>
      <c r="AI38" s="331"/>
      <c r="AJ38" s="331"/>
      <c r="AK38" s="334"/>
      <c r="AL38" s="331"/>
      <c r="AM38" s="331"/>
      <c r="AN38" s="331"/>
      <c r="AO38" s="331"/>
      <c r="AP38" s="331"/>
      <c r="AQ38" s="333"/>
      <c r="AR38" s="333"/>
    </row>
    <row r="39" spans="2:45" hidden="1" x14ac:dyDescent="0.3">
      <c r="B39" s="294"/>
      <c r="C39" s="294"/>
      <c r="D39" s="294"/>
      <c r="E39" s="293"/>
      <c r="F39" s="294"/>
      <c r="G39" s="293"/>
      <c r="H39" s="293"/>
      <c r="I39" s="294"/>
      <c r="J39" s="293"/>
      <c r="K39" s="294"/>
      <c r="L39" s="294"/>
      <c r="M39" s="294"/>
      <c r="N39" s="294"/>
      <c r="O39" s="294"/>
      <c r="P39" s="296"/>
      <c r="Q39" s="294"/>
      <c r="R39" s="295"/>
      <c r="S39" s="297"/>
      <c r="T39" s="298"/>
      <c r="U39" s="297"/>
      <c r="V39" s="299"/>
      <c r="W39" s="299"/>
      <c r="X39" s="336"/>
      <c r="Y39" s="297"/>
      <c r="Z39" s="297"/>
      <c r="AA39" s="300"/>
      <c r="AB39" s="300"/>
      <c r="AC39" s="300"/>
      <c r="AD39" s="297"/>
      <c r="AE39" s="295"/>
      <c r="AF39" s="422"/>
      <c r="AG39" s="297"/>
      <c r="AH39" s="297"/>
      <c r="AI39" s="297"/>
      <c r="AJ39" s="297"/>
      <c r="AK39" s="301"/>
      <c r="AL39" s="297"/>
      <c r="AM39" s="297"/>
      <c r="AN39" s="297"/>
      <c r="AO39" s="297"/>
      <c r="AP39" s="297"/>
      <c r="AQ39" s="300"/>
      <c r="AR39" s="300"/>
    </row>
    <row r="40" spans="2:45" hidden="1" x14ac:dyDescent="0.3">
      <c r="B40" s="247"/>
      <c r="C40" s="247"/>
      <c r="D40" s="247"/>
      <c r="E40" s="259"/>
      <c r="F40" s="247"/>
      <c r="H40" s="259"/>
      <c r="K40" s="247"/>
      <c r="L40" s="247"/>
      <c r="M40" s="247"/>
      <c r="N40" s="247"/>
      <c r="O40" s="247"/>
      <c r="P40" s="280"/>
      <c r="Q40" s="247"/>
      <c r="R40" s="249"/>
      <c r="S40" s="259"/>
      <c r="T40" s="259"/>
      <c r="U40" s="263"/>
      <c r="V40" s="262"/>
      <c r="X40" s="337"/>
      <c r="Y40" s="263"/>
      <c r="Z40" s="263"/>
      <c r="AA40" s="276"/>
      <c r="AB40" s="276"/>
      <c r="AC40" s="276"/>
      <c r="AG40" s="263"/>
      <c r="AH40" s="263"/>
      <c r="AI40" s="263"/>
      <c r="AJ40" s="263"/>
      <c r="AK40" s="281"/>
      <c r="AL40" s="263"/>
      <c r="AM40" s="263"/>
      <c r="AN40" s="263"/>
      <c r="AO40" s="263"/>
      <c r="AP40" s="263"/>
      <c r="AQ40" s="276"/>
      <c r="AR40" s="276"/>
    </row>
    <row r="41" spans="2:45" hidden="1" x14ac:dyDescent="0.3">
      <c r="B41" s="304"/>
      <c r="C41" s="304"/>
      <c r="D41" s="304"/>
      <c r="E41" s="305"/>
      <c r="F41" s="304"/>
      <c r="G41" s="305"/>
      <c r="H41" s="305"/>
      <c r="I41" s="304"/>
      <c r="J41" s="305"/>
      <c r="K41" s="304"/>
      <c r="L41" s="304"/>
      <c r="M41" s="304"/>
      <c r="N41" s="304"/>
      <c r="O41" s="304"/>
      <c r="P41" s="306"/>
      <c r="Q41" s="304"/>
      <c r="R41" s="304"/>
      <c r="S41" s="305"/>
      <c r="T41" s="305"/>
      <c r="U41" s="307"/>
      <c r="V41" s="308"/>
      <c r="W41" s="305"/>
      <c r="X41" s="338"/>
      <c r="Y41" s="307"/>
      <c r="Z41" s="305"/>
      <c r="AA41" s="326"/>
      <c r="AB41" s="309"/>
      <c r="AC41" s="309"/>
      <c r="AD41" s="307"/>
      <c r="AE41" s="323"/>
      <c r="AF41" s="423"/>
      <c r="AG41" s="307"/>
      <c r="AH41" s="307"/>
      <c r="AI41" s="307"/>
      <c r="AJ41" s="307"/>
      <c r="AK41" s="311"/>
      <c r="AL41" s="307"/>
      <c r="AM41" s="307"/>
      <c r="AN41" s="307"/>
      <c r="AO41" s="307"/>
      <c r="AP41" s="307"/>
      <c r="AQ41" s="309"/>
      <c r="AR41" s="309"/>
    </row>
    <row r="42" spans="2:45" hidden="1" x14ac:dyDescent="0.3">
      <c r="B42" s="313"/>
      <c r="C42" s="313"/>
      <c r="D42" s="313"/>
      <c r="E42" s="314"/>
      <c r="F42" s="313"/>
      <c r="G42" s="314"/>
      <c r="H42" s="314"/>
      <c r="I42" s="313"/>
      <c r="J42" s="314"/>
      <c r="K42" s="313"/>
      <c r="L42" s="313"/>
      <c r="M42" s="313"/>
      <c r="N42" s="313"/>
      <c r="O42" s="313"/>
      <c r="P42" s="315"/>
      <c r="Q42" s="313"/>
      <c r="R42" s="313"/>
      <c r="S42" s="314"/>
      <c r="T42" s="314"/>
      <c r="U42" s="316"/>
      <c r="V42" s="317"/>
      <c r="W42" s="317"/>
      <c r="X42" s="339"/>
      <c r="Y42" s="316"/>
      <c r="Z42" s="314"/>
      <c r="AA42" s="335"/>
      <c r="AB42" s="319"/>
      <c r="AC42" s="319"/>
      <c r="AD42" s="316"/>
      <c r="AE42" s="324"/>
      <c r="AF42" s="424"/>
      <c r="AG42" s="318"/>
      <c r="AH42" s="318"/>
      <c r="AI42" s="318"/>
      <c r="AJ42" s="318"/>
      <c r="AK42" s="321"/>
      <c r="AL42" s="318"/>
      <c r="AM42" s="318"/>
      <c r="AN42" s="318"/>
      <c r="AO42" s="318"/>
      <c r="AP42" s="318"/>
      <c r="AQ42" s="325"/>
      <c r="AR42" s="325"/>
    </row>
    <row r="43" spans="2:45" hidden="1" x14ac:dyDescent="0.3">
      <c r="B43" s="313"/>
      <c r="C43" s="313"/>
      <c r="D43" s="313"/>
      <c r="E43" s="314"/>
      <c r="F43" s="313"/>
      <c r="G43" s="314"/>
      <c r="H43" s="314"/>
      <c r="I43" s="313"/>
      <c r="J43" s="314"/>
      <c r="K43" s="313"/>
      <c r="L43" s="313"/>
      <c r="M43" s="313"/>
      <c r="N43" s="313"/>
      <c r="O43" s="313"/>
      <c r="P43" s="315"/>
      <c r="Q43" s="313"/>
      <c r="R43" s="313"/>
      <c r="S43" s="314"/>
      <c r="T43" s="314"/>
      <c r="U43" s="316"/>
      <c r="V43" s="314"/>
      <c r="W43" s="314"/>
      <c r="X43" s="339"/>
      <c r="Y43" s="316"/>
      <c r="Z43" s="314"/>
      <c r="AA43" s="335"/>
      <c r="AB43" s="319"/>
      <c r="AC43" s="319"/>
      <c r="AD43" s="316"/>
      <c r="AE43" s="324"/>
      <c r="AF43" s="424"/>
      <c r="AG43" s="318"/>
      <c r="AH43" s="318"/>
      <c r="AI43" s="318"/>
      <c r="AJ43" s="318"/>
      <c r="AK43" s="321"/>
      <c r="AL43" s="318"/>
      <c r="AM43" s="318"/>
      <c r="AN43" s="318"/>
      <c r="AO43" s="318"/>
      <c r="AP43" s="318"/>
      <c r="AQ43" s="325"/>
      <c r="AR43" s="325"/>
    </row>
    <row r="44" spans="2:45" hidden="1" x14ac:dyDescent="0.3">
      <c r="B44" s="327"/>
      <c r="C44" s="327"/>
      <c r="D44" s="327"/>
      <c r="E44" s="328"/>
      <c r="F44" s="327"/>
      <c r="G44" s="328"/>
      <c r="H44" s="328"/>
      <c r="I44" s="327"/>
      <c r="J44" s="328"/>
      <c r="K44" s="327"/>
      <c r="L44" s="327"/>
      <c r="M44" s="327"/>
      <c r="N44" s="327"/>
      <c r="O44" s="327"/>
      <c r="P44" s="330"/>
      <c r="Q44" s="327"/>
      <c r="R44" s="327"/>
      <c r="S44" s="328"/>
      <c r="T44" s="328"/>
      <c r="U44" s="331"/>
      <c r="V44" s="328"/>
      <c r="W44" s="328"/>
      <c r="X44" s="340"/>
      <c r="Y44" s="331"/>
      <c r="Z44" s="328"/>
      <c r="AA44" s="343"/>
      <c r="AB44" s="333"/>
      <c r="AC44" s="333"/>
      <c r="AD44" s="331"/>
      <c r="AE44" s="329"/>
      <c r="AF44" s="425"/>
      <c r="AG44" s="344"/>
      <c r="AH44" s="344"/>
      <c r="AI44" s="344"/>
      <c r="AJ44" s="344"/>
      <c r="AK44" s="334"/>
      <c r="AL44" s="344"/>
      <c r="AM44" s="344"/>
      <c r="AN44" s="344"/>
      <c r="AO44" s="344"/>
      <c r="AP44" s="344"/>
      <c r="AQ44" s="345"/>
      <c r="AR44" s="345"/>
    </row>
    <row r="45" spans="2:45" hidden="1" x14ac:dyDescent="0.3">
      <c r="B45" s="283"/>
      <c r="C45" s="283"/>
      <c r="D45" s="284"/>
      <c r="E45" s="285"/>
      <c r="F45" s="284"/>
      <c r="G45" s="285"/>
      <c r="H45" s="285"/>
      <c r="I45" s="284"/>
      <c r="J45" s="285"/>
      <c r="K45" s="284"/>
      <c r="L45" s="284"/>
      <c r="M45" s="284"/>
      <c r="N45" s="284"/>
      <c r="O45" s="284"/>
      <c r="P45" s="286"/>
      <c r="Q45" s="283"/>
      <c r="R45" s="284"/>
      <c r="S45" s="285"/>
      <c r="T45" s="285"/>
      <c r="U45" s="289"/>
      <c r="V45" s="285"/>
      <c r="W45" s="287"/>
      <c r="X45" s="341"/>
      <c r="Y45" s="289"/>
      <c r="Z45" s="289"/>
      <c r="AA45" s="290"/>
      <c r="AB45" s="290"/>
      <c r="AC45" s="290"/>
      <c r="AD45" s="289"/>
      <c r="AE45" s="469"/>
      <c r="AF45" s="421"/>
      <c r="AG45" s="288"/>
      <c r="AH45" s="288"/>
      <c r="AI45" s="288"/>
      <c r="AJ45" s="288"/>
      <c r="AK45" s="291"/>
      <c r="AL45" s="288"/>
      <c r="AM45" s="288"/>
      <c r="AN45" s="288"/>
      <c r="AO45" s="288"/>
      <c r="AP45" s="288"/>
      <c r="AQ45" s="292"/>
      <c r="AR45" s="292"/>
    </row>
    <row r="46" spans="2:45" hidden="1" x14ac:dyDescent="0.3">
      <c r="B46" s="294"/>
      <c r="C46" s="294"/>
      <c r="D46" s="294"/>
      <c r="E46" s="293"/>
      <c r="F46" s="294"/>
      <c r="G46" s="293"/>
      <c r="H46" s="293"/>
      <c r="I46" s="294"/>
      <c r="J46" s="293"/>
      <c r="K46" s="294"/>
      <c r="L46" s="294"/>
      <c r="M46" s="294"/>
      <c r="N46" s="294"/>
      <c r="O46" s="294"/>
      <c r="P46" s="296"/>
      <c r="Q46" s="294"/>
      <c r="R46" s="295"/>
      <c r="S46" s="300"/>
      <c r="T46" s="293"/>
      <c r="U46" s="297"/>
      <c r="V46" s="299"/>
      <c r="W46" s="299"/>
      <c r="X46" s="336"/>
      <c r="Y46" s="297"/>
      <c r="Z46" s="297"/>
      <c r="AA46" s="300"/>
      <c r="AB46" s="300"/>
      <c r="AC46" s="300"/>
      <c r="AD46" s="297"/>
      <c r="AE46" s="295"/>
      <c r="AF46" s="422"/>
      <c r="AG46" s="297"/>
      <c r="AH46" s="297"/>
      <c r="AI46" s="297"/>
      <c r="AJ46" s="297"/>
      <c r="AK46" s="374"/>
      <c r="AL46" s="297"/>
      <c r="AM46" s="297"/>
      <c r="AN46" s="297"/>
      <c r="AO46" s="297"/>
      <c r="AP46" s="297"/>
      <c r="AQ46" s="300"/>
      <c r="AR46" s="300"/>
    </row>
    <row r="47" spans="2:45" hidden="1" x14ac:dyDescent="0.3">
      <c r="B47" s="375"/>
      <c r="C47" s="375"/>
      <c r="D47" s="375"/>
      <c r="E47" s="376"/>
      <c r="F47" s="375"/>
      <c r="G47" s="376"/>
      <c r="H47" s="376"/>
      <c r="I47" s="375"/>
      <c r="J47" s="376"/>
      <c r="K47" s="375"/>
      <c r="L47" s="375"/>
      <c r="M47" s="375"/>
      <c r="N47" s="375"/>
      <c r="O47" s="375"/>
      <c r="P47" s="378"/>
      <c r="Q47" s="375"/>
      <c r="R47" s="377"/>
      <c r="S47" s="376"/>
      <c r="T47" s="376"/>
      <c r="U47" s="379"/>
      <c r="V47" s="380"/>
      <c r="W47" s="380"/>
      <c r="X47" s="381"/>
      <c r="Y47" s="379"/>
      <c r="Z47" s="379"/>
      <c r="AA47" s="382"/>
      <c r="AB47" s="382"/>
      <c r="AC47" s="382"/>
      <c r="AD47" s="379"/>
      <c r="AE47" s="377"/>
      <c r="AF47" s="426"/>
      <c r="AG47" s="379"/>
      <c r="AH47" s="379"/>
      <c r="AI47" s="379"/>
      <c r="AJ47" s="379"/>
      <c r="AK47" s="383"/>
      <c r="AL47" s="379"/>
      <c r="AM47" s="379"/>
      <c r="AN47" s="379"/>
      <c r="AO47" s="379"/>
      <c r="AP47" s="379"/>
      <c r="AQ47" s="382"/>
      <c r="AR47" s="382"/>
      <c r="AS47" s="251"/>
    </row>
    <row r="48" spans="2:45" hidden="1" x14ac:dyDescent="0.3">
      <c r="B48" s="375"/>
      <c r="C48" s="375"/>
      <c r="D48" s="375"/>
      <c r="E48" s="376"/>
      <c r="F48" s="375"/>
      <c r="G48" s="376"/>
      <c r="H48" s="376"/>
      <c r="I48" s="375"/>
      <c r="J48" s="376"/>
      <c r="K48" s="375"/>
      <c r="L48" s="375"/>
      <c r="M48" s="375"/>
      <c r="N48" s="375"/>
      <c r="O48" s="375"/>
      <c r="P48" s="378"/>
      <c r="Q48" s="375"/>
      <c r="R48" s="377"/>
      <c r="S48" s="376"/>
      <c r="T48" s="376"/>
      <c r="U48" s="379"/>
      <c r="V48" s="380"/>
      <c r="W48" s="380"/>
      <c r="X48" s="381"/>
      <c r="Y48" s="379"/>
      <c r="Z48" s="379"/>
      <c r="AA48" s="382"/>
      <c r="AB48" s="382"/>
      <c r="AC48" s="382"/>
      <c r="AD48" s="379"/>
      <c r="AE48" s="377"/>
      <c r="AF48" s="426"/>
      <c r="AG48" s="379"/>
      <c r="AH48" s="379"/>
      <c r="AI48" s="379"/>
      <c r="AJ48" s="379"/>
      <c r="AK48" s="383"/>
      <c r="AL48" s="379"/>
      <c r="AM48" s="379"/>
      <c r="AN48" s="379"/>
      <c r="AO48" s="379"/>
      <c r="AP48" s="379"/>
      <c r="AQ48" s="382"/>
      <c r="AR48" s="382"/>
      <c r="AS48" s="251"/>
    </row>
    <row r="49" spans="2:45" hidden="1" x14ac:dyDescent="0.3">
      <c r="B49" s="362"/>
      <c r="C49" s="362"/>
      <c r="D49" s="362"/>
      <c r="E49" s="363"/>
      <c r="F49" s="362"/>
      <c r="G49" s="363"/>
      <c r="H49" s="363"/>
      <c r="I49" s="362"/>
      <c r="J49" s="363"/>
      <c r="K49" s="362"/>
      <c r="L49" s="362"/>
      <c r="M49" s="362"/>
      <c r="N49" s="362"/>
      <c r="O49" s="362"/>
      <c r="P49" s="365"/>
      <c r="Q49" s="362"/>
      <c r="R49" s="364"/>
      <c r="S49" s="363"/>
      <c r="T49" s="363"/>
      <c r="U49" s="366"/>
      <c r="V49" s="367"/>
      <c r="W49" s="367"/>
      <c r="X49" s="368"/>
      <c r="Y49" s="366"/>
      <c r="Z49" s="366"/>
      <c r="AA49" s="369"/>
      <c r="AB49" s="369"/>
      <c r="AC49" s="369"/>
      <c r="AD49" s="366"/>
      <c r="AE49" s="364"/>
      <c r="AF49" s="392"/>
      <c r="AG49" s="366"/>
      <c r="AH49" s="366"/>
      <c r="AI49" s="366"/>
      <c r="AJ49" s="366"/>
      <c r="AK49" s="370"/>
      <c r="AL49" s="366"/>
      <c r="AM49" s="366"/>
      <c r="AN49" s="366"/>
      <c r="AO49" s="366"/>
      <c r="AP49" s="366"/>
      <c r="AQ49" s="369"/>
      <c r="AR49" s="369"/>
    </row>
    <row r="50" spans="2:45" hidden="1" x14ac:dyDescent="0.3">
      <c r="B50" s="304"/>
      <c r="C50" s="304"/>
      <c r="D50" s="359"/>
      <c r="E50" s="305"/>
      <c r="F50" s="304"/>
      <c r="G50" s="305"/>
      <c r="H50" s="305"/>
      <c r="I50" s="304"/>
      <c r="J50" s="305"/>
      <c r="K50" s="304"/>
      <c r="L50" s="304"/>
      <c r="M50" s="304"/>
      <c r="N50" s="304"/>
      <c r="O50" s="304"/>
      <c r="P50" s="306"/>
      <c r="Q50" s="304"/>
      <c r="R50" s="310"/>
      <c r="S50" s="307"/>
      <c r="T50" s="326"/>
      <c r="U50" s="307"/>
      <c r="V50" s="308"/>
      <c r="W50" s="308"/>
      <c r="X50" s="338"/>
      <c r="Y50" s="307"/>
      <c r="Z50" s="307"/>
      <c r="AA50" s="309"/>
      <c r="AB50" s="309"/>
      <c r="AC50" s="309"/>
      <c r="AD50" s="307"/>
      <c r="AE50" s="323"/>
      <c r="AF50" s="423"/>
      <c r="AG50" s="307"/>
      <c r="AH50" s="307"/>
      <c r="AI50" s="307"/>
      <c r="AJ50" s="307"/>
      <c r="AK50" s="346"/>
      <c r="AL50" s="307"/>
      <c r="AM50" s="307"/>
      <c r="AN50" s="307"/>
      <c r="AO50" s="307"/>
      <c r="AP50" s="307"/>
      <c r="AQ50" s="309"/>
      <c r="AR50" s="309"/>
    </row>
    <row r="51" spans="2:45" hidden="1" x14ac:dyDescent="0.3">
      <c r="B51" s="347"/>
      <c r="C51" s="347"/>
      <c r="D51" s="347"/>
      <c r="E51" s="348"/>
      <c r="F51" s="347"/>
      <c r="G51" s="348"/>
      <c r="H51" s="348"/>
      <c r="I51" s="347"/>
      <c r="J51" s="348"/>
      <c r="K51" s="347"/>
      <c r="L51" s="347"/>
      <c r="M51" s="347"/>
      <c r="N51" s="347"/>
      <c r="O51" s="347"/>
      <c r="P51" s="350"/>
      <c r="Q51" s="347"/>
      <c r="R51" s="349"/>
      <c r="S51" s="351"/>
      <c r="T51" s="352"/>
      <c r="U51" s="351"/>
      <c r="V51" s="353"/>
      <c r="W51" s="353"/>
      <c r="X51" s="354"/>
      <c r="Y51" s="351"/>
      <c r="Z51" s="351"/>
      <c r="AA51" s="355"/>
      <c r="AB51" s="355"/>
      <c r="AC51" s="355"/>
      <c r="AD51" s="351"/>
      <c r="AE51" s="391"/>
      <c r="AF51" s="427"/>
      <c r="AG51" s="351"/>
      <c r="AH51" s="351"/>
      <c r="AI51" s="351"/>
      <c r="AJ51" s="351"/>
      <c r="AK51" s="356"/>
      <c r="AL51" s="351"/>
      <c r="AM51" s="351"/>
      <c r="AN51" s="351"/>
      <c r="AO51" s="351"/>
      <c r="AP51" s="351"/>
      <c r="AQ51" s="355"/>
      <c r="AR51" s="355"/>
      <c r="AS51" s="251"/>
    </row>
    <row r="52" spans="2:45" hidden="1" x14ac:dyDescent="0.3">
      <c r="B52" s="327"/>
      <c r="C52" s="327"/>
      <c r="D52" s="327"/>
      <c r="E52" s="328"/>
      <c r="F52" s="327"/>
      <c r="G52" s="328"/>
      <c r="H52" s="328"/>
      <c r="I52" s="327"/>
      <c r="J52" s="328"/>
      <c r="K52" s="327"/>
      <c r="L52" s="327"/>
      <c r="M52" s="327"/>
      <c r="N52" s="327"/>
      <c r="O52" s="327"/>
      <c r="P52" s="330"/>
      <c r="Q52" s="327"/>
      <c r="R52" s="357"/>
      <c r="S52" s="331"/>
      <c r="T52" s="343"/>
      <c r="U52" s="331"/>
      <c r="V52" s="332"/>
      <c r="W52" s="332"/>
      <c r="X52" s="340"/>
      <c r="Y52" s="331"/>
      <c r="Z52" s="331"/>
      <c r="AA52" s="333"/>
      <c r="AB52" s="333"/>
      <c r="AC52" s="333"/>
      <c r="AD52" s="331"/>
      <c r="AE52" s="329"/>
      <c r="AF52" s="425"/>
      <c r="AG52" s="331"/>
      <c r="AH52" s="331"/>
      <c r="AI52" s="331"/>
      <c r="AJ52" s="331"/>
      <c r="AK52" s="358"/>
      <c r="AL52" s="331"/>
      <c r="AM52" s="331"/>
      <c r="AN52" s="331"/>
      <c r="AO52" s="331"/>
      <c r="AP52" s="331"/>
      <c r="AQ52" s="333"/>
      <c r="AR52" s="333"/>
      <c r="AS52" s="251"/>
    </row>
    <row r="53" spans="2:45" hidden="1" x14ac:dyDescent="0.3">
      <c r="B53" s="375"/>
      <c r="C53" s="375"/>
      <c r="D53" s="375"/>
      <c r="E53" s="376"/>
      <c r="F53" s="375"/>
      <c r="G53" s="376"/>
      <c r="H53" s="376"/>
      <c r="I53" s="375"/>
      <c r="J53" s="376"/>
      <c r="K53" s="375"/>
      <c r="L53" s="375"/>
      <c r="M53" s="375"/>
      <c r="N53" s="375"/>
      <c r="O53" s="375"/>
      <c r="P53" s="378"/>
      <c r="Q53" s="375"/>
      <c r="R53" s="384"/>
      <c r="S53" s="379"/>
      <c r="T53" s="385"/>
      <c r="U53" s="379"/>
      <c r="V53" s="379"/>
      <c r="W53" s="380"/>
      <c r="X53" s="381"/>
      <c r="Y53" s="379"/>
      <c r="Z53" s="379"/>
      <c r="AA53" s="382"/>
      <c r="AB53" s="382"/>
      <c r="AC53" s="382"/>
      <c r="AD53" s="379"/>
      <c r="AE53" s="377"/>
      <c r="AF53" s="426"/>
      <c r="AG53" s="379"/>
      <c r="AH53" s="379"/>
      <c r="AI53" s="379"/>
      <c r="AJ53" s="379"/>
      <c r="AK53" s="386"/>
      <c r="AL53" s="379"/>
      <c r="AM53" s="379"/>
      <c r="AN53" s="379"/>
      <c r="AO53" s="379"/>
      <c r="AP53" s="379"/>
      <c r="AQ53" s="382"/>
      <c r="AR53" s="382"/>
      <c r="AS53" s="247"/>
    </row>
    <row r="54" spans="2:45" s="254" customFormat="1" hidden="1" x14ac:dyDescent="0.3">
      <c r="B54" s="375"/>
      <c r="C54" s="375"/>
      <c r="D54" s="375"/>
      <c r="E54" s="376"/>
      <c r="F54" s="375"/>
      <c r="G54" s="376"/>
      <c r="H54" s="376"/>
      <c r="I54" s="375"/>
      <c r="J54" s="376"/>
      <c r="K54" s="375"/>
      <c r="L54" s="375"/>
      <c r="M54" s="375"/>
      <c r="N54" s="375"/>
      <c r="O54" s="375"/>
      <c r="P54" s="378"/>
      <c r="Q54" s="375"/>
      <c r="R54" s="384"/>
      <c r="S54" s="379"/>
      <c r="T54" s="385"/>
      <c r="U54" s="379"/>
      <c r="V54" s="379"/>
      <c r="W54" s="380"/>
      <c r="X54" s="381"/>
      <c r="Y54" s="379"/>
      <c r="Z54" s="379"/>
      <c r="AA54" s="382"/>
      <c r="AB54" s="382"/>
      <c r="AC54" s="382"/>
      <c r="AD54" s="379"/>
      <c r="AE54" s="377"/>
      <c r="AF54" s="426"/>
      <c r="AG54" s="379"/>
      <c r="AH54" s="379"/>
      <c r="AI54" s="379"/>
      <c r="AJ54" s="379"/>
      <c r="AK54" s="386"/>
      <c r="AL54" s="379"/>
      <c r="AM54" s="379"/>
      <c r="AN54" s="379"/>
      <c r="AO54" s="379"/>
      <c r="AP54" s="379"/>
      <c r="AQ54" s="382"/>
      <c r="AR54" s="382"/>
      <c r="AS54" s="247"/>
    </row>
    <row r="55" spans="2:45" s="254" customFormat="1" hidden="1" x14ac:dyDescent="0.3">
      <c r="B55" s="375"/>
      <c r="C55" s="375"/>
      <c r="D55" s="375"/>
      <c r="E55" s="376"/>
      <c r="F55" s="375"/>
      <c r="G55" s="376"/>
      <c r="H55" s="376"/>
      <c r="I55" s="375"/>
      <c r="J55" s="376"/>
      <c r="K55" s="375"/>
      <c r="L55" s="375"/>
      <c r="M55" s="375"/>
      <c r="N55" s="375"/>
      <c r="O55" s="375"/>
      <c r="P55" s="378"/>
      <c r="Q55" s="375"/>
      <c r="R55" s="384"/>
      <c r="S55" s="379"/>
      <c r="T55" s="385"/>
      <c r="U55" s="379"/>
      <c r="V55" s="379"/>
      <c r="W55" s="380"/>
      <c r="X55" s="381"/>
      <c r="Y55" s="379"/>
      <c r="Z55" s="379"/>
      <c r="AA55" s="382"/>
      <c r="AB55" s="382"/>
      <c r="AC55" s="382"/>
      <c r="AD55" s="379"/>
      <c r="AE55" s="377"/>
      <c r="AF55" s="426"/>
      <c r="AG55" s="379"/>
      <c r="AH55" s="379"/>
      <c r="AI55" s="379"/>
      <c r="AJ55" s="379"/>
      <c r="AK55" s="386"/>
      <c r="AL55" s="379"/>
      <c r="AM55" s="379"/>
      <c r="AN55" s="379"/>
      <c r="AO55" s="379"/>
      <c r="AP55" s="379"/>
      <c r="AQ55" s="382"/>
      <c r="AR55" s="382"/>
      <c r="AS55" s="247"/>
    </row>
    <row r="56" spans="2:45" s="254" customFormat="1" hidden="1" x14ac:dyDescent="0.3">
      <c r="B56" s="375"/>
      <c r="C56" s="375"/>
      <c r="D56" s="375"/>
      <c r="E56" s="376"/>
      <c r="F56" s="375"/>
      <c r="G56" s="376"/>
      <c r="H56" s="376"/>
      <c r="I56" s="375"/>
      <c r="J56" s="376"/>
      <c r="K56" s="375"/>
      <c r="L56" s="375"/>
      <c r="M56" s="375"/>
      <c r="N56" s="375"/>
      <c r="O56" s="375"/>
      <c r="P56" s="378"/>
      <c r="Q56" s="375"/>
      <c r="R56" s="384"/>
      <c r="S56" s="379"/>
      <c r="T56" s="385"/>
      <c r="U56" s="379"/>
      <c r="V56" s="379"/>
      <c r="W56" s="380"/>
      <c r="X56" s="381"/>
      <c r="Y56" s="379"/>
      <c r="Z56" s="379"/>
      <c r="AA56" s="382"/>
      <c r="AB56" s="382"/>
      <c r="AC56" s="382"/>
      <c r="AD56" s="379"/>
      <c r="AE56" s="377"/>
      <c r="AF56" s="426"/>
      <c r="AG56" s="379"/>
      <c r="AH56" s="379"/>
      <c r="AI56" s="379"/>
      <c r="AJ56" s="379"/>
      <c r="AK56" s="386"/>
      <c r="AL56" s="379"/>
      <c r="AM56" s="379"/>
      <c r="AN56" s="379"/>
      <c r="AO56" s="379"/>
      <c r="AP56" s="379"/>
      <c r="AQ56" s="382"/>
      <c r="AR56" s="382"/>
      <c r="AS56" s="247"/>
    </row>
    <row r="57" spans="2:45" s="254" customFormat="1" hidden="1" x14ac:dyDescent="0.3">
      <c r="B57" s="375"/>
      <c r="C57" s="375"/>
      <c r="D57" s="375"/>
      <c r="E57" s="376"/>
      <c r="F57" s="375"/>
      <c r="G57" s="376"/>
      <c r="H57" s="376"/>
      <c r="I57" s="375"/>
      <c r="J57" s="376"/>
      <c r="K57" s="375"/>
      <c r="L57" s="375"/>
      <c r="M57" s="375"/>
      <c r="N57" s="375"/>
      <c r="O57" s="375"/>
      <c r="P57" s="378"/>
      <c r="Q57" s="375"/>
      <c r="R57" s="384"/>
      <c r="S57" s="379"/>
      <c r="T57" s="385"/>
      <c r="U57" s="379"/>
      <c r="V57" s="379"/>
      <c r="W57" s="380"/>
      <c r="X57" s="381"/>
      <c r="Y57" s="379"/>
      <c r="Z57" s="379"/>
      <c r="AA57" s="382"/>
      <c r="AB57" s="382"/>
      <c r="AC57" s="382"/>
      <c r="AD57" s="379"/>
      <c r="AE57" s="377"/>
      <c r="AF57" s="426"/>
      <c r="AG57" s="379"/>
      <c r="AH57" s="379"/>
      <c r="AI57" s="379"/>
      <c r="AJ57" s="379"/>
      <c r="AK57" s="386"/>
      <c r="AL57" s="379"/>
      <c r="AM57" s="379"/>
      <c r="AN57" s="379"/>
      <c r="AO57" s="379"/>
      <c r="AP57" s="379"/>
      <c r="AQ57" s="382"/>
      <c r="AR57" s="382"/>
      <c r="AS57" s="247"/>
    </row>
    <row r="58" spans="2:45" s="254" customFormat="1" hidden="1" x14ac:dyDescent="0.3">
      <c r="B58" s="362"/>
      <c r="C58" s="362"/>
      <c r="D58" s="362"/>
      <c r="E58" s="363"/>
      <c r="F58" s="362"/>
      <c r="G58" s="363"/>
      <c r="H58" s="363"/>
      <c r="I58" s="362"/>
      <c r="J58" s="363"/>
      <c r="K58" s="362"/>
      <c r="L58" s="362"/>
      <c r="M58" s="362"/>
      <c r="N58" s="362"/>
      <c r="O58" s="362"/>
      <c r="P58" s="365"/>
      <c r="Q58" s="362"/>
      <c r="R58" s="387"/>
      <c r="S58" s="366"/>
      <c r="T58" s="371"/>
      <c r="U58" s="366"/>
      <c r="V58" s="366"/>
      <c r="W58" s="367"/>
      <c r="X58" s="368"/>
      <c r="Y58" s="366"/>
      <c r="Z58" s="366"/>
      <c r="AA58" s="369"/>
      <c r="AB58" s="369"/>
      <c r="AC58" s="369"/>
      <c r="AD58" s="366"/>
      <c r="AE58" s="364"/>
      <c r="AF58" s="392"/>
      <c r="AG58" s="366"/>
      <c r="AH58" s="366"/>
      <c r="AI58" s="366"/>
      <c r="AJ58" s="366"/>
      <c r="AK58" s="388"/>
      <c r="AL58" s="366"/>
      <c r="AM58" s="366"/>
      <c r="AN58" s="366"/>
      <c r="AO58" s="366"/>
      <c r="AP58" s="366"/>
      <c r="AQ58" s="369"/>
      <c r="AR58" s="369"/>
      <c r="AS58" s="247"/>
    </row>
    <row r="59" spans="2:45" hidden="1" x14ac:dyDescent="0.3">
      <c r="B59" s="304"/>
      <c r="C59" s="304"/>
      <c r="D59" s="304"/>
      <c r="E59" s="305"/>
      <c r="F59" s="304"/>
      <c r="G59" s="305"/>
      <c r="H59" s="305"/>
      <c r="I59" s="304"/>
      <c r="J59" s="305"/>
      <c r="K59" s="304"/>
      <c r="L59" s="304"/>
      <c r="M59" s="304"/>
      <c r="N59" s="304"/>
      <c r="O59" s="304"/>
      <c r="P59" s="306"/>
      <c r="Q59" s="304"/>
      <c r="R59" s="310"/>
      <c r="S59" s="307"/>
      <c r="T59" s="326"/>
      <c r="U59" s="307"/>
      <c r="V59" s="308"/>
      <c r="W59" s="308"/>
      <c r="X59" s="338"/>
      <c r="Y59" s="307"/>
      <c r="Z59" s="307"/>
      <c r="AA59" s="309"/>
      <c r="AB59" s="309"/>
      <c r="AC59" s="309"/>
      <c r="AD59" s="307"/>
      <c r="AE59" s="323"/>
      <c r="AF59" s="423"/>
      <c r="AG59" s="307"/>
      <c r="AH59" s="307"/>
      <c r="AI59" s="307"/>
      <c r="AJ59" s="307"/>
      <c r="AK59" s="346"/>
      <c r="AL59" s="307"/>
      <c r="AM59" s="307"/>
      <c r="AN59" s="307"/>
      <c r="AO59" s="307"/>
      <c r="AP59" s="307"/>
      <c r="AQ59" s="309"/>
      <c r="AR59" s="309"/>
    </row>
    <row r="60" spans="2:45" hidden="1" x14ac:dyDescent="0.3">
      <c r="B60" s="327"/>
      <c r="C60" s="327"/>
      <c r="D60" s="327"/>
      <c r="E60" s="328"/>
      <c r="F60" s="327"/>
      <c r="G60" s="328"/>
      <c r="H60" s="328"/>
      <c r="I60" s="327"/>
      <c r="J60" s="328"/>
      <c r="K60" s="327"/>
      <c r="L60" s="327"/>
      <c r="M60" s="327"/>
      <c r="N60" s="327"/>
      <c r="O60" s="327"/>
      <c r="P60" s="330"/>
      <c r="Q60" s="327"/>
      <c r="R60" s="357"/>
      <c r="S60" s="331"/>
      <c r="T60" s="343"/>
      <c r="U60" s="331"/>
      <c r="V60" s="332"/>
      <c r="W60" s="332"/>
      <c r="X60" s="340"/>
      <c r="Y60" s="331"/>
      <c r="Z60" s="331"/>
      <c r="AA60" s="333"/>
      <c r="AB60" s="333"/>
      <c r="AC60" s="333"/>
      <c r="AD60" s="331"/>
      <c r="AE60" s="329"/>
      <c r="AF60" s="425"/>
      <c r="AG60" s="331"/>
      <c r="AH60" s="331"/>
      <c r="AI60" s="331"/>
      <c r="AJ60" s="331"/>
      <c r="AK60" s="358"/>
      <c r="AL60" s="331"/>
      <c r="AM60" s="331"/>
      <c r="AN60" s="331"/>
      <c r="AO60" s="331"/>
      <c r="AP60" s="331"/>
      <c r="AQ60" s="333"/>
      <c r="AR60" s="333"/>
    </row>
    <row r="61" spans="2:45" hidden="1" x14ac:dyDescent="0.3">
      <c r="B61" s="375"/>
      <c r="C61" s="375"/>
      <c r="D61" s="375"/>
      <c r="E61" s="376"/>
      <c r="F61" s="375"/>
      <c r="G61" s="376"/>
      <c r="H61" s="376"/>
      <c r="I61" s="375"/>
      <c r="J61" s="376"/>
      <c r="K61" s="375"/>
      <c r="L61" s="375"/>
      <c r="M61" s="375"/>
      <c r="N61" s="375"/>
      <c r="O61" s="375"/>
      <c r="P61" s="378"/>
      <c r="Q61" s="375"/>
      <c r="R61" s="389"/>
      <c r="S61" s="382"/>
      <c r="T61" s="385"/>
      <c r="U61" s="379"/>
      <c r="V61" s="380"/>
      <c r="W61" s="380"/>
      <c r="X61" s="381"/>
      <c r="Y61" s="379"/>
      <c r="Z61" s="379"/>
      <c r="AA61" s="382"/>
      <c r="AB61" s="382"/>
      <c r="AC61" s="382"/>
      <c r="AD61" s="379"/>
      <c r="AE61" s="377"/>
      <c r="AF61" s="426"/>
      <c r="AG61" s="379"/>
      <c r="AH61" s="379"/>
      <c r="AI61" s="379"/>
      <c r="AJ61" s="379"/>
      <c r="AK61" s="386"/>
      <c r="AL61" s="379"/>
      <c r="AM61" s="379"/>
      <c r="AN61" s="379"/>
      <c r="AO61" s="379"/>
      <c r="AP61" s="379"/>
      <c r="AQ61" s="382"/>
      <c r="AR61" s="382"/>
    </row>
    <row r="62" spans="2:45" hidden="1" x14ac:dyDescent="0.3">
      <c r="B62" s="375"/>
      <c r="C62" s="375"/>
      <c r="D62" s="375"/>
      <c r="E62" s="376"/>
      <c r="F62" s="375"/>
      <c r="G62" s="376"/>
      <c r="H62" s="376"/>
      <c r="I62" s="375"/>
      <c r="J62" s="376"/>
      <c r="K62" s="375"/>
      <c r="L62" s="375"/>
      <c r="M62" s="375"/>
      <c r="N62" s="375"/>
      <c r="O62" s="375"/>
      <c r="P62" s="378"/>
      <c r="Q62" s="375"/>
      <c r="R62" s="389"/>
      <c r="S62" s="382"/>
      <c r="T62" s="385"/>
      <c r="U62" s="379"/>
      <c r="V62" s="380"/>
      <c r="W62" s="380"/>
      <c r="X62" s="381"/>
      <c r="Y62" s="379"/>
      <c r="Z62" s="379"/>
      <c r="AA62" s="382"/>
      <c r="AB62" s="382"/>
      <c r="AC62" s="382"/>
      <c r="AD62" s="379"/>
      <c r="AE62" s="377"/>
      <c r="AF62" s="426"/>
      <c r="AG62" s="379"/>
      <c r="AH62" s="379"/>
      <c r="AI62" s="379"/>
      <c r="AJ62" s="379"/>
      <c r="AK62" s="386"/>
      <c r="AL62" s="379"/>
      <c r="AM62" s="379"/>
      <c r="AN62" s="379"/>
      <c r="AO62" s="379"/>
      <c r="AP62" s="379"/>
      <c r="AQ62" s="382"/>
      <c r="AR62" s="382"/>
    </row>
    <row r="63" spans="2:45" hidden="1" x14ac:dyDescent="0.3">
      <c r="B63" s="375"/>
      <c r="C63" s="375"/>
      <c r="D63" s="375"/>
      <c r="E63" s="376"/>
      <c r="F63" s="375"/>
      <c r="G63" s="376"/>
      <c r="H63" s="376"/>
      <c r="I63" s="375"/>
      <c r="J63" s="376"/>
      <c r="K63" s="375"/>
      <c r="L63" s="375"/>
      <c r="M63" s="375"/>
      <c r="N63" s="375"/>
      <c r="O63" s="375"/>
      <c r="P63" s="378"/>
      <c r="Q63" s="375"/>
      <c r="R63" s="389"/>
      <c r="S63" s="382"/>
      <c r="T63" s="385"/>
      <c r="U63" s="379"/>
      <c r="V63" s="380"/>
      <c r="W63" s="380"/>
      <c r="X63" s="381"/>
      <c r="Y63" s="379"/>
      <c r="Z63" s="379"/>
      <c r="AA63" s="382"/>
      <c r="AB63" s="382"/>
      <c r="AC63" s="382"/>
      <c r="AD63" s="379"/>
      <c r="AE63" s="377"/>
      <c r="AF63" s="426"/>
      <c r="AG63" s="379"/>
      <c r="AH63" s="379"/>
      <c r="AI63" s="379"/>
      <c r="AJ63" s="379"/>
      <c r="AK63" s="386"/>
      <c r="AL63" s="379"/>
      <c r="AM63" s="379"/>
      <c r="AN63" s="379"/>
      <c r="AO63" s="379"/>
      <c r="AP63" s="379"/>
      <c r="AQ63" s="382"/>
      <c r="AR63" s="382"/>
    </row>
    <row r="64" spans="2:45" hidden="1" x14ac:dyDescent="0.3">
      <c r="B64" s="362"/>
      <c r="C64" s="362"/>
      <c r="D64" s="362"/>
      <c r="E64" s="363"/>
      <c r="F64" s="362"/>
      <c r="G64" s="363"/>
      <c r="H64" s="363"/>
      <c r="I64" s="362"/>
      <c r="J64" s="363"/>
      <c r="K64" s="362"/>
      <c r="L64" s="362"/>
      <c r="M64" s="362"/>
      <c r="N64" s="362"/>
      <c r="O64" s="362"/>
      <c r="P64" s="365"/>
      <c r="Q64" s="362"/>
      <c r="R64" s="390"/>
      <c r="S64" s="369"/>
      <c r="T64" s="371"/>
      <c r="U64" s="366"/>
      <c r="V64" s="367"/>
      <c r="W64" s="367"/>
      <c r="X64" s="368"/>
      <c r="Y64" s="366"/>
      <c r="Z64" s="366"/>
      <c r="AA64" s="369"/>
      <c r="AB64" s="369"/>
      <c r="AC64" s="369"/>
      <c r="AD64" s="366"/>
      <c r="AE64" s="364"/>
      <c r="AF64" s="392"/>
      <c r="AG64" s="366"/>
      <c r="AH64" s="366"/>
      <c r="AI64" s="366"/>
      <c r="AJ64" s="366"/>
      <c r="AK64" s="388"/>
      <c r="AL64" s="366"/>
      <c r="AM64" s="366"/>
      <c r="AN64" s="366"/>
      <c r="AO64" s="366"/>
      <c r="AP64" s="366"/>
      <c r="AQ64" s="369"/>
      <c r="AR64" s="369"/>
    </row>
    <row r="65" spans="2:44" hidden="1" x14ac:dyDescent="0.3">
      <c r="B65" s="395"/>
      <c r="C65" s="395"/>
      <c r="D65" s="396"/>
      <c r="E65" s="397"/>
      <c r="F65" s="396"/>
      <c r="G65" s="397"/>
      <c r="H65" s="397"/>
      <c r="I65" s="396"/>
      <c r="J65" s="397"/>
      <c r="K65" s="396"/>
      <c r="L65" s="396"/>
      <c r="M65" s="396"/>
      <c r="N65" s="396"/>
      <c r="O65" s="396"/>
      <c r="P65" s="398"/>
      <c r="Q65" s="395"/>
      <c r="R65" s="396"/>
      <c r="S65" s="399"/>
      <c r="T65" s="400"/>
      <c r="U65" s="401"/>
      <c r="V65" s="402"/>
      <c r="W65" s="402"/>
      <c r="X65" s="403"/>
      <c r="Y65" s="401"/>
      <c r="Z65" s="401"/>
      <c r="AA65" s="399"/>
      <c r="AB65" s="399"/>
      <c r="AC65" s="399"/>
      <c r="AD65" s="401"/>
      <c r="AE65" s="404"/>
      <c r="AF65" s="428"/>
      <c r="AG65" s="401"/>
      <c r="AH65" s="401"/>
      <c r="AI65" s="401"/>
      <c r="AJ65" s="401"/>
      <c r="AK65" s="405"/>
      <c r="AL65" s="401"/>
      <c r="AM65" s="401"/>
      <c r="AN65" s="401"/>
      <c r="AO65" s="401"/>
      <c r="AP65" s="401"/>
      <c r="AQ65" s="399"/>
      <c r="AR65" s="399"/>
    </row>
    <row r="66" spans="2:44" hidden="1" x14ac:dyDescent="0.3">
      <c r="B66" s="347"/>
      <c r="C66" s="347"/>
      <c r="D66" s="347"/>
      <c r="E66" s="348"/>
      <c r="F66" s="347"/>
      <c r="G66" s="348"/>
      <c r="H66" s="348"/>
      <c r="I66" s="347"/>
      <c r="J66" s="348"/>
      <c r="K66" s="347"/>
      <c r="L66" s="347"/>
      <c r="M66" s="347"/>
      <c r="N66" s="347"/>
      <c r="O66" s="347"/>
      <c r="P66" s="350"/>
      <c r="Q66" s="347"/>
      <c r="R66" s="347"/>
      <c r="S66" s="348"/>
      <c r="T66" s="348"/>
      <c r="U66" s="351"/>
      <c r="V66" s="353"/>
      <c r="W66" s="353"/>
      <c r="X66" s="354"/>
      <c r="Y66" s="351"/>
      <c r="Z66" s="351"/>
      <c r="AA66" s="355"/>
      <c r="AB66" s="355"/>
      <c r="AC66" s="355"/>
      <c r="AD66" s="351"/>
      <c r="AE66" s="391"/>
      <c r="AF66" s="427"/>
      <c r="AG66" s="351"/>
      <c r="AH66" s="351"/>
      <c r="AI66" s="351"/>
      <c r="AJ66" s="351"/>
      <c r="AK66" s="356"/>
      <c r="AL66" s="351"/>
      <c r="AM66" s="351"/>
      <c r="AN66" s="351"/>
      <c r="AO66" s="351"/>
      <c r="AP66" s="351"/>
      <c r="AQ66" s="355"/>
      <c r="AR66" s="355"/>
    </row>
    <row r="67" spans="2:44" hidden="1" x14ac:dyDescent="0.3">
      <c r="B67" s="347"/>
      <c r="C67" s="347"/>
      <c r="D67" s="347"/>
      <c r="E67" s="348"/>
      <c r="F67" s="347"/>
      <c r="G67" s="348"/>
      <c r="H67" s="348"/>
      <c r="I67" s="347"/>
      <c r="J67" s="348"/>
      <c r="K67" s="347"/>
      <c r="L67" s="347"/>
      <c r="M67" s="347"/>
      <c r="N67" s="347"/>
      <c r="O67" s="347"/>
      <c r="P67" s="350"/>
      <c r="Q67" s="347"/>
      <c r="R67" s="347"/>
      <c r="S67" s="348"/>
      <c r="T67" s="348"/>
      <c r="U67" s="351"/>
      <c r="V67" s="353"/>
      <c r="W67" s="353"/>
      <c r="X67" s="354"/>
      <c r="Y67" s="351"/>
      <c r="Z67" s="351"/>
      <c r="AA67" s="355"/>
      <c r="AB67" s="355"/>
      <c r="AC67" s="355"/>
      <c r="AD67" s="351"/>
      <c r="AE67" s="391"/>
      <c r="AF67" s="427"/>
      <c r="AG67" s="351"/>
      <c r="AH67" s="351"/>
      <c r="AI67" s="351"/>
      <c r="AJ67" s="351"/>
      <c r="AK67" s="356"/>
      <c r="AL67" s="351"/>
      <c r="AM67" s="351"/>
      <c r="AN67" s="351"/>
      <c r="AO67" s="351"/>
      <c r="AP67" s="351"/>
      <c r="AQ67" s="355"/>
      <c r="AR67" s="355"/>
    </row>
    <row r="68" spans="2:44" hidden="1" x14ac:dyDescent="0.3">
      <c r="B68" s="327"/>
      <c r="C68" s="327"/>
      <c r="D68" s="327"/>
      <c r="E68" s="328"/>
      <c r="F68" s="327"/>
      <c r="G68" s="328"/>
      <c r="H68" s="328"/>
      <c r="I68" s="327"/>
      <c r="J68" s="328"/>
      <c r="K68" s="327"/>
      <c r="L68" s="327"/>
      <c r="M68" s="327"/>
      <c r="N68" s="327"/>
      <c r="O68" s="327"/>
      <c r="P68" s="330"/>
      <c r="Q68" s="327"/>
      <c r="R68" s="327"/>
      <c r="S68" s="328"/>
      <c r="T68" s="328"/>
      <c r="U68" s="331"/>
      <c r="V68" s="332"/>
      <c r="W68" s="332"/>
      <c r="X68" s="340"/>
      <c r="Y68" s="331"/>
      <c r="Z68" s="331"/>
      <c r="AA68" s="333"/>
      <c r="AB68" s="333"/>
      <c r="AC68" s="333"/>
      <c r="AD68" s="331"/>
      <c r="AE68" s="329"/>
      <c r="AF68" s="425"/>
      <c r="AG68" s="331"/>
      <c r="AH68" s="331"/>
      <c r="AI68" s="331"/>
      <c r="AJ68" s="331"/>
      <c r="AK68" s="358"/>
      <c r="AL68" s="331"/>
      <c r="AM68" s="331"/>
      <c r="AN68" s="331"/>
      <c r="AO68" s="331"/>
      <c r="AP68" s="331"/>
      <c r="AQ68" s="333"/>
      <c r="AR68" s="333"/>
    </row>
    <row r="69" spans="2:44" hidden="1" x14ac:dyDescent="0.3">
      <c r="B69" s="347"/>
      <c r="C69" s="347"/>
      <c r="D69" s="347"/>
      <c r="E69" s="348"/>
      <c r="F69" s="347"/>
      <c r="G69" s="348"/>
      <c r="H69" s="348"/>
      <c r="I69" s="347"/>
      <c r="J69" s="348"/>
      <c r="K69" s="347"/>
      <c r="L69" s="347"/>
      <c r="M69" s="347"/>
      <c r="N69" s="347"/>
      <c r="O69" s="347"/>
      <c r="P69" s="350"/>
      <c r="Q69" s="347"/>
      <c r="R69" s="347"/>
      <c r="S69" s="348"/>
      <c r="T69" s="352"/>
      <c r="U69" s="351"/>
      <c r="V69" s="353"/>
      <c r="W69" s="353"/>
      <c r="X69" s="354"/>
      <c r="Y69" s="351"/>
      <c r="Z69" s="348"/>
      <c r="AA69" s="355"/>
      <c r="AB69" s="355"/>
      <c r="AC69" s="355"/>
      <c r="AD69" s="351"/>
      <c r="AE69" s="391"/>
      <c r="AF69" s="427"/>
      <c r="AG69" s="351"/>
      <c r="AH69" s="351"/>
      <c r="AI69" s="351"/>
      <c r="AJ69" s="351"/>
      <c r="AK69" s="356"/>
      <c r="AL69" s="351"/>
      <c r="AM69" s="351"/>
      <c r="AN69" s="351"/>
      <c r="AO69" s="351"/>
      <c r="AP69" s="351"/>
      <c r="AQ69" s="355"/>
      <c r="AR69" s="355"/>
    </row>
    <row r="70" spans="2:44" hidden="1" x14ac:dyDescent="0.3">
      <c r="B70" s="327"/>
      <c r="C70" s="327"/>
      <c r="D70" s="327"/>
      <c r="E70" s="328"/>
      <c r="F70" s="327"/>
      <c r="G70" s="328"/>
      <c r="H70" s="328"/>
      <c r="I70" s="327"/>
      <c r="J70" s="328"/>
      <c r="K70" s="327"/>
      <c r="L70" s="327"/>
      <c r="M70" s="327"/>
      <c r="N70" s="327"/>
      <c r="O70" s="327"/>
      <c r="P70" s="330"/>
      <c r="Q70" s="327"/>
      <c r="R70" s="327"/>
      <c r="S70" s="328"/>
      <c r="T70" s="343"/>
      <c r="U70" s="331"/>
      <c r="V70" s="332"/>
      <c r="W70" s="332"/>
      <c r="X70" s="340"/>
      <c r="Y70" s="331"/>
      <c r="Z70" s="331"/>
      <c r="AA70" s="333"/>
      <c r="AB70" s="333"/>
      <c r="AC70" s="333"/>
      <c r="AD70" s="331"/>
      <c r="AE70" s="329"/>
      <c r="AF70" s="425"/>
      <c r="AG70" s="331"/>
      <c r="AH70" s="331"/>
      <c r="AI70" s="331"/>
      <c r="AJ70" s="331"/>
      <c r="AK70" s="358"/>
      <c r="AL70" s="331"/>
      <c r="AM70" s="331"/>
      <c r="AN70" s="331"/>
      <c r="AO70" s="331"/>
      <c r="AP70" s="331"/>
      <c r="AQ70" s="333"/>
      <c r="AR70" s="333"/>
    </row>
    <row r="71" spans="2:44" hidden="1" x14ac:dyDescent="0.3">
      <c r="B71" s="375"/>
      <c r="C71" s="375"/>
      <c r="D71" s="375"/>
      <c r="E71" s="376"/>
      <c r="F71" s="375"/>
      <c r="G71" s="376"/>
      <c r="H71" s="376"/>
      <c r="I71" s="375"/>
      <c r="J71" s="376"/>
      <c r="K71" s="375"/>
      <c r="L71" s="375"/>
      <c r="M71" s="375"/>
      <c r="N71" s="375"/>
      <c r="O71" s="375"/>
      <c r="P71" s="378"/>
      <c r="Q71" s="375"/>
      <c r="R71" s="378"/>
      <c r="S71" s="379"/>
      <c r="T71" s="385"/>
      <c r="U71" s="379"/>
      <c r="V71" s="380"/>
      <c r="W71" s="380"/>
      <c r="X71" s="381"/>
      <c r="Y71" s="379"/>
      <c r="Z71" s="379"/>
      <c r="AA71" s="382"/>
      <c r="AB71" s="382"/>
      <c r="AC71" s="382"/>
      <c r="AD71" s="379"/>
      <c r="AE71" s="377"/>
      <c r="AF71" s="426"/>
      <c r="AG71" s="379"/>
      <c r="AH71" s="379"/>
      <c r="AI71" s="379"/>
      <c r="AJ71" s="379"/>
      <c r="AK71" s="386"/>
      <c r="AL71" s="379"/>
      <c r="AM71" s="379"/>
      <c r="AN71" s="379"/>
      <c r="AO71" s="379"/>
      <c r="AP71" s="379"/>
      <c r="AQ71" s="382"/>
      <c r="AR71" s="382"/>
    </row>
    <row r="72" spans="2:44" hidden="1" x14ac:dyDescent="0.3">
      <c r="B72" s="375"/>
      <c r="C72" s="375"/>
      <c r="D72" s="375"/>
      <c r="E72" s="376"/>
      <c r="F72" s="375"/>
      <c r="G72" s="376"/>
      <c r="H72" s="376"/>
      <c r="I72" s="375"/>
      <c r="J72" s="376"/>
      <c r="K72" s="375"/>
      <c r="L72" s="375"/>
      <c r="M72" s="375"/>
      <c r="N72" s="375"/>
      <c r="O72" s="375"/>
      <c r="P72" s="378"/>
      <c r="Q72" s="375"/>
      <c r="R72" s="378"/>
      <c r="S72" s="379"/>
      <c r="T72" s="385"/>
      <c r="U72" s="379"/>
      <c r="V72" s="380"/>
      <c r="W72" s="380"/>
      <c r="X72" s="381"/>
      <c r="Y72" s="379"/>
      <c r="Z72" s="379"/>
      <c r="AA72" s="382"/>
      <c r="AB72" s="382"/>
      <c r="AC72" s="382"/>
      <c r="AD72" s="379"/>
      <c r="AE72" s="377"/>
      <c r="AF72" s="426"/>
      <c r="AG72" s="379"/>
      <c r="AH72" s="379"/>
      <c r="AI72" s="379"/>
      <c r="AJ72" s="379"/>
      <c r="AK72" s="386"/>
      <c r="AL72" s="379"/>
      <c r="AM72" s="379"/>
      <c r="AN72" s="379"/>
      <c r="AO72" s="379"/>
      <c r="AP72" s="379"/>
      <c r="AQ72" s="382"/>
      <c r="AR72" s="382"/>
    </row>
    <row r="73" spans="2:44" hidden="1" x14ac:dyDescent="0.3">
      <c r="B73" s="362"/>
      <c r="C73" s="362"/>
      <c r="D73" s="362"/>
      <c r="E73" s="363"/>
      <c r="F73" s="362"/>
      <c r="G73" s="363"/>
      <c r="H73" s="363"/>
      <c r="I73" s="362"/>
      <c r="J73" s="363"/>
      <c r="K73" s="362"/>
      <c r="L73" s="362"/>
      <c r="M73" s="362"/>
      <c r="N73" s="362"/>
      <c r="O73" s="362"/>
      <c r="P73" s="365"/>
      <c r="Q73" s="362"/>
      <c r="R73" s="365"/>
      <c r="S73" s="366"/>
      <c r="T73" s="371"/>
      <c r="U73" s="366"/>
      <c r="V73" s="367"/>
      <c r="W73" s="367"/>
      <c r="X73" s="368"/>
      <c r="Y73" s="366"/>
      <c r="Z73" s="366"/>
      <c r="AA73" s="369"/>
      <c r="AB73" s="369"/>
      <c r="AC73" s="369"/>
      <c r="AD73" s="366"/>
      <c r="AE73" s="364"/>
      <c r="AF73" s="392"/>
      <c r="AG73" s="366"/>
      <c r="AH73" s="366"/>
      <c r="AI73" s="366"/>
      <c r="AJ73" s="366"/>
      <c r="AK73" s="388"/>
      <c r="AL73" s="366"/>
      <c r="AM73" s="366"/>
      <c r="AN73" s="366"/>
      <c r="AO73" s="366"/>
      <c r="AP73" s="366"/>
      <c r="AQ73" s="369"/>
      <c r="AR73" s="369"/>
    </row>
    <row r="74" spans="2:44" hidden="1" x14ac:dyDescent="0.3">
      <c r="B74" s="347"/>
      <c r="C74" s="347"/>
      <c r="D74" s="347"/>
      <c r="E74" s="348"/>
      <c r="F74" s="347"/>
      <c r="G74" s="348"/>
      <c r="H74" s="348"/>
      <c r="I74" s="347"/>
      <c r="J74" s="348"/>
      <c r="K74" s="347"/>
      <c r="L74" s="347"/>
      <c r="M74" s="347"/>
      <c r="N74" s="347"/>
      <c r="O74" s="347"/>
      <c r="P74" s="350"/>
      <c r="Q74" s="347"/>
      <c r="R74" s="350"/>
      <c r="S74" s="355"/>
      <c r="T74" s="352"/>
      <c r="U74" s="351"/>
      <c r="V74" s="353"/>
      <c r="W74" s="353"/>
      <c r="X74" s="354"/>
      <c r="Y74" s="351"/>
      <c r="Z74" s="351"/>
      <c r="AA74" s="355"/>
      <c r="AB74" s="355"/>
      <c r="AC74" s="355"/>
      <c r="AD74" s="351"/>
      <c r="AE74" s="391"/>
      <c r="AF74" s="427"/>
      <c r="AG74" s="351"/>
      <c r="AH74" s="351"/>
      <c r="AI74" s="351"/>
      <c r="AJ74" s="351"/>
      <c r="AK74" s="356"/>
      <c r="AL74" s="351"/>
      <c r="AM74" s="351"/>
      <c r="AN74" s="351"/>
      <c r="AO74" s="351"/>
      <c r="AP74" s="351"/>
      <c r="AQ74" s="355"/>
      <c r="AR74" s="355"/>
    </row>
    <row r="75" spans="2:44" hidden="1" x14ac:dyDescent="0.3">
      <c r="B75" s="347"/>
      <c r="C75" s="347"/>
      <c r="D75" s="347"/>
      <c r="E75" s="348"/>
      <c r="F75" s="347"/>
      <c r="G75" s="348"/>
      <c r="H75" s="348"/>
      <c r="I75" s="347"/>
      <c r="J75" s="348"/>
      <c r="K75" s="347"/>
      <c r="L75" s="347"/>
      <c r="M75" s="347"/>
      <c r="N75" s="347"/>
      <c r="O75" s="347"/>
      <c r="P75" s="350"/>
      <c r="Q75" s="347"/>
      <c r="R75" s="350"/>
      <c r="S75" s="355"/>
      <c r="T75" s="352"/>
      <c r="U75" s="351"/>
      <c r="V75" s="353"/>
      <c r="W75" s="353"/>
      <c r="X75" s="354"/>
      <c r="Y75" s="351"/>
      <c r="Z75" s="351"/>
      <c r="AA75" s="355"/>
      <c r="AB75" s="355"/>
      <c r="AC75" s="355"/>
      <c r="AD75" s="351"/>
      <c r="AE75" s="391"/>
      <c r="AF75" s="427"/>
      <c r="AG75" s="351"/>
      <c r="AH75" s="351"/>
      <c r="AI75" s="351"/>
      <c r="AJ75" s="351"/>
      <c r="AK75" s="356"/>
      <c r="AL75" s="351"/>
      <c r="AM75" s="351"/>
      <c r="AN75" s="351"/>
      <c r="AO75" s="351"/>
      <c r="AP75" s="351"/>
      <c r="AQ75" s="355"/>
      <c r="AR75" s="355"/>
    </row>
    <row r="76" spans="2:44" hidden="1" x14ac:dyDescent="0.3">
      <c r="B76" s="347"/>
      <c r="C76" s="347"/>
      <c r="D76" s="347"/>
      <c r="E76" s="348"/>
      <c r="F76" s="347"/>
      <c r="G76" s="348"/>
      <c r="H76" s="348"/>
      <c r="I76" s="347"/>
      <c r="J76" s="348"/>
      <c r="K76" s="347"/>
      <c r="L76" s="347"/>
      <c r="M76" s="347"/>
      <c r="N76" s="347"/>
      <c r="O76" s="347"/>
      <c r="P76" s="350"/>
      <c r="Q76" s="347"/>
      <c r="R76" s="350"/>
      <c r="S76" s="355"/>
      <c r="T76" s="352"/>
      <c r="U76" s="351"/>
      <c r="V76" s="353"/>
      <c r="W76" s="353"/>
      <c r="X76" s="354"/>
      <c r="Y76" s="351"/>
      <c r="Z76" s="351"/>
      <c r="AA76" s="355"/>
      <c r="AB76" s="355"/>
      <c r="AC76" s="355"/>
      <c r="AD76" s="351"/>
      <c r="AE76" s="391"/>
      <c r="AF76" s="427"/>
      <c r="AG76" s="351"/>
      <c r="AH76" s="351"/>
      <c r="AI76" s="351"/>
      <c r="AJ76" s="351"/>
      <c r="AK76" s="356"/>
      <c r="AL76" s="351"/>
      <c r="AM76" s="351"/>
      <c r="AN76" s="351"/>
      <c r="AO76" s="351"/>
      <c r="AP76" s="351"/>
      <c r="AQ76" s="355"/>
      <c r="AR76" s="355"/>
    </row>
    <row r="77" spans="2:44" hidden="1" x14ac:dyDescent="0.3">
      <c r="B77" s="327"/>
      <c r="C77" s="327"/>
      <c r="D77" s="327"/>
      <c r="E77" s="328"/>
      <c r="F77" s="327"/>
      <c r="G77" s="328"/>
      <c r="H77" s="328"/>
      <c r="I77" s="327"/>
      <c r="J77" s="328"/>
      <c r="K77" s="327"/>
      <c r="L77" s="327"/>
      <c r="M77" s="327"/>
      <c r="N77" s="327"/>
      <c r="O77" s="327"/>
      <c r="P77" s="330"/>
      <c r="Q77" s="327"/>
      <c r="R77" s="330"/>
      <c r="S77" s="333"/>
      <c r="T77" s="343"/>
      <c r="U77" s="331"/>
      <c r="V77" s="332"/>
      <c r="W77" s="332"/>
      <c r="X77" s="340"/>
      <c r="Y77" s="331"/>
      <c r="Z77" s="331"/>
      <c r="AA77" s="333"/>
      <c r="AB77" s="333"/>
      <c r="AC77" s="333"/>
      <c r="AD77" s="331"/>
      <c r="AE77" s="329"/>
      <c r="AF77" s="425"/>
      <c r="AG77" s="331"/>
      <c r="AH77" s="331"/>
      <c r="AI77" s="331"/>
      <c r="AJ77" s="331"/>
      <c r="AK77" s="358"/>
      <c r="AL77" s="331"/>
      <c r="AM77" s="331"/>
      <c r="AN77" s="331"/>
      <c r="AO77" s="331"/>
      <c r="AP77" s="331"/>
      <c r="AQ77" s="333"/>
      <c r="AR77" s="333"/>
    </row>
    <row r="78" spans="2:44" hidden="1" x14ac:dyDescent="0.3">
      <c r="B78" s="375"/>
      <c r="C78" s="375"/>
      <c r="D78" s="375"/>
      <c r="E78" s="376"/>
      <c r="F78" s="375"/>
      <c r="G78" s="376"/>
      <c r="H78" s="376"/>
      <c r="I78" s="375"/>
      <c r="J78" s="376"/>
      <c r="K78" s="375"/>
      <c r="L78" s="375"/>
      <c r="M78" s="375"/>
      <c r="N78" s="375"/>
      <c r="O78" s="375"/>
      <c r="P78" s="378"/>
      <c r="Q78" s="375"/>
      <c r="R78" s="375"/>
      <c r="S78" s="376"/>
      <c r="T78" s="376"/>
      <c r="U78" s="379"/>
      <c r="V78" s="380"/>
      <c r="W78" s="380"/>
      <c r="X78" s="381"/>
      <c r="Y78" s="379"/>
      <c r="Z78" s="379"/>
      <c r="AA78" s="382"/>
      <c r="AB78" s="382"/>
      <c r="AC78" s="382"/>
      <c r="AD78" s="379"/>
      <c r="AE78" s="377"/>
      <c r="AF78" s="426"/>
      <c r="AG78" s="379"/>
      <c r="AH78" s="379"/>
      <c r="AI78" s="379"/>
      <c r="AJ78" s="379"/>
      <c r="AK78" s="386"/>
      <c r="AL78" s="379"/>
      <c r="AM78" s="379"/>
      <c r="AN78" s="379"/>
      <c r="AO78" s="379"/>
      <c r="AP78" s="379"/>
      <c r="AQ78" s="382"/>
      <c r="AR78" s="382"/>
    </row>
    <row r="79" spans="2:44" hidden="1" x14ac:dyDescent="0.3">
      <c r="B79" s="375"/>
      <c r="C79" s="375"/>
      <c r="D79" s="375"/>
      <c r="E79" s="376"/>
      <c r="F79" s="375"/>
      <c r="G79" s="376"/>
      <c r="H79" s="376"/>
      <c r="I79" s="375"/>
      <c r="J79" s="376"/>
      <c r="K79" s="375"/>
      <c r="L79" s="375"/>
      <c r="M79" s="375"/>
      <c r="N79" s="375"/>
      <c r="O79" s="375"/>
      <c r="P79" s="378"/>
      <c r="Q79" s="375"/>
      <c r="R79" s="375"/>
      <c r="S79" s="376"/>
      <c r="T79" s="376"/>
      <c r="U79" s="379"/>
      <c r="V79" s="380"/>
      <c r="W79" s="380"/>
      <c r="X79" s="381"/>
      <c r="Y79" s="379"/>
      <c r="Z79" s="379"/>
      <c r="AA79" s="382"/>
      <c r="AB79" s="382"/>
      <c r="AC79" s="382"/>
      <c r="AD79" s="379"/>
      <c r="AE79" s="377"/>
      <c r="AF79" s="426"/>
      <c r="AG79" s="379"/>
      <c r="AH79" s="379"/>
      <c r="AI79" s="379"/>
      <c r="AJ79" s="379"/>
      <c r="AK79" s="386"/>
      <c r="AL79" s="379"/>
      <c r="AM79" s="379"/>
      <c r="AN79" s="379"/>
      <c r="AO79" s="379"/>
      <c r="AP79" s="379"/>
      <c r="AQ79" s="382"/>
      <c r="AR79" s="382"/>
    </row>
    <row r="80" spans="2:44" hidden="1" x14ac:dyDescent="0.3">
      <c r="B80" s="362"/>
      <c r="C80" s="362"/>
      <c r="D80" s="362"/>
      <c r="E80" s="363"/>
      <c r="F80" s="362"/>
      <c r="G80" s="363"/>
      <c r="H80" s="363"/>
      <c r="I80" s="362"/>
      <c r="J80" s="363"/>
      <c r="K80" s="362"/>
      <c r="L80" s="362"/>
      <c r="M80" s="362"/>
      <c r="N80" s="362"/>
      <c r="O80" s="362"/>
      <c r="P80" s="365"/>
      <c r="Q80" s="362"/>
      <c r="R80" s="362"/>
      <c r="S80" s="363"/>
      <c r="T80" s="363"/>
      <c r="U80" s="366"/>
      <c r="V80" s="367"/>
      <c r="W80" s="367"/>
      <c r="X80" s="368"/>
      <c r="Y80" s="366"/>
      <c r="Z80" s="366"/>
      <c r="AA80" s="369"/>
      <c r="AB80" s="369"/>
      <c r="AC80" s="369"/>
      <c r="AD80" s="366"/>
      <c r="AE80" s="364"/>
      <c r="AF80" s="392"/>
      <c r="AG80" s="366"/>
      <c r="AH80" s="366"/>
      <c r="AI80" s="366"/>
      <c r="AJ80" s="366"/>
      <c r="AK80" s="388"/>
      <c r="AL80" s="366"/>
      <c r="AM80" s="366"/>
      <c r="AN80" s="366"/>
      <c r="AO80" s="366"/>
      <c r="AP80" s="366"/>
      <c r="AQ80" s="369"/>
      <c r="AR80" s="369"/>
    </row>
    <row r="81" spans="2:50" hidden="1" x14ac:dyDescent="0.3">
      <c r="B81" s="347"/>
      <c r="C81" s="347"/>
      <c r="D81" s="347"/>
      <c r="E81" s="348"/>
      <c r="F81" s="347"/>
      <c r="G81" s="348"/>
      <c r="H81" s="348"/>
      <c r="I81" s="347"/>
      <c r="J81" s="348"/>
      <c r="K81" s="347"/>
      <c r="L81" s="347"/>
      <c r="M81" s="347"/>
      <c r="N81" s="347"/>
      <c r="O81" s="347"/>
      <c r="P81" s="350"/>
      <c r="Q81" s="347"/>
      <c r="R81" s="391"/>
      <c r="S81" s="351"/>
      <c r="T81" s="352"/>
      <c r="U81" s="351"/>
      <c r="V81" s="353"/>
      <c r="W81" s="353"/>
      <c r="X81" s="354"/>
      <c r="Y81" s="351"/>
      <c r="Z81" s="351"/>
      <c r="AA81" s="355"/>
      <c r="AB81" s="355"/>
      <c r="AC81" s="355"/>
      <c r="AD81" s="351"/>
      <c r="AE81" s="391"/>
      <c r="AF81" s="427"/>
      <c r="AG81" s="351"/>
      <c r="AH81" s="351"/>
      <c r="AI81" s="351"/>
      <c r="AJ81" s="351"/>
      <c r="AK81" s="356"/>
      <c r="AL81" s="351"/>
      <c r="AM81" s="351"/>
      <c r="AN81" s="351"/>
      <c r="AO81" s="351"/>
      <c r="AP81" s="351"/>
      <c r="AQ81" s="355"/>
      <c r="AR81" s="355"/>
    </row>
    <row r="82" spans="2:50" hidden="1" x14ac:dyDescent="0.3">
      <c r="B82" s="347"/>
      <c r="C82" s="347"/>
      <c r="D82" s="347"/>
      <c r="E82" s="348"/>
      <c r="F82" s="347"/>
      <c r="G82" s="348"/>
      <c r="H82" s="348"/>
      <c r="I82" s="347"/>
      <c r="J82" s="348"/>
      <c r="K82" s="347"/>
      <c r="L82" s="347"/>
      <c r="M82" s="347"/>
      <c r="N82" s="347"/>
      <c r="O82" s="347"/>
      <c r="P82" s="350"/>
      <c r="Q82" s="347"/>
      <c r="R82" s="391"/>
      <c r="S82" s="351"/>
      <c r="T82" s="352"/>
      <c r="U82" s="351"/>
      <c r="V82" s="353"/>
      <c r="W82" s="353"/>
      <c r="X82" s="354"/>
      <c r="Y82" s="351"/>
      <c r="Z82" s="351"/>
      <c r="AA82" s="355"/>
      <c r="AB82" s="355"/>
      <c r="AC82" s="355"/>
      <c r="AD82" s="351"/>
      <c r="AE82" s="391"/>
      <c r="AF82" s="427"/>
      <c r="AG82" s="351"/>
      <c r="AH82" s="351"/>
      <c r="AI82" s="351"/>
      <c r="AJ82" s="351"/>
      <c r="AK82" s="356"/>
      <c r="AL82" s="351"/>
      <c r="AM82" s="351"/>
      <c r="AN82" s="351"/>
      <c r="AO82" s="351"/>
      <c r="AP82" s="351"/>
      <c r="AQ82" s="355"/>
      <c r="AR82" s="355"/>
    </row>
    <row r="83" spans="2:50" hidden="1" x14ac:dyDescent="0.3">
      <c r="B83" s="347"/>
      <c r="C83" s="347"/>
      <c r="D83" s="347"/>
      <c r="E83" s="348"/>
      <c r="F83" s="347"/>
      <c r="G83" s="348"/>
      <c r="H83" s="348"/>
      <c r="I83" s="347"/>
      <c r="J83" s="348"/>
      <c r="K83" s="347"/>
      <c r="L83" s="347"/>
      <c r="M83" s="347"/>
      <c r="N83" s="347"/>
      <c r="O83" s="347"/>
      <c r="P83" s="350"/>
      <c r="Q83" s="347"/>
      <c r="R83" s="391"/>
      <c r="S83" s="351"/>
      <c r="T83" s="352"/>
      <c r="U83" s="351"/>
      <c r="V83" s="353"/>
      <c r="W83" s="353"/>
      <c r="X83" s="354"/>
      <c r="Y83" s="351"/>
      <c r="Z83" s="351"/>
      <c r="AA83" s="355"/>
      <c r="AB83" s="355"/>
      <c r="AC83" s="355"/>
      <c r="AD83" s="351"/>
      <c r="AE83" s="391"/>
      <c r="AF83" s="427"/>
      <c r="AG83" s="351"/>
      <c r="AH83" s="351"/>
      <c r="AI83" s="351"/>
      <c r="AJ83" s="351"/>
      <c r="AK83" s="356"/>
      <c r="AL83" s="351"/>
      <c r="AM83" s="351"/>
      <c r="AN83" s="351"/>
      <c r="AO83" s="351"/>
      <c r="AP83" s="351"/>
      <c r="AQ83" s="355"/>
      <c r="AR83" s="355"/>
    </row>
    <row r="84" spans="2:50" hidden="1" x14ac:dyDescent="0.3">
      <c r="B84" s="327"/>
      <c r="C84" s="327"/>
      <c r="D84" s="327"/>
      <c r="E84" s="328"/>
      <c r="F84" s="327"/>
      <c r="G84" s="328"/>
      <c r="H84" s="328"/>
      <c r="I84" s="327"/>
      <c r="J84" s="328"/>
      <c r="K84" s="327"/>
      <c r="L84" s="327"/>
      <c r="M84" s="327"/>
      <c r="N84" s="327"/>
      <c r="O84" s="327"/>
      <c r="P84" s="330"/>
      <c r="Q84" s="327"/>
      <c r="R84" s="329"/>
      <c r="S84" s="331"/>
      <c r="T84" s="343"/>
      <c r="U84" s="331"/>
      <c r="V84" s="332"/>
      <c r="W84" s="332"/>
      <c r="X84" s="340"/>
      <c r="Y84" s="331"/>
      <c r="Z84" s="331"/>
      <c r="AA84" s="333"/>
      <c r="AB84" s="333"/>
      <c r="AC84" s="333"/>
      <c r="AD84" s="331"/>
      <c r="AE84" s="329"/>
      <c r="AF84" s="425"/>
      <c r="AG84" s="331"/>
      <c r="AH84" s="331"/>
      <c r="AI84" s="331"/>
      <c r="AJ84" s="331"/>
      <c r="AK84" s="358"/>
      <c r="AL84" s="331"/>
      <c r="AM84" s="331"/>
      <c r="AN84" s="331"/>
      <c r="AO84" s="331"/>
      <c r="AP84" s="331"/>
      <c r="AQ84" s="333"/>
      <c r="AR84" s="333"/>
    </row>
    <row r="85" spans="2:50" hidden="1" x14ac:dyDescent="0.3">
      <c r="B85" s="375"/>
      <c r="C85" s="375"/>
      <c r="D85" s="375"/>
      <c r="E85" s="376"/>
      <c r="F85" s="375"/>
      <c r="G85" s="376"/>
      <c r="H85" s="376"/>
      <c r="I85" s="375"/>
      <c r="J85" s="376"/>
      <c r="K85" s="375"/>
      <c r="L85" s="375"/>
      <c r="M85" s="375"/>
      <c r="N85" s="375"/>
      <c r="O85" s="375"/>
      <c r="P85" s="378"/>
      <c r="Q85" s="375"/>
      <c r="R85" s="375"/>
      <c r="S85" s="376"/>
      <c r="T85" s="376"/>
      <c r="U85" s="379"/>
      <c r="V85" s="380"/>
      <c r="W85" s="380"/>
      <c r="X85" s="381"/>
      <c r="Y85" s="379"/>
      <c r="Z85" s="379"/>
      <c r="AA85" s="382"/>
      <c r="AB85" s="382"/>
      <c r="AC85" s="382"/>
      <c r="AD85" s="379"/>
      <c r="AE85" s="377"/>
      <c r="AF85" s="426"/>
      <c r="AG85" s="379"/>
      <c r="AH85" s="379"/>
      <c r="AI85" s="379"/>
      <c r="AJ85" s="379"/>
      <c r="AK85" s="386"/>
      <c r="AL85" s="379"/>
      <c r="AM85" s="379"/>
      <c r="AN85" s="379"/>
      <c r="AO85" s="379"/>
      <c r="AP85" s="379"/>
      <c r="AQ85" s="382"/>
      <c r="AR85" s="382"/>
    </row>
    <row r="86" spans="2:50" hidden="1" x14ac:dyDescent="0.3">
      <c r="B86" s="362"/>
      <c r="C86" s="362"/>
      <c r="D86" s="362"/>
      <c r="E86" s="363"/>
      <c r="F86" s="362"/>
      <c r="G86" s="363"/>
      <c r="H86" s="363"/>
      <c r="I86" s="362"/>
      <c r="J86" s="363"/>
      <c r="K86" s="362"/>
      <c r="L86" s="362"/>
      <c r="M86" s="362"/>
      <c r="N86" s="362"/>
      <c r="O86" s="362"/>
      <c r="P86" s="365"/>
      <c r="Q86" s="362"/>
      <c r="R86" s="362"/>
      <c r="S86" s="363"/>
      <c r="T86" s="363"/>
      <c r="U86" s="366"/>
      <c r="V86" s="367"/>
      <c r="W86" s="367"/>
      <c r="X86" s="368"/>
      <c r="Y86" s="366"/>
      <c r="Z86" s="366"/>
      <c r="AA86" s="369"/>
      <c r="AB86" s="369"/>
      <c r="AC86" s="369"/>
      <c r="AD86" s="366"/>
      <c r="AE86" s="364"/>
      <c r="AF86" s="392"/>
      <c r="AG86" s="366"/>
      <c r="AH86" s="366"/>
      <c r="AI86" s="366"/>
      <c r="AJ86" s="366"/>
      <c r="AK86" s="388"/>
      <c r="AL86" s="366"/>
      <c r="AM86" s="366"/>
      <c r="AN86" s="366"/>
      <c r="AO86" s="366"/>
      <c r="AP86" s="366"/>
      <c r="AQ86" s="369"/>
      <c r="AR86" s="369"/>
    </row>
    <row r="87" spans="2:50" hidden="1" x14ac:dyDescent="0.3">
      <c r="B87" s="347"/>
      <c r="C87" s="347"/>
      <c r="D87" s="347"/>
      <c r="E87" s="348"/>
      <c r="F87" s="347"/>
      <c r="G87" s="348"/>
      <c r="H87" s="348"/>
      <c r="I87" s="347"/>
      <c r="J87" s="348"/>
      <c r="K87" s="347"/>
      <c r="L87" s="347"/>
      <c r="M87" s="347"/>
      <c r="N87" s="347"/>
      <c r="O87" s="347"/>
      <c r="P87" s="347"/>
      <c r="Q87" s="347"/>
      <c r="R87" s="347"/>
      <c r="S87" s="348"/>
      <c r="T87" s="348"/>
      <c r="U87" s="351"/>
      <c r="V87" s="353"/>
      <c r="W87" s="353"/>
      <c r="X87" s="354"/>
      <c r="Y87" s="351"/>
      <c r="Z87" s="351"/>
      <c r="AA87" s="355"/>
      <c r="AB87" s="355"/>
      <c r="AC87" s="355"/>
      <c r="AD87" s="351"/>
      <c r="AE87" s="391"/>
      <c r="AF87" s="427"/>
      <c r="AG87" s="351"/>
      <c r="AH87" s="351"/>
      <c r="AI87" s="351"/>
      <c r="AJ87" s="351"/>
      <c r="AK87" s="356"/>
      <c r="AL87" s="351"/>
      <c r="AM87" s="351"/>
      <c r="AN87" s="351"/>
      <c r="AO87" s="351"/>
      <c r="AP87" s="351"/>
      <c r="AQ87" s="355"/>
      <c r="AR87" s="355"/>
    </row>
    <row r="88" spans="2:50" hidden="1" x14ac:dyDescent="0.3">
      <c r="B88" s="327"/>
      <c r="C88" s="327"/>
      <c r="D88" s="327"/>
      <c r="E88" s="328"/>
      <c r="F88" s="327"/>
      <c r="G88" s="328"/>
      <c r="H88" s="328"/>
      <c r="I88" s="327"/>
      <c r="J88" s="328"/>
      <c r="K88" s="327"/>
      <c r="L88" s="327"/>
      <c r="M88" s="327"/>
      <c r="N88" s="327"/>
      <c r="O88" s="327"/>
      <c r="P88" s="327"/>
      <c r="Q88" s="327"/>
      <c r="R88" s="327"/>
      <c r="S88" s="328"/>
      <c r="T88" s="328"/>
      <c r="U88" s="331"/>
      <c r="V88" s="332"/>
      <c r="W88" s="332"/>
      <c r="X88" s="340"/>
      <c r="Y88" s="331"/>
      <c r="Z88" s="331"/>
      <c r="AA88" s="333"/>
      <c r="AB88" s="333"/>
      <c r="AC88" s="333"/>
      <c r="AD88" s="331"/>
      <c r="AE88" s="329"/>
      <c r="AF88" s="425"/>
      <c r="AG88" s="331"/>
      <c r="AH88" s="331"/>
      <c r="AI88" s="331"/>
      <c r="AJ88" s="331"/>
      <c r="AK88" s="358"/>
      <c r="AL88" s="331"/>
      <c r="AM88" s="331"/>
      <c r="AN88" s="331"/>
      <c r="AO88" s="331"/>
      <c r="AP88" s="331"/>
      <c r="AQ88" s="333"/>
      <c r="AR88" s="333"/>
    </row>
    <row r="89" spans="2:50" hidden="1" x14ac:dyDescent="0.3">
      <c r="B89" s="375"/>
      <c r="C89" s="375"/>
      <c r="D89" s="375"/>
      <c r="E89" s="376"/>
      <c r="F89" s="375"/>
      <c r="G89" s="376"/>
      <c r="H89" s="376"/>
      <c r="I89" s="375"/>
      <c r="J89" s="376"/>
      <c r="K89" s="375"/>
      <c r="L89" s="375"/>
      <c r="M89" s="375"/>
      <c r="N89" s="375"/>
      <c r="O89" s="375"/>
      <c r="P89" s="378"/>
      <c r="Q89" s="375"/>
      <c r="R89" s="377"/>
      <c r="S89" s="382"/>
      <c r="T89" s="385"/>
      <c r="U89" s="379"/>
      <c r="V89" s="380"/>
      <c r="W89" s="380"/>
      <c r="X89" s="381"/>
      <c r="Y89" s="379"/>
      <c r="Z89" s="379"/>
      <c r="AA89" s="382"/>
      <c r="AB89" s="382"/>
      <c r="AC89" s="382"/>
      <c r="AD89" s="379"/>
      <c r="AE89" s="377"/>
      <c r="AF89" s="426"/>
      <c r="AG89" s="379"/>
      <c r="AH89" s="379"/>
      <c r="AI89" s="379"/>
      <c r="AJ89" s="379"/>
      <c r="AK89" s="386"/>
      <c r="AL89" s="379"/>
      <c r="AM89" s="379"/>
      <c r="AN89" s="379"/>
      <c r="AO89" s="379"/>
      <c r="AP89" s="379"/>
      <c r="AQ89" s="382"/>
      <c r="AR89" s="382"/>
    </row>
    <row r="90" spans="2:50" hidden="1" x14ac:dyDescent="0.3">
      <c r="B90" s="362"/>
      <c r="C90" s="362"/>
      <c r="D90" s="362"/>
      <c r="E90" s="363"/>
      <c r="F90" s="362"/>
      <c r="G90" s="363"/>
      <c r="H90" s="363"/>
      <c r="I90" s="362"/>
      <c r="J90" s="363"/>
      <c r="K90" s="362"/>
      <c r="L90" s="362"/>
      <c r="M90" s="362"/>
      <c r="N90" s="362"/>
      <c r="O90" s="362"/>
      <c r="P90" s="362"/>
      <c r="Q90" s="362"/>
      <c r="R90" s="362"/>
      <c r="S90" s="369"/>
      <c r="T90" s="363"/>
      <c r="U90" s="366"/>
      <c r="V90" s="363"/>
      <c r="W90" s="367"/>
      <c r="X90" s="368"/>
      <c r="Y90" s="366"/>
      <c r="Z90" s="366"/>
      <c r="AA90" s="369"/>
      <c r="AB90" s="369"/>
      <c r="AC90" s="369"/>
      <c r="AD90" s="366"/>
      <c r="AE90" s="364"/>
      <c r="AF90" s="392"/>
      <c r="AG90" s="366"/>
      <c r="AH90" s="366"/>
      <c r="AI90" s="366"/>
      <c r="AJ90" s="366"/>
      <c r="AK90" s="388"/>
      <c r="AL90" s="366"/>
      <c r="AM90" s="366"/>
      <c r="AN90" s="366"/>
      <c r="AO90" s="366"/>
      <c r="AP90" s="366"/>
      <c r="AQ90" s="369"/>
      <c r="AR90" s="369"/>
    </row>
    <row r="91" spans="2:50" hidden="1" x14ac:dyDescent="0.3">
      <c r="B91" s="347"/>
      <c r="C91" s="347"/>
      <c r="D91" s="347"/>
      <c r="E91" s="348"/>
      <c r="F91" s="347"/>
      <c r="G91" s="348"/>
      <c r="H91" s="348"/>
      <c r="I91" s="347"/>
      <c r="J91" s="348"/>
      <c r="K91" s="347"/>
      <c r="L91" s="347"/>
      <c r="M91" s="347"/>
      <c r="N91" s="347"/>
      <c r="O91" s="347"/>
      <c r="P91" s="350"/>
      <c r="Q91" s="347"/>
      <c r="R91" s="349"/>
      <c r="S91" s="351"/>
      <c r="T91" s="348"/>
      <c r="U91" s="351"/>
      <c r="V91" s="353"/>
      <c r="W91" s="353"/>
      <c r="X91" s="354"/>
      <c r="Y91" s="351"/>
      <c r="Z91" s="351"/>
      <c r="AA91" s="355"/>
      <c r="AB91" s="355"/>
      <c r="AC91" s="355"/>
      <c r="AD91" s="351"/>
      <c r="AE91" s="391"/>
      <c r="AF91" s="427"/>
      <c r="AG91" s="351"/>
      <c r="AH91" s="351"/>
      <c r="AI91" s="351"/>
      <c r="AJ91" s="351"/>
      <c r="AK91" s="393"/>
      <c r="AL91" s="351"/>
      <c r="AM91" s="351"/>
      <c r="AN91" s="351"/>
      <c r="AO91" s="351"/>
      <c r="AP91" s="351"/>
      <c r="AQ91" s="355"/>
      <c r="AR91" s="355"/>
    </row>
    <row r="92" spans="2:50" hidden="1" x14ac:dyDescent="0.3">
      <c r="B92" s="327"/>
      <c r="C92" s="327"/>
      <c r="D92" s="327"/>
      <c r="E92" s="328"/>
      <c r="F92" s="327"/>
      <c r="G92" s="328"/>
      <c r="H92" s="328"/>
      <c r="I92" s="327"/>
      <c r="J92" s="328"/>
      <c r="K92" s="327"/>
      <c r="L92" s="327"/>
      <c r="M92" s="327"/>
      <c r="N92" s="327"/>
      <c r="O92" s="327"/>
      <c r="P92" s="330"/>
      <c r="Q92" s="327"/>
      <c r="R92" s="329"/>
      <c r="S92" s="331"/>
      <c r="T92" s="343"/>
      <c r="U92" s="331"/>
      <c r="V92" s="332"/>
      <c r="W92" s="332"/>
      <c r="X92" s="340"/>
      <c r="Y92" s="331"/>
      <c r="Z92" s="331"/>
      <c r="AA92" s="333"/>
      <c r="AB92" s="333"/>
      <c r="AC92" s="333"/>
      <c r="AD92" s="331"/>
      <c r="AE92" s="329"/>
      <c r="AF92" s="425"/>
      <c r="AG92" s="331"/>
      <c r="AH92" s="331"/>
      <c r="AI92" s="394"/>
      <c r="AJ92" s="331"/>
      <c r="AK92" s="334"/>
      <c r="AL92" s="331"/>
      <c r="AM92" s="331"/>
      <c r="AN92" s="331"/>
      <c r="AO92" s="331"/>
      <c r="AP92" s="331"/>
      <c r="AQ92" s="333"/>
      <c r="AR92" s="333"/>
    </row>
    <row r="93" spans="2:50" hidden="1" x14ac:dyDescent="0.3">
      <c r="B93" s="375"/>
      <c r="C93" s="375"/>
      <c r="D93" s="375"/>
      <c r="E93" s="376"/>
      <c r="F93" s="375"/>
      <c r="G93" s="376"/>
      <c r="H93" s="376"/>
      <c r="I93" s="375"/>
      <c r="J93" s="376"/>
      <c r="K93" s="375"/>
      <c r="L93" s="375"/>
      <c r="M93" s="375"/>
      <c r="N93" s="375"/>
      <c r="O93" s="375"/>
      <c r="P93" s="378"/>
      <c r="Q93" s="375"/>
      <c r="R93" s="377"/>
      <c r="S93" s="382"/>
      <c r="T93" s="385"/>
      <c r="U93" s="379"/>
      <c r="V93" s="380"/>
      <c r="W93" s="380"/>
      <c r="X93" s="381"/>
      <c r="Y93" s="379"/>
      <c r="Z93" s="379"/>
      <c r="AA93" s="382"/>
      <c r="AB93" s="382"/>
      <c r="AC93" s="382"/>
      <c r="AD93" s="379"/>
      <c r="AE93" s="377"/>
      <c r="AF93" s="426"/>
      <c r="AG93" s="379"/>
      <c r="AH93" s="379"/>
      <c r="AI93" s="379"/>
      <c r="AJ93" s="379"/>
      <c r="AK93" s="386"/>
      <c r="AL93" s="379"/>
      <c r="AM93" s="379"/>
      <c r="AN93" s="379"/>
      <c r="AO93" s="379"/>
      <c r="AP93" s="379"/>
      <c r="AQ93" s="382"/>
      <c r="AR93" s="382"/>
    </row>
    <row r="94" spans="2:50" hidden="1" x14ac:dyDescent="0.3">
      <c r="B94" s="362"/>
      <c r="C94" s="362"/>
      <c r="D94" s="362"/>
      <c r="E94" s="363"/>
      <c r="F94" s="362"/>
      <c r="G94" s="363"/>
      <c r="H94" s="363"/>
      <c r="I94" s="362"/>
      <c r="J94" s="363"/>
      <c r="K94" s="362"/>
      <c r="L94" s="362"/>
      <c r="M94" s="362"/>
      <c r="N94" s="362"/>
      <c r="O94" s="362"/>
      <c r="P94" s="365"/>
      <c r="Q94" s="362"/>
      <c r="R94" s="364"/>
      <c r="S94" s="369"/>
      <c r="T94" s="371"/>
      <c r="U94" s="366"/>
      <c r="V94" s="367"/>
      <c r="W94" s="367"/>
      <c r="X94" s="368"/>
      <c r="Y94" s="366"/>
      <c r="Z94" s="366"/>
      <c r="AA94" s="369"/>
      <c r="AB94" s="369"/>
      <c r="AC94" s="369"/>
      <c r="AD94" s="366"/>
      <c r="AE94" s="364"/>
      <c r="AF94" s="392"/>
      <c r="AG94" s="366"/>
      <c r="AH94" s="366"/>
      <c r="AI94" s="366"/>
      <c r="AJ94" s="366"/>
      <c r="AK94" s="370"/>
      <c r="AL94" s="366"/>
      <c r="AM94" s="366"/>
      <c r="AN94" s="366"/>
      <c r="AO94" s="366"/>
      <c r="AP94" s="366"/>
      <c r="AQ94" s="369"/>
      <c r="AR94" s="369"/>
    </row>
    <row r="95" spans="2:50" hidden="1" x14ac:dyDescent="0.3">
      <c r="B95" s="347"/>
      <c r="C95" s="347"/>
      <c r="D95" s="347"/>
      <c r="E95" s="348"/>
      <c r="F95" s="347"/>
      <c r="G95" s="348"/>
      <c r="H95" s="348"/>
      <c r="I95" s="347"/>
      <c r="J95" s="348"/>
      <c r="K95" s="347"/>
      <c r="L95" s="347"/>
      <c r="M95" s="347"/>
      <c r="N95" s="347"/>
      <c r="O95" s="347"/>
      <c r="P95" s="350"/>
      <c r="Q95" s="347"/>
      <c r="R95" s="347"/>
      <c r="S95" s="348"/>
      <c r="T95" s="348"/>
      <c r="U95" s="351"/>
      <c r="V95" s="353"/>
      <c r="W95" s="353"/>
      <c r="X95" s="354"/>
      <c r="Y95" s="351"/>
      <c r="Z95" s="348"/>
      <c r="AA95" s="355"/>
      <c r="AB95" s="355"/>
      <c r="AC95" s="355"/>
      <c r="AD95" s="351"/>
      <c r="AE95" s="391"/>
      <c r="AF95" s="427"/>
      <c r="AG95" s="351"/>
      <c r="AH95" s="351"/>
      <c r="AI95" s="351"/>
      <c r="AJ95" s="351"/>
      <c r="AK95" s="356"/>
      <c r="AL95" s="351"/>
      <c r="AM95" s="351"/>
      <c r="AN95" s="351"/>
      <c r="AO95" s="351"/>
      <c r="AP95" s="351"/>
      <c r="AQ95" s="355"/>
      <c r="AR95" s="355"/>
      <c r="AS95" s="254"/>
      <c r="AT95" s="254"/>
      <c r="AU95" s="254"/>
      <c r="AV95" s="254"/>
      <c r="AW95" s="254"/>
      <c r="AX95" s="254"/>
    </row>
    <row r="96" spans="2:50" hidden="1" x14ac:dyDescent="0.3">
      <c r="B96" s="347"/>
      <c r="C96" s="347"/>
      <c r="D96" s="347"/>
      <c r="E96" s="348"/>
      <c r="F96" s="347"/>
      <c r="G96" s="348"/>
      <c r="H96" s="348"/>
      <c r="I96" s="347"/>
      <c r="J96" s="348"/>
      <c r="K96" s="347"/>
      <c r="L96" s="347"/>
      <c r="M96" s="347"/>
      <c r="N96" s="347"/>
      <c r="O96" s="347"/>
      <c r="P96" s="350"/>
      <c r="Q96" s="347"/>
      <c r="R96" s="347"/>
      <c r="S96" s="348"/>
      <c r="T96" s="348"/>
      <c r="U96" s="351"/>
      <c r="V96" s="353"/>
      <c r="W96" s="353"/>
      <c r="X96" s="354"/>
      <c r="Y96" s="351"/>
      <c r="Z96" s="351"/>
      <c r="AA96" s="355"/>
      <c r="AB96" s="355"/>
      <c r="AC96" s="355"/>
      <c r="AD96" s="351"/>
      <c r="AE96" s="391"/>
      <c r="AF96" s="427"/>
      <c r="AG96" s="351"/>
      <c r="AH96" s="351"/>
      <c r="AI96" s="351"/>
      <c r="AJ96" s="351"/>
      <c r="AK96" s="354"/>
      <c r="AL96" s="351"/>
      <c r="AM96" s="351"/>
      <c r="AN96" s="351"/>
      <c r="AO96" s="351"/>
      <c r="AP96" s="351"/>
      <c r="AQ96" s="355"/>
      <c r="AR96" s="355"/>
      <c r="AS96" s="254"/>
      <c r="AT96" s="254"/>
      <c r="AU96" s="254"/>
      <c r="AV96" s="254"/>
      <c r="AW96" s="254"/>
      <c r="AX96" s="254"/>
    </row>
    <row r="97" spans="2:50" hidden="1" x14ac:dyDescent="0.3">
      <c r="B97" s="347"/>
      <c r="C97" s="347"/>
      <c r="D97" s="347"/>
      <c r="E97" s="348"/>
      <c r="F97" s="347"/>
      <c r="G97" s="348"/>
      <c r="H97" s="348"/>
      <c r="I97" s="347"/>
      <c r="J97" s="348"/>
      <c r="K97" s="347"/>
      <c r="L97" s="347"/>
      <c r="M97" s="347"/>
      <c r="N97" s="347"/>
      <c r="O97" s="347"/>
      <c r="P97" s="350"/>
      <c r="Q97" s="347"/>
      <c r="R97" s="347"/>
      <c r="S97" s="348"/>
      <c r="T97" s="348"/>
      <c r="U97" s="351"/>
      <c r="V97" s="353"/>
      <c r="W97" s="353"/>
      <c r="X97" s="354"/>
      <c r="Y97" s="351"/>
      <c r="Z97" s="351"/>
      <c r="AA97" s="355"/>
      <c r="AB97" s="355"/>
      <c r="AC97" s="355"/>
      <c r="AD97" s="351"/>
      <c r="AE97" s="391"/>
      <c r="AF97" s="427"/>
      <c r="AG97" s="351"/>
      <c r="AH97" s="351"/>
      <c r="AI97" s="351"/>
      <c r="AJ97" s="351"/>
      <c r="AK97" s="354"/>
      <c r="AL97" s="351"/>
      <c r="AM97" s="351"/>
      <c r="AN97" s="351"/>
      <c r="AO97" s="351"/>
      <c r="AP97" s="351"/>
      <c r="AQ97" s="355"/>
      <c r="AR97" s="355"/>
      <c r="AS97" s="254"/>
      <c r="AT97" s="254"/>
      <c r="AU97" s="254"/>
      <c r="AV97" s="254"/>
      <c r="AW97" s="254"/>
      <c r="AX97" s="254"/>
    </row>
    <row r="98" spans="2:50" hidden="1" x14ac:dyDescent="0.3">
      <c r="B98" s="347"/>
      <c r="C98" s="347"/>
      <c r="D98" s="347"/>
      <c r="E98" s="348"/>
      <c r="F98" s="347"/>
      <c r="G98" s="348"/>
      <c r="H98" s="348"/>
      <c r="I98" s="347"/>
      <c r="J98" s="348"/>
      <c r="K98" s="347"/>
      <c r="L98" s="347"/>
      <c r="M98" s="347"/>
      <c r="N98" s="347"/>
      <c r="O98" s="347"/>
      <c r="P98" s="350"/>
      <c r="Q98" s="347"/>
      <c r="R98" s="347"/>
      <c r="S98" s="348"/>
      <c r="T98" s="348"/>
      <c r="U98" s="351"/>
      <c r="V98" s="353"/>
      <c r="W98" s="353"/>
      <c r="X98" s="354"/>
      <c r="Y98" s="351"/>
      <c r="Z98" s="348"/>
      <c r="AA98" s="355"/>
      <c r="AB98" s="355"/>
      <c r="AC98" s="355"/>
      <c r="AD98" s="351"/>
      <c r="AE98" s="391"/>
      <c r="AF98" s="427"/>
      <c r="AG98" s="351"/>
      <c r="AH98" s="351"/>
      <c r="AI98" s="351"/>
      <c r="AJ98" s="351"/>
      <c r="AK98" s="354"/>
      <c r="AL98" s="351"/>
      <c r="AM98" s="351"/>
      <c r="AN98" s="351"/>
      <c r="AO98" s="351"/>
      <c r="AP98" s="351"/>
      <c r="AQ98" s="355"/>
      <c r="AR98" s="355"/>
      <c r="AS98" s="254"/>
      <c r="AT98" s="254"/>
      <c r="AU98" s="254"/>
      <c r="AV98" s="254"/>
      <c r="AW98" s="254"/>
      <c r="AX98" s="254"/>
    </row>
    <row r="99" spans="2:50" hidden="1" x14ac:dyDescent="0.3">
      <c r="B99" s="347"/>
      <c r="C99" s="347"/>
      <c r="D99" s="347"/>
      <c r="E99" s="348"/>
      <c r="F99" s="347"/>
      <c r="G99" s="348"/>
      <c r="H99" s="348"/>
      <c r="I99" s="347"/>
      <c r="J99" s="348"/>
      <c r="K99" s="347"/>
      <c r="L99" s="347"/>
      <c r="M99" s="347"/>
      <c r="N99" s="347"/>
      <c r="O99" s="347"/>
      <c r="P99" s="350"/>
      <c r="Q99" s="347"/>
      <c r="R99" s="347"/>
      <c r="S99" s="348"/>
      <c r="T99" s="348"/>
      <c r="U99" s="351"/>
      <c r="V99" s="353"/>
      <c r="W99" s="353"/>
      <c r="X99" s="354"/>
      <c r="Y99" s="351"/>
      <c r="Z99" s="351"/>
      <c r="AA99" s="355"/>
      <c r="AB99" s="355"/>
      <c r="AC99" s="355"/>
      <c r="AD99" s="351"/>
      <c r="AE99" s="391"/>
      <c r="AF99" s="427"/>
      <c r="AG99" s="351"/>
      <c r="AH99" s="351"/>
      <c r="AI99" s="351"/>
      <c r="AJ99" s="351"/>
      <c r="AK99" s="354"/>
      <c r="AL99" s="351"/>
      <c r="AM99" s="351"/>
      <c r="AN99" s="351"/>
      <c r="AO99" s="351"/>
      <c r="AP99" s="351"/>
      <c r="AQ99" s="355"/>
      <c r="AR99" s="355"/>
      <c r="AS99" s="254"/>
      <c r="AT99" s="254"/>
      <c r="AU99" s="254"/>
      <c r="AV99" s="254"/>
      <c r="AW99" s="254"/>
      <c r="AX99" s="254"/>
    </row>
    <row r="100" spans="2:50" hidden="1" x14ac:dyDescent="0.3">
      <c r="B100" s="347"/>
      <c r="C100" s="347"/>
      <c r="D100" s="347"/>
      <c r="E100" s="348"/>
      <c r="F100" s="347"/>
      <c r="G100" s="348"/>
      <c r="H100" s="348"/>
      <c r="I100" s="347"/>
      <c r="J100" s="348"/>
      <c r="K100" s="347"/>
      <c r="L100" s="347"/>
      <c r="M100" s="347"/>
      <c r="N100" s="347"/>
      <c r="O100" s="347"/>
      <c r="P100" s="350"/>
      <c r="Q100" s="347"/>
      <c r="R100" s="347"/>
      <c r="S100" s="348"/>
      <c r="T100" s="348"/>
      <c r="U100" s="351"/>
      <c r="V100" s="353"/>
      <c r="W100" s="353"/>
      <c r="X100" s="354"/>
      <c r="Y100" s="351"/>
      <c r="Z100" s="351"/>
      <c r="AA100" s="355"/>
      <c r="AB100" s="355"/>
      <c r="AC100" s="355"/>
      <c r="AD100" s="351"/>
      <c r="AE100" s="391"/>
      <c r="AF100" s="427"/>
      <c r="AG100" s="351"/>
      <c r="AH100" s="351"/>
      <c r="AI100" s="351"/>
      <c r="AJ100" s="351"/>
      <c r="AK100" s="354"/>
      <c r="AL100" s="351"/>
      <c r="AM100" s="351"/>
      <c r="AN100" s="351"/>
      <c r="AO100" s="351"/>
      <c r="AP100" s="351"/>
      <c r="AQ100" s="355"/>
      <c r="AR100" s="355"/>
      <c r="AS100" s="254"/>
      <c r="AT100" s="254"/>
      <c r="AU100" s="254"/>
      <c r="AV100" s="254"/>
      <c r="AW100" s="254"/>
      <c r="AX100" s="254"/>
    </row>
    <row r="101" spans="2:50" hidden="1" x14ac:dyDescent="0.3">
      <c r="B101" s="347"/>
      <c r="C101" s="347"/>
      <c r="D101" s="347"/>
      <c r="E101" s="348"/>
      <c r="F101" s="347"/>
      <c r="G101" s="348"/>
      <c r="H101" s="348"/>
      <c r="I101" s="347"/>
      <c r="J101" s="348"/>
      <c r="K101" s="347"/>
      <c r="L101" s="347"/>
      <c r="M101" s="347"/>
      <c r="N101" s="347"/>
      <c r="O101" s="347"/>
      <c r="P101" s="350"/>
      <c r="Q101" s="347"/>
      <c r="R101" s="347"/>
      <c r="S101" s="348"/>
      <c r="T101" s="348"/>
      <c r="U101" s="351"/>
      <c r="V101" s="353"/>
      <c r="W101" s="353"/>
      <c r="X101" s="354"/>
      <c r="Y101" s="351"/>
      <c r="Z101" s="348"/>
      <c r="AA101" s="355"/>
      <c r="AB101" s="355"/>
      <c r="AC101" s="355"/>
      <c r="AD101" s="351"/>
      <c r="AE101" s="391"/>
      <c r="AF101" s="427"/>
      <c r="AG101" s="351"/>
      <c r="AH101" s="351"/>
      <c r="AI101" s="351"/>
      <c r="AJ101" s="351"/>
      <c r="AK101" s="354"/>
      <c r="AL101" s="351"/>
      <c r="AM101" s="351"/>
      <c r="AN101" s="351"/>
      <c r="AO101" s="351"/>
      <c r="AP101" s="351"/>
      <c r="AQ101" s="355"/>
      <c r="AR101" s="355"/>
      <c r="AS101" s="254"/>
      <c r="AT101" s="254"/>
      <c r="AU101" s="254"/>
      <c r="AV101" s="254"/>
      <c r="AW101" s="254"/>
      <c r="AX101" s="254"/>
    </row>
    <row r="102" spans="2:50" hidden="1" x14ac:dyDescent="0.3">
      <c r="B102" s="347"/>
      <c r="C102" s="347"/>
      <c r="D102" s="347"/>
      <c r="E102" s="348"/>
      <c r="F102" s="347"/>
      <c r="G102" s="348"/>
      <c r="H102" s="348"/>
      <c r="I102" s="347"/>
      <c r="J102" s="348"/>
      <c r="K102" s="347"/>
      <c r="L102" s="347"/>
      <c r="M102" s="347"/>
      <c r="N102" s="347"/>
      <c r="O102" s="347"/>
      <c r="P102" s="350"/>
      <c r="Q102" s="347"/>
      <c r="R102" s="347"/>
      <c r="S102" s="348"/>
      <c r="T102" s="348"/>
      <c r="U102" s="351"/>
      <c r="V102" s="353"/>
      <c r="W102" s="353"/>
      <c r="X102" s="354"/>
      <c r="Y102" s="351"/>
      <c r="Z102" s="351"/>
      <c r="AA102" s="355"/>
      <c r="AB102" s="355"/>
      <c r="AC102" s="355"/>
      <c r="AD102" s="351"/>
      <c r="AE102" s="391"/>
      <c r="AF102" s="427"/>
      <c r="AG102" s="351"/>
      <c r="AH102" s="351"/>
      <c r="AI102" s="351"/>
      <c r="AJ102" s="351"/>
      <c r="AK102" s="354"/>
      <c r="AL102" s="351"/>
      <c r="AM102" s="351"/>
      <c r="AN102" s="351"/>
      <c r="AO102" s="351"/>
      <c r="AP102" s="351"/>
      <c r="AQ102" s="355"/>
      <c r="AR102" s="355"/>
      <c r="AS102" s="254"/>
      <c r="AT102" s="254"/>
      <c r="AU102" s="254"/>
      <c r="AV102" s="254"/>
      <c r="AW102" s="254"/>
      <c r="AX102" s="254"/>
    </row>
    <row r="103" spans="2:50" hidden="1" x14ac:dyDescent="0.3">
      <c r="B103" s="347"/>
      <c r="C103" s="347"/>
      <c r="D103" s="347"/>
      <c r="E103" s="348"/>
      <c r="F103" s="347"/>
      <c r="G103" s="348"/>
      <c r="H103" s="348"/>
      <c r="I103" s="347"/>
      <c r="J103" s="348"/>
      <c r="K103" s="347"/>
      <c r="L103" s="347"/>
      <c r="M103" s="347"/>
      <c r="N103" s="347"/>
      <c r="O103" s="347"/>
      <c r="P103" s="350"/>
      <c r="Q103" s="347"/>
      <c r="R103" s="347"/>
      <c r="S103" s="348"/>
      <c r="T103" s="348"/>
      <c r="U103" s="351"/>
      <c r="V103" s="353"/>
      <c r="W103" s="353"/>
      <c r="X103" s="354"/>
      <c r="Y103" s="351"/>
      <c r="Z103" s="348"/>
      <c r="AA103" s="355"/>
      <c r="AB103" s="355"/>
      <c r="AC103" s="355"/>
      <c r="AD103" s="351"/>
      <c r="AE103" s="391"/>
      <c r="AF103" s="427"/>
      <c r="AG103" s="351"/>
      <c r="AH103" s="351"/>
      <c r="AI103" s="351"/>
      <c r="AJ103" s="351"/>
      <c r="AK103" s="354"/>
      <c r="AL103" s="351"/>
      <c r="AM103" s="351"/>
      <c r="AN103" s="351"/>
      <c r="AO103" s="351"/>
      <c r="AP103" s="351"/>
      <c r="AQ103" s="355"/>
      <c r="AR103" s="355"/>
      <c r="AS103" s="254"/>
      <c r="AT103" s="254"/>
      <c r="AU103" s="254"/>
      <c r="AV103" s="254"/>
      <c r="AW103" s="254"/>
      <c r="AX103" s="254"/>
    </row>
    <row r="104" spans="2:50" hidden="1" x14ac:dyDescent="0.3">
      <c r="B104" s="327"/>
      <c r="C104" s="327"/>
      <c r="D104" s="327"/>
      <c r="E104" s="328"/>
      <c r="F104" s="327"/>
      <c r="G104" s="328"/>
      <c r="H104" s="328"/>
      <c r="I104" s="327"/>
      <c r="J104" s="328"/>
      <c r="K104" s="327"/>
      <c r="L104" s="327"/>
      <c r="M104" s="327"/>
      <c r="N104" s="327"/>
      <c r="O104" s="327"/>
      <c r="P104" s="330"/>
      <c r="Q104" s="327"/>
      <c r="R104" s="327"/>
      <c r="S104" s="328"/>
      <c r="T104" s="328"/>
      <c r="U104" s="331"/>
      <c r="V104" s="332"/>
      <c r="W104" s="332"/>
      <c r="X104" s="340"/>
      <c r="Y104" s="331"/>
      <c r="Z104" s="331"/>
      <c r="AA104" s="333"/>
      <c r="AB104" s="333"/>
      <c r="AC104" s="333"/>
      <c r="AD104" s="331"/>
      <c r="AE104" s="329"/>
      <c r="AF104" s="425"/>
      <c r="AG104" s="331"/>
      <c r="AH104" s="331"/>
      <c r="AI104" s="331"/>
      <c r="AJ104" s="331"/>
      <c r="AK104" s="340"/>
      <c r="AL104" s="331"/>
      <c r="AM104" s="331"/>
      <c r="AN104" s="331"/>
      <c r="AO104" s="331"/>
      <c r="AP104" s="331"/>
      <c r="AQ104" s="333"/>
      <c r="AR104" s="333"/>
      <c r="AS104" s="254"/>
      <c r="AT104" s="254"/>
      <c r="AU104" s="254"/>
      <c r="AV104" s="254"/>
      <c r="AW104" s="254"/>
      <c r="AX104" s="254"/>
    </row>
    <row r="105" spans="2:50" s="254" customFormat="1" hidden="1" x14ac:dyDescent="0.3">
      <c r="B105" s="375"/>
      <c r="C105" s="375"/>
      <c r="D105" s="375"/>
      <c r="E105" s="376"/>
      <c r="F105" s="375"/>
      <c r="G105" s="376"/>
      <c r="H105" s="376"/>
      <c r="I105" s="375"/>
      <c r="J105" s="376"/>
      <c r="K105" s="375"/>
      <c r="L105" s="375"/>
      <c r="M105" s="375"/>
      <c r="N105" s="375"/>
      <c r="O105" s="375"/>
      <c r="P105" s="378"/>
      <c r="Q105" s="375"/>
      <c r="R105" s="375"/>
      <c r="S105" s="376"/>
      <c r="T105" s="376"/>
      <c r="U105" s="379"/>
      <c r="V105" s="380"/>
      <c r="W105" s="380"/>
      <c r="X105" s="381"/>
      <c r="Y105" s="379"/>
      <c r="Z105" s="379"/>
      <c r="AA105" s="382"/>
      <c r="AB105" s="382"/>
      <c r="AC105" s="382"/>
      <c r="AD105" s="379"/>
      <c r="AE105" s="377"/>
      <c r="AF105" s="426"/>
      <c r="AG105" s="379"/>
      <c r="AH105" s="379"/>
      <c r="AI105" s="379"/>
      <c r="AJ105" s="379"/>
      <c r="AK105" s="381"/>
      <c r="AL105" s="379"/>
      <c r="AM105" s="379"/>
      <c r="AN105" s="379"/>
      <c r="AO105" s="379"/>
      <c r="AP105" s="379"/>
      <c r="AQ105" s="382"/>
      <c r="AR105" s="382"/>
    </row>
    <row r="106" spans="2:50" hidden="1" x14ac:dyDescent="0.3">
      <c r="B106" s="375"/>
      <c r="C106" s="375"/>
      <c r="D106" s="375"/>
      <c r="E106" s="376"/>
      <c r="F106" s="375"/>
      <c r="G106" s="376"/>
      <c r="H106" s="376"/>
      <c r="I106" s="375"/>
      <c r="J106" s="376"/>
      <c r="K106" s="375"/>
      <c r="L106" s="375"/>
      <c r="M106" s="375"/>
      <c r="N106" s="375"/>
      <c r="O106" s="375"/>
      <c r="P106" s="378"/>
      <c r="Q106" s="375"/>
      <c r="R106" s="375"/>
      <c r="S106" s="376"/>
      <c r="T106" s="376"/>
      <c r="U106" s="379"/>
      <c r="V106" s="380"/>
      <c r="W106" s="380"/>
      <c r="X106" s="381"/>
      <c r="Y106" s="379"/>
      <c r="Z106" s="379"/>
      <c r="AA106" s="382"/>
      <c r="AB106" s="382"/>
      <c r="AC106" s="382"/>
      <c r="AD106" s="379"/>
      <c r="AE106" s="377"/>
      <c r="AF106" s="426"/>
      <c r="AG106" s="379"/>
      <c r="AH106" s="379"/>
      <c r="AI106" s="379"/>
      <c r="AJ106" s="379"/>
      <c r="AK106" s="386"/>
      <c r="AL106" s="379"/>
      <c r="AM106" s="379"/>
      <c r="AN106" s="379"/>
      <c r="AO106" s="379"/>
      <c r="AP106" s="379"/>
      <c r="AQ106" s="382"/>
      <c r="AR106" s="382"/>
    </row>
    <row r="107" spans="2:50" hidden="1" x14ac:dyDescent="0.3">
      <c r="B107" s="375"/>
      <c r="C107" s="375"/>
      <c r="D107" s="375"/>
      <c r="E107" s="376"/>
      <c r="F107" s="375"/>
      <c r="G107" s="376"/>
      <c r="H107" s="376"/>
      <c r="I107" s="375"/>
      <c r="J107" s="376"/>
      <c r="K107" s="375"/>
      <c r="L107" s="375"/>
      <c r="M107" s="375"/>
      <c r="N107" s="375"/>
      <c r="O107" s="375"/>
      <c r="P107" s="378"/>
      <c r="Q107" s="375"/>
      <c r="R107" s="375"/>
      <c r="S107" s="376"/>
      <c r="T107" s="376"/>
      <c r="U107" s="379"/>
      <c r="V107" s="380"/>
      <c r="W107" s="380"/>
      <c r="X107" s="381"/>
      <c r="Y107" s="379"/>
      <c r="Z107" s="379"/>
      <c r="AA107" s="382"/>
      <c r="AB107" s="382"/>
      <c r="AC107" s="382"/>
      <c r="AD107" s="379"/>
      <c r="AE107" s="377"/>
      <c r="AF107" s="426"/>
      <c r="AG107" s="379"/>
      <c r="AH107" s="379"/>
      <c r="AI107" s="379"/>
      <c r="AJ107" s="379"/>
      <c r="AK107" s="386"/>
      <c r="AL107" s="379"/>
      <c r="AM107" s="379"/>
      <c r="AN107" s="379"/>
      <c r="AO107" s="379"/>
      <c r="AP107" s="379"/>
      <c r="AQ107" s="382"/>
      <c r="AR107" s="382"/>
    </row>
    <row r="108" spans="2:50" hidden="1" x14ac:dyDescent="0.3">
      <c r="B108" s="362"/>
      <c r="C108" s="362"/>
      <c r="D108" s="362"/>
      <c r="E108" s="363"/>
      <c r="F108" s="362"/>
      <c r="G108" s="363"/>
      <c r="H108" s="363"/>
      <c r="I108" s="362"/>
      <c r="J108" s="363"/>
      <c r="K108" s="362"/>
      <c r="L108" s="362"/>
      <c r="M108" s="362"/>
      <c r="N108" s="362"/>
      <c r="O108" s="362"/>
      <c r="P108" s="365"/>
      <c r="Q108" s="362"/>
      <c r="R108" s="362"/>
      <c r="S108" s="363"/>
      <c r="T108" s="363"/>
      <c r="U108" s="366"/>
      <c r="V108" s="367"/>
      <c r="W108" s="367"/>
      <c r="X108" s="368"/>
      <c r="Y108" s="366"/>
      <c r="Z108" s="366"/>
      <c r="AA108" s="369"/>
      <c r="AB108" s="369"/>
      <c r="AC108" s="369"/>
      <c r="AD108" s="366"/>
      <c r="AE108" s="364"/>
      <c r="AF108" s="392"/>
      <c r="AG108" s="366"/>
      <c r="AH108" s="366"/>
      <c r="AI108" s="366"/>
      <c r="AJ108" s="366"/>
      <c r="AK108" s="388"/>
      <c r="AL108" s="366"/>
      <c r="AM108" s="366"/>
      <c r="AN108" s="366"/>
      <c r="AO108" s="366"/>
      <c r="AP108" s="366"/>
      <c r="AQ108" s="369"/>
      <c r="AR108" s="369"/>
    </row>
    <row r="109" spans="2:50" hidden="1" x14ac:dyDescent="0.3">
      <c r="B109" s="304"/>
      <c r="C109" s="304"/>
      <c r="D109" s="304"/>
      <c r="E109" s="305"/>
      <c r="F109" s="304"/>
      <c r="G109" s="305"/>
      <c r="H109" s="307"/>
      <c r="I109" s="304"/>
      <c r="J109" s="305"/>
      <c r="K109" s="304"/>
      <c r="L109" s="304"/>
      <c r="M109" s="304"/>
      <c r="N109" s="304"/>
      <c r="O109" s="304"/>
      <c r="P109" s="306"/>
      <c r="Q109" s="304"/>
      <c r="R109" s="310"/>
      <c r="S109" s="307"/>
      <c r="T109" s="326"/>
      <c r="U109" s="307"/>
      <c r="V109" s="307"/>
      <c r="W109" s="308"/>
      <c r="X109" s="338"/>
      <c r="Y109" s="307"/>
      <c r="Z109" s="307"/>
      <c r="AA109" s="309"/>
      <c r="AB109" s="309"/>
      <c r="AC109" s="309"/>
      <c r="AD109" s="307"/>
      <c r="AE109" s="323"/>
      <c r="AF109" s="423"/>
      <c r="AG109" s="307"/>
      <c r="AH109" s="307"/>
      <c r="AI109" s="307"/>
      <c r="AJ109" s="307"/>
      <c r="AK109" s="346"/>
      <c r="AL109" s="307"/>
      <c r="AM109" s="307"/>
      <c r="AN109" s="307"/>
      <c r="AO109" s="307"/>
      <c r="AP109" s="307"/>
      <c r="AQ109" s="309"/>
      <c r="AR109" s="309"/>
    </row>
    <row r="110" spans="2:50" hidden="1" x14ac:dyDescent="0.3">
      <c r="B110" s="327"/>
      <c r="C110" s="327"/>
      <c r="D110" s="327"/>
      <c r="E110" s="328"/>
      <c r="F110" s="327"/>
      <c r="G110" s="328"/>
      <c r="H110" s="328"/>
      <c r="I110" s="327"/>
      <c r="J110" s="328"/>
      <c r="K110" s="327"/>
      <c r="L110" s="327"/>
      <c r="M110" s="327"/>
      <c r="N110" s="327"/>
      <c r="O110" s="327"/>
      <c r="P110" s="330"/>
      <c r="Q110" s="327"/>
      <c r="R110" s="357"/>
      <c r="S110" s="331"/>
      <c r="T110" s="331"/>
      <c r="U110" s="331"/>
      <c r="V110" s="331"/>
      <c r="W110" s="332"/>
      <c r="X110" s="340"/>
      <c r="Y110" s="331"/>
      <c r="Z110" s="331"/>
      <c r="AA110" s="333"/>
      <c r="AB110" s="333"/>
      <c r="AC110" s="333"/>
      <c r="AD110" s="331"/>
      <c r="AE110" s="329"/>
      <c r="AF110" s="425"/>
      <c r="AG110" s="331"/>
      <c r="AH110" s="331"/>
      <c r="AI110" s="331"/>
      <c r="AJ110" s="331"/>
      <c r="AK110" s="358"/>
      <c r="AL110" s="331"/>
      <c r="AM110" s="331"/>
      <c r="AN110" s="331"/>
      <c r="AO110" s="331"/>
      <c r="AP110" s="331"/>
      <c r="AQ110" s="333"/>
      <c r="AR110" s="333"/>
    </row>
    <row r="111" spans="2:50" hidden="1" x14ac:dyDescent="0.3">
      <c r="B111" s="375"/>
      <c r="C111" s="375"/>
      <c r="D111" s="375"/>
      <c r="E111" s="376"/>
      <c r="F111" s="375"/>
      <c r="G111" s="376"/>
      <c r="H111" s="376"/>
      <c r="I111" s="375"/>
      <c r="J111" s="376"/>
      <c r="K111" s="375"/>
      <c r="L111" s="375"/>
      <c r="M111" s="375"/>
      <c r="N111" s="375"/>
      <c r="O111" s="375"/>
      <c r="P111" s="375"/>
      <c r="Q111" s="375"/>
      <c r="R111" s="375"/>
      <c r="S111" s="376"/>
      <c r="T111" s="376"/>
      <c r="U111" s="379"/>
      <c r="V111" s="380"/>
      <c r="W111" s="380"/>
      <c r="X111" s="381"/>
      <c r="Y111" s="379"/>
      <c r="Z111" s="379"/>
      <c r="AA111" s="382"/>
      <c r="AB111" s="382"/>
      <c r="AC111" s="382"/>
      <c r="AD111" s="379"/>
      <c r="AE111" s="377"/>
      <c r="AF111" s="426"/>
      <c r="AG111" s="379"/>
      <c r="AH111" s="379"/>
      <c r="AI111" s="379"/>
      <c r="AJ111" s="379"/>
      <c r="AK111" s="386"/>
      <c r="AL111" s="379"/>
      <c r="AM111" s="379"/>
      <c r="AN111" s="379"/>
      <c r="AO111" s="379"/>
      <c r="AP111" s="379"/>
      <c r="AQ111" s="382"/>
      <c r="AR111" s="382"/>
    </row>
    <row r="112" spans="2:50" hidden="1" x14ac:dyDescent="0.3">
      <c r="B112" s="362"/>
      <c r="C112" s="362"/>
      <c r="D112" s="362"/>
      <c r="E112" s="363"/>
      <c r="F112" s="362"/>
      <c r="G112" s="363"/>
      <c r="H112" s="363"/>
      <c r="I112" s="362"/>
      <c r="J112" s="363"/>
      <c r="K112" s="362"/>
      <c r="L112" s="362"/>
      <c r="M112" s="362"/>
      <c r="N112" s="362"/>
      <c r="O112" s="362"/>
      <c r="P112" s="362"/>
      <c r="Q112" s="362"/>
      <c r="R112" s="362"/>
      <c r="S112" s="363"/>
      <c r="T112" s="363"/>
      <c r="U112" s="366"/>
      <c r="V112" s="367"/>
      <c r="W112" s="367"/>
      <c r="X112" s="368"/>
      <c r="Y112" s="366"/>
      <c r="Z112" s="366"/>
      <c r="AA112" s="369"/>
      <c r="AB112" s="369"/>
      <c r="AC112" s="369"/>
      <c r="AD112" s="366"/>
      <c r="AE112" s="364"/>
      <c r="AF112" s="392"/>
      <c r="AG112" s="366"/>
      <c r="AH112" s="366"/>
      <c r="AI112" s="366"/>
      <c r="AJ112" s="366"/>
      <c r="AK112" s="388"/>
      <c r="AL112" s="366"/>
      <c r="AM112" s="366"/>
      <c r="AN112" s="366"/>
      <c r="AO112" s="366"/>
      <c r="AP112" s="366"/>
      <c r="AQ112" s="369"/>
      <c r="AR112" s="369"/>
    </row>
    <row r="113" spans="2:52" x14ac:dyDescent="0.3">
      <c r="B113" s="255" t="s">
        <v>219</v>
      </c>
      <c r="C113" s="255"/>
      <c r="D113" s="255"/>
      <c r="E113" s="266"/>
      <c r="F113" s="256"/>
      <c r="G113" s="266"/>
      <c r="H113" s="266"/>
      <c r="I113" s="256"/>
      <c r="J113" s="266"/>
      <c r="K113" s="256"/>
      <c r="L113" s="256"/>
      <c r="M113" s="256"/>
      <c r="N113" s="256"/>
      <c r="O113" s="256"/>
      <c r="P113" s="257"/>
      <c r="Q113" s="255"/>
      <c r="R113" s="256"/>
      <c r="S113" s="266"/>
      <c r="T113" s="266"/>
      <c r="U113" s="268"/>
      <c r="V113" s="274"/>
      <c r="W113" s="274"/>
      <c r="X113" s="342"/>
      <c r="Y113" s="268"/>
      <c r="Z113" s="268"/>
      <c r="AA113" s="270"/>
      <c r="AB113" s="270"/>
      <c r="AC113" s="270"/>
      <c r="AD113" s="268"/>
      <c r="AE113" s="470"/>
      <c r="AF113" s="429"/>
      <c r="AG113" s="268"/>
      <c r="AH113" s="268"/>
      <c r="AI113" s="268"/>
      <c r="AJ113" s="268"/>
      <c r="AK113" s="269"/>
      <c r="AL113" s="268"/>
      <c r="AM113" s="268"/>
      <c r="AN113" s="268"/>
      <c r="AO113" s="268"/>
      <c r="AP113" s="268"/>
      <c r="AQ113" s="270"/>
      <c r="AR113" s="270"/>
    </row>
    <row r="114" spans="2:52" x14ac:dyDescent="0.3">
      <c r="B114" s="347" t="str">
        <f>Alfaro!B2</f>
        <v>Alfaro et al., 2019</v>
      </c>
      <c r="C114" s="347">
        <f>All!C114</f>
        <v>74</v>
      </c>
      <c r="D114" s="347" t="str">
        <f>Alfaro!$D6</f>
        <v>Mixed SS</v>
      </c>
      <c r="E114" s="348">
        <f>Alfaro!$D7</f>
        <v>35</v>
      </c>
      <c r="F114" s="347" t="str">
        <f>Alfaro!$D8</f>
        <v>CSTR</v>
      </c>
      <c r="G114" s="355">
        <f>Alfaro!$D9</f>
        <v>27.759112687119412</v>
      </c>
      <c r="H114" s="348">
        <f>Alfaro!$D10</f>
        <v>20</v>
      </c>
      <c r="I114" s="347" t="str">
        <f>Alfaro!$D11</f>
        <v>Pump</v>
      </c>
      <c r="J114" s="348" t="str">
        <f>Alfaro!$D12</f>
        <v>Yes</v>
      </c>
      <c r="K114" s="347" t="str">
        <f>Alfaro!$D13</f>
        <v>HFM</v>
      </c>
      <c r="L114" s="347" t="str">
        <f>Alfaro!$D14</f>
        <v>Continuous</v>
      </c>
      <c r="M114" s="347" t="str">
        <f>Alfaro!$D15</f>
        <v>Parallel</v>
      </c>
      <c r="N114" s="347" t="str">
        <f>Alfaro!$D16</f>
        <v>gas recirculation rate</v>
      </c>
      <c r="O114" s="347" t="str">
        <f>Alfaro!$D17</f>
        <v>2 reactors</v>
      </c>
      <c r="P114" s="347" t="str">
        <f>Alfaro!$G66</f>
        <v>Low gas recirc</v>
      </c>
      <c r="Q114" s="347">
        <f>C114</f>
        <v>74</v>
      </c>
      <c r="R114" s="347" t="str">
        <f>Alfaro!$G67</f>
        <v>No H2</v>
      </c>
      <c r="S114" s="348">
        <f>Alfaro!$G68</f>
        <v>1.3</v>
      </c>
      <c r="T114" s="348">
        <f>Alfaro!$G69</f>
        <v>20</v>
      </c>
      <c r="U114" s="351"/>
      <c r="V114" s="353">
        <f>Alfaro!$G71</f>
        <v>0.33846153846153842</v>
      </c>
      <c r="W114" s="353"/>
      <c r="X114" s="354"/>
      <c r="Y114" s="351">
        <f>Alfaro!$G74</f>
        <v>0.44</v>
      </c>
      <c r="Z114" s="351"/>
      <c r="AA114" s="355">
        <f>Alfaro!$G76</f>
        <v>65.8</v>
      </c>
      <c r="AB114" s="355">
        <f>Alfaro!$G77</f>
        <v>34.1</v>
      </c>
      <c r="AC114" s="355">
        <f>Alfaro!$G78</f>
        <v>0</v>
      </c>
      <c r="AD114" s="351">
        <f>Alfaro!$G79</f>
        <v>7.41</v>
      </c>
      <c r="AE114" s="391">
        <f>Alfaro!$G80</f>
        <v>4.9404927641771436E-2</v>
      </c>
      <c r="AF114" s="427">
        <f>Alfaro!$G81</f>
        <v>4.2462915720270961E-4</v>
      </c>
      <c r="AG114" s="351"/>
      <c r="AH114" s="351"/>
      <c r="AI114" s="351"/>
      <c r="AJ114" s="351"/>
      <c r="AK114" s="356"/>
      <c r="AL114" s="351"/>
      <c r="AM114" s="351"/>
      <c r="AN114" s="351"/>
      <c r="AO114" s="351"/>
      <c r="AP114" s="351"/>
      <c r="AQ114" s="355"/>
      <c r="AR114" s="355"/>
    </row>
    <row r="115" spans="2:52" x14ac:dyDescent="0.3">
      <c r="B115" s="347"/>
      <c r="C115" s="347"/>
      <c r="D115" s="347"/>
      <c r="E115" s="348"/>
      <c r="F115" s="347"/>
      <c r="G115" s="348"/>
      <c r="H115" s="348"/>
      <c r="I115" s="347"/>
      <c r="J115" s="348"/>
      <c r="K115" s="347"/>
      <c r="L115" s="347"/>
      <c r="M115" s="347"/>
      <c r="N115" s="347"/>
      <c r="O115" s="347"/>
      <c r="P115" s="347" t="str">
        <f>Alfaro!$F66</f>
        <v>-</v>
      </c>
      <c r="Q115" s="347"/>
      <c r="R115" s="347" t="str">
        <f>Alfaro!$F67</f>
        <v>With H2</v>
      </c>
      <c r="S115" s="348"/>
      <c r="T115" s="348">
        <f>Alfaro!$F69</f>
        <v>20</v>
      </c>
      <c r="U115" s="351">
        <f>Alfaro!$F70</f>
        <v>0.87</v>
      </c>
      <c r="V115" s="353">
        <f>Alfaro!$F71</f>
        <v>0.41538461538461541</v>
      </c>
      <c r="W115" s="353">
        <f>Alfaro!$F72</f>
        <v>7.6923076923076983E-2</v>
      </c>
      <c r="X115" s="354">
        <f>Alfaro!$F73</f>
        <v>0.22727272727272749</v>
      </c>
      <c r="Y115" s="351">
        <f>Alfaro!$F74</f>
        <v>0.54</v>
      </c>
      <c r="Z115" s="351">
        <f>Alfaro!$F75</f>
        <v>0.10000000000000003</v>
      </c>
      <c r="AA115" s="355">
        <f>Alfaro!$F76</f>
        <v>51.1</v>
      </c>
      <c r="AB115" s="355">
        <f>Alfaro!$F77</f>
        <v>12.4</v>
      </c>
      <c r="AC115" s="355">
        <f>Alfaro!$F78</f>
        <v>36.5</v>
      </c>
      <c r="AD115" s="351">
        <f>Alfaro!$F79</f>
        <v>7.28</v>
      </c>
      <c r="AE115" s="391">
        <f>Alfaro!$F80</f>
        <v>4.7834250751426104E-2</v>
      </c>
      <c r="AF115" s="427">
        <f>Alfaro!$F81</f>
        <v>7.4934557153419346E-4</v>
      </c>
      <c r="AG115" s="351">
        <f>Alfaro!$F50</f>
        <v>0.13882183908045975</v>
      </c>
      <c r="AH115" s="351">
        <f>Alfaro!$F51</f>
        <v>0.10000000000000003</v>
      </c>
      <c r="AI115" s="351">
        <f>Alfaro!$F52</f>
        <v>0.1</v>
      </c>
      <c r="AJ115" s="351">
        <f>Alfaro!$F53</f>
        <v>3.9545454545454546</v>
      </c>
      <c r="AK115" s="356">
        <f>Alfaro!$F54</f>
        <v>0.55528735632183901</v>
      </c>
      <c r="AL115" s="351">
        <f>Alfaro!$F55</f>
        <v>0.72034775408818086</v>
      </c>
      <c r="AM115" s="351">
        <f>Alfaro!$F56</f>
        <v>0.72034775408818064</v>
      </c>
      <c r="AN115" s="351">
        <f>Alfaro!$F57</f>
        <v>1.0000000000000002</v>
      </c>
      <c r="AO115" s="351">
        <f>Alfaro!$F58</f>
        <v>0.43769422681314846</v>
      </c>
      <c r="AP115" s="351">
        <f>Alfaro!$F59</f>
        <v>1</v>
      </c>
      <c r="AQ115" s="355">
        <f>Alfaro!$F60</f>
        <v>4.8309999999999977</v>
      </c>
      <c r="AR115" s="355">
        <f>Alfaro!$F61</f>
        <v>4.8309999999999995</v>
      </c>
    </row>
    <row r="116" spans="2:52" x14ac:dyDescent="0.3">
      <c r="B116" s="347"/>
      <c r="C116" s="347"/>
      <c r="D116" s="347"/>
      <c r="E116" s="348"/>
      <c r="F116" s="347"/>
      <c r="G116" s="348"/>
      <c r="H116" s="348"/>
      <c r="I116" s="347"/>
      <c r="J116" s="348"/>
      <c r="K116" s="347"/>
      <c r="L116" s="347"/>
      <c r="M116" s="347"/>
      <c r="N116" s="347"/>
      <c r="O116" s="347"/>
      <c r="P116" s="347" t="str">
        <f>Alfaro!$I66</f>
        <v>Intermediate gas recirc</v>
      </c>
      <c r="Q116" s="347"/>
      <c r="R116" s="347" t="str">
        <f>Alfaro!$I67</f>
        <v>No H2</v>
      </c>
      <c r="S116" s="348">
        <f>Alfaro!$I68</f>
        <v>1.5</v>
      </c>
      <c r="T116" s="348">
        <f>Alfaro!$I69</f>
        <v>20</v>
      </c>
      <c r="U116" s="351"/>
      <c r="V116" s="353">
        <f>Alfaro!$I71</f>
        <v>0.21333333333333335</v>
      </c>
      <c r="W116" s="353"/>
      <c r="X116" s="354"/>
      <c r="Y116" s="351">
        <f>Alfaro!$I74</f>
        <v>0.32</v>
      </c>
      <c r="Z116" s="351"/>
      <c r="AA116" s="355">
        <f>Alfaro!$I76</f>
        <v>68</v>
      </c>
      <c r="AB116" s="355">
        <f>Alfaro!$I77</f>
        <v>32</v>
      </c>
      <c r="AC116" s="355">
        <f>Alfaro!$I78</f>
        <v>0</v>
      </c>
      <c r="AD116" s="351">
        <f>Alfaro!$I79</f>
        <v>7.42</v>
      </c>
      <c r="AE116" s="391">
        <f>Alfaro!$I80</f>
        <v>5.0118871682837497E-2</v>
      </c>
      <c r="AF116" s="427">
        <f>Alfaro!$I81</f>
        <v>4.1963352005914835E-4</v>
      </c>
      <c r="AG116" s="351"/>
      <c r="AH116" s="351"/>
      <c r="AI116" s="351"/>
      <c r="AJ116" s="351"/>
      <c r="AK116" s="356"/>
      <c r="AL116" s="351"/>
      <c r="AM116" s="351"/>
      <c r="AN116" s="351"/>
      <c r="AO116" s="351"/>
      <c r="AP116" s="351"/>
      <c r="AQ116" s="355"/>
      <c r="AR116" s="355"/>
    </row>
    <row r="117" spans="2:52" x14ac:dyDescent="0.3">
      <c r="B117" s="347"/>
      <c r="C117" s="347"/>
      <c r="D117" s="347"/>
      <c r="E117" s="348"/>
      <c r="F117" s="347"/>
      <c r="G117" s="348"/>
      <c r="H117" s="348"/>
      <c r="I117" s="347"/>
      <c r="J117" s="348"/>
      <c r="K117" s="347"/>
      <c r="L117" s="347"/>
      <c r="M117" s="347"/>
      <c r="N117" s="347"/>
      <c r="O117" s="347"/>
      <c r="P117" s="347" t="str">
        <f>Alfaro!$H66</f>
        <v>-</v>
      </c>
      <c r="Q117" s="347"/>
      <c r="R117" s="347" t="str">
        <f>Alfaro!$H67</f>
        <v>With H2</v>
      </c>
      <c r="S117" s="348"/>
      <c r="T117" s="348">
        <f>Alfaro!$H69</f>
        <v>20</v>
      </c>
      <c r="U117" s="351">
        <f>Alfaro!$H70</f>
        <v>0.87</v>
      </c>
      <c r="V117" s="353">
        <f>Alfaro!$H71</f>
        <v>0.3133333333333333</v>
      </c>
      <c r="W117" s="353">
        <f>Alfaro!$H72</f>
        <v>9.999999999999995E-2</v>
      </c>
      <c r="X117" s="354">
        <f>Alfaro!$H73</f>
        <v>0.46874999999999972</v>
      </c>
      <c r="Y117" s="351">
        <f>Alfaro!$H74</f>
        <v>0.47</v>
      </c>
      <c r="Z117" s="351">
        <f>Alfaro!$H75</f>
        <v>0.14999999999999997</v>
      </c>
      <c r="AA117" s="355">
        <f>Alfaro!$H76</f>
        <v>70.900000000000006</v>
      </c>
      <c r="AB117" s="355">
        <f>Alfaro!$H77</f>
        <v>11.4</v>
      </c>
      <c r="AC117" s="355">
        <f>Alfaro!$H78</f>
        <v>17.7</v>
      </c>
      <c r="AD117" s="351">
        <f>Alfaro!$H79</f>
        <v>7.8</v>
      </c>
      <c r="AE117" s="391">
        <f>Alfaro!$H80</f>
        <v>5.1475365360863015E-2</v>
      </c>
      <c r="AF117" s="427">
        <f>Alfaro!$H81</f>
        <v>4.2129873244033545E-4</v>
      </c>
      <c r="AG117" s="351">
        <f>Alfaro!$H50</f>
        <v>0.21592241379310345</v>
      </c>
      <c r="AH117" s="351">
        <f>Alfaro!$H51</f>
        <v>0.14999999999999997</v>
      </c>
      <c r="AI117" s="351">
        <f>Alfaro!$H52</f>
        <v>6.9999999999999993E-2</v>
      </c>
      <c r="AJ117" s="351">
        <f>Alfaro!$H53</f>
        <v>3.9545454545454546</v>
      </c>
      <c r="AK117" s="356">
        <f>Alfaro!$H54</f>
        <v>0.86368965517241381</v>
      </c>
      <c r="AL117" s="351">
        <f>Alfaro!$H55</f>
        <v>0.69469397532638621</v>
      </c>
      <c r="AM117" s="351">
        <f>Alfaro!$H56</f>
        <v>0.32419052181898028</v>
      </c>
      <c r="AN117" s="351">
        <f>Alfaro!$H57</f>
        <v>2.1428571428571428</v>
      </c>
      <c r="AO117" s="351">
        <f>Alfaro!$H58</f>
        <v>0.99734042553191482</v>
      </c>
      <c r="AP117" s="351">
        <f>Alfaro!$H59</f>
        <v>1.1702127659574468</v>
      </c>
      <c r="AQ117" s="355">
        <f>Alfaro!$H60</f>
        <v>5.0094000000000012</v>
      </c>
      <c r="AR117" s="355">
        <f>Alfaro!$H61</f>
        <v>10.734428571428573</v>
      </c>
    </row>
    <row r="118" spans="2:52" x14ac:dyDescent="0.3">
      <c r="B118" s="347"/>
      <c r="C118" s="347"/>
      <c r="D118" s="347"/>
      <c r="E118" s="348"/>
      <c r="F118" s="347"/>
      <c r="G118" s="348"/>
      <c r="H118" s="348"/>
      <c r="I118" s="347"/>
      <c r="J118" s="348"/>
      <c r="K118" s="347"/>
      <c r="L118" s="347"/>
      <c r="M118" s="347"/>
      <c r="N118" s="347"/>
      <c r="O118" s="347"/>
      <c r="P118" s="347" t="str">
        <f>Alfaro!$K66</f>
        <v>High gas recirc</v>
      </c>
      <c r="Q118" s="347"/>
      <c r="R118" s="347" t="str">
        <f>Alfaro!$K67</f>
        <v>No H2</v>
      </c>
      <c r="S118" s="348">
        <f>Alfaro!$K68</f>
        <v>1.8</v>
      </c>
      <c r="T118" s="348">
        <f>Alfaro!$K69</f>
        <v>20</v>
      </c>
      <c r="U118" s="351"/>
      <c r="V118" s="353">
        <f>Alfaro!$K71</f>
        <v>0.21111111111111111</v>
      </c>
      <c r="W118" s="353"/>
      <c r="X118" s="354"/>
      <c r="Y118" s="351">
        <f>Alfaro!$K74</f>
        <v>0.38</v>
      </c>
      <c r="Z118" s="351"/>
      <c r="AA118" s="355">
        <f>Alfaro!$K76</f>
        <v>67.099999999999994</v>
      </c>
      <c r="AB118" s="355">
        <f>Alfaro!$K77</f>
        <v>32.9</v>
      </c>
      <c r="AC118" s="355">
        <f>Alfaro!$K78</f>
        <v>0</v>
      </c>
      <c r="AD118" s="351">
        <f>Alfaro!$K79</f>
        <v>7.41</v>
      </c>
      <c r="AE118" s="391">
        <f>Alfaro!$K80</f>
        <v>5.397416950459423E-2</v>
      </c>
      <c r="AF118" s="427">
        <f>Alfaro!$K81</f>
        <v>2.0815154764838707E-4</v>
      </c>
      <c r="AG118" s="351"/>
      <c r="AH118" s="351"/>
      <c r="AI118" s="351"/>
      <c r="AJ118" s="351"/>
      <c r="AK118" s="356"/>
      <c r="AL118" s="351"/>
      <c r="AM118" s="351"/>
      <c r="AN118" s="351"/>
      <c r="AO118" s="351"/>
      <c r="AP118" s="351"/>
      <c r="AQ118" s="355"/>
      <c r="AR118" s="355"/>
    </row>
    <row r="119" spans="2:52" x14ac:dyDescent="0.3">
      <c r="B119" s="327"/>
      <c r="C119" s="327"/>
      <c r="D119" s="327"/>
      <c r="E119" s="328"/>
      <c r="F119" s="327"/>
      <c r="G119" s="328"/>
      <c r="H119" s="328"/>
      <c r="I119" s="327"/>
      <c r="J119" s="328"/>
      <c r="K119" s="327"/>
      <c r="L119" s="327"/>
      <c r="M119" s="327"/>
      <c r="N119" s="327"/>
      <c r="O119" s="327"/>
      <c r="P119" s="327" t="str">
        <f>Alfaro!$J66</f>
        <v>-</v>
      </c>
      <c r="Q119" s="327"/>
      <c r="R119" s="327" t="str">
        <f>Alfaro!$J67</f>
        <v>With H2</v>
      </c>
      <c r="S119" s="328"/>
      <c r="T119" s="328">
        <f>Alfaro!$J69</f>
        <v>20</v>
      </c>
      <c r="U119" s="331">
        <f>Alfaro!$J70</f>
        <v>0.87</v>
      </c>
      <c r="V119" s="332">
        <f>Alfaro!$J71</f>
        <v>0.3</v>
      </c>
      <c r="W119" s="332">
        <f>Alfaro!$J72</f>
        <v>8.8888888888888878E-2</v>
      </c>
      <c r="X119" s="340">
        <f>Alfaro!$J73</f>
        <v>0.42105263157894735</v>
      </c>
      <c r="Y119" s="331">
        <f>Alfaro!$J74</f>
        <v>0.54</v>
      </c>
      <c r="Z119" s="331">
        <f>Alfaro!$J75</f>
        <v>0.16000000000000003</v>
      </c>
      <c r="AA119" s="333">
        <f>Alfaro!$J76</f>
        <v>73.099999999999994</v>
      </c>
      <c r="AB119" s="333">
        <f>Alfaro!$J77</f>
        <v>19.7</v>
      </c>
      <c r="AC119" s="333">
        <f>Alfaro!$J78</f>
        <v>7.2</v>
      </c>
      <c r="AD119" s="331">
        <f>Alfaro!$J79</f>
        <v>8.09</v>
      </c>
      <c r="AE119" s="329">
        <f>Alfaro!$J80</f>
        <v>5.6687156860645259E-2</v>
      </c>
      <c r="AF119" s="425">
        <f>Alfaro!$J81</f>
        <v>5.1788105054918711E-4</v>
      </c>
      <c r="AG119" s="331">
        <f>Alfaro!$J50</f>
        <v>0.2346896551724138</v>
      </c>
      <c r="AH119" s="331">
        <f>Alfaro!$J51</f>
        <v>0.16000000000000003</v>
      </c>
      <c r="AI119" s="331">
        <f>Alfaro!$J52</f>
        <v>0.03</v>
      </c>
      <c r="AJ119" s="331">
        <f>Alfaro!$J53</f>
        <v>3.9545454545454546</v>
      </c>
      <c r="AK119" s="358">
        <f>Alfaro!$J54</f>
        <v>0.93875862068965521</v>
      </c>
      <c r="AL119" s="331">
        <f>Alfaro!$J55</f>
        <v>0.68175139582721134</v>
      </c>
      <c r="AM119" s="331">
        <f>Alfaro!$J56</f>
        <v>0.1278283867176021</v>
      </c>
      <c r="AN119" s="331">
        <f>Alfaro!$J57</f>
        <v>5.3333333333333348</v>
      </c>
      <c r="AO119" s="331">
        <f>Alfaro!$J58</f>
        <v>0.86843247937472889</v>
      </c>
      <c r="AP119" s="331">
        <f>Alfaro!$J59</f>
        <v>1.2321428571428572</v>
      </c>
      <c r="AQ119" s="333">
        <f>Alfaro!$J60</f>
        <v>5.1044999999999989</v>
      </c>
      <c r="AR119" s="333">
        <f>Alfaro!$J61</f>
        <v>27.224</v>
      </c>
    </row>
    <row r="120" spans="2:52" x14ac:dyDescent="0.3">
      <c r="B120" s="375" t="str">
        <f>Tao!B122</f>
        <v>Tao et al., 2020</v>
      </c>
      <c r="C120" s="375">
        <f>All!C120</f>
        <v>12</v>
      </c>
      <c r="D120" s="375" t="str">
        <f>Tao!$D289</f>
        <v>Mixed SS</v>
      </c>
      <c r="E120" s="376">
        <f>Tao!$D290</f>
        <v>37</v>
      </c>
      <c r="F120" s="375" t="str">
        <f>Tao!$D291</f>
        <v>CSTR</v>
      </c>
      <c r="G120" s="376">
        <f>Tao!$D292</f>
        <v>3</v>
      </c>
      <c r="H120" s="376">
        <f>Tao!$D293</f>
        <v>2</v>
      </c>
      <c r="I120" s="375" t="str">
        <f>Tao!$D294</f>
        <v>Mechanical</v>
      </c>
      <c r="J120" s="376" t="str">
        <f>Tao!$D295</f>
        <v>Yes</v>
      </c>
      <c r="K120" s="375" t="str">
        <f>Tao!$D296</f>
        <v>Bubble</v>
      </c>
      <c r="L120" s="375" t="str">
        <f>Tao!$D297</f>
        <v>Batch with recirc</v>
      </c>
      <c r="M120" s="375" t="str">
        <f>Tao!$D298</f>
        <v>Sequential</v>
      </c>
      <c r="N120" s="375" t="str">
        <f>Tao!$D299</f>
        <v>with/without H2</v>
      </c>
      <c r="O120" s="375" t="str">
        <f>Tao!$D300</f>
        <v>Additional data provided by authors</v>
      </c>
      <c r="P120" s="375" t="str">
        <f>Tao!$D338</f>
        <v>Additional data</v>
      </c>
      <c r="Q120" s="375">
        <f>C120</f>
        <v>12</v>
      </c>
      <c r="R120" s="375" t="str">
        <f>Tao!$D339</f>
        <v>No H2</v>
      </c>
      <c r="S120" s="376">
        <f>Tao!$D340</f>
        <v>3.6399999999999997</v>
      </c>
      <c r="T120" s="376">
        <f>Tao!$D341</f>
        <v>15</v>
      </c>
      <c r="U120" s="379"/>
      <c r="V120" s="380">
        <f>Tao!$D343</f>
        <v>0.30870238449033521</v>
      </c>
      <c r="W120" s="380"/>
      <c r="X120" s="381"/>
      <c r="Y120" s="379">
        <f>Tao!$D346</f>
        <v>1.1216701140456329</v>
      </c>
      <c r="Z120" s="379"/>
      <c r="AA120" s="382">
        <f>Tao!$D348</f>
        <v>60.04999999999999</v>
      </c>
      <c r="AB120" s="382">
        <f>Tao!$D349</f>
        <v>39.35</v>
      </c>
      <c r="AC120" s="382">
        <f>Tao!$D350</f>
        <v>0</v>
      </c>
      <c r="AD120" s="379">
        <f>Tao!$D351</f>
        <v>7.3150000000000004</v>
      </c>
      <c r="AE120" s="377">
        <f>Tao!$D352</f>
        <v>0.10794833900918846</v>
      </c>
      <c r="AF120" s="426" t="str">
        <f>Tao!$D353</f>
        <v>n/r</v>
      </c>
      <c r="AG120" s="379"/>
      <c r="AH120" s="379"/>
      <c r="AI120" s="379"/>
      <c r="AJ120" s="379"/>
      <c r="AK120" s="386"/>
      <c r="AL120" s="379"/>
      <c r="AM120" s="379"/>
      <c r="AN120" s="379"/>
      <c r="AO120" s="379"/>
      <c r="AP120" s="379"/>
      <c r="AQ120" s="382"/>
      <c r="AR120" s="382"/>
    </row>
    <row r="121" spans="2:52" x14ac:dyDescent="0.3">
      <c r="B121" s="362"/>
      <c r="C121" s="362"/>
      <c r="D121" s="362"/>
      <c r="E121" s="363"/>
      <c r="F121" s="362"/>
      <c r="G121" s="363"/>
      <c r="H121" s="363"/>
      <c r="I121" s="362"/>
      <c r="J121" s="363"/>
      <c r="K121" s="362"/>
      <c r="L121" s="362"/>
      <c r="M121" s="362"/>
      <c r="N121" s="362"/>
      <c r="O121" s="362"/>
      <c r="P121" s="365" t="str">
        <f>Tao!$E338</f>
        <v>provided by authors</v>
      </c>
      <c r="Q121" s="362"/>
      <c r="R121" s="362" t="str">
        <f>Tao!$E339</f>
        <v>With H2</v>
      </c>
      <c r="S121" s="363">
        <f>Tao!$E340</f>
        <v>3.6399999999999997</v>
      </c>
      <c r="T121" s="363">
        <f>Tao!$E341</f>
        <v>15</v>
      </c>
      <c r="U121" s="366">
        <f>Tao!$E342</f>
        <v>2.6999999999999997</v>
      </c>
      <c r="V121" s="367">
        <f>Tao!$E343</f>
        <v>0.4373535326485688</v>
      </c>
      <c r="W121" s="367">
        <f>Tao!$E344</f>
        <v>0.12865114815823359</v>
      </c>
      <c r="X121" s="368">
        <f>Tao!$E345</f>
        <v>0.41674815168867402</v>
      </c>
      <c r="Y121" s="366">
        <f>Tao!$E346</f>
        <v>1.5891240608785746</v>
      </c>
      <c r="Z121" s="366">
        <f>Tao!$E347</f>
        <v>0.46745394683294172</v>
      </c>
      <c r="AA121" s="369">
        <f>Tao!$E348</f>
        <v>90.460000000000008</v>
      </c>
      <c r="AB121" s="369">
        <f>Tao!$E349</f>
        <v>8.2100000000000009</v>
      </c>
      <c r="AC121" s="369">
        <f>Tao!$E350</f>
        <v>0</v>
      </c>
      <c r="AD121" s="366">
        <f>Tao!$E351</f>
        <v>7.9430000000000005</v>
      </c>
      <c r="AE121" s="364" t="str">
        <f>Tao!$E352</f>
        <v>n/r</v>
      </c>
      <c r="AF121" s="392" t="str">
        <f>Tao!$E353</f>
        <v>n/r</v>
      </c>
      <c r="AG121" s="366">
        <f>Tao!$E324</f>
        <v>0.67499999999999993</v>
      </c>
      <c r="AH121" s="366">
        <f>Tao!$E325</f>
        <v>0.46745394683294172</v>
      </c>
      <c r="AI121" s="366">
        <f>Tao!$E326</f>
        <v>0.59079533502304193</v>
      </c>
      <c r="AJ121" s="366">
        <f>Tao!$E327</f>
        <v>3.6733631174185364</v>
      </c>
      <c r="AK121" s="388">
        <f>Tao!$E328</f>
        <v>1</v>
      </c>
      <c r="AL121" s="366">
        <f>Tao!$E329</f>
        <v>0.69252436567843223</v>
      </c>
      <c r="AM121" s="366">
        <f>Tao!$E330</f>
        <v>0.87525234818228448</v>
      </c>
      <c r="AN121" s="366">
        <f>Tao!$E331</f>
        <v>0.79122822934055548</v>
      </c>
      <c r="AO121" s="366">
        <f>Tao!$E332</f>
        <v>0.63597336569920515</v>
      </c>
      <c r="AP121" s="366">
        <f>Tao!$E333</f>
        <v>0.94047015929931688</v>
      </c>
      <c r="AQ121" s="369">
        <f>Tao!$E334</f>
        <v>5.775970057142171</v>
      </c>
      <c r="AR121" s="369">
        <f>Tao!$E335</f>
        <v>4.5701105610366666</v>
      </c>
    </row>
    <row r="122" spans="2:52" x14ac:dyDescent="0.3">
      <c r="B122" s="347" t="str">
        <f>Zhang!B73</f>
        <v>Zhang (pers com 2022)</v>
      </c>
      <c r="C122" s="347">
        <f>All!C122</f>
        <v>53</v>
      </c>
      <c r="D122" s="347" t="str">
        <f>Zhang!$D76</f>
        <v>Mixed SS</v>
      </c>
      <c r="E122" s="348">
        <f>Zhang!$D77</f>
        <v>37</v>
      </c>
      <c r="F122" s="347" t="str">
        <f>Zhang!$D78</f>
        <v>CSTR</v>
      </c>
      <c r="G122" s="348">
        <f>Zhang!$D79</f>
        <v>3</v>
      </c>
      <c r="H122" s="348">
        <f>Zhang!$D80</f>
        <v>2</v>
      </c>
      <c r="I122" s="347" t="str">
        <f>Zhang!$D81</f>
        <v>Mechanical</v>
      </c>
      <c r="J122" s="348" t="str">
        <f>Zhang!$D82</f>
        <v>Yes</v>
      </c>
      <c r="K122" s="347" t="str">
        <f>Zhang!$D83</f>
        <v>Bubble</v>
      </c>
      <c r="L122" s="347" t="str">
        <f>Zhang!$D84</f>
        <v>Continuous</v>
      </c>
      <c r="M122" s="347" t="str">
        <f>Zhang!$D85</f>
        <v>Sequential</v>
      </c>
      <c r="N122" s="347" t="str">
        <f>Zhang!$D86</f>
        <v>with H2 and H2 + CO2</v>
      </c>
      <c r="O122" s="347" t="str">
        <f>Zhang!$D87</f>
        <v>Pers. com.</v>
      </c>
      <c r="P122" s="347" t="str">
        <f>Zhang!$D$127</f>
        <v>Pers. com.</v>
      </c>
      <c r="Q122" s="347">
        <f>C122</f>
        <v>53</v>
      </c>
      <c r="R122" s="347" t="str">
        <f>Zhang!$D$128</f>
        <v>No H2</v>
      </c>
      <c r="S122" s="352">
        <f>Zhang!$D$129</f>
        <v>3</v>
      </c>
      <c r="T122" s="355">
        <f>Zhang!$D$130</f>
        <v>20.408163265306126</v>
      </c>
      <c r="U122" s="351"/>
      <c r="V122" s="353">
        <f>Zhang!$D$132</f>
        <v>0.21368508471643127</v>
      </c>
      <c r="W122" s="353"/>
      <c r="X122" s="354"/>
      <c r="Y122" s="351">
        <f>Zhang!$D$135</f>
        <v>0.62521895868213551</v>
      </c>
      <c r="Z122" s="348"/>
      <c r="AA122" s="355">
        <f>Zhang!$D$137</f>
        <v>65.37</v>
      </c>
      <c r="AB122" s="355">
        <f>Zhang!$D$138</f>
        <v>36.125</v>
      </c>
      <c r="AC122" s="355"/>
      <c r="AD122" s="351">
        <f>Zhang!$D$140</f>
        <v>7.5639999999999992</v>
      </c>
      <c r="AE122" s="391">
        <f>Zhang!$D$141</f>
        <v>0.21420889743572433</v>
      </c>
      <c r="AF122" s="427" t="str">
        <f>Zhang!$D$142</f>
        <v>convert</v>
      </c>
      <c r="AG122" s="351"/>
      <c r="AH122" s="351"/>
      <c r="AI122" s="351"/>
      <c r="AJ122" s="351"/>
      <c r="AK122" s="356"/>
      <c r="AL122" s="351"/>
      <c r="AM122" s="351"/>
      <c r="AN122" s="351"/>
      <c r="AO122" s="351"/>
      <c r="AP122" s="351"/>
      <c r="AQ122" s="355"/>
      <c r="AR122" s="355"/>
    </row>
    <row r="123" spans="2:52" x14ac:dyDescent="0.3">
      <c r="B123" s="347"/>
      <c r="C123" s="347"/>
      <c r="D123" s="347"/>
      <c r="E123" s="348"/>
      <c r="F123" s="347"/>
      <c r="G123" s="348"/>
      <c r="H123" s="348"/>
      <c r="I123" s="347"/>
      <c r="J123" s="348"/>
      <c r="K123" s="347"/>
      <c r="L123" s="347"/>
      <c r="M123" s="347"/>
      <c r="N123" s="347"/>
      <c r="O123" s="347"/>
      <c r="P123" s="347" t="str">
        <f>Zhang!$E$127</f>
        <v>-</v>
      </c>
      <c r="Q123" s="347"/>
      <c r="R123" s="347" t="str">
        <f>Zhang!$E$128</f>
        <v>With H2</v>
      </c>
      <c r="S123" s="352">
        <f>Zhang!$E$129</f>
        <v>3</v>
      </c>
      <c r="T123" s="355">
        <f>Zhang!$E$130</f>
        <v>25.641025641025642</v>
      </c>
      <c r="U123" s="351">
        <f>Zhang!$E$131</f>
        <v>1.1199999999999999</v>
      </c>
      <c r="V123" s="353">
        <f>Zhang!$E$132</f>
        <v>0.35144887484067522</v>
      </c>
      <c r="W123" s="353">
        <f>Zhang!$E$133</f>
        <v>0.13776379012424395</v>
      </c>
      <c r="X123" s="354">
        <f>Zhang!$E$134</f>
        <v>0.64470475469573396</v>
      </c>
      <c r="Y123" s="351">
        <f>Zhang!$E$135</f>
        <v>1.0543466245220259</v>
      </c>
      <c r="Z123" s="351">
        <f>Zhang!$E$136</f>
        <v>0.42912766583989037</v>
      </c>
      <c r="AA123" s="355">
        <f>Zhang!$E$137</f>
        <v>84.974999999999994</v>
      </c>
      <c r="AB123" s="355">
        <f>Zhang!$E$138</f>
        <v>15.275</v>
      </c>
      <c r="AC123" s="355">
        <f>Zhang!$E$139</f>
        <v>0</v>
      </c>
      <c r="AD123" s="351">
        <f>Zhang!$E$140</f>
        <v>7.9574999999999996</v>
      </c>
      <c r="AE123" s="391">
        <f>Zhang!$E$141</f>
        <v>0.23381437400908697</v>
      </c>
      <c r="AF123" s="427" t="str">
        <f>Zhang!$E$142</f>
        <v>convert</v>
      </c>
      <c r="AG123" s="351">
        <f>Zhang!$E113</f>
        <v>0.27999999999999997</v>
      </c>
      <c r="AH123" s="351">
        <f>Zhang!$E114</f>
        <v>0.42912766583989037</v>
      </c>
      <c r="AI123" s="351">
        <f>Zhang!$E115</f>
        <v>0.15610459116616709</v>
      </c>
      <c r="AJ123" s="351">
        <f>Zhang!$E116</f>
        <v>3.2406459507861065</v>
      </c>
      <c r="AK123" s="356">
        <f>Zhang!$E117</f>
        <v>1</v>
      </c>
      <c r="AL123" s="351">
        <f>Zhang!$E118</f>
        <v>1.5325988065710372</v>
      </c>
      <c r="AM123" s="351">
        <f>Zhang!$E119</f>
        <v>0.55751639702202538</v>
      </c>
      <c r="AN123" s="351">
        <f>Zhang!$E120</f>
        <v>2.7489753032510178</v>
      </c>
      <c r="AO123" s="351">
        <f>Zhang!$E121</f>
        <v>1.2416525291735128</v>
      </c>
      <c r="AP123" s="351">
        <f>Zhang!$E122</f>
        <v>1.2812267203226679</v>
      </c>
      <c r="AQ123" s="355">
        <f>Zhang!$E123</f>
        <v>2.6099459185599962</v>
      </c>
      <c r="AR123" s="355">
        <f>Zhang!$E124</f>
        <v>7.1746768729422232</v>
      </c>
    </row>
    <row r="124" spans="2:52" x14ac:dyDescent="0.3">
      <c r="B124" s="327"/>
      <c r="C124" s="327"/>
      <c r="D124" s="327"/>
      <c r="E124" s="328"/>
      <c r="F124" s="327"/>
      <c r="G124" s="328"/>
      <c r="H124" s="328"/>
      <c r="I124" s="327"/>
      <c r="J124" s="328"/>
      <c r="K124" s="327"/>
      <c r="L124" s="327"/>
      <c r="M124" s="327"/>
      <c r="N124" s="327"/>
      <c r="O124" s="327"/>
      <c r="P124" s="327" t="str">
        <f>Zhang!$F$127</f>
        <v>-</v>
      </c>
      <c r="Q124" s="327"/>
      <c r="R124" s="327" t="str">
        <f>Zhang!$F$128</f>
        <v>with H2 + CO2</v>
      </c>
      <c r="S124" s="343">
        <f>Zhang!$F$129</f>
        <v>3</v>
      </c>
      <c r="T124" s="333">
        <f>Zhang!$F$130</f>
        <v>25.862068965517246</v>
      </c>
      <c r="U124" s="331">
        <f>Zhang!$F$131</f>
        <v>7.6509999999999998</v>
      </c>
      <c r="V124" s="332">
        <f>Zhang!$F$132</f>
        <v>1.0011082915782827</v>
      </c>
      <c r="W124" s="332">
        <f>Zhang!$F$133</f>
        <v>0.78742320686185141</v>
      </c>
      <c r="X124" s="340">
        <f>Zhang!$F$134</f>
        <v>2.2405056986419987</v>
      </c>
      <c r="Y124" s="331">
        <f>Zhang!$F$135</f>
        <v>3.0033248747348482</v>
      </c>
      <c r="Z124" s="331">
        <f>Zhang!$F$136</f>
        <v>2.3781059160527125</v>
      </c>
      <c r="AA124" s="333">
        <f>Zhang!$F$137</f>
        <v>65.03</v>
      </c>
      <c r="AB124" s="333">
        <f>Zhang!$F$138</f>
        <v>16.945</v>
      </c>
      <c r="AC124" s="333">
        <f>Zhang!$F$139</f>
        <v>17.094999999999999</v>
      </c>
      <c r="AD124" s="331">
        <f>Zhang!$F$140</f>
        <v>7.7594999999999992</v>
      </c>
      <c r="AE124" s="329">
        <f>Zhang!$F$141</f>
        <v>0.2041257892767287</v>
      </c>
      <c r="AF124" s="425" t="str">
        <f>Zhang!$F$142</f>
        <v>convert</v>
      </c>
      <c r="AG124" s="331">
        <f>Zhang!$F113</f>
        <v>1.7909062006589715</v>
      </c>
      <c r="AH124" s="331">
        <f>Zhang!$F114</f>
        <v>2.3781059160527125</v>
      </c>
      <c r="AI124" s="331">
        <f>Zhang!$F115</f>
        <v>1.6101610828362427</v>
      </c>
      <c r="AJ124" s="331">
        <f>Zhang!$F116</f>
        <v>22.13766265130759</v>
      </c>
      <c r="AK124" s="358">
        <f>Zhang!$F117</f>
        <v>0.93629915078236658</v>
      </c>
      <c r="AL124" s="331">
        <f>Zhang!$F118</f>
        <v>1.3278785428168591</v>
      </c>
      <c r="AM124" s="331">
        <f>Zhang!$F119</f>
        <v>0.89907616727429784</v>
      </c>
      <c r="AN124" s="331">
        <f>Zhang!$F120</f>
        <v>1.4769366502535024</v>
      </c>
      <c r="AO124" s="331">
        <f>Zhang!$F121</f>
        <v>0.98805323468783646</v>
      </c>
      <c r="AP124" s="331">
        <f>Zhang!$F122</f>
        <v>3.9142049075893772</v>
      </c>
      <c r="AQ124" s="333">
        <f>Zhang!$F123</f>
        <v>3.0123236960473121</v>
      </c>
      <c r="AR124" s="333">
        <f>Zhang!$F124</f>
        <v>4.4490112691193673</v>
      </c>
    </row>
    <row r="125" spans="2:52" x14ac:dyDescent="0.3">
      <c r="B125" s="375" t="str">
        <f>Corb!B98</f>
        <v>Corbellini et al., 2019</v>
      </c>
      <c r="C125" s="375">
        <f>All!C125</f>
        <v>75</v>
      </c>
      <c r="D125" s="375" t="str">
        <f>Corb!$D102</f>
        <v>Mixed SS</v>
      </c>
      <c r="E125" s="376">
        <f>Corb!$D103</f>
        <v>35</v>
      </c>
      <c r="F125" s="375" t="str">
        <f>Corb!$D104</f>
        <v>CSTR</v>
      </c>
      <c r="G125" s="376">
        <f>Corb!$D105</f>
        <v>2.4</v>
      </c>
      <c r="H125" s="376">
        <f>Corb!$D106</f>
        <v>1</v>
      </c>
      <c r="I125" s="375" t="str">
        <f>Corb!$D107</f>
        <v>Magnetic</v>
      </c>
      <c r="J125" s="376" t="str">
        <f>Corb!$D108</f>
        <v>No</v>
      </c>
      <c r="K125" s="375" t="str">
        <f>Corb!$D109</f>
        <v>Syringe</v>
      </c>
      <c r="L125" s="375" t="str">
        <f>Corb!$D110</f>
        <v>Headspace</v>
      </c>
      <c r="M125" s="375" t="str">
        <f>Corb!$D111</f>
        <v>Parallel</v>
      </c>
      <c r="N125" s="375" t="str">
        <f>Corb!$D112</f>
        <v>H2 addition</v>
      </c>
      <c r="O125" s="375">
        <f>Corb!$D113</f>
        <v>0</v>
      </c>
      <c r="P125" s="375" t="str">
        <f>Corb!$M$184</f>
        <v>-</v>
      </c>
      <c r="Q125" s="375">
        <f>C125</f>
        <v>75</v>
      </c>
      <c r="R125" s="375" t="str">
        <f>Corb!$M$185</f>
        <v>No H2</v>
      </c>
      <c r="S125" s="376">
        <f>Corb!$M$186</f>
        <v>1</v>
      </c>
      <c r="T125" s="385">
        <f>Corb!$M$187</f>
        <v>15</v>
      </c>
      <c r="U125" s="379"/>
      <c r="V125" s="376">
        <f>Corb!$M$189</f>
        <v>0.16200000000000001</v>
      </c>
      <c r="W125" s="376"/>
      <c r="X125" s="381"/>
      <c r="Y125" s="380">
        <f>Corb!$M$192</f>
        <v>0.16684200000000002</v>
      </c>
      <c r="Z125" s="376"/>
      <c r="AA125" s="376">
        <f>Corb!$M$194</f>
        <v>71.3</v>
      </c>
      <c r="AB125" s="382">
        <f>Corb!$M$195</f>
        <v>28.6</v>
      </c>
      <c r="AC125" s="382"/>
      <c r="AD125" s="379">
        <f>Corb!$M$197</f>
        <v>7</v>
      </c>
      <c r="AE125" s="377" t="str">
        <f>Corb!$M$198</f>
        <v>n/r</v>
      </c>
      <c r="AF125" s="426" t="str">
        <f>Corb!$M$199</f>
        <v>n/r</v>
      </c>
      <c r="AG125" s="379"/>
      <c r="AH125" s="379"/>
      <c r="AI125" s="379"/>
      <c r="AJ125" s="379"/>
      <c r="AK125" s="386"/>
      <c r="AL125" s="379"/>
      <c r="AM125" s="379"/>
      <c r="AN125" s="379"/>
      <c r="AO125" s="379"/>
      <c r="AP125" s="379"/>
      <c r="AQ125" s="382"/>
      <c r="AR125" s="382"/>
      <c r="AS125" s="254"/>
      <c r="AT125" s="254"/>
      <c r="AU125" s="254"/>
      <c r="AV125" s="254"/>
      <c r="AW125" s="254"/>
      <c r="AX125" s="254"/>
      <c r="AY125" s="254"/>
      <c r="AZ125" s="254"/>
    </row>
    <row r="126" spans="2:52" x14ac:dyDescent="0.3">
      <c r="B126" s="375"/>
      <c r="C126" s="375"/>
      <c r="D126" s="375"/>
      <c r="E126" s="376"/>
      <c r="F126" s="375"/>
      <c r="G126" s="376"/>
      <c r="H126" s="376"/>
      <c r="I126" s="375"/>
      <c r="J126" s="376"/>
      <c r="K126" s="375"/>
      <c r="L126" s="375"/>
      <c r="M126" s="375"/>
      <c r="N126" s="375"/>
      <c r="O126" s="375"/>
      <c r="P126" s="375" t="str">
        <f>Corb!$N$184</f>
        <v>-</v>
      </c>
      <c r="Q126" s="375"/>
      <c r="R126" s="375" t="str">
        <f>Corb!$N$185</f>
        <v>With H2</v>
      </c>
      <c r="S126" s="376">
        <f>Corb!$N$186</f>
        <v>1</v>
      </c>
      <c r="T126" s="385">
        <f>Corb!$N$187</f>
        <v>15</v>
      </c>
      <c r="U126" s="379">
        <f>Corb!$N$188</f>
        <v>0.13300000000000001</v>
      </c>
      <c r="V126" s="376">
        <f>Corb!$N$189</f>
        <v>0.19400000000000001</v>
      </c>
      <c r="W126" s="376">
        <f>Corb!$N$190</f>
        <v>3.2000000000000001E-2</v>
      </c>
      <c r="X126" s="381">
        <f>Corb!$N$191</f>
        <v>0.19753086419753085</v>
      </c>
      <c r="Y126" s="380">
        <f>Corb!$N$192</f>
        <v>0.19531600000000002</v>
      </c>
      <c r="Z126" s="379">
        <f>Corb!$N$193</f>
        <v>2.8473999999999999E-2</v>
      </c>
      <c r="AA126" s="376">
        <f>Corb!$N$194</f>
        <v>77.2</v>
      </c>
      <c r="AB126" s="382">
        <f>Corb!$N$195</f>
        <v>22.8</v>
      </c>
      <c r="AC126" s="382">
        <f>Corb!$N$196</f>
        <v>0</v>
      </c>
      <c r="AD126" s="379">
        <f>Corb!$N$197</f>
        <v>7.3</v>
      </c>
      <c r="AE126" s="377" t="str">
        <f>Corb!$N$198</f>
        <v>n/r</v>
      </c>
      <c r="AF126" s="426" t="str">
        <f>Corb!$N$199</f>
        <v>n/r</v>
      </c>
      <c r="AG126" s="379">
        <f>Corb!$N$169</f>
        <v>3.3250000000000002E-2</v>
      </c>
      <c r="AH126" s="379">
        <f>Corb!$N$170</f>
        <v>2.8473999999999999E-2</v>
      </c>
      <c r="AI126" s="379">
        <f>Corb!$N$171</f>
        <v>9.2400000000000052E-3</v>
      </c>
      <c r="AJ126" s="379">
        <f>Corb!$N$172</f>
        <v>1.9873289104058331</v>
      </c>
      <c r="AK126" s="386">
        <f>Corb!$N$173</f>
        <v>1</v>
      </c>
      <c r="AL126" s="379">
        <f>Corb!$N$174</f>
        <v>0.85636090225563899</v>
      </c>
      <c r="AM126" s="379">
        <f>Corb!$N$175</f>
        <v>0.27789473684210542</v>
      </c>
      <c r="AN126" s="379">
        <f>Corb!$N$176</f>
        <v>3.0816017316017299</v>
      </c>
      <c r="AO126" s="379">
        <f>Corb!$N$177</f>
        <v>12.796020893186881</v>
      </c>
      <c r="AP126" s="379">
        <f>Corb!$N$178</f>
        <v>1.0811965811965811</v>
      </c>
      <c r="AQ126" s="382">
        <f>Corb!$N$179</f>
        <v>4.6709278640162957</v>
      </c>
      <c r="AR126" s="382">
        <f>Corb!$N$180</f>
        <v>14.393939393939387</v>
      </c>
      <c r="AS126" s="254"/>
      <c r="AT126" s="254"/>
      <c r="AU126" s="254"/>
      <c r="AV126" s="254"/>
      <c r="AW126" s="254"/>
      <c r="AX126" s="254"/>
      <c r="AY126" s="254"/>
      <c r="AZ126" s="254"/>
    </row>
    <row r="127" spans="2:52" x14ac:dyDescent="0.3">
      <c r="B127" s="362"/>
      <c r="C127" s="362"/>
      <c r="D127" s="362"/>
      <c r="E127" s="363"/>
      <c r="F127" s="362"/>
      <c r="G127" s="363"/>
      <c r="H127" s="363"/>
      <c r="I127" s="362"/>
      <c r="J127" s="363"/>
      <c r="K127" s="362"/>
      <c r="L127" s="362"/>
      <c r="M127" s="362"/>
      <c r="N127" s="362"/>
      <c r="O127" s="362"/>
      <c r="P127" s="362" t="str">
        <f>Corb!$O$184</f>
        <v>-</v>
      </c>
      <c r="Q127" s="362"/>
      <c r="R127" s="362" t="str">
        <f>Corb!$O$185</f>
        <v>With H2</v>
      </c>
      <c r="S127" s="363">
        <f>Corb!$O$186</f>
        <v>1</v>
      </c>
      <c r="T127" s="371">
        <f>Corb!$O$187</f>
        <v>15</v>
      </c>
      <c r="U127" s="366">
        <f>Corb!$O$188</f>
        <v>0.124</v>
      </c>
      <c r="V127" s="363">
        <f>Corb!$O$189</f>
        <v>0.19400000000000001</v>
      </c>
      <c r="W127" s="363">
        <f>Corb!$O$190</f>
        <v>3.2000000000000001E-2</v>
      </c>
      <c r="X127" s="368">
        <f>Corb!$O$191</f>
        <v>0.19753086419753085</v>
      </c>
      <c r="Y127" s="367">
        <f>Corb!$O$192</f>
        <v>0.19481000000000001</v>
      </c>
      <c r="Z127" s="366">
        <f>Corb!$O$193</f>
        <v>2.7967999999999993E-2</v>
      </c>
      <c r="AA127" s="369">
        <f>Corb!$O$194</f>
        <v>77</v>
      </c>
      <c r="AB127" s="369">
        <f>Corb!$O$195</f>
        <v>22.3</v>
      </c>
      <c r="AC127" s="369">
        <f>Corb!$O$196</f>
        <v>0</v>
      </c>
      <c r="AD127" s="366">
        <f>Corb!$O$197</f>
        <v>7.2</v>
      </c>
      <c r="AE127" s="364" t="str">
        <f>Corb!$O$198</f>
        <v>n/r</v>
      </c>
      <c r="AF127" s="392" t="str">
        <f>Corb!$O$199</f>
        <v>n/r</v>
      </c>
      <c r="AG127" s="366">
        <f>Corb!$O$169</f>
        <v>3.1E-2</v>
      </c>
      <c r="AH127" s="366">
        <f>Corb!$O$170</f>
        <v>2.7967999999999993E-2</v>
      </c>
      <c r="AI127" s="366">
        <f>Corb!$O$171</f>
        <v>1.0505000000000007E-2</v>
      </c>
      <c r="AJ127" s="366">
        <f>Corb!$O$172</f>
        <v>1.8528480066941602</v>
      </c>
      <c r="AK127" s="388">
        <f>Corb!$O$173</f>
        <v>1</v>
      </c>
      <c r="AL127" s="366">
        <f>Corb!$O$174</f>
        <v>0.90219354838709653</v>
      </c>
      <c r="AM127" s="366">
        <f>Corb!$O$175</f>
        <v>0.3388709677419357</v>
      </c>
      <c r="AN127" s="366">
        <f>Corb!$O$176</f>
        <v>2.6623512613041385</v>
      </c>
      <c r="AO127" s="366">
        <f>Corb!$O$177</f>
        <v>13.480867078881962</v>
      </c>
      <c r="AP127" s="366">
        <f>Corb!$O$178</f>
        <v>1.0811965811965811</v>
      </c>
      <c r="AQ127" s="369">
        <f>Corb!$O$179</f>
        <v>4.4336384439359282</v>
      </c>
      <c r="AR127" s="369">
        <f>Corb!$O$180</f>
        <v>11.803902903379335</v>
      </c>
      <c r="AS127" s="254"/>
      <c r="AT127" s="254"/>
      <c r="AU127" s="254"/>
      <c r="AV127" s="254"/>
      <c r="AW127" s="254"/>
      <c r="AX127" s="254"/>
      <c r="AY127" s="254"/>
      <c r="AZ127" s="254"/>
    </row>
    <row r="128" spans="2:52" x14ac:dyDescent="0.3">
      <c r="B128" s="313" t="str">
        <f>Corb!B203</f>
        <v>Corbellini et al., 2021</v>
      </c>
      <c r="C128" s="347">
        <f>All!C128</f>
        <v>76</v>
      </c>
      <c r="D128" s="313" t="str">
        <f>Corb!$D207</f>
        <v>Mixed SS</v>
      </c>
      <c r="E128" s="314">
        <f>Corb!$D208</f>
        <v>36.700000000000003</v>
      </c>
      <c r="F128" s="313" t="str">
        <f>Corb!$D209</f>
        <v>CSTR</v>
      </c>
      <c r="G128" s="314">
        <f>Corb!$D210</f>
        <v>16</v>
      </c>
      <c r="H128" s="314">
        <f>Corb!$D211</f>
        <v>11</v>
      </c>
      <c r="I128" s="313" t="str">
        <f>Corb!$D212</f>
        <v>Mechanical</v>
      </c>
      <c r="J128" s="314" t="str">
        <f>Corb!$D213</f>
        <v>No</v>
      </c>
      <c r="K128" s="313" t="str">
        <f>Corb!$D214</f>
        <v>Tube</v>
      </c>
      <c r="L128" s="313" t="str">
        <f>Corb!$D215</f>
        <v>Continuous</v>
      </c>
      <c r="M128" s="313" t="str">
        <f>Corb!$D216</f>
        <v>Sequential</v>
      </c>
      <c r="N128" s="313" t="str">
        <f>Corb!$D217</f>
        <v>H2 addition</v>
      </c>
      <c r="O128" s="313">
        <f>Corb!$E218</f>
        <v>0</v>
      </c>
      <c r="P128" s="313" t="str">
        <f>Corb!$E$345</f>
        <v>Control period</v>
      </c>
      <c r="Q128" s="347">
        <f>C128</f>
        <v>76</v>
      </c>
      <c r="R128" s="313" t="str">
        <f>Corb!$E$346</f>
        <v>No H2</v>
      </c>
      <c r="S128" s="314">
        <f>Corb!$E$347</f>
        <v>1.3</v>
      </c>
      <c r="T128" s="314">
        <f>Corb!$E$348</f>
        <v>22</v>
      </c>
      <c r="U128" s="316"/>
      <c r="V128" s="317">
        <f>Corb!$E$350</f>
        <v>0.19384615384615383</v>
      </c>
      <c r="W128" s="317"/>
      <c r="X128" s="339"/>
      <c r="Y128" s="317">
        <f>Corb!$E$353</f>
        <v>0.252</v>
      </c>
      <c r="Z128" s="316"/>
      <c r="AA128" s="319">
        <f>Corb!$E$355</f>
        <v>75.613747954173476</v>
      </c>
      <c r="AB128" s="319">
        <f>Corb!$E$356</f>
        <v>24.386252045826513</v>
      </c>
      <c r="AC128" s="319"/>
      <c r="AD128" s="313">
        <f>Corb!$E$358</f>
        <v>7.4</v>
      </c>
      <c r="AE128" s="324" t="str">
        <f>Corb!$E$359</f>
        <v>n/r</v>
      </c>
      <c r="AF128" s="424" t="str">
        <f>Corb!$E$360</f>
        <v>graph</v>
      </c>
      <c r="AG128" s="415"/>
      <c r="AH128" s="415"/>
      <c r="AI128" s="415"/>
      <c r="AJ128" s="316"/>
      <c r="AK128" s="415"/>
      <c r="AL128" s="316"/>
      <c r="AM128" s="316"/>
      <c r="AN128" s="316"/>
      <c r="AO128" s="316"/>
      <c r="AP128" s="316"/>
      <c r="AQ128" s="319"/>
      <c r="AR128" s="319"/>
      <c r="AS128" s="254"/>
      <c r="AT128" s="254"/>
      <c r="AU128" s="254"/>
      <c r="AV128" s="254"/>
      <c r="AW128" s="254"/>
      <c r="AX128" s="254"/>
      <c r="AY128" s="254"/>
      <c r="AZ128" s="254"/>
    </row>
    <row r="129" spans="2:52" x14ac:dyDescent="0.3">
      <c r="B129" s="313"/>
      <c r="C129" s="313"/>
      <c r="D129" s="313"/>
      <c r="E129" s="314"/>
      <c r="F129" s="313"/>
      <c r="G129" s="314"/>
      <c r="H129" s="314"/>
      <c r="I129" s="313"/>
      <c r="J129" s="314"/>
      <c r="K129" s="313"/>
      <c r="L129" s="313"/>
      <c r="M129" s="313"/>
      <c r="N129" s="313"/>
      <c r="O129" s="313"/>
      <c r="P129" s="313" t="str">
        <f>Corb!$N$345</f>
        <v>H2/CO2 4</v>
      </c>
      <c r="Q129" s="313"/>
      <c r="R129" s="313" t="str">
        <f>Corb!$N$346</f>
        <v>With H2</v>
      </c>
      <c r="S129" s="314">
        <f>Corb!$N$347</f>
        <v>1.4</v>
      </c>
      <c r="T129" s="314">
        <f>Corb!$N$348</f>
        <v>22</v>
      </c>
      <c r="U129" s="316">
        <f>Corb!$N$349</f>
        <v>0.36509090909090908</v>
      </c>
      <c r="V129" s="317">
        <f>Corb!$N$350</f>
        <v>0.22428571428571431</v>
      </c>
      <c r="W129" s="317">
        <f>Corb!$N$351</f>
        <v>4.2677322677322688E-2</v>
      </c>
      <c r="X129" s="339">
        <f>Corb!$N$352</f>
        <v>0.23499642444578914</v>
      </c>
      <c r="Y129" s="317">
        <f>Corb!$N$353</f>
        <v>0.314</v>
      </c>
      <c r="Z129" s="316">
        <f>Corb!$N$354</f>
        <v>7.79090909090909E-2</v>
      </c>
      <c r="AA129" s="319">
        <f>Corb!$N$355</f>
        <v>81.041764429845145</v>
      </c>
      <c r="AB129" s="319">
        <f>Corb!$N$356</f>
        <v>14.195213514781793</v>
      </c>
      <c r="AC129" s="319">
        <f>Corb!$N$357</f>
        <v>4.7630220553730647</v>
      </c>
      <c r="AD129" s="313">
        <f>Corb!$N$358</f>
        <v>7.4</v>
      </c>
      <c r="AE129" s="324" t="str">
        <f>Corb!$N$359</f>
        <v>n/r</v>
      </c>
      <c r="AF129" s="424" t="str">
        <f>Corb!$N$360</f>
        <v>graph</v>
      </c>
      <c r="AG129" s="415">
        <f>Corb!$N$298</f>
        <v>8.6659090909090908E-2</v>
      </c>
      <c r="AH129" s="415">
        <f>Corb!$N$299</f>
        <v>7.79090909090909E-2</v>
      </c>
      <c r="AI129" s="415">
        <f>Corb!$N$300</f>
        <v>1.6636363636363637E-2</v>
      </c>
      <c r="AJ129" s="316">
        <f>Corb!$N$301</f>
        <v>5.0964467005076139</v>
      </c>
      <c r="AK129" s="415">
        <f>Corb!$N$302</f>
        <v>0.94945219123505975</v>
      </c>
      <c r="AL129" s="316">
        <f>Corb!$N$303</f>
        <v>0.8990296354576448</v>
      </c>
      <c r="AM129" s="316">
        <f>Corb!$N$304</f>
        <v>0.1919748229740362</v>
      </c>
      <c r="AN129" s="316">
        <f>Corb!$N$305</f>
        <v>4.6830601092896167</v>
      </c>
      <c r="AO129" s="316">
        <f>Corb!$N$306</f>
        <v>1.0875634517766497</v>
      </c>
      <c r="AP129" s="316">
        <f>Corb!$N$307</f>
        <v>1.1991137370753322</v>
      </c>
      <c r="AQ129" s="319">
        <f>Corb!$N$308</f>
        <v>4.4492415402567103</v>
      </c>
      <c r="AR129" s="319">
        <f>Corb!$N$309</f>
        <v>20.83606557377049</v>
      </c>
      <c r="AS129" s="254"/>
      <c r="AT129" s="254"/>
      <c r="AU129" s="254"/>
      <c r="AV129" s="254"/>
      <c r="AW129" s="254"/>
      <c r="AX129" s="254"/>
      <c r="AY129" s="254"/>
      <c r="AZ129" s="254"/>
    </row>
    <row r="130" spans="2:52" x14ac:dyDescent="0.3">
      <c r="B130" s="313"/>
      <c r="C130" s="313"/>
      <c r="D130" s="313"/>
      <c r="E130" s="314"/>
      <c r="F130" s="313"/>
      <c r="G130" s="314"/>
      <c r="H130" s="314"/>
      <c r="I130" s="313"/>
      <c r="J130" s="314"/>
      <c r="K130" s="313"/>
      <c r="L130" s="313"/>
      <c r="M130" s="313"/>
      <c r="N130" s="313"/>
      <c r="O130" s="313"/>
      <c r="P130" s="313" t="str">
        <f>Corb!$P$345</f>
        <v>H2/CO2 6</v>
      </c>
      <c r="Q130" s="313"/>
      <c r="R130" s="313" t="str">
        <f>Corb!$P$346</f>
        <v>With H2</v>
      </c>
      <c r="S130" s="314">
        <f>Corb!$P$347</f>
        <v>1.5</v>
      </c>
      <c r="T130" s="314">
        <f>Corb!$P$348</f>
        <v>22</v>
      </c>
      <c r="U130" s="316">
        <f>Corb!$P$349</f>
        <v>0.33</v>
      </c>
      <c r="V130" s="317">
        <f>Corb!$P$350</f>
        <v>0.218</v>
      </c>
      <c r="W130" s="317">
        <f>Corb!$P$351</f>
        <v>3.6391608391608377E-2</v>
      </c>
      <c r="X130" s="339">
        <f>Corb!$P$352</f>
        <v>0.20038505968425097</v>
      </c>
      <c r="Y130" s="317">
        <f>Corb!$P$353</f>
        <v>0.32700000000000001</v>
      </c>
      <c r="Z130" s="316">
        <f>Corb!$P$354</f>
        <v>9.0909090909090912E-2</v>
      </c>
      <c r="AA130" s="319">
        <f>Corb!$P$355</f>
        <v>83.534602879702732</v>
      </c>
      <c r="AB130" s="319">
        <f>Corb!$P$356</f>
        <v>13.353460287970274</v>
      </c>
      <c r="AC130" s="319">
        <f>Corb!$P$357</f>
        <v>3.1119368323269856</v>
      </c>
      <c r="AD130" s="313">
        <f>Corb!$P$358</f>
        <v>7.4</v>
      </c>
      <c r="AE130" s="324" t="str">
        <f>Corb!$P$359</f>
        <v>n/r</v>
      </c>
      <c r="AF130" s="424" t="str">
        <f>Corb!$P$360</f>
        <v>graph</v>
      </c>
      <c r="AG130" s="415">
        <f>Corb!$P$298</f>
        <v>7.9454545454545458E-2</v>
      </c>
      <c r="AH130" s="415">
        <f>Corb!$P$299</f>
        <v>9.0909090909090912E-2</v>
      </c>
      <c r="AI130" s="415">
        <f>Corb!$P$300</f>
        <v>1.9363636363636368E-2</v>
      </c>
      <c r="AJ130" s="316">
        <f>Corb!$P$301</f>
        <v>4.6065989847715736</v>
      </c>
      <c r="AK130" s="415">
        <f>Corb!$P$302</f>
        <v>0.96308539944903582</v>
      </c>
      <c r="AL130" s="316">
        <f>Corb!$P$303</f>
        <v>1.1441647597254003</v>
      </c>
      <c r="AM130" s="316">
        <f>Corb!$P$304</f>
        <v>0.24370709382151035</v>
      </c>
      <c r="AN130" s="316">
        <f>Corb!$P$305</f>
        <v>4.6948356807511731</v>
      </c>
      <c r="AO130" s="316">
        <f>Corb!$P$306</f>
        <v>1.2690355329949239</v>
      </c>
      <c r="AP130" s="316">
        <f>Corb!$P$307</f>
        <v>1.2324963072378139</v>
      </c>
      <c r="AQ130" s="319">
        <f>Corb!$P$308</f>
        <v>3.496</v>
      </c>
      <c r="AR130" s="319">
        <f>Corb!$P$309</f>
        <v>16.4131455399061</v>
      </c>
      <c r="AS130" s="254"/>
      <c r="AT130" s="254"/>
      <c r="AU130" s="254"/>
      <c r="AV130" s="254"/>
      <c r="AW130" s="254"/>
      <c r="AX130" s="254"/>
      <c r="AY130" s="254"/>
      <c r="AZ130" s="254"/>
    </row>
    <row r="131" spans="2:52" x14ac:dyDescent="0.3">
      <c r="B131" s="327"/>
      <c r="C131" s="327"/>
      <c r="D131" s="327"/>
      <c r="E131" s="328"/>
      <c r="F131" s="327"/>
      <c r="G131" s="328"/>
      <c r="H131" s="328"/>
      <c r="I131" s="327"/>
      <c r="J131" s="328"/>
      <c r="K131" s="327"/>
      <c r="L131" s="327"/>
      <c r="M131" s="327"/>
      <c r="N131" s="327"/>
      <c r="O131" s="327"/>
      <c r="P131" s="327" t="str">
        <f>Corb!$R$345</f>
        <v>H2/CO2 7</v>
      </c>
      <c r="Q131" s="327"/>
      <c r="R131" s="327" t="str">
        <f>Corb!$R$346</f>
        <v>With H2</v>
      </c>
      <c r="S131" s="328">
        <f>Corb!$R$347</f>
        <v>1.5</v>
      </c>
      <c r="T131" s="328">
        <f>Corb!$R$348</f>
        <v>22</v>
      </c>
      <c r="U131" s="331">
        <f>Corb!$R$349</f>
        <v>0.36590909090909091</v>
      </c>
      <c r="V131" s="332">
        <f>Corb!$R$350</f>
        <v>0.20321212121212121</v>
      </c>
      <c r="W131" s="332">
        <f>Corb!$R$351</f>
        <v>2.1603729603729582E-2</v>
      </c>
      <c r="X131" s="340">
        <f>Corb!$R$352</f>
        <v>0.11895777178796034</v>
      </c>
      <c r="Y131" s="332">
        <f>Corb!$R$353</f>
        <v>0.30481818181818182</v>
      </c>
      <c r="Z131" s="331">
        <f>Corb!$R$354</f>
        <v>6.872727272727272E-2</v>
      </c>
      <c r="AA131" s="333">
        <f>Corb!$R$355</f>
        <v>86.306306306306297</v>
      </c>
      <c r="AB131" s="333">
        <f>Corb!$R$356</f>
        <v>7.6447876447876446</v>
      </c>
      <c r="AC131" s="333">
        <f>Corb!$R$357</f>
        <v>6.0489060489060487</v>
      </c>
      <c r="AD131" s="327">
        <f>Corb!$R$358</f>
        <v>7.4</v>
      </c>
      <c r="AE131" s="329" t="str">
        <f>Corb!$R$359</f>
        <v>n/r</v>
      </c>
      <c r="AF131" s="425" t="str">
        <f>Corb!$R$360</f>
        <v>graph</v>
      </c>
      <c r="AG131" s="358">
        <f>Corb!$R$298</f>
        <v>8.6136363636363636E-2</v>
      </c>
      <c r="AH131" s="358">
        <f>Corb!$R$299</f>
        <v>6.872727272727272E-2</v>
      </c>
      <c r="AI131" s="358">
        <f>Corb!$R$300</f>
        <v>4.4636363636363641E-2</v>
      </c>
      <c r="AJ131" s="331">
        <f>Corb!$R$301</f>
        <v>5.1078680203045685</v>
      </c>
      <c r="AK131" s="358">
        <f>Corb!$R$302</f>
        <v>0.94161490683229809</v>
      </c>
      <c r="AL131" s="331">
        <f>Corb!$R$303</f>
        <v>0.79788918205804737</v>
      </c>
      <c r="AM131" s="331">
        <f>Corb!$R$304</f>
        <v>0.51820580474934042</v>
      </c>
      <c r="AN131" s="331">
        <f>Corb!$R$305</f>
        <v>1.5397148676171077</v>
      </c>
      <c r="AO131" s="331">
        <f>Corb!$R$306</f>
        <v>0.95939086294416231</v>
      </c>
      <c r="AP131" s="331">
        <f>Corb!$R$307</f>
        <v>1.0782865583456427</v>
      </c>
      <c r="AQ131" s="333">
        <f>Corb!$R$308</f>
        <v>5.0132275132275135</v>
      </c>
      <c r="AR131" s="333">
        <f>Corb!$R$309</f>
        <v>7.7189409368635431</v>
      </c>
      <c r="AS131" s="254"/>
      <c r="AT131" s="254"/>
      <c r="AU131" s="254"/>
      <c r="AV131" s="254"/>
      <c r="AW131" s="254"/>
      <c r="AX131" s="254"/>
      <c r="AY131" s="254"/>
      <c r="AZ131" s="254"/>
    </row>
    <row r="132" spans="2:52" x14ac:dyDescent="0.3">
      <c r="B132" s="375" t="str">
        <f>Diaz!B2</f>
        <v>Diaz et al., 2020</v>
      </c>
      <c r="C132" s="375">
        <f>All!C132</f>
        <v>77</v>
      </c>
      <c r="D132" s="375" t="str">
        <f>Diaz!$D6</f>
        <v>Mixed SS</v>
      </c>
      <c r="E132" s="376">
        <f>Diaz!$D7</f>
        <v>35</v>
      </c>
      <c r="F132" s="375" t="str">
        <f>Diaz!$D8</f>
        <v>CSTR</v>
      </c>
      <c r="G132" s="376">
        <f>Diaz!$D9</f>
        <v>48</v>
      </c>
      <c r="H132" s="376">
        <f>Diaz!$D10</f>
        <v>35</v>
      </c>
      <c r="I132" s="375" t="str">
        <f>Diaz!$D11</f>
        <v>Recirc + static mixer</v>
      </c>
      <c r="J132" s="376" t="str">
        <f>Diaz!$D12</f>
        <v>No</v>
      </c>
      <c r="K132" s="375" t="str">
        <f>Diaz!$D13</f>
        <v>n/r</v>
      </c>
      <c r="L132" s="375" t="str">
        <f>Diaz!$D14</f>
        <v>Continuous</v>
      </c>
      <c r="M132" s="375" t="str">
        <f>Diaz!$D15</f>
        <v>Sequential</v>
      </c>
      <c r="N132" s="375" t="str">
        <f>Diaz!$D16</f>
        <v>Pressure and H2 addition</v>
      </c>
      <c r="O132" s="375" t="str">
        <f>Diaz!$D17</f>
        <v>No control - all cases have N2 addition and pressure</v>
      </c>
      <c r="P132" s="375" t="str">
        <f>Diaz!$D$63</f>
        <v>200 kPa</v>
      </c>
      <c r="Q132" s="375">
        <f>C132</f>
        <v>77</v>
      </c>
      <c r="R132" s="375" t="str">
        <f>Diaz!$D$64</f>
        <v>With H2</v>
      </c>
      <c r="S132" s="376">
        <f>Diaz!$D$65</f>
        <v>0.92</v>
      </c>
      <c r="T132" s="376">
        <f>Diaz!$D$66</f>
        <v>20</v>
      </c>
      <c r="U132" s="379">
        <f>Diaz!$D$67</f>
        <v>0.45</v>
      </c>
      <c r="V132" s="380">
        <f>Diaz!$D$68</f>
        <v>0.33191304347826089</v>
      </c>
      <c r="W132" s="380">
        <f>Diaz!$D$69</f>
        <v>0</v>
      </c>
      <c r="X132" s="381">
        <f>Diaz!$D$70</f>
        <v>0</v>
      </c>
      <c r="Y132" s="379">
        <f>Diaz!$D$71</f>
        <v>0.30536000000000002</v>
      </c>
      <c r="Z132" s="379">
        <f>Diaz!$D$72</f>
        <v>0</v>
      </c>
      <c r="AA132" s="382">
        <f>Diaz!$D$73</f>
        <v>69.400000000000006</v>
      </c>
      <c r="AB132" s="382">
        <f>Diaz!$D$74</f>
        <v>15.2</v>
      </c>
      <c r="AC132" s="382">
        <f>Diaz!$D$75</f>
        <v>15.4</v>
      </c>
      <c r="AD132" s="379">
        <f>Diaz!$D$76</f>
        <v>6.6</v>
      </c>
      <c r="AE132" s="377" t="str">
        <f>Diaz!$D$77</f>
        <v>n/r</v>
      </c>
      <c r="AF132" s="426" t="str">
        <f>Diaz!$D$78</f>
        <v>n/r</v>
      </c>
      <c r="AG132" s="379">
        <f>Diaz!$D$49</f>
        <v>9.5560000000000006E-2</v>
      </c>
      <c r="AH132" s="379"/>
      <c r="AI132" s="379"/>
      <c r="AJ132" s="379" t="str">
        <f>Diaz!$D$52</f>
        <v>n/a</v>
      </c>
      <c r="AK132" s="386">
        <f>Diaz!$D$53</f>
        <v>0.8494222222222223</v>
      </c>
      <c r="AL132" s="379"/>
      <c r="AM132" s="379"/>
      <c r="AN132" s="379"/>
      <c r="AO132" s="379"/>
      <c r="AP132" s="379"/>
      <c r="AQ132" s="382"/>
      <c r="AR132" s="382"/>
      <c r="AS132" s="254"/>
      <c r="AT132" s="254"/>
      <c r="AU132" s="254"/>
      <c r="AV132" s="254"/>
      <c r="AW132" s="254"/>
      <c r="AX132" s="254"/>
      <c r="AY132" s="254"/>
      <c r="AZ132" s="254"/>
    </row>
    <row r="133" spans="2:52" x14ac:dyDescent="0.3">
      <c r="B133" s="362"/>
      <c r="C133" s="362"/>
      <c r="D133" s="362"/>
      <c r="E133" s="363"/>
      <c r="F133" s="362"/>
      <c r="G133" s="363"/>
      <c r="H133" s="363"/>
      <c r="I133" s="362"/>
      <c r="J133" s="363"/>
      <c r="K133" s="362"/>
      <c r="L133" s="362"/>
      <c r="M133" s="362"/>
      <c r="N133" s="362"/>
      <c r="O133" s="362"/>
      <c r="P133" s="362" t="str">
        <f>Diaz!$G$63</f>
        <v>300 kPa</v>
      </c>
      <c r="Q133" s="362"/>
      <c r="R133" s="362" t="str">
        <f>Diaz!$G$64</f>
        <v>With H2</v>
      </c>
      <c r="S133" s="363">
        <f>Diaz!$G$65</f>
        <v>1.2</v>
      </c>
      <c r="T133" s="363">
        <f>Diaz!$G$66</f>
        <v>20</v>
      </c>
      <c r="U133" s="366">
        <f>Diaz!$G$67</f>
        <v>0.64</v>
      </c>
      <c r="V133" s="367">
        <f>Diaz!$G$68</f>
        <v>0.41805000000000003</v>
      </c>
      <c r="W133" s="367">
        <f>Diaz!$G$69</f>
        <v>0.10971666666666668</v>
      </c>
      <c r="X133" s="368">
        <f>Diaz!$G$70</f>
        <v>0.29653153153153156</v>
      </c>
      <c r="Y133" s="366">
        <f>Diaz!$G$71</f>
        <v>0.50165999999999999</v>
      </c>
      <c r="Z133" s="366">
        <f>Diaz!$G$72</f>
        <v>0.13166</v>
      </c>
      <c r="AA133" s="369">
        <f>Diaz!$G$73</f>
        <v>92.9</v>
      </c>
      <c r="AB133" s="369">
        <f>Diaz!$G$74</f>
        <v>6.3</v>
      </c>
      <c r="AC133" s="369">
        <f>Diaz!$G$75</f>
        <v>0.8</v>
      </c>
      <c r="AD133" s="366">
        <f>Diaz!$G$76</f>
        <v>7</v>
      </c>
      <c r="AE133" s="364" t="str">
        <f>Diaz!$G$77</f>
        <v>n/r</v>
      </c>
      <c r="AF133" s="392" t="str">
        <f>Diaz!$G$78</f>
        <v>n/r</v>
      </c>
      <c r="AG133" s="366">
        <f>Diaz!$G$49</f>
        <v>0.15892000000000001</v>
      </c>
      <c r="AH133" s="366">
        <f>Diaz!$G$50</f>
        <v>0.13166</v>
      </c>
      <c r="AI133" s="366" t="str">
        <f>Diaz!$G$51</f>
        <v>n/r</v>
      </c>
      <c r="AJ133" s="366" t="str">
        <f>Diaz!$G$52</f>
        <v>n/a</v>
      </c>
      <c r="AK133" s="388">
        <f>Diaz!$G$53</f>
        <v>0.99324999999999997</v>
      </c>
      <c r="AL133" s="366">
        <f>Diaz!$G$54</f>
        <v>0.82846715328467146</v>
      </c>
      <c r="AM133" s="366" t="str">
        <f>Diaz!$G$55</f>
        <v>n/r</v>
      </c>
      <c r="AN133" s="366" t="str">
        <f>Diaz!$G$56</f>
        <v>n/r</v>
      </c>
      <c r="AO133" s="366" t="str">
        <f>Diaz!$G$57</f>
        <v>n/a</v>
      </c>
      <c r="AP133" s="366" t="str">
        <f>Diaz!$G$58</f>
        <v>n/a</v>
      </c>
      <c r="AQ133" s="369">
        <f>Diaz!$G$59</f>
        <v>4.8281938325991192</v>
      </c>
      <c r="AR133" s="369" t="str">
        <f>Diaz!$G$60</f>
        <v>n/r</v>
      </c>
      <c r="AS133" s="254"/>
      <c r="AT133" s="254"/>
      <c r="AU133" s="254"/>
      <c r="AV133" s="254"/>
      <c r="AW133" s="254"/>
      <c r="AX133" s="254"/>
      <c r="AY133" s="254"/>
      <c r="AZ133" s="254"/>
    </row>
    <row r="134" spans="2:52" x14ac:dyDescent="0.3">
      <c r="B134" s="347" t="str">
        <f>Luo!B299</f>
        <v>Luo et al., 2013c</v>
      </c>
      <c r="C134" s="347">
        <f>All!C134</f>
        <v>78</v>
      </c>
      <c r="D134" s="347" t="str">
        <f>Luo!$D303</f>
        <v>Mixed SS</v>
      </c>
      <c r="E134" s="348">
        <f>Luo!$D304</f>
        <v>55</v>
      </c>
      <c r="F134" s="347" t="str">
        <f>Luo!$D305</f>
        <v>CSTR</v>
      </c>
      <c r="G134" s="348">
        <f>Luo!$D306</f>
        <v>0.6</v>
      </c>
      <c r="H134" s="348">
        <f>Luo!$D307</f>
        <v>0.4</v>
      </c>
      <c r="I134" s="347" t="str">
        <f>Luo!$D308</f>
        <v>Magnetic</v>
      </c>
      <c r="J134" s="348" t="str">
        <f>Luo!$D309</f>
        <v>No</v>
      </c>
      <c r="K134" s="347" t="str">
        <f>Luo!$D310</f>
        <v>HFM</v>
      </c>
      <c r="L134" s="347" t="str">
        <f>Luo!$D311</f>
        <v>Continuous</v>
      </c>
      <c r="M134" s="347" t="str">
        <f>Luo!$D312</f>
        <v>Parallel</v>
      </c>
      <c r="N134" s="347" t="str">
        <f>Luo!$D313</f>
        <v>CO addition</v>
      </c>
      <c r="O134" s="347" t="str">
        <f>Luo!$D314</f>
        <v>Added CO without H2</v>
      </c>
      <c r="P134" s="347" t="str">
        <f>Luo!$I377</f>
        <v>Control reactor</v>
      </c>
      <c r="Q134" s="347">
        <f>C134</f>
        <v>78</v>
      </c>
      <c r="R134" s="347" t="str">
        <f>Luo!$I378</f>
        <v>No CO</v>
      </c>
      <c r="S134" s="348">
        <f>Luo!$I379</f>
        <v>3.35</v>
      </c>
      <c r="T134" s="348">
        <f>Luo!$I380</f>
        <v>10</v>
      </c>
      <c r="U134" s="351"/>
      <c r="V134" s="353">
        <f>Luo!$I382</f>
        <v>0.20119402985074628</v>
      </c>
      <c r="W134" s="353"/>
      <c r="X134" s="354"/>
      <c r="Y134" s="351">
        <f>Luo!$I385</f>
        <v>0.67400000000000004</v>
      </c>
      <c r="Z134" s="351"/>
      <c r="AA134" s="355">
        <f>Luo!$I387</f>
        <v>62.1</v>
      </c>
      <c r="AB134" s="355">
        <f>Luo!$I388</f>
        <v>36.6</v>
      </c>
      <c r="AC134" s="355"/>
      <c r="AD134" s="351">
        <f>Luo!$I390</f>
        <v>7.24</v>
      </c>
      <c r="AE134" s="391" t="str">
        <f>Luo!$I391</f>
        <v>n/r</v>
      </c>
      <c r="AF134" s="427">
        <f>Luo!$I392</f>
        <v>3.3999999999999997E-4</v>
      </c>
      <c r="AG134" s="351"/>
      <c r="AH134" s="351"/>
      <c r="AI134" s="351"/>
      <c r="AJ134" s="351"/>
      <c r="AK134" s="356"/>
      <c r="AL134" s="351"/>
      <c r="AM134" s="351"/>
      <c r="AN134" s="351"/>
      <c r="AO134" s="351"/>
      <c r="AP134" s="351"/>
      <c r="AQ134" s="355"/>
      <c r="AR134" s="355"/>
      <c r="AS134" s="254"/>
      <c r="AT134" s="254"/>
      <c r="AU134" s="254"/>
      <c r="AV134" s="254"/>
      <c r="AW134" s="254"/>
      <c r="AX134" s="254"/>
      <c r="AY134" s="254"/>
      <c r="AZ134" s="254"/>
    </row>
    <row r="135" spans="2:52" x14ac:dyDescent="0.3">
      <c r="B135" s="347"/>
      <c r="C135" s="347"/>
      <c r="D135" s="347"/>
      <c r="E135" s="348"/>
      <c r="F135" s="347"/>
      <c r="G135" s="348"/>
      <c r="H135" s="348"/>
      <c r="I135" s="347"/>
      <c r="J135" s="348"/>
      <c r="K135" s="347"/>
      <c r="L135" s="347"/>
      <c r="M135" s="347"/>
      <c r="N135" s="347"/>
      <c r="O135" s="347"/>
      <c r="P135" s="350" t="str">
        <f>Luo!$H377</f>
        <v>Highest SMP without residual CO</v>
      </c>
      <c r="Q135" s="347"/>
      <c r="R135" s="347" t="str">
        <f>Luo!$H378</f>
        <v>With CO</v>
      </c>
      <c r="S135" s="348"/>
      <c r="T135" s="348">
        <f>Luo!$H380</f>
        <v>10</v>
      </c>
      <c r="U135" s="351" t="str">
        <f>Luo!$H381</f>
        <v>n/a</v>
      </c>
      <c r="V135" s="353">
        <f>Luo!$H382</f>
        <v>0.54059701492537315</v>
      </c>
      <c r="W135" s="353">
        <f>Luo!$H383</f>
        <v>0.33940298507462685</v>
      </c>
      <c r="X135" s="354">
        <f>Luo!$H384</f>
        <v>1.6869436201780414</v>
      </c>
      <c r="Y135" s="351">
        <f>Luo!$H385</f>
        <v>1.8109999999999999</v>
      </c>
      <c r="Z135" s="351">
        <f>Luo!$H386</f>
        <v>1.137</v>
      </c>
      <c r="AA135" s="355">
        <f>Luo!$H387</f>
        <v>29.8</v>
      </c>
      <c r="AB135" s="355">
        <f>Luo!$H388</f>
        <v>68.900000000000006</v>
      </c>
      <c r="AC135" s="355">
        <f>Luo!$H389</f>
        <v>0</v>
      </c>
      <c r="AD135" s="351">
        <f>Luo!$H390</f>
        <v>7.03</v>
      </c>
      <c r="AE135" s="391" t="str">
        <f>Luo!$H391</f>
        <v>n/r</v>
      </c>
      <c r="AF135" s="427">
        <f>Luo!$H392</f>
        <v>3.1E-4</v>
      </c>
      <c r="AG135" s="351" t="str">
        <f>Luo!$H$360</f>
        <v>n/a</v>
      </c>
      <c r="AH135" s="351" t="str">
        <f>Luo!$H$361</f>
        <v>n/a</v>
      </c>
      <c r="AI135" s="351" t="str">
        <f>Luo!$H$362</f>
        <v>n/a</v>
      </c>
      <c r="AJ135" s="351" t="str">
        <f>Luo!$H$363</f>
        <v>n/a</v>
      </c>
      <c r="AK135" s="348" t="str">
        <f>Luo!$H$364</f>
        <v>n/a</v>
      </c>
      <c r="AL135" s="351" t="str">
        <f>Luo!$H$365</f>
        <v>n/a</v>
      </c>
      <c r="AM135" s="351" t="str">
        <f>Luo!$H$366</f>
        <v>n/a</v>
      </c>
      <c r="AN135" s="351" t="str">
        <f>Luo!$H$367</f>
        <v>n/a</v>
      </c>
      <c r="AO135" s="351" t="str">
        <f>Luo!$H$368</f>
        <v>n/a</v>
      </c>
      <c r="AP135" s="351" t="str">
        <f>Luo!$H$369</f>
        <v>n/a</v>
      </c>
      <c r="AQ135" s="355" t="str">
        <f>Luo!$H$370</f>
        <v>n/a</v>
      </c>
      <c r="AR135" s="355" t="str">
        <f>Luo!$H$371</f>
        <v>n/a</v>
      </c>
      <c r="AS135" s="254"/>
      <c r="AT135" s="254"/>
      <c r="AU135" s="254"/>
      <c r="AV135" s="254"/>
      <c r="AW135" s="254"/>
      <c r="AX135" s="254"/>
      <c r="AY135" s="254"/>
      <c r="AZ135" s="254"/>
    </row>
    <row r="136" spans="2:52" x14ac:dyDescent="0.3">
      <c r="B136" s="347"/>
      <c r="C136" s="347"/>
      <c r="D136" s="347"/>
      <c r="E136" s="348"/>
      <c r="F136" s="347"/>
      <c r="G136" s="348"/>
      <c r="H136" s="348"/>
      <c r="I136" s="347"/>
      <c r="J136" s="348"/>
      <c r="K136" s="347"/>
      <c r="L136" s="347"/>
      <c r="M136" s="347"/>
      <c r="N136" s="347"/>
      <c r="O136" s="347"/>
      <c r="P136" s="350" t="str">
        <f>Luo!$K377</f>
        <v>Control reactor</v>
      </c>
      <c r="Q136" s="347"/>
      <c r="R136" s="347" t="str">
        <f>Luo!$K378</f>
        <v>No CO</v>
      </c>
      <c r="S136" s="348">
        <f>Luo!$K379</f>
        <v>3.35</v>
      </c>
      <c r="T136" s="348">
        <f>Luo!$K380</f>
        <v>10</v>
      </c>
      <c r="U136" s="351" t="str">
        <f>Luo!$K381</f>
        <v>n/a</v>
      </c>
      <c r="V136" s="353">
        <f>Luo!$K382</f>
        <v>0.18746268656716417</v>
      </c>
      <c r="W136" s="353"/>
      <c r="X136" s="354"/>
      <c r="Y136" s="351">
        <f>Luo!$K385</f>
        <v>0.628</v>
      </c>
      <c r="Z136" s="351"/>
      <c r="AA136" s="355">
        <f>Luo!$K387</f>
        <v>61</v>
      </c>
      <c r="AB136" s="355">
        <f>Luo!$K388</f>
        <v>38.299999999999997</v>
      </c>
      <c r="AC136" s="355"/>
      <c r="AD136" s="351">
        <f>Luo!$K390</f>
        <v>7.29</v>
      </c>
      <c r="AE136" s="391" t="str">
        <f>Luo!$K391</f>
        <v>n/r</v>
      </c>
      <c r="AF136" s="427">
        <f>Luo!$K392</f>
        <v>5.1000000000000004E-4</v>
      </c>
      <c r="AG136" s="351"/>
      <c r="AH136" s="351"/>
      <c r="AI136" s="351"/>
      <c r="AJ136" s="351"/>
      <c r="AK136" s="356"/>
      <c r="AL136" s="351"/>
      <c r="AM136" s="351"/>
      <c r="AN136" s="351"/>
      <c r="AO136" s="351"/>
      <c r="AP136" s="351"/>
      <c r="AQ136" s="355"/>
      <c r="AR136" s="355"/>
      <c r="AS136" s="254"/>
      <c r="AT136" s="254"/>
      <c r="AU136" s="254"/>
      <c r="AV136" s="254"/>
      <c r="AW136" s="254"/>
      <c r="AX136" s="254"/>
      <c r="AY136" s="254"/>
      <c r="AZ136" s="254"/>
    </row>
    <row r="137" spans="2:52" x14ac:dyDescent="0.3">
      <c r="B137" s="327"/>
      <c r="C137" s="327"/>
      <c r="D137" s="327"/>
      <c r="E137" s="328"/>
      <c r="F137" s="327"/>
      <c r="G137" s="328"/>
      <c r="H137" s="328"/>
      <c r="I137" s="327"/>
      <c r="J137" s="328"/>
      <c r="K137" s="327"/>
      <c r="L137" s="327"/>
      <c r="M137" s="327"/>
      <c r="N137" s="327"/>
      <c r="O137" s="327"/>
      <c r="P137" s="330" t="str">
        <f>Luo!$J377</f>
        <v>Highest SMP</v>
      </c>
      <c r="Q137" s="327"/>
      <c r="R137" s="327" t="str">
        <f>Luo!$J378</f>
        <v>With CO</v>
      </c>
      <c r="S137" s="328"/>
      <c r="T137" s="328">
        <f>Luo!$J380</f>
        <v>10</v>
      </c>
      <c r="U137" s="331" t="str">
        <f>Luo!$J381</f>
        <v>n/a</v>
      </c>
      <c r="V137" s="332">
        <f>Luo!$J382</f>
        <v>0.5946268656716418</v>
      </c>
      <c r="W137" s="332">
        <f>Luo!$J383</f>
        <v>0.40716417910447766</v>
      </c>
      <c r="X137" s="340">
        <f>Luo!$J384</f>
        <v>2.1719745222929943</v>
      </c>
      <c r="Y137" s="331">
        <f>Luo!$J385</f>
        <v>1.992</v>
      </c>
      <c r="Z137" s="331">
        <f>Luo!$J386</f>
        <v>1.3639999999999999</v>
      </c>
      <c r="AA137" s="333">
        <f>Luo!$J387</f>
        <v>19.2</v>
      </c>
      <c r="AB137" s="333">
        <f>Luo!$J388</f>
        <v>44.5</v>
      </c>
      <c r="AC137" s="333">
        <f>Luo!$J389</f>
        <v>35.200000000000003</v>
      </c>
      <c r="AD137" s="331">
        <f>Luo!$J390</f>
        <v>7.17</v>
      </c>
      <c r="AE137" s="329" t="str">
        <f>Luo!$J391</f>
        <v>n/r</v>
      </c>
      <c r="AF137" s="425">
        <f>Luo!$J392</f>
        <v>4.2999999999999999E-4</v>
      </c>
      <c r="AG137" s="331" t="str">
        <f>Luo!$J$360</f>
        <v>n/a</v>
      </c>
      <c r="AH137" s="331" t="str">
        <f>Luo!$J$361</f>
        <v>n/a</v>
      </c>
      <c r="AI137" s="331" t="str">
        <f>Luo!$J$362</f>
        <v>n/a</v>
      </c>
      <c r="AJ137" s="331" t="str">
        <f>Luo!$J$363</f>
        <v>n/a</v>
      </c>
      <c r="AK137" s="328" t="str">
        <f>Luo!$J$364</f>
        <v>n/a</v>
      </c>
      <c r="AL137" s="331" t="str">
        <f>Luo!$J$365</f>
        <v>n/a</v>
      </c>
      <c r="AM137" s="331" t="str">
        <f>Luo!$J$366</f>
        <v>n/a</v>
      </c>
      <c r="AN137" s="331" t="str">
        <f>Luo!$J$367</f>
        <v>n/a</v>
      </c>
      <c r="AO137" s="331" t="str">
        <f>Luo!$J$368</f>
        <v>n/a</v>
      </c>
      <c r="AP137" s="331" t="str">
        <f>Luo!$J$369</f>
        <v>n/a</v>
      </c>
      <c r="AQ137" s="333" t="str">
        <f>Luo!$J$370</f>
        <v>n/a</v>
      </c>
      <c r="AR137" s="333" t="str">
        <f>Luo!$J$371</f>
        <v>n/a</v>
      </c>
      <c r="AS137" s="254"/>
      <c r="AT137" s="254"/>
      <c r="AU137" s="254"/>
      <c r="AV137" s="254"/>
      <c r="AW137" s="254"/>
      <c r="AX137" s="254"/>
      <c r="AY137" s="254"/>
      <c r="AZ137" s="254"/>
    </row>
    <row r="138" spans="2:52" x14ac:dyDescent="0.3">
      <c r="B138" s="375" t="str">
        <f>'Wang W'!B2</f>
        <v>Wang et al., 2013</v>
      </c>
      <c r="C138" s="375">
        <f>All!C138</f>
        <v>79</v>
      </c>
      <c r="D138" s="375" t="str">
        <f>'Wang W'!$D6</f>
        <v>Mixed SS</v>
      </c>
      <c r="E138" s="376">
        <f>'Wang W'!$D7</f>
        <v>37</v>
      </c>
      <c r="F138" s="375" t="str">
        <f>'Wang W'!$D8</f>
        <v>CSTR</v>
      </c>
      <c r="G138" s="376">
        <f>'Wang W'!$D9</f>
        <v>3</v>
      </c>
      <c r="H138" s="376">
        <f>'Wang W'!$D10</f>
        <v>2</v>
      </c>
      <c r="I138" s="375" t="str">
        <f>'Wang W'!$D11</f>
        <v>Mechanical</v>
      </c>
      <c r="J138" s="376" t="str">
        <f>'Wang W'!$D12</f>
        <v>No</v>
      </c>
      <c r="K138" s="375" t="str">
        <f>'Wang W'!$D13</f>
        <v>HFM</v>
      </c>
      <c r="L138" s="375" t="str">
        <f>'Wang W'!$D14</f>
        <v>Continuous</v>
      </c>
      <c r="M138" s="375" t="str">
        <f>'Wang W'!$D15</f>
        <v>Sequential</v>
      </c>
      <c r="N138" s="375" t="str">
        <f>'Wang W'!$D16</f>
        <v>with/without SCOG and pH control</v>
      </c>
      <c r="O138" s="375" t="str">
        <f>'Wang W'!$D17</f>
        <v>Fed simulated coke oven gas (H2/CO 92/8 v/v) rather than H2</v>
      </c>
      <c r="P138" s="375" t="str">
        <f>'Wang W'!$D65</f>
        <v>Control period</v>
      </c>
      <c r="Q138" s="375">
        <f>C138</f>
        <v>79</v>
      </c>
      <c r="R138" s="375" t="str">
        <f>'Wang W'!$D66</f>
        <v>No SCOG</v>
      </c>
      <c r="S138" s="376">
        <f>'Wang W'!$D67</f>
        <v>1.08</v>
      </c>
      <c r="T138" s="376">
        <f>'Wang W'!$D68</f>
        <v>10</v>
      </c>
      <c r="U138" s="379"/>
      <c r="V138" s="380">
        <f>'Wang W'!$D70</f>
        <v>0.25648148148148148</v>
      </c>
      <c r="W138" s="380"/>
      <c r="X138" s="381"/>
      <c r="Y138" s="379">
        <f>'Wang W'!$D73</f>
        <v>0.27700000000000002</v>
      </c>
      <c r="Z138" s="379"/>
      <c r="AA138" s="382">
        <f>'Wang W'!$D75</f>
        <v>64.400000000000006</v>
      </c>
      <c r="AB138" s="382">
        <f>'Wang W'!$D76</f>
        <v>34.200000000000003</v>
      </c>
      <c r="AC138" s="382">
        <f>'Wang W'!$D77</f>
        <v>1.3999999999999915</v>
      </c>
      <c r="AD138" s="379">
        <f>'Wang W'!$D78</f>
        <v>7</v>
      </c>
      <c r="AE138" s="377" t="str">
        <f>'Wang W'!$D79</f>
        <v>n/r</v>
      </c>
      <c r="AF138" s="426" t="str">
        <f>'Wang W'!$D80</f>
        <v>graph</v>
      </c>
      <c r="AG138" s="379"/>
      <c r="AH138" s="379"/>
      <c r="AI138" s="379"/>
      <c r="AJ138" s="379"/>
      <c r="AK138" s="386"/>
      <c r="AL138" s="379"/>
      <c r="AM138" s="379"/>
      <c r="AN138" s="379"/>
      <c r="AO138" s="379"/>
      <c r="AP138" s="379"/>
      <c r="AQ138" s="382"/>
      <c r="AR138" s="382"/>
      <c r="AS138" s="254"/>
      <c r="AT138" s="254"/>
      <c r="AU138" s="254"/>
      <c r="AV138" s="254"/>
      <c r="AW138" s="254"/>
      <c r="AX138" s="254"/>
      <c r="AY138" s="254"/>
      <c r="AZ138" s="254"/>
    </row>
    <row r="139" spans="2:52" x14ac:dyDescent="0.3">
      <c r="B139" s="375"/>
      <c r="C139" s="375"/>
      <c r="D139" s="375"/>
      <c r="E139" s="376"/>
      <c r="F139" s="375"/>
      <c r="G139" s="376"/>
      <c r="H139" s="376"/>
      <c r="I139" s="375"/>
      <c r="J139" s="376"/>
      <c r="K139" s="375"/>
      <c r="L139" s="375"/>
      <c r="M139" s="375"/>
      <c r="N139" s="375"/>
      <c r="O139" s="375"/>
      <c r="P139" s="375" t="str">
        <f>'Wang W'!$E65</f>
        <v>No pH control</v>
      </c>
      <c r="Q139" s="375"/>
      <c r="R139" s="375" t="str">
        <f>'Wang W'!$E66</f>
        <v>With SCOG</v>
      </c>
      <c r="S139" s="376"/>
      <c r="T139" s="376">
        <f>'Wang W'!$E68</f>
        <v>10</v>
      </c>
      <c r="U139" s="379">
        <f>'Wang W'!$E69</f>
        <v>0.65</v>
      </c>
      <c r="V139" s="380">
        <f>'Wang W'!$E70</f>
        <v>0.40416666666666662</v>
      </c>
      <c r="W139" s="380">
        <f>'Wang W'!$E71</f>
        <v>0.14768518518518514</v>
      </c>
      <c r="X139" s="381">
        <f>'Wang W'!$E72</f>
        <v>0.5758122743682309</v>
      </c>
      <c r="Y139" s="379">
        <f>'Wang W'!$E73</f>
        <v>0.4365</v>
      </c>
      <c r="Z139" s="379">
        <f>'Wang W'!$E74</f>
        <v>0.15949999999999998</v>
      </c>
      <c r="AA139" s="382">
        <f>'Wang W'!$E75</f>
        <v>89.9</v>
      </c>
      <c r="AB139" s="382">
        <f>'Wang W'!$E76</f>
        <v>9.1</v>
      </c>
      <c r="AC139" s="382">
        <f>'Wang W'!$E77</f>
        <v>0.99999999999999467</v>
      </c>
      <c r="AD139" s="379">
        <f>'Wang W'!$E78</f>
        <v>7.5</v>
      </c>
      <c r="AE139" s="377" t="str">
        <f>'Wang W'!$E79</f>
        <v>n/r</v>
      </c>
      <c r="AF139" s="426" t="str">
        <f>'Wang W'!$E80</f>
        <v>graph</v>
      </c>
      <c r="AG139" s="379">
        <f>'Wang W'!$E51</f>
        <v>0.16250000000000001</v>
      </c>
      <c r="AH139" s="379">
        <f>'Wang W'!$E52</f>
        <v>0.15949999999999998</v>
      </c>
      <c r="AI139" s="379">
        <f>'Wang W'!$E53</f>
        <v>0.14673999999999998</v>
      </c>
      <c r="AJ139" s="379">
        <f>'Wang W'!$E54</f>
        <v>0.10309599999999999</v>
      </c>
      <c r="AK139" s="386">
        <f>'Wang W'!$E55</f>
        <v>1</v>
      </c>
      <c r="AL139" s="379">
        <f>'Wang W'!$E56</f>
        <v>1.0188087774294672</v>
      </c>
      <c r="AM139" s="379">
        <f>'Wang W'!$E57</f>
        <v>0.70257598473490535</v>
      </c>
      <c r="AN139" s="379">
        <f>'Wang W'!$E58</f>
        <v>1.5471017304260106</v>
      </c>
      <c r="AO139" s="379">
        <f>'Wang W'!$E59</f>
        <v>1.0833316353213656</v>
      </c>
      <c r="AP139" s="379">
        <f>'Wang W'!$E60</f>
        <v>1.1329558660258208</v>
      </c>
      <c r="AQ139" s="382" t="str">
        <f>'Wang W'!$E61</f>
        <v>n/a</v>
      </c>
      <c r="AR139" s="382" t="str">
        <f>'Wang W'!$E62</f>
        <v>n/a</v>
      </c>
      <c r="AS139" s="254"/>
      <c r="AT139" s="254"/>
      <c r="AU139" s="254"/>
      <c r="AV139" s="254"/>
      <c r="AW139" s="254"/>
      <c r="AX139" s="254"/>
      <c r="AY139" s="254"/>
      <c r="AZ139" s="254"/>
    </row>
    <row r="140" spans="2:52" x14ac:dyDescent="0.3">
      <c r="B140" s="362"/>
      <c r="C140" s="362"/>
      <c r="D140" s="362"/>
      <c r="E140" s="363"/>
      <c r="F140" s="362"/>
      <c r="G140" s="363"/>
      <c r="H140" s="363"/>
      <c r="I140" s="362"/>
      <c r="J140" s="363"/>
      <c r="K140" s="362"/>
      <c r="L140" s="362"/>
      <c r="M140" s="362"/>
      <c r="N140" s="362"/>
      <c r="O140" s="362"/>
      <c r="P140" s="362" t="str">
        <f>'Wang W'!$F65</f>
        <v>pH controlled to &lt;8</v>
      </c>
      <c r="Q140" s="362"/>
      <c r="R140" s="362" t="str">
        <f>'Wang W'!$F66</f>
        <v>With SCOG</v>
      </c>
      <c r="S140" s="363"/>
      <c r="T140" s="363">
        <f>'Wang W'!$F68</f>
        <v>10</v>
      </c>
      <c r="U140" s="366">
        <f>'Wang W'!$F69</f>
        <v>1.4410000000000001</v>
      </c>
      <c r="V140" s="367">
        <f>'Wang W'!$F70</f>
        <v>0.60416666666666663</v>
      </c>
      <c r="W140" s="367">
        <f>'Wang W'!$F71</f>
        <v>0.2</v>
      </c>
      <c r="X140" s="368">
        <f>'Wang W'!$F72</f>
        <v>0.77978339350180514</v>
      </c>
      <c r="Y140" s="366">
        <f>'Wang W'!$F73</f>
        <v>0.65249999999999997</v>
      </c>
      <c r="Z140" s="366">
        <f>'Wang W'!$F74</f>
        <v>0.21599999999999997</v>
      </c>
      <c r="AA140" s="369">
        <f>'Wang W'!$F75</f>
        <v>98.8</v>
      </c>
      <c r="AB140" s="369">
        <f>'Wang W'!$F76</f>
        <v>0.3</v>
      </c>
      <c r="AC140" s="369">
        <f>'Wang W'!$F77</f>
        <v>0.9000000000000028</v>
      </c>
      <c r="AD140" s="366">
        <f>'Wang W'!$F78</f>
        <v>8</v>
      </c>
      <c r="AE140" s="364" t="str">
        <f>'Wang W'!$F79</f>
        <v>n/r</v>
      </c>
      <c r="AF140" s="392" t="str">
        <f>'Wang W'!$F80</f>
        <v>graph</v>
      </c>
      <c r="AG140" s="366">
        <f>'Wang W'!$F51</f>
        <v>0.36025000000000001</v>
      </c>
      <c r="AH140" s="366">
        <f>'Wang W'!$F52</f>
        <v>0.37549999999999994</v>
      </c>
      <c r="AI140" s="366">
        <f>'Wang W'!$F53</f>
        <v>0.34545999999999993</v>
      </c>
      <c r="AJ140" s="366">
        <f>'Wang W'!$F54</f>
        <v>0.14524799999999999</v>
      </c>
      <c r="AK140" s="388">
        <f>'Wang W'!$F55</f>
        <v>1</v>
      </c>
      <c r="AL140" s="366">
        <f>'Wang W'!$F56</f>
        <v>0.95938748335552615</v>
      </c>
      <c r="AM140" s="366">
        <f>'Wang W'!$F57</f>
        <v>0.4031866759195003</v>
      </c>
      <c r="AN140" s="366">
        <f>'Wang W'!$F58</f>
        <v>2.5852335316148931</v>
      </c>
      <c r="AO140" s="366">
        <f>'Wang W'!$F59</f>
        <v>2.5504139753176975</v>
      </c>
      <c r="AP140" s="366">
        <f>'Wang W'!$F60</f>
        <v>1.5427514726646565</v>
      </c>
      <c r="AQ140" s="369" t="str">
        <f>'Wang W'!$F61</f>
        <v>n/a</v>
      </c>
      <c r="AR140" s="369" t="str">
        <f>'Wang W'!$F62</f>
        <v>n/a</v>
      </c>
      <c r="AS140" s="254"/>
      <c r="AT140" s="254"/>
      <c r="AU140" s="254"/>
      <c r="AV140" s="254"/>
      <c r="AW140" s="254"/>
      <c r="AX140" s="254"/>
      <c r="AY140" s="254"/>
      <c r="AZ140" s="254"/>
    </row>
    <row r="141" spans="2:52" x14ac:dyDescent="0.3">
      <c r="C141" s="347"/>
      <c r="Q141" s="347"/>
      <c r="X141" s="337"/>
      <c r="AG141" s="264"/>
      <c r="AH141" s="264"/>
      <c r="AI141" s="264"/>
      <c r="AJ141" s="264"/>
      <c r="AL141" s="264"/>
      <c r="AM141" s="264"/>
      <c r="AN141" s="264"/>
      <c r="AO141" s="264"/>
      <c r="AP141" s="264"/>
      <c r="AQ141" s="265"/>
      <c r="AR141" s="265"/>
    </row>
    <row r="142" spans="2:52" x14ac:dyDescent="0.3">
      <c r="X142" s="337"/>
      <c r="AG142" s="264"/>
      <c r="AH142" s="264"/>
      <c r="AI142" s="264"/>
      <c r="AJ142" s="264"/>
      <c r="AL142" s="264"/>
      <c r="AM142" s="264"/>
      <c r="AN142" s="264"/>
      <c r="AO142" s="264"/>
      <c r="AP142" s="264"/>
      <c r="AQ142" s="265"/>
      <c r="AR142" s="265"/>
    </row>
    <row r="143" spans="2:52" x14ac:dyDescent="0.3">
      <c r="X143" s="337"/>
      <c r="AG143" s="264"/>
      <c r="AH143" s="264"/>
      <c r="AI143" s="264"/>
      <c r="AJ143" s="264"/>
      <c r="AL143" s="264"/>
      <c r="AM143" s="264"/>
      <c r="AN143" s="264"/>
      <c r="AO143" s="264"/>
      <c r="AP143" s="264"/>
      <c r="AQ143" s="265"/>
      <c r="AR143" s="265"/>
    </row>
    <row r="144" spans="2:52" x14ac:dyDescent="0.3">
      <c r="X144" s="337"/>
      <c r="AG144" s="264"/>
      <c r="AH144" s="264"/>
      <c r="AI144" s="264"/>
      <c r="AJ144" s="264"/>
      <c r="AL144" s="264"/>
      <c r="AM144" s="264"/>
      <c r="AN144" s="264"/>
      <c r="AO144" s="264"/>
      <c r="AP144" s="264"/>
      <c r="AQ144" s="265"/>
      <c r="AR144" s="265"/>
    </row>
    <row r="145" spans="24:44" x14ac:dyDescent="0.3">
      <c r="X145" s="337"/>
      <c r="AG145" s="264"/>
      <c r="AH145" s="264"/>
      <c r="AI145" s="264"/>
      <c r="AJ145" s="264"/>
      <c r="AL145" s="264"/>
      <c r="AM145" s="264"/>
      <c r="AN145" s="264"/>
      <c r="AO145" s="264"/>
      <c r="AP145" s="264"/>
      <c r="AQ145" s="265"/>
      <c r="AR145" s="265"/>
    </row>
    <row r="146" spans="24:44" x14ac:dyDescent="0.3">
      <c r="X146" s="337"/>
      <c r="AG146" s="264"/>
      <c r="AH146" s="264"/>
      <c r="AI146" s="264"/>
      <c r="AJ146" s="264"/>
      <c r="AL146" s="264"/>
      <c r="AM146" s="264"/>
      <c r="AN146" s="264"/>
      <c r="AO146" s="264"/>
      <c r="AP146" s="264"/>
      <c r="AQ146" s="265"/>
      <c r="AR146" s="265"/>
    </row>
    <row r="147" spans="24:44" x14ac:dyDescent="0.3">
      <c r="X147" s="337"/>
      <c r="AG147" s="264"/>
      <c r="AH147" s="264"/>
      <c r="AI147" s="264"/>
      <c r="AL147" s="264"/>
      <c r="AM147" s="264"/>
      <c r="AN147" s="264"/>
      <c r="AO147" s="264"/>
      <c r="AP147" s="264"/>
      <c r="AQ147" s="265"/>
      <c r="AR147" s="265"/>
    </row>
    <row r="148" spans="24:44" x14ac:dyDescent="0.3">
      <c r="X148" s="337"/>
      <c r="AG148" s="264"/>
      <c r="AH148" s="264"/>
      <c r="AI148" s="264"/>
      <c r="AL148" s="264"/>
      <c r="AM148" s="264"/>
      <c r="AN148" s="264"/>
      <c r="AO148" s="264"/>
      <c r="AP148" s="264"/>
      <c r="AQ148" s="265"/>
      <c r="AR148" s="265"/>
    </row>
    <row r="149" spans="24:44" x14ac:dyDescent="0.3">
      <c r="X149" s="337"/>
      <c r="AG149" s="264"/>
      <c r="AH149" s="264"/>
      <c r="AI149" s="264"/>
      <c r="AL149" s="264"/>
      <c r="AM149" s="264"/>
      <c r="AN149" s="264"/>
      <c r="AO149" s="264"/>
      <c r="AP149" s="264"/>
      <c r="AQ149" s="265"/>
      <c r="AR149" s="265"/>
    </row>
    <row r="150" spans="24:44" x14ac:dyDescent="0.3">
      <c r="X150" s="337"/>
      <c r="AG150" s="264"/>
      <c r="AH150" s="264"/>
      <c r="AI150" s="264"/>
      <c r="AL150" s="264"/>
      <c r="AM150" s="264"/>
      <c r="AN150" s="264"/>
      <c r="AO150" s="264"/>
      <c r="AP150" s="264"/>
      <c r="AQ150" s="265"/>
      <c r="AR150" s="265"/>
    </row>
    <row r="151" spans="24:44" x14ac:dyDescent="0.3">
      <c r="X151" s="337"/>
      <c r="AG151" s="264"/>
      <c r="AH151" s="264"/>
      <c r="AI151" s="264"/>
      <c r="AL151" s="264"/>
      <c r="AM151" s="264"/>
      <c r="AN151" s="264"/>
      <c r="AO151" s="264"/>
      <c r="AP151" s="264"/>
      <c r="AQ151" s="265"/>
      <c r="AR151" s="265"/>
    </row>
    <row r="152" spans="24:44" x14ac:dyDescent="0.3">
      <c r="AG152" s="264"/>
      <c r="AH152" s="264"/>
      <c r="AI152" s="264"/>
      <c r="AL152" s="264"/>
      <c r="AM152" s="264"/>
      <c r="AN152" s="264"/>
      <c r="AO152" s="264"/>
      <c r="AP152" s="264"/>
      <c r="AQ152" s="265"/>
      <c r="AR152" s="265"/>
    </row>
    <row r="153" spans="24:44" x14ac:dyDescent="0.3">
      <c r="AG153" s="264"/>
      <c r="AH153" s="264"/>
      <c r="AI153" s="264"/>
      <c r="AL153" s="264"/>
      <c r="AM153" s="264"/>
      <c r="AN153" s="264"/>
      <c r="AO153" s="264"/>
      <c r="AP153" s="264"/>
      <c r="AQ153" s="265"/>
      <c r="AR153" s="265"/>
    </row>
    <row r="154" spans="24:44" x14ac:dyDescent="0.3">
      <c r="AG154" s="264"/>
      <c r="AH154" s="264"/>
      <c r="AI154" s="264"/>
      <c r="AL154" s="264"/>
      <c r="AM154" s="264"/>
      <c r="AN154" s="264"/>
      <c r="AO154" s="264"/>
      <c r="AP154" s="264"/>
      <c r="AQ154" s="265"/>
      <c r="AR154" s="265"/>
    </row>
    <row r="155" spans="24:44" x14ac:dyDescent="0.3">
      <c r="AG155" s="264"/>
      <c r="AH155" s="264"/>
      <c r="AI155" s="264"/>
      <c r="AL155" s="264"/>
      <c r="AM155" s="264"/>
      <c r="AN155" s="264"/>
      <c r="AO155" s="264"/>
      <c r="AP155" s="264"/>
      <c r="AQ155" s="265"/>
      <c r="AR155" s="265"/>
    </row>
    <row r="156" spans="24:44" x14ac:dyDescent="0.3">
      <c r="AG156" s="264"/>
      <c r="AH156" s="264"/>
      <c r="AI156" s="264"/>
      <c r="AL156" s="264"/>
      <c r="AM156" s="264"/>
      <c r="AN156" s="264"/>
      <c r="AO156" s="264"/>
      <c r="AP156" s="264"/>
      <c r="AQ156" s="265"/>
      <c r="AR156" s="265"/>
    </row>
    <row r="157" spans="24:44" x14ac:dyDescent="0.3">
      <c r="AQ157" s="265"/>
      <c r="AR157" s="265"/>
    </row>
    <row r="158" spans="24:44" x14ac:dyDescent="0.3">
      <c r="AQ158" s="265"/>
      <c r="AR158" s="265"/>
    </row>
    <row r="159" spans="24:44" x14ac:dyDescent="0.3">
      <c r="AQ159" s="265"/>
      <c r="AR159" s="265"/>
    </row>
    <row r="160" spans="24:44" x14ac:dyDescent="0.3">
      <c r="AQ160" s="265"/>
      <c r="AR160" s="265"/>
    </row>
    <row r="161" spans="43:44" x14ac:dyDescent="0.3">
      <c r="AQ161" s="265"/>
      <c r="AR161" s="265"/>
    </row>
    <row r="162" spans="43:44" x14ac:dyDescent="0.3">
      <c r="AQ162" s="265"/>
      <c r="AR162" s="265"/>
    </row>
    <row r="163" spans="43:44" x14ac:dyDescent="0.3">
      <c r="AQ163" s="265"/>
      <c r="AR163" s="265"/>
    </row>
    <row r="164" spans="43:44" x14ac:dyDescent="0.3">
      <c r="AQ164" s="265"/>
      <c r="AR164" s="265"/>
    </row>
    <row r="165" spans="43:44" x14ac:dyDescent="0.3">
      <c r="AQ165" s="265"/>
      <c r="AR165" s="265"/>
    </row>
    <row r="166" spans="43:44" x14ac:dyDescent="0.3">
      <c r="AQ166" s="265"/>
      <c r="AR166" s="265"/>
    </row>
    <row r="167" spans="43:44" x14ac:dyDescent="0.3">
      <c r="AQ167" s="265"/>
      <c r="AR167" s="265"/>
    </row>
    <row r="168" spans="43:44" x14ac:dyDescent="0.3">
      <c r="AQ168" s="265"/>
      <c r="AR168" s="265"/>
    </row>
    <row r="169" spans="43:44" x14ac:dyDescent="0.3">
      <c r="AQ169" s="265"/>
      <c r="AR169" s="265"/>
    </row>
    <row r="170" spans="43:44" x14ac:dyDescent="0.3">
      <c r="AQ170" s="265"/>
      <c r="AR170" s="265"/>
    </row>
    <row r="171" spans="43:44" x14ac:dyDescent="0.3">
      <c r="AQ171" s="265"/>
      <c r="AR171" s="265"/>
    </row>
    <row r="172" spans="43:44" x14ac:dyDescent="0.3">
      <c r="AQ172" s="265"/>
      <c r="AR172" s="265"/>
    </row>
    <row r="173" spans="43:44" x14ac:dyDescent="0.3">
      <c r="AQ173" s="265"/>
      <c r="AR173" s="265"/>
    </row>
    <row r="174" spans="43:44" x14ac:dyDescent="0.3">
      <c r="AQ174" s="265"/>
      <c r="AR174" s="265"/>
    </row>
    <row r="175" spans="43:44" x14ac:dyDescent="0.3">
      <c r="AQ175" s="265"/>
      <c r="AR175" s="265"/>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4733-416E-4F18-9E12-33DCA28BA28E}">
  <dimension ref="A2:V163"/>
  <sheetViews>
    <sheetView workbookViewId="0"/>
  </sheetViews>
  <sheetFormatPr defaultRowHeight="14.4" x14ac:dyDescent="0.3"/>
  <cols>
    <col min="2" max="2" width="14" customWidth="1"/>
  </cols>
  <sheetData>
    <row r="2" spans="2:5" x14ac:dyDescent="0.3">
      <c r="B2" s="14" t="s">
        <v>1768</v>
      </c>
    </row>
    <row r="3" spans="2:5" x14ac:dyDescent="0.3">
      <c r="B3" t="s">
        <v>276</v>
      </c>
    </row>
    <row r="4" spans="2:5" x14ac:dyDescent="0.3">
      <c r="B4" t="s">
        <v>587</v>
      </c>
    </row>
    <row r="6" spans="2:5" s="133" customFormat="1" x14ac:dyDescent="0.3">
      <c r="B6" s="148" t="s">
        <v>114</v>
      </c>
      <c r="D6" t="s">
        <v>1595</v>
      </c>
    </row>
    <row r="7" spans="2:5" s="133" customFormat="1" x14ac:dyDescent="0.3">
      <c r="B7" s="133" t="s">
        <v>667</v>
      </c>
      <c r="C7" s="133" t="s">
        <v>503</v>
      </c>
      <c r="D7">
        <v>38</v>
      </c>
    </row>
    <row r="8" spans="2:5" s="133" customFormat="1" x14ac:dyDescent="0.3">
      <c r="B8" s="133" t="s">
        <v>1324</v>
      </c>
      <c r="D8" s="133" t="s">
        <v>1091</v>
      </c>
    </row>
    <row r="9" spans="2:5" s="133" customFormat="1" x14ac:dyDescent="0.3">
      <c r="B9" s="133" t="s">
        <v>956</v>
      </c>
      <c r="C9" s="133" t="s">
        <v>22</v>
      </c>
      <c r="D9" s="133">
        <v>2</v>
      </c>
    </row>
    <row r="10" spans="2:5" s="133" customFormat="1" x14ac:dyDescent="0.3">
      <c r="B10" s="133" t="s">
        <v>32</v>
      </c>
      <c r="C10" s="133" t="s">
        <v>22</v>
      </c>
      <c r="D10" s="133">
        <v>0.3</v>
      </c>
    </row>
    <row r="11" spans="2:5" s="133" customFormat="1" x14ac:dyDescent="0.3">
      <c r="B11" s="133" t="s">
        <v>326</v>
      </c>
      <c r="D11" s="133" t="s">
        <v>1329</v>
      </c>
      <c r="E11" s="133" t="s">
        <v>2166</v>
      </c>
    </row>
    <row r="12" spans="2:5" s="133" customFormat="1" x14ac:dyDescent="0.3">
      <c r="B12" s="133" t="s">
        <v>344</v>
      </c>
      <c r="D12" s="133" t="s">
        <v>694</v>
      </c>
    </row>
    <row r="13" spans="2:5" s="133" customFormat="1" x14ac:dyDescent="0.3">
      <c r="B13" s="133" t="s">
        <v>1332</v>
      </c>
      <c r="D13" s="133" t="s">
        <v>2167</v>
      </c>
    </row>
    <row r="14" spans="2:5" s="133" customFormat="1" x14ac:dyDescent="0.3">
      <c r="B14" s="133" t="s">
        <v>1330</v>
      </c>
      <c r="D14" s="133" t="s">
        <v>1601</v>
      </c>
    </row>
    <row r="15" spans="2:5" s="133" customFormat="1" x14ac:dyDescent="0.3">
      <c r="B15" s="133" t="s">
        <v>1968</v>
      </c>
      <c r="D15" s="133" t="s">
        <v>2093</v>
      </c>
      <c r="E15" s="133" t="s">
        <v>1977</v>
      </c>
    </row>
    <row r="16" spans="2:5" s="133" customFormat="1" x14ac:dyDescent="0.3">
      <c r="B16" s="133" t="s">
        <v>1541</v>
      </c>
      <c r="D16" s="133" t="s">
        <v>372</v>
      </c>
    </row>
    <row r="17" spans="2:11" s="133" customFormat="1" x14ac:dyDescent="0.3">
      <c r="B17" s="133" t="s">
        <v>1599</v>
      </c>
      <c r="D17" s="133" t="s">
        <v>2133</v>
      </c>
    </row>
    <row r="18" spans="2:11" s="133" customFormat="1" x14ac:dyDescent="0.3"/>
    <row r="20" spans="2:11" x14ac:dyDescent="0.3">
      <c r="B20" t="s">
        <v>287</v>
      </c>
    </row>
    <row r="21" spans="2:11" x14ac:dyDescent="0.3">
      <c r="B21" t="s">
        <v>372</v>
      </c>
      <c r="D21" t="s">
        <v>70</v>
      </c>
      <c r="E21">
        <v>2</v>
      </c>
      <c r="F21">
        <v>4</v>
      </c>
      <c r="G21">
        <v>6</v>
      </c>
      <c r="H21">
        <v>8</v>
      </c>
      <c r="I21">
        <v>10</v>
      </c>
      <c r="K21" t="s">
        <v>373</v>
      </c>
    </row>
    <row r="22" spans="2:11" x14ac:dyDescent="0.3">
      <c r="B22" t="s">
        <v>308</v>
      </c>
      <c r="C22" t="s">
        <v>338</v>
      </c>
      <c r="D22" s="3">
        <v>0.38</v>
      </c>
      <c r="E22" s="3">
        <v>0.4</v>
      </c>
      <c r="F22" s="3">
        <v>0.39</v>
      </c>
      <c r="G22" s="3">
        <v>0.44</v>
      </c>
      <c r="H22" s="3">
        <v>0.44</v>
      </c>
      <c r="I22" s="3">
        <v>0.34</v>
      </c>
    </row>
    <row r="23" spans="2:11" x14ac:dyDescent="0.3">
      <c r="B23" t="s">
        <v>3</v>
      </c>
      <c r="C23" t="s">
        <v>302</v>
      </c>
      <c r="D23" s="8">
        <v>59.4</v>
      </c>
      <c r="E23" s="8">
        <v>76.8</v>
      </c>
      <c r="F23" s="8">
        <v>89</v>
      </c>
      <c r="G23" s="8">
        <v>100</v>
      </c>
      <c r="H23" s="8">
        <v>100</v>
      </c>
      <c r="I23" s="8">
        <v>100</v>
      </c>
      <c r="K23" t="s">
        <v>382</v>
      </c>
    </row>
    <row r="24" spans="2:11" x14ac:dyDescent="0.3">
      <c r="B24" t="s">
        <v>277</v>
      </c>
      <c r="C24" t="s">
        <v>302</v>
      </c>
      <c r="D24" s="8">
        <v>40.700000000000003</v>
      </c>
      <c r="E24" s="8">
        <v>23.3</v>
      </c>
      <c r="F24" s="8">
        <v>11</v>
      </c>
      <c r="G24" s="8">
        <v>0</v>
      </c>
      <c r="H24" s="8">
        <v>0</v>
      </c>
      <c r="I24" s="8">
        <v>0</v>
      </c>
      <c r="K24" t="s">
        <v>2172</v>
      </c>
    </row>
    <row r="25" spans="2:11" x14ac:dyDescent="0.3">
      <c r="B25" t="s">
        <v>368</v>
      </c>
      <c r="C25" t="s">
        <v>302</v>
      </c>
      <c r="E25">
        <v>99</v>
      </c>
      <c r="F25">
        <v>97</v>
      </c>
      <c r="G25">
        <v>101</v>
      </c>
      <c r="H25">
        <v>86</v>
      </c>
      <c r="I25">
        <v>58</v>
      </c>
      <c r="K25" t="s">
        <v>386</v>
      </c>
    </row>
    <row r="26" spans="2:11" x14ac:dyDescent="0.3">
      <c r="B26" t="s">
        <v>35</v>
      </c>
      <c r="D26">
        <v>7.91</v>
      </c>
      <c r="E26">
        <v>7.89</v>
      </c>
      <c r="F26">
        <v>7.9</v>
      </c>
      <c r="G26">
        <v>7.91</v>
      </c>
      <c r="H26">
        <v>8.18</v>
      </c>
      <c r="I26">
        <v>8.43</v>
      </c>
    </row>
    <row r="27" spans="2:11" x14ac:dyDescent="0.3">
      <c r="B27" s="103" t="s">
        <v>369</v>
      </c>
      <c r="C27" t="s">
        <v>302</v>
      </c>
      <c r="D27">
        <v>21.3</v>
      </c>
      <c r="E27">
        <v>20.6</v>
      </c>
      <c r="F27">
        <v>21</v>
      </c>
      <c r="G27">
        <v>16.8</v>
      </c>
      <c r="H27">
        <v>11.8</v>
      </c>
      <c r="I27">
        <v>7.9</v>
      </c>
      <c r="K27" t="s">
        <v>2171</v>
      </c>
    </row>
    <row r="28" spans="2:11" x14ac:dyDescent="0.3">
      <c r="B28" t="s">
        <v>278</v>
      </c>
      <c r="C28" t="s">
        <v>17</v>
      </c>
      <c r="D28">
        <v>126</v>
      </c>
      <c r="E28">
        <v>76</v>
      </c>
      <c r="F28">
        <v>107</v>
      </c>
      <c r="G28">
        <v>210</v>
      </c>
      <c r="H28">
        <v>242</v>
      </c>
      <c r="I28">
        <v>906</v>
      </c>
    </row>
    <row r="29" spans="2:11" x14ac:dyDescent="0.3">
      <c r="B29" t="s">
        <v>279</v>
      </c>
      <c r="C29" t="s">
        <v>17</v>
      </c>
      <c r="D29">
        <v>39</v>
      </c>
      <c r="E29">
        <v>19</v>
      </c>
      <c r="F29">
        <v>26</v>
      </c>
      <c r="G29">
        <v>38</v>
      </c>
      <c r="H29">
        <v>47</v>
      </c>
      <c r="I29">
        <v>198</v>
      </c>
    </row>
    <row r="30" spans="2:11" x14ac:dyDescent="0.3">
      <c r="B30" t="s">
        <v>280</v>
      </c>
      <c r="C30" t="s">
        <v>17</v>
      </c>
      <c r="D30">
        <v>8</v>
      </c>
      <c r="E30">
        <v>11</v>
      </c>
      <c r="F30">
        <v>33</v>
      </c>
      <c r="G30">
        <v>10</v>
      </c>
      <c r="H30">
        <v>33</v>
      </c>
      <c r="I30">
        <v>78</v>
      </c>
    </row>
    <row r="31" spans="2:11" x14ac:dyDescent="0.3">
      <c r="B31" t="s">
        <v>281</v>
      </c>
      <c r="C31" t="s">
        <v>17</v>
      </c>
      <c r="D31">
        <v>172</v>
      </c>
      <c r="E31">
        <v>106</v>
      </c>
      <c r="F31">
        <v>166</v>
      </c>
      <c r="G31">
        <v>258</v>
      </c>
      <c r="H31">
        <v>322</v>
      </c>
      <c r="I31">
        <v>1182</v>
      </c>
    </row>
    <row r="32" spans="2:11" x14ac:dyDescent="0.3">
      <c r="B32" t="s">
        <v>14</v>
      </c>
      <c r="C32" t="s">
        <v>370</v>
      </c>
      <c r="D32" s="3">
        <v>2.17</v>
      </c>
      <c r="E32" s="3">
        <v>2.1800000000000002</v>
      </c>
      <c r="F32" s="3">
        <v>2.17</v>
      </c>
      <c r="G32" s="3">
        <v>2.19</v>
      </c>
      <c r="H32" s="3">
        <v>2.1800000000000002</v>
      </c>
      <c r="I32" s="3">
        <v>2.2000000000000002</v>
      </c>
    </row>
    <row r="34" spans="1:15" x14ac:dyDescent="0.3">
      <c r="B34" t="s">
        <v>13</v>
      </c>
      <c r="C34" t="s">
        <v>338</v>
      </c>
      <c r="D34">
        <v>0</v>
      </c>
      <c r="E34">
        <v>0.3</v>
      </c>
      <c r="G34">
        <v>0.9</v>
      </c>
      <c r="H34">
        <v>1.3</v>
      </c>
      <c r="K34" s="44" t="s">
        <v>387</v>
      </c>
    </row>
    <row r="35" spans="1:15" x14ac:dyDescent="0.3">
      <c r="B35" t="s">
        <v>390</v>
      </c>
      <c r="C35" t="s">
        <v>327</v>
      </c>
      <c r="D35">
        <v>1000</v>
      </c>
      <c r="E35">
        <v>1000</v>
      </c>
      <c r="F35">
        <v>1000</v>
      </c>
      <c r="G35">
        <v>1000</v>
      </c>
      <c r="H35">
        <v>1000</v>
      </c>
      <c r="I35">
        <v>1000</v>
      </c>
    </row>
    <row r="36" spans="1:15" x14ac:dyDescent="0.3">
      <c r="B36" t="s">
        <v>666</v>
      </c>
      <c r="C36" t="s">
        <v>17</v>
      </c>
      <c r="D36" s="60">
        <f t="shared" ref="D36:I36" si="0">D31-D28-D29-D30</f>
        <v>-1</v>
      </c>
      <c r="E36" s="60">
        <f t="shared" si="0"/>
        <v>0</v>
      </c>
      <c r="F36" s="60">
        <f t="shared" si="0"/>
        <v>0</v>
      </c>
      <c r="G36" s="60">
        <f t="shared" si="0"/>
        <v>0</v>
      </c>
      <c r="H36" s="60">
        <f t="shared" si="0"/>
        <v>0</v>
      </c>
      <c r="I36" s="60">
        <f t="shared" si="0"/>
        <v>0</v>
      </c>
    </row>
    <row r="38" spans="1:15" x14ac:dyDescent="0.3">
      <c r="B38" s="6" t="s">
        <v>877</v>
      </c>
    </row>
    <row r="39" spans="1:15" x14ac:dyDescent="0.3">
      <c r="B39" s="27" t="s">
        <v>525</v>
      </c>
      <c r="C39" s="27" t="s">
        <v>302</v>
      </c>
      <c r="D39" s="8">
        <f t="shared" ref="D39:I39" si="1">SUM(D23:D24)</f>
        <v>100.1</v>
      </c>
      <c r="E39" s="8">
        <f t="shared" si="1"/>
        <v>100.1</v>
      </c>
      <c r="F39" s="8">
        <f t="shared" si="1"/>
        <v>100</v>
      </c>
      <c r="G39" s="8">
        <f t="shared" si="1"/>
        <v>100</v>
      </c>
      <c r="H39" s="8">
        <f t="shared" si="1"/>
        <v>100</v>
      </c>
      <c r="I39" s="8">
        <f t="shared" si="1"/>
        <v>100</v>
      </c>
    </row>
    <row r="40" spans="1:15" s="133" customFormat="1" x14ac:dyDescent="0.3">
      <c r="B40" s="148" t="s">
        <v>308</v>
      </c>
      <c r="C40" s="133" t="s">
        <v>338</v>
      </c>
      <c r="D40" s="10">
        <f t="shared" ref="D40:I40" si="2">D22</f>
        <v>0.38</v>
      </c>
      <c r="E40" s="10">
        <f t="shared" si="2"/>
        <v>0.4</v>
      </c>
      <c r="F40" s="10">
        <f t="shared" si="2"/>
        <v>0.39</v>
      </c>
      <c r="G40" s="10">
        <f t="shared" si="2"/>
        <v>0.44</v>
      </c>
      <c r="H40" s="10">
        <f t="shared" si="2"/>
        <v>0.44</v>
      </c>
      <c r="I40" s="10">
        <f t="shared" si="2"/>
        <v>0.34</v>
      </c>
    </row>
    <row r="41" spans="1:15" x14ac:dyDescent="0.3">
      <c r="B41" s="27" t="s">
        <v>3</v>
      </c>
      <c r="C41" t="s">
        <v>338</v>
      </c>
      <c r="D41" s="10">
        <f>D22*D23/100</f>
        <v>0.22572</v>
      </c>
      <c r="E41" s="10">
        <f>E69</f>
        <v>0.30719999999999997</v>
      </c>
      <c r="F41" s="10">
        <f>F69</f>
        <v>0.34710000000000002</v>
      </c>
      <c r="G41" s="10">
        <f>G69</f>
        <v>0.44</v>
      </c>
      <c r="H41" s="10">
        <f>H69</f>
        <v>0.44</v>
      </c>
      <c r="I41" s="10">
        <f>I69</f>
        <v>0.34</v>
      </c>
      <c r="K41" t="s">
        <v>2054</v>
      </c>
    </row>
    <row r="42" spans="1:15" x14ac:dyDescent="0.3">
      <c r="B42" s="27" t="s">
        <v>277</v>
      </c>
      <c r="C42" t="s">
        <v>338</v>
      </c>
      <c r="D42" s="10">
        <f t="shared" ref="D42:I42" si="3">D22*D24/100</f>
        <v>0.15466000000000002</v>
      </c>
      <c r="E42" s="10">
        <f t="shared" si="3"/>
        <v>9.3200000000000005E-2</v>
      </c>
      <c r="F42" s="10">
        <f t="shared" si="3"/>
        <v>4.2900000000000001E-2</v>
      </c>
      <c r="G42" s="10">
        <f t="shared" si="3"/>
        <v>0</v>
      </c>
      <c r="H42" s="10">
        <f t="shared" si="3"/>
        <v>0</v>
      </c>
      <c r="I42" s="10">
        <f t="shared" si="3"/>
        <v>0</v>
      </c>
      <c r="K42" s="133" t="s">
        <v>2054</v>
      </c>
    </row>
    <row r="43" spans="1:15" x14ac:dyDescent="0.3">
      <c r="A43" s="133"/>
      <c r="B43" s="27" t="s">
        <v>376</v>
      </c>
      <c r="C43" t="s">
        <v>338</v>
      </c>
      <c r="E43" s="31">
        <f>$D42*E21</f>
        <v>0.30932000000000004</v>
      </c>
      <c r="F43" s="31">
        <f>$D42*F21</f>
        <v>0.61864000000000008</v>
      </c>
      <c r="G43" s="31">
        <f>$D42*G21</f>
        <v>0.92796000000000012</v>
      </c>
      <c r="H43" s="31">
        <f>$D42*H21</f>
        <v>1.2372800000000002</v>
      </c>
      <c r="I43" s="31">
        <f>$D42*I21</f>
        <v>1.5466000000000002</v>
      </c>
      <c r="K43" t="s">
        <v>2053</v>
      </c>
    </row>
    <row r="44" spans="1:15" x14ac:dyDescent="0.3">
      <c r="A44" s="133"/>
      <c r="B44" s="27" t="s">
        <v>374</v>
      </c>
      <c r="C44" t="s">
        <v>338</v>
      </c>
      <c r="E44" s="10">
        <f>$I44*E21/$I21</f>
        <v>0.3</v>
      </c>
      <c r="F44" s="10">
        <f>$I44*F21/$I21</f>
        <v>0.6</v>
      </c>
      <c r="G44" s="10">
        <f>$I44*G21/$I21</f>
        <v>0.9</v>
      </c>
      <c r="H44" s="10">
        <f>$I44*H21/$I21</f>
        <v>1.2</v>
      </c>
      <c r="I44" s="10">
        <v>1.5</v>
      </c>
      <c r="K44" t="s">
        <v>384</v>
      </c>
    </row>
    <row r="45" spans="1:15" s="133" customFormat="1" x14ac:dyDescent="0.3">
      <c r="A45" s="148"/>
      <c r="B45" s="148" t="s">
        <v>2145</v>
      </c>
      <c r="D45" s="37"/>
      <c r="E45" s="39">
        <f>E44/$D42</f>
        <v>1.9397387818440446</v>
      </c>
      <c r="F45" s="39">
        <f>F44/$D42</f>
        <v>3.8794775636880892</v>
      </c>
      <c r="G45" s="39">
        <f>G44/$D42</f>
        <v>5.8192163455321344</v>
      </c>
      <c r="H45" s="39">
        <f>H44/$D42</f>
        <v>7.7589551273761783</v>
      </c>
      <c r="I45" s="39">
        <f>I44/$D42</f>
        <v>9.6986939092202231</v>
      </c>
      <c r="O45" s="134"/>
    </row>
    <row r="46" spans="1:15" x14ac:dyDescent="0.3">
      <c r="A46" s="133"/>
      <c r="B46" s="133" t="s">
        <v>433</v>
      </c>
      <c r="C46" t="s">
        <v>338</v>
      </c>
      <c r="E46" s="10">
        <f>E44*E25/100</f>
        <v>0.29699999999999999</v>
      </c>
      <c r="F46" s="10">
        <f>F44*F25/100</f>
        <v>0.58199999999999996</v>
      </c>
      <c r="G46" s="10">
        <f>G44*G25/100</f>
        <v>0.90900000000000003</v>
      </c>
      <c r="H46" s="10">
        <f>H44*H25/100</f>
        <v>1.032</v>
      </c>
      <c r="I46" s="10">
        <f>I44*I25/100</f>
        <v>0.87</v>
      </c>
      <c r="K46" t="s">
        <v>385</v>
      </c>
    </row>
    <row r="47" spans="1:15" x14ac:dyDescent="0.3">
      <c r="A47" s="148"/>
      <c r="B47" s="148" t="s">
        <v>460</v>
      </c>
      <c r="C47" t="s">
        <v>338</v>
      </c>
      <c r="E47" s="10">
        <f>E46/4</f>
        <v>7.4249999999999997E-2</v>
      </c>
      <c r="F47" s="10">
        <f>F46/4</f>
        <v>0.14549999999999999</v>
      </c>
      <c r="G47" s="10">
        <f>G46/4</f>
        <v>0.22725000000000001</v>
      </c>
      <c r="H47" s="10">
        <f>H46/4</f>
        <v>0.25800000000000001</v>
      </c>
      <c r="I47" s="10">
        <f>I46/4</f>
        <v>0.2175</v>
      </c>
      <c r="K47" t="s">
        <v>379</v>
      </c>
    </row>
    <row r="48" spans="1:15" x14ac:dyDescent="0.3">
      <c r="A48" s="148"/>
      <c r="B48" s="148" t="s">
        <v>402</v>
      </c>
      <c r="C48" t="s">
        <v>338</v>
      </c>
      <c r="E48" s="10">
        <f>E41-$D41</f>
        <v>8.1479999999999969E-2</v>
      </c>
      <c r="F48" s="10">
        <f>F41-$D41</f>
        <v>0.12138000000000002</v>
      </c>
      <c r="G48" s="10">
        <f>G41-$D41</f>
        <v>0.21428</v>
      </c>
      <c r="H48" s="10">
        <f>H41-$D41</f>
        <v>0.21428</v>
      </c>
      <c r="I48" s="10">
        <f>I41-$D41</f>
        <v>0.11428000000000002</v>
      </c>
      <c r="K48" t="s">
        <v>380</v>
      </c>
    </row>
    <row r="49" spans="1:19" x14ac:dyDescent="0.3">
      <c r="A49" s="148"/>
      <c r="B49" s="148" t="s">
        <v>2086</v>
      </c>
      <c r="E49" s="10">
        <f>$D42-E42</f>
        <v>6.1460000000000015E-2</v>
      </c>
      <c r="F49" s="10">
        <f>$D42-F42</f>
        <v>0.11176000000000003</v>
      </c>
      <c r="G49" s="10">
        <f>$D42-G42</f>
        <v>0.15466000000000002</v>
      </c>
      <c r="H49" s="10">
        <f>$D42-H42</f>
        <v>0.15466000000000002</v>
      </c>
      <c r="I49" s="10">
        <f>$D42-I42</f>
        <v>0.15466000000000002</v>
      </c>
      <c r="K49" t="s">
        <v>380</v>
      </c>
    </row>
    <row r="50" spans="1:19" s="133" customFormat="1" x14ac:dyDescent="0.3">
      <c r="A50" s="148"/>
      <c r="B50" s="148" t="s">
        <v>93</v>
      </c>
      <c r="D50" s="37"/>
      <c r="E50" s="39">
        <f>E21</f>
        <v>2</v>
      </c>
      <c r="F50" s="39">
        <f>F21</f>
        <v>4</v>
      </c>
      <c r="G50" s="39">
        <f>G21</f>
        <v>6</v>
      </c>
      <c r="H50" s="39">
        <f>H21</f>
        <v>8</v>
      </c>
      <c r="I50" s="39">
        <f>I21</f>
        <v>10</v>
      </c>
      <c r="K50" s="133" t="s">
        <v>1552</v>
      </c>
      <c r="O50" s="134"/>
    </row>
    <row r="51" spans="1:19" s="133" customFormat="1" x14ac:dyDescent="0.3">
      <c r="A51" s="148"/>
      <c r="B51" s="148" t="s">
        <v>462</v>
      </c>
      <c r="E51" s="134">
        <f>E25/100</f>
        <v>0.99</v>
      </c>
      <c r="F51" s="134">
        <f>F25/100</f>
        <v>0.97</v>
      </c>
      <c r="G51" s="134">
        <f>G25/100</f>
        <v>1.01</v>
      </c>
      <c r="H51" s="134">
        <f>H25/100</f>
        <v>0.86</v>
      </c>
      <c r="I51" s="134">
        <f>I25/100</f>
        <v>0.57999999999999996</v>
      </c>
      <c r="K51" s="133" t="s">
        <v>1596</v>
      </c>
    </row>
    <row r="52" spans="1:19" x14ac:dyDescent="0.3">
      <c r="A52" s="148"/>
      <c r="B52" s="148" t="s">
        <v>2085</v>
      </c>
      <c r="E52" s="31">
        <f>E48/E47</f>
        <v>1.0973737373737371</v>
      </c>
      <c r="F52" s="31">
        <f>F48/F47</f>
        <v>0.83422680412371153</v>
      </c>
      <c r="G52" s="31">
        <f>G48/G47</f>
        <v>0.94292629262926286</v>
      </c>
      <c r="H52" s="31">
        <f>H48/H47</f>
        <v>0.83054263565891473</v>
      </c>
      <c r="I52" s="31">
        <f>I48/I47</f>
        <v>0.52542528735632199</v>
      </c>
    </row>
    <row r="53" spans="1:19" x14ac:dyDescent="0.3">
      <c r="A53" s="148"/>
      <c r="B53" s="148" t="s">
        <v>2087</v>
      </c>
      <c r="E53" s="10">
        <f>E49/E47</f>
        <v>0.827744107744108</v>
      </c>
      <c r="F53" s="10">
        <f>F49/F47</f>
        <v>0.76810996563573908</v>
      </c>
      <c r="G53" s="10">
        <f>G49/G47</f>
        <v>0.68057205720572067</v>
      </c>
      <c r="H53" s="10">
        <f>H49/H47</f>
        <v>0.59945736434108532</v>
      </c>
      <c r="I53" s="10">
        <f>I49/I47</f>
        <v>0.71108045977011503</v>
      </c>
    </row>
    <row r="54" spans="1:19" x14ac:dyDescent="0.3">
      <c r="A54" s="148"/>
      <c r="B54" s="148" t="s">
        <v>2088</v>
      </c>
      <c r="E54" s="3">
        <f>E48/E49</f>
        <v>1.325740318906605</v>
      </c>
      <c r="F54" s="3">
        <f>F48/F49</f>
        <v>1.0860773085182533</v>
      </c>
      <c r="G54" s="3">
        <f>G48/G49</f>
        <v>1.3854907539118064</v>
      </c>
      <c r="H54" s="3">
        <f>H48/H49</f>
        <v>1.3854907539118064</v>
      </c>
      <c r="I54" s="3">
        <f>I48/I49</f>
        <v>0.73891115996379153</v>
      </c>
    </row>
    <row r="55" spans="1:19" s="133" customFormat="1" x14ac:dyDescent="0.3">
      <c r="A55" s="148"/>
      <c r="B55" s="148" t="s">
        <v>2096</v>
      </c>
      <c r="C55" s="133" t="s">
        <v>92</v>
      </c>
      <c r="D55" s="37"/>
      <c r="E55" s="37">
        <f>E48/$D42</f>
        <v>0.52683305314884232</v>
      </c>
      <c r="F55" s="37">
        <f>F48/$D42</f>
        <v>0.78481831113410061</v>
      </c>
      <c r="G55" s="37">
        <f>G48/$D42</f>
        <v>1.3854907539118064</v>
      </c>
      <c r="H55" s="37">
        <f>H48/$D42</f>
        <v>1.3854907539118064</v>
      </c>
      <c r="I55" s="37">
        <f>I48/$D42</f>
        <v>0.73891115996379153</v>
      </c>
      <c r="J55" s="37"/>
      <c r="K55" s="37"/>
      <c r="M55" s="37"/>
      <c r="O55" s="37"/>
      <c r="Q55" s="37"/>
      <c r="S55" s="37"/>
    </row>
    <row r="56" spans="1:19" s="133" customFormat="1" x14ac:dyDescent="0.3">
      <c r="A56" s="148"/>
      <c r="B56" s="148" t="s">
        <v>2097</v>
      </c>
      <c r="C56" s="133" t="s">
        <v>92</v>
      </c>
      <c r="D56" s="96"/>
      <c r="E56" s="96">
        <f>E40/$D40</f>
        <v>1.0526315789473684</v>
      </c>
      <c r="F56" s="96">
        <f>F40/$D40</f>
        <v>1.0263157894736843</v>
      </c>
      <c r="G56" s="96">
        <f>G40/$D40</f>
        <v>1.1578947368421053</v>
      </c>
      <c r="H56" s="96">
        <f>H40/$D40</f>
        <v>1.1578947368421053</v>
      </c>
      <c r="I56" s="96">
        <f>I40/$D40</f>
        <v>0.89473684210526316</v>
      </c>
      <c r="J56" s="96"/>
      <c r="K56" s="96"/>
      <c r="M56" s="96"/>
      <c r="O56" s="96"/>
      <c r="Q56" s="96"/>
      <c r="S56" s="96"/>
    </row>
    <row r="57" spans="1:19" x14ac:dyDescent="0.3">
      <c r="A57" s="148"/>
      <c r="B57" s="148" t="s">
        <v>2081</v>
      </c>
      <c r="D57" s="37"/>
      <c r="E57" s="37">
        <f>E44/E48</f>
        <v>3.6818851251840954</v>
      </c>
      <c r="F57" s="37">
        <f>F44/F48</f>
        <v>4.9431537320810666</v>
      </c>
      <c r="G57" s="37">
        <f>G44/G48</f>
        <v>4.2001120029867467</v>
      </c>
      <c r="H57" s="37">
        <f>H44/H48</f>
        <v>5.6001493373156617</v>
      </c>
      <c r="I57" s="37">
        <f>I44/I48</f>
        <v>13.125656282814138</v>
      </c>
      <c r="O57" s="3"/>
    </row>
    <row r="58" spans="1:19" x14ac:dyDescent="0.3">
      <c r="A58" s="148"/>
      <c r="B58" s="148" t="s">
        <v>2137</v>
      </c>
      <c r="D58" s="37"/>
      <c r="E58" s="37">
        <f>E44/E49</f>
        <v>4.8812235600390483</v>
      </c>
      <c r="F58" s="37">
        <f>F44/F49</f>
        <v>5.3686471009305636</v>
      </c>
      <c r="G58" s="37">
        <f>G44/G49</f>
        <v>5.8192163455321344</v>
      </c>
      <c r="H58" s="37">
        <f>H44/H49</f>
        <v>7.7589551273761783</v>
      </c>
      <c r="I58" s="37">
        <f>I44/I49</f>
        <v>9.6986939092202231</v>
      </c>
      <c r="O58" s="3"/>
    </row>
    <row r="60" spans="1:19" x14ac:dyDescent="0.3">
      <c r="B60" s="40" t="s">
        <v>359</v>
      </c>
      <c r="C60" s="12"/>
      <c r="D60" s="12"/>
      <c r="G60" t="s">
        <v>1171</v>
      </c>
    </row>
    <row r="61" spans="1:19" s="133" customFormat="1" x14ac:dyDescent="0.3">
      <c r="B61" s="95" t="s">
        <v>1795</v>
      </c>
      <c r="C61" s="103"/>
      <c r="D61" s="103" t="s">
        <v>2152</v>
      </c>
      <c r="E61" s="133" t="s">
        <v>1925</v>
      </c>
      <c r="F61" s="133" t="s">
        <v>1926</v>
      </c>
      <c r="G61" s="133" t="s">
        <v>1927</v>
      </c>
      <c r="H61" s="133" t="s">
        <v>1928</v>
      </c>
      <c r="I61" s="133" t="s">
        <v>1929</v>
      </c>
    </row>
    <row r="62" spans="1:19" s="133" customFormat="1" x14ac:dyDescent="0.3">
      <c r="B62" s="95" t="s">
        <v>1791</v>
      </c>
      <c r="C62" s="103"/>
      <c r="D62" s="103" t="s">
        <v>1104</v>
      </c>
      <c r="E62" s="133" t="s">
        <v>1105</v>
      </c>
      <c r="F62" s="133" t="s">
        <v>1105</v>
      </c>
      <c r="G62" s="133" t="s">
        <v>1105</v>
      </c>
      <c r="H62" s="133" t="s">
        <v>1105</v>
      </c>
      <c r="I62" s="133" t="s">
        <v>1105</v>
      </c>
    </row>
    <row r="63" spans="1:19" x14ac:dyDescent="0.3">
      <c r="B63" s="12" t="s">
        <v>33</v>
      </c>
      <c r="C63" s="12" t="s">
        <v>270</v>
      </c>
      <c r="D63" s="13">
        <v>0.77</v>
      </c>
      <c r="E63" s="13">
        <v>0.77</v>
      </c>
      <c r="F63" s="13">
        <v>0.77</v>
      </c>
      <c r="G63" s="13">
        <v>0.77</v>
      </c>
      <c r="H63" s="13">
        <v>0.77</v>
      </c>
      <c r="I63" s="13">
        <v>0.77</v>
      </c>
      <c r="K63" t="s">
        <v>371</v>
      </c>
    </row>
    <row r="64" spans="1:19" x14ac:dyDescent="0.3">
      <c r="B64" s="12" t="s">
        <v>26</v>
      </c>
      <c r="C64" s="12" t="s">
        <v>25</v>
      </c>
      <c r="D64" s="41">
        <v>20</v>
      </c>
      <c r="E64" s="41">
        <v>20</v>
      </c>
      <c r="F64" s="41">
        <v>20</v>
      </c>
      <c r="G64" s="41">
        <v>20</v>
      </c>
      <c r="H64" s="41">
        <v>20</v>
      </c>
      <c r="I64" s="41">
        <v>20</v>
      </c>
      <c r="K64" t="s">
        <v>1168</v>
      </c>
    </row>
    <row r="65" spans="1:15" s="133" customFormat="1" x14ac:dyDescent="0.3">
      <c r="A65" s="148"/>
      <c r="B65" s="148" t="s">
        <v>1544</v>
      </c>
      <c r="C65" s="133" t="s">
        <v>338</v>
      </c>
      <c r="D65" s="37"/>
      <c r="E65" s="37">
        <f>E43</f>
        <v>0.30932000000000004</v>
      </c>
      <c r="F65" s="37">
        <f>F43</f>
        <v>0.61864000000000008</v>
      </c>
      <c r="G65" s="37">
        <f>G43</f>
        <v>0.92796000000000012</v>
      </c>
      <c r="H65" s="37">
        <f>H43</f>
        <v>1.2372800000000002</v>
      </c>
      <c r="I65" s="37">
        <f>I43</f>
        <v>1.5466000000000002</v>
      </c>
      <c r="K65" s="133" t="s">
        <v>1594</v>
      </c>
      <c r="O65" s="134"/>
    </row>
    <row r="66" spans="1:15" x14ac:dyDescent="0.3">
      <c r="B66" s="12" t="s">
        <v>351</v>
      </c>
      <c r="C66" s="12" t="s">
        <v>377</v>
      </c>
      <c r="D66" s="31">
        <f t="shared" ref="D66:I66" si="4">D22*D23/(100*D63)</f>
        <v>0.29314285714285715</v>
      </c>
      <c r="E66" s="31">
        <f t="shared" si="4"/>
        <v>0.39896103896103896</v>
      </c>
      <c r="F66" s="31">
        <f t="shared" si="4"/>
        <v>0.45077922077922078</v>
      </c>
      <c r="G66" s="31">
        <f t="shared" si="4"/>
        <v>0.5714285714285714</v>
      </c>
      <c r="H66" s="31">
        <f t="shared" si="4"/>
        <v>0.5714285714285714</v>
      </c>
      <c r="I66" s="31">
        <f t="shared" si="4"/>
        <v>0.44155844155844154</v>
      </c>
      <c r="K66" t="s">
        <v>2173</v>
      </c>
    </row>
    <row r="67" spans="1:15" x14ac:dyDescent="0.3">
      <c r="B67" s="12" t="s">
        <v>352</v>
      </c>
      <c r="C67" s="12" t="s">
        <v>377</v>
      </c>
      <c r="D67" s="12"/>
      <c r="E67" s="10">
        <f>E48</f>
        <v>8.1479999999999969E-2</v>
      </c>
      <c r="F67" s="10">
        <f>F48</f>
        <v>0.12138000000000002</v>
      </c>
      <c r="G67" s="10">
        <f>G48</f>
        <v>0.21428</v>
      </c>
      <c r="H67" s="10">
        <f>H48</f>
        <v>0.21428</v>
      </c>
      <c r="I67" s="10">
        <f>I48</f>
        <v>0.11428000000000002</v>
      </c>
    </row>
    <row r="68" spans="1:15" x14ac:dyDescent="0.3">
      <c r="B68" s="12" t="s">
        <v>383</v>
      </c>
      <c r="C68" s="12" t="s">
        <v>92</v>
      </c>
      <c r="D68" s="12"/>
      <c r="E68" s="10">
        <f>E67/$D66</f>
        <v>0.2779532163742689</v>
      </c>
      <c r="F68" s="10">
        <f>F67/$D66</f>
        <v>0.41406432748538013</v>
      </c>
      <c r="G68" s="10">
        <f>G67/$D66</f>
        <v>0.73097465886939572</v>
      </c>
      <c r="H68" s="10">
        <f>H67/$D66</f>
        <v>0.73097465886939572</v>
      </c>
      <c r="I68" s="10">
        <f>I67/$D66</f>
        <v>0.38984405458089677</v>
      </c>
    </row>
    <row r="69" spans="1:15" x14ac:dyDescent="0.3">
      <c r="B69" s="12" t="s">
        <v>293</v>
      </c>
      <c r="C69" s="12" t="s">
        <v>338</v>
      </c>
      <c r="D69" s="31">
        <f t="shared" ref="D69:I69" si="5">D22*D23/100</f>
        <v>0.22572</v>
      </c>
      <c r="E69" s="31">
        <f t="shared" si="5"/>
        <v>0.30719999999999997</v>
      </c>
      <c r="F69" s="31">
        <f t="shared" si="5"/>
        <v>0.34710000000000002</v>
      </c>
      <c r="G69" s="31">
        <f t="shared" si="5"/>
        <v>0.44</v>
      </c>
      <c r="H69" s="31">
        <f t="shared" si="5"/>
        <v>0.44</v>
      </c>
      <c r="I69" s="31">
        <f t="shared" si="5"/>
        <v>0.34</v>
      </c>
    </row>
    <row r="70" spans="1:15" x14ac:dyDescent="0.3">
      <c r="B70" s="12" t="s">
        <v>402</v>
      </c>
      <c r="C70" s="12" t="s">
        <v>338</v>
      </c>
      <c r="D70" s="31"/>
      <c r="E70" s="31">
        <f>E69-$D69</f>
        <v>8.1479999999999969E-2</v>
      </c>
      <c r="F70" s="31">
        <f>F69-$D69</f>
        <v>0.12138000000000002</v>
      </c>
      <c r="G70" s="31">
        <f>G69-$D69</f>
        <v>0.21428</v>
      </c>
      <c r="H70" s="31">
        <f>H69-$D69</f>
        <v>0.21428</v>
      </c>
      <c r="I70" s="31">
        <f>I69-$D69</f>
        <v>0.11428000000000002</v>
      </c>
    </row>
    <row r="71" spans="1:15" x14ac:dyDescent="0.3">
      <c r="B71" s="12" t="s">
        <v>3</v>
      </c>
      <c r="C71" s="12" t="s">
        <v>302</v>
      </c>
      <c r="D71" s="41">
        <f t="shared" ref="D71:I72" si="6">D23</f>
        <v>59.4</v>
      </c>
      <c r="E71" s="41">
        <f t="shared" si="6"/>
        <v>76.8</v>
      </c>
      <c r="F71" s="41">
        <f t="shared" si="6"/>
        <v>89</v>
      </c>
      <c r="G71" s="41">
        <f t="shared" si="6"/>
        <v>100</v>
      </c>
      <c r="H71" s="41">
        <f t="shared" si="6"/>
        <v>100</v>
      </c>
      <c r="I71" s="41">
        <f t="shared" si="6"/>
        <v>100</v>
      </c>
    </row>
    <row r="72" spans="1:15" x14ac:dyDescent="0.3">
      <c r="B72" s="12" t="s">
        <v>277</v>
      </c>
      <c r="C72" s="12" t="s">
        <v>302</v>
      </c>
      <c r="D72" s="41">
        <f t="shared" si="6"/>
        <v>40.700000000000003</v>
      </c>
      <c r="E72" s="41">
        <f t="shared" si="6"/>
        <v>23.3</v>
      </c>
      <c r="F72" s="41">
        <f t="shared" si="6"/>
        <v>11</v>
      </c>
      <c r="G72" s="41">
        <f t="shared" si="6"/>
        <v>0</v>
      </c>
      <c r="H72" s="41">
        <f t="shared" si="6"/>
        <v>0</v>
      </c>
      <c r="I72" s="41">
        <f t="shared" si="6"/>
        <v>0</v>
      </c>
    </row>
    <row r="73" spans="1:15" s="133" customFormat="1" x14ac:dyDescent="0.3">
      <c r="B73" s="103" t="s">
        <v>13</v>
      </c>
      <c r="C73" s="103" t="s">
        <v>302</v>
      </c>
      <c r="D73" s="41" t="s">
        <v>301</v>
      </c>
      <c r="E73" s="41" t="s">
        <v>301</v>
      </c>
      <c r="F73" s="41" t="s">
        <v>301</v>
      </c>
      <c r="G73" s="41" t="s">
        <v>301</v>
      </c>
      <c r="H73" s="41" t="s">
        <v>301</v>
      </c>
      <c r="I73" s="41" t="s">
        <v>301</v>
      </c>
      <c r="K73" t="s">
        <v>585</v>
      </c>
    </row>
    <row r="74" spans="1:15" x14ac:dyDescent="0.3">
      <c r="B74" s="12" t="s">
        <v>35</v>
      </c>
      <c r="C74" s="12"/>
      <c r="D74" s="13">
        <f t="shared" ref="D74:I74" si="7">D26</f>
        <v>7.91</v>
      </c>
      <c r="E74" s="13">
        <f t="shared" si="7"/>
        <v>7.89</v>
      </c>
      <c r="F74" s="13">
        <f t="shared" si="7"/>
        <v>7.9</v>
      </c>
      <c r="G74" s="13">
        <f t="shared" si="7"/>
        <v>7.91</v>
      </c>
      <c r="H74" s="13">
        <f t="shared" si="7"/>
        <v>8.18</v>
      </c>
      <c r="I74" s="13">
        <f t="shared" si="7"/>
        <v>8.43</v>
      </c>
    </row>
    <row r="75" spans="1:15" x14ac:dyDescent="0.3">
      <c r="B75" s="12" t="s">
        <v>52</v>
      </c>
      <c r="C75" s="12" t="s">
        <v>621</v>
      </c>
      <c r="D75" s="41" t="s">
        <v>1671</v>
      </c>
      <c r="E75" s="41" t="s">
        <v>1671</v>
      </c>
      <c r="F75" s="41" t="s">
        <v>1671</v>
      </c>
      <c r="G75" s="41" t="s">
        <v>1671</v>
      </c>
      <c r="H75" s="41" t="s">
        <v>1671</v>
      </c>
      <c r="I75" s="41" t="s">
        <v>1671</v>
      </c>
      <c r="K75" t="s">
        <v>658</v>
      </c>
    </row>
    <row r="76" spans="1:15" x14ac:dyDescent="0.3">
      <c r="B76" s="12" t="s">
        <v>558</v>
      </c>
      <c r="C76" s="12" t="s">
        <v>621</v>
      </c>
      <c r="D76" s="31">
        <f>(D28/Data!$D$18+D29/Data!$E$18+D30/Data!$F$18)/1000</f>
        <v>2.7154308875376588E-3</v>
      </c>
      <c r="E76" s="31">
        <f>(E28/Data!$D$18+E29/Data!$E$18+E30/Data!$F$18)/1000</f>
        <v>1.6468932740965946E-3</v>
      </c>
      <c r="F76" s="31">
        <f>(F28/Data!$D$18+F29/Data!$E$18+F30/Data!$F$18)/1000</f>
        <v>2.507301799249489E-3</v>
      </c>
      <c r="G76" s="31">
        <f>(G28/Data!$D$18+G29/Data!$E$18+G30/Data!$F$18)/1000</f>
        <v>4.1234101515003957E-3</v>
      </c>
      <c r="H76" s="31">
        <f>(H28/Data!$D$18+H29/Data!$E$18+H30/Data!$F$18)/1000</f>
        <v>5.0388188970095556E-3</v>
      </c>
      <c r="I76" s="31">
        <f>(I28/Data!$D$18+I29/Data!$E$18+I30/Data!$F$18)/1000</f>
        <v>1.8644936470332753E-2</v>
      </c>
      <c r="K76" t="s">
        <v>743</v>
      </c>
    </row>
    <row r="77" spans="1:15" x14ac:dyDescent="0.3">
      <c r="B77" s="12" t="s">
        <v>757</v>
      </c>
      <c r="C77" s="12" t="s">
        <v>758</v>
      </c>
      <c r="D77" s="13">
        <f t="shared" ref="D77:I77" si="8">D63/(D32*10)</f>
        <v>3.5483870967741936E-2</v>
      </c>
      <c r="E77" s="13">
        <f t="shared" si="8"/>
        <v>3.5321100917431195E-2</v>
      </c>
      <c r="F77" s="13">
        <f t="shared" si="8"/>
        <v>3.5483870967741936E-2</v>
      </c>
      <c r="G77" s="13">
        <f t="shared" si="8"/>
        <v>3.5159817351598177E-2</v>
      </c>
      <c r="H77" s="13">
        <f t="shared" si="8"/>
        <v>3.5321100917431195E-2</v>
      </c>
      <c r="I77" s="13">
        <f t="shared" si="8"/>
        <v>3.5000000000000003E-2</v>
      </c>
      <c r="K77" s="12" t="s">
        <v>756</v>
      </c>
    </row>
    <row r="79" spans="1:15" s="133" customFormat="1" x14ac:dyDescent="0.3"/>
    <row r="81" spans="2:6" x14ac:dyDescent="0.3">
      <c r="B81" s="176" t="s">
        <v>1769</v>
      </c>
    </row>
    <row r="82" spans="2:6" x14ac:dyDescent="0.3">
      <c r="B82" t="s">
        <v>282</v>
      </c>
    </row>
    <row r="83" spans="2:6" x14ac:dyDescent="0.3">
      <c r="B83" t="s">
        <v>586</v>
      </c>
    </row>
    <row r="85" spans="2:6" s="133" customFormat="1" x14ac:dyDescent="0.3">
      <c r="B85" s="148" t="s">
        <v>114</v>
      </c>
      <c r="D85" t="s">
        <v>1595</v>
      </c>
    </row>
    <row r="86" spans="2:6" x14ac:dyDescent="0.3">
      <c r="B86" t="s">
        <v>667</v>
      </c>
      <c r="C86" t="s">
        <v>503</v>
      </c>
      <c r="D86">
        <v>38</v>
      </c>
    </row>
    <row r="87" spans="2:6" s="133" customFormat="1" x14ac:dyDescent="0.3">
      <c r="B87" s="133" t="s">
        <v>1324</v>
      </c>
      <c r="D87" s="133" t="s">
        <v>1091</v>
      </c>
    </row>
    <row r="88" spans="2:6" s="133" customFormat="1" x14ac:dyDescent="0.3">
      <c r="B88" s="133" t="s">
        <v>956</v>
      </c>
      <c r="C88" s="133" t="s">
        <v>22</v>
      </c>
      <c r="D88" s="133">
        <v>1.4</v>
      </c>
    </row>
    <row r="89" spans="2:6" s="133" customFormat="1" x14ac:dyDescent="0.3">
      <c r="B89" s="133" t="s">
        <v>32</v>
      </c>
      <c r="C89" s="133" t="s">
        <v>22</v>
      </c>
      <c r="D89" s="133">
        <v>0.3</v>
      </c>
    </row>
    <row r="90" spans="2:6" s="133" customFormat="1" x14ac:dyDescent="0.3">
      <c r="B90" s="133" t="s">
        <v>326</v>
      </c>
      <c r="D90" s="133" t="s">
        <v>1329</v>
      </c>
      <c r="E90" s="133">
        <v>450</v>
      </c>
      <c r="F90" s="133" t="s">
        <v>327</v>
      </c>
    </row>
    <row r="91" spans="2:6" s="133" customFormat="1" x14ac:dyDescent="0.3">
      <c r="B91" s="133" t="s">
        <v>344</v>
      </c>
      <c r="D91" s="133" t="s">
        <v>694</v>
      </c>
    </row>
    <row r="92" spans="2:6" s="133" customFormat="1" x14ac:dyDescent="0.3">
      <c r="B92" s="133" t="s">
        <v>1332</v>
      </c>
      <c r="D92" s="133" t="s">
        <v>2167</v>
      </c>
    </row>
    <row r="93" spans="2:6" s="133" customFormat="1" x14ac:dyDescent="0.3">
      <c r="B93" s="133" t="s">
        <v>1330</v>
      </c>
      <c r="D93" s="133" t="s">
        <v>1601</v>
      </c>
    </row>
    <row r="94" spans="2:6" s="133" customFormat="1" x14ac:dyDescent="0.3">
      <c r="B94" s="133" t="s">
        <v>1968</v>
      </c>
      <c r="D94" s="133" t="s">
        <v>2090</v>
      </c>
      <c r="E94" s="133" t="s">
        <v>1977</v>
      </c>
    </row>
    <row r="95" spans="2:6" s="133" customFormat="1" x14ac:dyDescent="0.3">
      <c r="B95" s="133" t="s">
        <v>1541</v>
      </c>
      <c r="D95" s="133" t="s">
        <v>1597</v>
      </c>
    </row>
    <row r="96" spans="2:6" s="133" customFormat="1" x14ac:dyDescent="0.3">
      <c r="B96" s="133" t="s">
        <v>1599</v>
      </c>
      <c r="D96" s="133" t="s">
        <v>2133</v>
      </c>
    </row>
    <row r="98" spans="2:19" x14ac:dyDescent="0.3">
      <c r="B98" t="s">
        <v>287</v>
      </c>
    </row>
    <row r="99" spans="2:19" x14ac:dyDescent="0.3">
      <c r="B99" t="s">
        <v>394</v>
      </c>
      <c r="D99" t="s">
        <v>396</v>
      </c>
      <c r="E99" t="s">
        <v>397</v>
      </c>
      <c r="G99" t="s">
        <v>405</v>
      </c>
    </row>
    <row r="100" spans="2:19" x14ac:dyDescent="0.3">
      <c r="B100" t="s">
        <v>395</v>
      </c>
      <c r="C100" t="s">
        <v>399</v>
      </c>
      <c r="D100">
        <v>0.17</v>
      </c>
    </row>
    <row r="101" spans="2:19" x14ac:dyDescent="0.3">
      <c r="B101" t="s">
        <v>398</v>
      </c>
      <c r="C101" t="s">
        <v>399</v>
      </c>
      <c r="D101">
        <v>0.38</v>
      </c>
      <c r="E101">
        <v>0.4</v>
      </c>
    </row>
    <row r="102" spans="2:19" x14ac:dyDescent="0.3">
      <c r="B102" t="s">
        <v>36</v>
      </c>
      <c r="C102" t="s">
        <v>399</v>
      </c>
      <c r="D102">
        <v>0.4</v>
      </c>
      <c r="E102">
        <v>0.09</v>
      </c>
    </row>
    <row r="103" spans="2:19" x14ac:dyDescent="0.3">
      <c r="C103" t="s">
        <v>400</v>
      </c>
      <c r="D103">
        <v>30</v>
      </c>
      <c r="E103">
        <v>7</v>
      </c>
    </row>
    <row r="104" spans="2:19" x14ac:dyDescent="0.3">
      <c r="B104" t="s">
        <v>35</v>
      </c>
      <c r="D104">
        <v>7.8</v>
      </c>
      <c r="E104">
        <v>8.36</v>
      </c>
    </row>
    <row r="106" spans="2:19" x14ac:dyDescent="0.3">
      <c r="B106" t="s">
        <v>307</v>
      </c>
      <c r="D106" t="s">
        <v>403</v>
      </c>
      <c r="H106" t="s">
        <v>404</v>
      </c>
      <c r="L106" t="s">
        <v>1312</v>
      </c>
      <c r="S106" t="s">
        <v>1313</v>
      </c>
    </row>
    <row r="107" spans="2:19" x14ac:dyDescent="0.3">
      <c r="B107" t="s">
        <v>391</v>
      </c>
      <c r="D107" t="s">
        <v>407</v>
      </c>
      <c r="F107" t="s">
        <v>406</v>
      </c>
      <c r="H107" t="s">
        <v>409</v>
      </c>
      <c r="J107" t="s">
        <v>408</v>
      </c>
      <c r="L107" t="s">
        <v>410</v>
      </c>
      <c r="N107" t="s">
        <v>411</v>
      </c>
      <c r="P107" t="s">
        <v>412</v>
      </c>
    </row>
    <row r="108" spans="2:19" x14ac:dyDescent="0.3">
      <c r="B108" t="s">
        <v>392</v>
      </c>
      <c r="E108">
        <v>1</v>
      </c>
      <c r="G108">
        <v>1</v>
      </c>
      <c r="I108">
        <v>1</v>
      </c>
      <c r="K108">
        <v>1</v>
      </c>
      <c r="M108">
        <v>1</v>
      </c>
      <c r="O108">
        <v>1</v>
      </c>
      <c r="Q108">
        <v>10</v>
      </c>
    </row>
    <row r="109" spans="2:19" x14ac:dyDescent="0.3">
      <c r="B109" t="s">
        <v>393</v>
      </c>
      <c r="D109" t="s">
        <v>70</v>
      </c>
      <c r="E109" t="s">
        <v>13</v>
      </c>
      <c r="F109" t="s">
        <v>70</v>
      </c>
      <c r="G109" t="s">
        <v>13</v>
      </c>
      <c r="H109" t="s">
        <v>70</v>
      </c>
      <c r="I109" t="s">
        <v>13</v>
      </c>
      <c r="J109" t="s">
        <v>70</v>
      </c>
      <c r="K109" t="s">
        <v>13</v>
      </c>
      <c r="L109" t="s">
        <v>70</v>
      </c>
      <c r="M109" t="s">
        <v>13</v>
      </c>
      <c r="N109" t="s">
        <v>70</v>
      </c>
      <c r="O109" t="s">
        <v>13</v>
      </c>
      <c r="P109" t="s">
        <v>70</v>
      </c>
      <c r="Q109" t="s">
        <v>13</v>
      </c>
    </row>
    <row r="110" spans="2:19" x14ac:dyDescent="0.3">
      <c r="B110" t="s">
        <v>308</v>
      </c>
      <c r="C110" t="s">
        <v>338</v>
      </c>
      <c r="D110">
        <v>0.21</v>
      </c>
      <c r="E110">
        <v>0.22</v>
      </c>
      <c r="F110">
        <v>0.21</v>
      </c>
      <c r="G110">
        <v>0.22</v>
      </c>
      <c r="H110">
        <v>0.27</v>
      </c>
      <c r="I110">
        <v>0.33</v>
      </c>
      <c r="J110">
        <v>0.24</v>
      </c>
      <c r="K110">
        <v>0.26</v>
      </c>
      <c r="L110">
        <v>0.46</v>
      </c>
      <c r="M110">
        <v>0.49</v>
      </c>
      <c r="N110">
        <v>0.28000000000000003</v>
      </c>
      <c r="O110">
        <v>0.32</v>
      </c>
      <c r="P110">
        <v>0.28000000000000003</v>
      </c>
      <c r="Q110">
        <v>0.35</v>
      </c>
    </row>
    <row r="111" spans="2:19" x14ac:dyDescent="0.3">
      <c r="B111" t="s">
        <v>3</v>
      </c>
      <c r="C111" t="s">
        <v>302</v>
      </c>
      <c r="D111">
        <v>46</v>
      </c>
      <c r="E111">
        <v>60</v>
      </c>
      <c r="F111">
        <v>48</v>
      </c>
      <c r="G111">
        <v>57</v>
      </c>
      <c r="H111">
        <v>51</v>
      </c>
      <c r="I111">
        <v>66</v>
      </c>
      <c r="J111">
        <v>53</v>
      </c>
      <c r="K111">
        <v>66</v>
      </c>
      <c r="L111">
        <v>56</v>
      </c>
      <c r="M111">
        <v>94</v>
      </c>
      <c r="N111">
        <v>50</v>
      </c>
      <c r="O111">
        <v>71</v>
      </c>
      <c r="P111">
        <v>55</v>
      </c>
      <c r="Q111">
        <v>83</v>
      </c>
    </row>
    <row r="112" spans="2:19" x14ac:dyDescent="0.3">
      <c r="B112" t="s">
        <v>35</v>
      </c>
      <c r="D112">
        <v>7.89</v>
      </c>
      <c r="E112">
        <v>7.84</v>
      </c>
      <c r="F112">
        <v>8.32</v>
      </c>
      <c r="G112">
        <v>8.32</v>
      </c>
      <c r="H112">
        <v>8.07</v>
      </c>
      <c r="I112">
        <v>8.08</v>
      </c>
      <c r="J112">
        <v>8.34</v>
      </c>
      <c r="K112">
        <v>8.18</v>
      </c>
      <c r="L112">
        <v>7.92</v>
      </c>
      <c r="M112">
        <v>7.92</v>
      </c>
      <c r="N112">
        <v>8.3000000000000007</v>
      </c>
      <c r="O112">
        <v>8.33</v>
      </c>
      <c r="P112">
        <v>8.35</v>
      </c>
      <c r="Q112">
        <v>8.34</v>
      </c>
    </row>
    <row r="113" spans="1:22" x14ac:dyDescent="0.3">
      <c r="B113" t="s">
        <v>309</v>
      </c>
      <c r="C113" t="s">
        <v>17</v>
      </c>
      <c r="D113">
        <v>65</v>
      </c>
      <c r="E113">
        <v>70</v>
      </c>
      <c r="F113" s="16">
        <v>91.6</v>
      </c>
      <c r="G113">
        <v>81</v>
      </c>
      <c r="H113">
        <v>30</v>
      </c>
      <c r="I113">
        <v>83</v>
      </c>
      <c r="J113">
        <v>53</v>
      </c>
      <c r="K113">
        <v>162</v>
      </c>
      <c r="L113">
        <v>154</v>
      </c>
      <c r="M113">
        <v>198</v>
      </c>
      <c r="N113">
        <v>172</v>
      </c>
      <c r="O113">
        <v>391</v>
      </c>
      <c r="P113">
        <v>130</v>
      </c>
      <c r="Q113">
        <v>164</v>
      </c>
    </row>
    <row r="114" spans="1:22" x14ac:dyDescent="0.3">
      <c r="B114" t="s">
        <v>310</v>
      </c>
      <c r="C114" t="s">
        <v>17</v>
      </c>
      <c r="D114">
        <v>7</v>
      </c>
      <c r="E114">
        <v>10</v>
      </c>
      <c r="F114">
        <v>37</v>
      </c>
      <c r="G114">
        <v>27</v>
      </c>
      <c r="H114">
        <v>70</v>
      </c>
      <c r="I114">
        <v>87</v>
      </c>
      <c r="J114">
        <v>50</v>
      </c>
      <c r="K114">
        <v>38</v>
      </c>
      <c r="L114">
        <v>32</v>
      </c>
      <c r="M114">
        <v>39</v>
      </c>
      <c r="N114">
        <v>113</v>
      </c>
      <c r="O114">
        <v>120</v>
      </c>
      <c r="P114">
        <v>139</v>
      </c>
      <c r="Q114">
        <v>227</v>
      </c>
    </row>
    <row r="116" spans="1:22" x14ac:dyDescent="0.3">
      <c r="B116" s="12" t="s">
        <v>33</v>
      </c>
      <c r="C116" s="12" t="s">
        <v>270</v>
      </c>
      <c r="D116">
        <v>0.5</v>
      </c>
      <c r="E116">
        <v>0.5</v>
      </c>
      <c r="F116">
        <v>0.55000000000000004</v>
      </c>
      <c r="G116">
        <v>0.5</v>
      </c>
      <c r="H116">
        <v>1.5</v>
      </c>
      <c r="I116">
        <v>1.5</v>
      </c>
      <c r="J116">
        <v>1.5</v>
      </c>
      <c r="K116">
        <v>1.5</v>
      </c>
      <c r="L116">
        <v>2</v>
      </c>
      <c r="M116">
        <v>2</v>
      </c>
      <c r="N116">
        <v>2</v>
      </c>
      <c r="O116">
        <v>2</v>
      </c>
      <c r="P116">
        <v>2</v>
      </c>
      <c r="Q116">
        <v>2</v>
      </c>
    </row>
    <row r="117" spans="1:22" x14ac:dyDescent="0.3">
      <c r="B117" s="12" t="s">
        <v>277</v>
      </c>
      <c r="C117" s="12" t="s">
        <v>302</v>
      </c>
      <c r="E117">
        <v>25</v>
      </c>
      <c r="G117">
        <v>7</v>
      </c>
      <c r="I117">
        <v>25</v>
      </c>
      <c r="K117">
        <v>7</v>
      </c>
      <c r="M117">
        <v>25</v>
      </c>
      <c r="O117">
        <v>7</v>
      </c>
      <c r="Q117">
        <v>7</v>
      </c>
    </row>
    <row r="118" spans="1:22" x14ac:dyDescent="0.3">
      <c r="B118" t="s">
        <v>321</v>
      </c>
      <c r="C118" t="s">
        <v>338</v>
      </c>
      <c r="E118">
        <v>1.3</v>
      </c>
      <c r="G118">
        <v>1.3</v>
      </c>
      <c r="I118">
        <v>1.3</v>
      </c>
      <c r="K118">
        <v>1.3</v>
      </c>
      <c r="M118">
        <v>1.3</v>
      </c>
      <c r="O118">
        <v>1.3</v>
      </c>
      <c r="Q118">
        <v>1.3</v>
      </c>
    </row>
    <row r="119" spans="1:22" x14ac:dyDescent="0.3">
      <c r="B119" t="s">
        <v>389</v>
      </c>
      <c r="C119" t="s">
        <v>327</v>
      </c>
      <c r="D119">
        <v>450</v>
      </c>
      <c r="E119">
        <v>450</v>
      </c>
      <c r="F119">
        <v>450</v>
      </c>
      <c r="G119">
        <v>450</v>
      </c>
      <c r="H119">
        <v>450</v>
      </c>
      <c r="I119">
        <v>450</v>
      </c>
      <c r="J119">
        <v>450</v>
      </c>
      <c r="K119">
        <v>450</v>
      </c>
      <c r="L119">
        <v>450</v>
      </c>
      <c r="M119">
        <v>450</v>
      </c>
      <c r="N119">
        <v>450</v>
      </c>
      <c r="O119">
        <v>450</v>
      </c>
      <c r="P119">
        <v>450</v>
      </c>
      <c r="Q119">
        <v>450</v>
      </c>
    </row>
    <row r="121" spans="1:22" s="133" customFormat="1" x14ac:dyDescent="0.3">
      <c r="B121" s="6" t="s">
        <v>2146</v>
      </c>
    </row>
    <row r="122" spans="1:22" s="133" customFormat="1" x14ac:dyDescent="0.3">
      <c r="B122" s="103" t="s">
        <v>3</v>
      </c>
      <c r="C122" s="103" t="s">
        <v>302</v>
      </c>
      <c r="D122" s="32">
        <f>D111</f>
        <v>46</v>
      </c>
      <c r="E122" s="32">
        <f t="shared" ref="E122:I122" si="9">E111</f>
        <v>60</v>
      </c>
      <c r="F122" s="32">
        <f t="shared" si="9"/>
        <v>48</v>
      </c>
      <c r="G122" s="32">
        <f t="shared" si="9"/>
        <v>57</v>
      </c>
      <c r="H122" s="32">
        <f t="shared" si="9"/>
        <v>51</v>
      </c>
      <c r="I122" s="32">
        <f t="shared" si="9"/>
        <v>66</v>
      </c>
      <c r="J122" s="32">
        <f>J111</f>
        <v>53</v>
      </c>
      <c r="K122" s="32">
        <f t="shared" ref="K122:Q122" si="10">K111</f>
        <v>66</v>
      </c>
      <c r="L122" s="32">
        <f t="shared" si="10"/>
        <v>56</v>
      </c>
      <c r="M122" s="32">
        <f t="shared" si="10"/>
        <v>94</v>
      </c>
      <c r="N122" s="32">
        <f t="shared" si="10"/>
        <v>50</v>
      </c>
      <c r="O122" s="32">
        <f t="shared" si="10"/>
        <v>71</v>
      </c>
      <c r="P122" s="32">
        <f t="shared" si="10"/>
        <v>55</v>
      </c>
      <c r="Q122" s="32">
        <f t="shared" si="10"/>
        <v>83</v>
      </c>
    </row>
    <row r="123" spans="1:22" s="133" customFormat="1" x14ac:dyDescent="0.3">
      <c r="B123" s="103" t="s">
        <v>277</v>
      </c>
      <c r="C123" s="103" t="s">
        <v>302</v>
      </c>
      <c r="D123" s="16">
        <v>54</v>
      </c>
      <c r="E123" s="16">
        <v>40</v>
      </c>
      <c r="F123" s="16">
        <v>53</v>
      </c>
      <c r="G123" s="16">
        <v>42</v>
      </c>
      <c r="H123" s="16">
        <v>48</v>
      </c>
      <c r="I123" s="16">
        <v>35</v>
      </c>
      <c r="J123" s="16">
        <v>47</v>
      </c>
      <c r="K123" s="16">
        <v>34</v>
      </c>
      <c r="L123" s="49">
        <f t="shared" ref="L123:Q123" si="11">100-L122</f>
        <v>44</v>
      </c>
      <c r="M123" s="49">
        <f t="shared" si="11"/>
        <v>6</v>
      </c>
      <c r="N123" s="49">
        <f t="shared" si="11"/>
        <v>50</v>
      </c>
      <c r="O123" s="49">
        <f t="shared" si="11"/>
        <v>29</v>
      </c>
      <c r="P123" s="49">
        <f t="shared" si="11"/>
        <v>45</v>
      </c>
      <c r="Q123" s="49">
        <f t="shared" si="11"/>
        <v>17</v>
      </c>
      <c r="T123" s="133" t="s">
        <v>2168</v>
      </c>
    </row>
    <row r="124" spans="1:22" s="133" customFormat="1" x14ac:dyDescent="0.3">
      <c r="B124" s="133" t="s">
        <v>13</v>
      </c>
      <c r="C124" s="133" t="s">
        <v>302</v>
      </c>
      <c r="D124" s="32" t="s">
        <v>301</v>
      </c>
      <c r="E124" s="32" t="s">
        <v>301</v>
      </c>
      <c r="F124" s="32" t="s">
        <v>301</v>
      </c>
      <c r="G124" s="32" t="s">
        <v>301</v>
      </c>
      <c r="H124" s="32" t="s">
        <v>301</v>
      </c>
      <c r="I124" s="32" t="s">
        <v>301</v>
      </c>
      <c r="J124" s="32" t="s">
        <v>301</v>
      </c>
      <c r="K124" s="32" t="s">
        <v>301</v>
      </c>
      <c r="L124" s="32" t="s">
        <v>301</v>
      </c>
      <c r="M124" s="32" t="s">
        <v>301</v>
      </c>
      <c r="N124" s="32" t="s">
        <v>301</v>
      </c>
      <c r="O124" s="32" t="s">
        <v>301</v>
      </c>
      <c r="P124" s="32" t="s">
        <v>301</v>
      </c>
      <c r="Q124" s="32" t="s">
        <v>301</v>
      </c>
      <c r="R124" s="103"/>
      <c r="S124" s="103"/>
      <c r="T124" s="103" t="s">
        <v>2169</v>
      </c>
      <c r="U124" s="103"/>
      <c r="V124" s="103"/>
    </row>
    <row r="125" spans="1:22" s="133" customFormat="1" x14ac:dyDescent="0.3"/>
    <row r="126" spans="1:22" x14ac:dyDescent="0.3">
      <c r="B126" s="6" t="s">
        <v>877</v>
      </c>
    </row>
    <row r="127" spans="1:22" x14ac:dyDescent="0.3">
      <c r="B127" s="27" t="s">
        <v>375</v>
      </c>
      <c r="C127" s="27" t="s">
        <v>302</v>
      </c>
      <c r="D127" s="16">
        <f>SUM(D122:D123)</f>
        <v>100</v>
      </c>
      <c r="E127" s="16">
        <f t="shared" ref="E127:K127" si="12">SUM(E122:E123)</f>
        <v>100</v>
      </c>
      <c r="F127" s="16">
        <f t="shared" si="12"/>
        <v>101</v>
      </c>
      <c r="G127" s="16">
        <f t="shared" si="12"/>
        <v>99</v>
      </c>
      <c r="H127" s="16">
        <f t="shared" si="12"/>
        <v>99</v>
      </c>
      <c r="I127" s="16">
        <f t="shared" si="12"/>
        <v>101</v>
      </c>
      <c r="J127" s="16">
        <f t="shared" si="12"/>
        <v>100</v>
      </c>
      <c r="K127" s="16">
        <f t="shared" si="12"/>
        <v>100</v>
      </c>
      <c r="L127" s="49">
        <f>SUM(L122:L123)</f>
        <v>100</v>
      </c>
      <c r="M127" s="49">
        <f t="shared" ref="M127:Q127" si="13">SUM(M122:M123)</f>
        <v>100</v>
      </c>
      <c r="N127" s="49">
        <f t="shared" si="13"/>
        <v>100</v>
      </c>
      <c r="O127" s="49">
        <f t="shared" si="13"/>
        <v>100</v>
      </c>
      <c r="P127" s="49">
        <f t="shared" si="13"/>
        <v>100</v>
      </c>
      <c r="Q127" s="49">
        <f t="shared" si="13"/>
        <v>100</v>
      </c>
      <c r="T127" t="s">
        <v>2170</v>
      </c>
    </row>
    <row r="128" spans="1:22" x14ac:dyDescent="0.3">
      <c r="A128" s="133"/>
      <c r="B128" s="27" t="s">
        <v>3</v>
      </c>
      <c r="C128" t="s">
        <v>338</v>
      </c>
      <c r="D128" s="31">
        <f t="shared" ref="D128:Q128" si="14">D110*D111/100</f>
        <v>9.6600000000000005E-2</v>
      </c>
      <c r="E128" s="31">
        <f t="shared" si="14"/>
        <v>0.13200000000000001</v>
      </c>
      <c r="F128" s="31">
        <f t="shared" si="14"/>
        <v>0.1008</v>
      </c>
      <c r="G128" s="31">
        <f t="shared" si="14"/>
        <v>0.12540000000000001</v>
      </c>
      <c r="H128" s="31">
        <f t="shared" si="14"/>
        <v>0.13770000000000002</v>
      </c>
      <c r="I128" s="31">
        <f t="shared" si="14"/>
        <v>0.21780000000000002</v>
      </c>
      <c r="J128" s="31">
        <f t="shared" si="14"/>
        <v>0.12719999999999998</v>
      </c>
      <c r="K128" s="31">
        <f t="shared" si="14"/>
        <v>0.1716</v>
      </c>
      <c r="L128" s="31">
        <f t="shared" si="14"/>
        <v>0.2576</v>
      </c>
      <c r="M128" s="31">
        <f t="shared" si="14"/>
        <v>0.46060000000000001</v>
      </c>
      <c r="N128" s="31">
        <f t="shared" si="14"/>
        <v>0.14000000000000001</v>
      </c>
      <c r="O128" s="31">
        <f t="shared" si="14"/>
        <v>0.22719999999999999</v>
      </c>
      <c r="P128" s="31">
        <f t="shared" si="14"/>
        <v>0.15400000000000003</v>
      </c>
      <c r="Q128" s="31">
        <f t="shared" si="14"/>
        <v>0.29049999999999998</v>
      </c>
    </row>
    <row r="129" spans="1:20" x14ac:dyDescent="0.3">
      <c r="A129" s="133"/>
      <c r="B129" s="27" t="s">
        <v>277</v>
      </c>
      <c r="C129" t="s">
        <v>338</v>
      </c>
      <c r="D129" s="10">
        <f t="shared" ref="D129:Q129" si="15">D110*D159/100</f>
        <v>0.1134</v>
      </c>
      <c r="E129" s="10">
        <f t="shared" si="15"/>
        <v>8.8000000000000009E-2</v>
      </c>
      <c r="F129" s="10">
        <f t="shared" si="15"/>
        <v>0.1113</v>
      </c>
      <c r="G129" s="10">
        <f t="shared" si="15"/>
        <v>9.2399999999999996E-2</v>
      </c>
      <c r="H129" s="10">
        <f t="shared" si="15"/>
        <v>0.12960000000000002</v>
      </c>
      <c r="I129" s="10">
        <f t="shared" si="15"/>
        <v>0.11550000000000001</v>
      </c>
      <c r="J129" s="10">
        <f t="shared" si="15"/>
        <v>0.1128</v>
      </c>
      <c r="K129" s="10">
        <f t="shared" si="15"/>
        <v>8.8399999999999992E-2</v>
      </c>
      <c r="L129" s="10">
        <f t="shared" si="15"/>
        <v>0.20240000000000002</v>
      </c>
      <c r="M129" s="10">
        <f t="shared" si="15"/>
        <v>2.9399999999999999E-2</v>
      </c>
      <c r="N129" s="10">
        <f t="shared" si="15"/>
        <v>0.14000000000000001</v>
      </c>
      <c r="O129" s="10">
        <f t="shared" si="15"/>
        <v>9.2799999999999994E-2</v>
      </c>
      <c r="P129" s="10">
        <f t="shared" si="15"/>
        <v>0.126</v>
      </c>
      <c r="Q129" s="10">
        <f t="shared" si="15"/>
        <v>5.949999999999999E-2</v>
      </c>
    </row>
    <row r="130" spans="1:20" s="133" customFormat="1" x14ac:dyDescent="0.3">
      <c r="B130" s="148" t="s">
        <v>351</v>
      </c>
      <c r="C130" s="103" t="s">
        <v>377</v>
      </c>
      <c r="D130" s="10">
        <f>D131/D116</f>
        <v>0.19320000000000001</v>
      </c>
      <c r="E130" s="10">
        <f t="shared" ref="E130:Q130" si="16">E131/E116</f>
        <v>0.26400000000000001</v>
      </c>
      <c r="F130" s="10">
        <f t="shared" si="16"/>
        <v>0.18327272727272725</v>
      </c>
      <c r="G130" s="10">
        <f t="shared" si="16"/>
        <v>0.25080000000000002</v>
      </c>
      <c r="H130" s="10">
        <f t="shared" si="16"/>
        <v>9.1800000000000007E-2</v>
      </c>
      <c r="I130" s="10">
        <f t="shared" si="16"/>
        <v>0.14520000000000002</v>
      </c>
      <c r="J130" s="10">
        <f t="shared" si="16"/>
        <v>8.4799999999999986E-2</v>
      </c>
      <c r="K130" s="10">
        <f t="shared" si="16"/>
        <v>0.1144</v>
      </c>
      <c r="L130" s="10">
        <f t="shared" si="16"/>
        <v>0.1288</v>
      </c>
      <c r="M130" s="10">
        <f t="shared" si="16"/>
        <v>0.2303</v>
      </c>
      <c r="N130" s="10">
        <f t="shared" si="16"/>
        <v>7.0000000000000007E-2</v>
      </c>
      <c r="O130" s="10">
        <f t="shared" si="16"/>
        <v>0.11359999999999999</v>
      </c>
      <c r="P130" s="10">
        <f t="shared" si="16"/>
        <v>7.7000000000000013E-2</v>
      </c>
      <c r="Q130" s="10">
        <f t="shared" si="16"/>
        <v>0.14524999999999999</v>
      </c>
    </row>
    <row r="131" spans="1:20" s="133" customFormat="1" x14ac:dyDescent="0.3">
      <c r="B131" s="148" t="s">
        <v>293</v>
      </c>
      <c r="C131" s="133" t="s">
        <v>338</v>
      </c>
      <c r="D131" s="10">
        <f>D110*D111/100</f>
        <v>9.6600000000000005E-2</v>
      </c>
      <c r="E131" s="10">
        <f t="shared" ref="E131:Q131" si="17">E110*E111/100</f>
        <v>0.13200000000000001</v>
      </c>
      <c r="F131" s="10">
        <f t="shared" si="17"/>
        <v>0.1008</v>
      </c>
      <c r="G131" s="10">
        <f t="shared" si="17"/>
        <v>0.12540000000000001</v>
      </c>
      <c r="H131" s="10">
        <f t="shared" si="17"/>
        <v>0.13770000000000002</v>
      </c>
      <c r="I131" s="10">
        <f t="shared" si="17"/>
        <v>0.21780000000000002</v>
      </c>
      <c r="J131" s="10">
        <f t="shared" si="17"/>
        <v>0.12719999999999998</v>
      </c>
      <c r="K131" s="10">
        <f t="shared" si="17"/>
        <v>0.1716</v>
      </c>
      <c r="L131" s="10">
        <f t="shared" si="17"/>
        <v>0.2576</v>
      </c>
      <c r="M131" s="10">
        <f t="shared" si="17"/>
        <v>0.46060000000000001</v>
      </c>
      <c r="N131" s="10">
        <f t="shared" si="17"/>
        <v>0.14000000000000001</v>
      </c>
      <c r="O131" s="10">
        <f t="shared" si="17"/>
        <v>0.22719999999999999</v>
      </c>
      <c r="P131" s="10">
        <f t="shared" si="17"/>
        <v>0.15400000000000003</v>
      </c>
      <c r="Q131" s="10">
        <f t="shared" si="17"/>
        <v>0.29049999999999998</v>
      </c>
    </row>
    <row r="132" spans="1:20" x14ac:dyDescent="0.3">
      <c r="A132" s="133"/>
      <c r="B132" s="133" t="s">
        <v>433</v>
      </c>
      <c r="C132" t="s">
        <v>338</v>
      </c>
      <c r="D132" s="31"/>
      <c r="E132" s="31">
        <f>E118</f>
        <v>1.3</v>
      </c>
      <c r="F132" s="31"/>
      <c r="G132" s="31">
        <f>G118</f>
        <v>1.3</v>
      </c>
      <c r="H132" s="31"/>
      <c r="I132" s="31">
        <f>I118</f>
        <v>1.3</v>
      </c>
      <c r="J132" s="31"/>
      <c r="K132" s="31">
        <f>K118</f>
        <v>1.3</v>
      </c>
      <c r="L132" s="31"/>
      <c r="M132" s="31">
        <f>M118</f>
        <v>1.3</v>
      </c>
      <c r="N132" s="31"/>
      <c r="O132" s="31">
        <f>O118</f>
        <v>1.3</v>
      </c>
      <c r="P132" s="31"/>
      <c r="Q132" s="31">
        <f>Q118</f>
        <v>1.3</v>
      </c>
      <c r="T132" t="s">
        <v>413</v>
      </c>
    </row>
    <row r="133" spans="1:20" x14ac:dyDescent="0.3">
      <c r="A133" s="148"/>
      <c r="B133" s="148" t="s">
        <v>460</v>
      </c>
      <c r="C133" t="s">
        <v>338</v>
      </c>
      <c r="D133" s="31"/>
      <c r="E133" s="31">
        <f>E132/4</f>
        <v>0.32500000000000001</v>
      </c>
      <c r="F133" s="31"/>
      <c r="G133" s="31">
        <f>G132/4</f>
        <v>0.32500000000000001</v>
      </c>
      <c r="H133" s="31"/>
      <c r="I133" s="31">
        <f>I132/4</f>
        <v>0.32500000000000001</v>
      </c>
      <c r="J133" s="31"/>
      <c r="K133" s="31">
        <f>K132/4</f>
        <v>0.32500000000000001</v>
      </c>
      <c r="L133" s="31"/>
      <c r="M133" s="31">
        <f>M132/4</f>
        <v>0.32500000000000001</v>
      </c>
      <c r="N133" s="31"/>
      <c r="O133" s="31">
        <f>O132/4</f>
        <v>0.32500000000000001</v>
      </c>
      <c r="P133" s="31"/>
      <c r="Q133" s="31">
        <f>Q132/4</f>
        <v>0.32500000000000001</v>
      </c>
    </row>
    <row r="134" spans="1:20" x14ac:dyDescent="0.3">
      <c r="A134" s="148"/>
      <c r="B134" s="148" t="s">
        <v>402</v>
      </c>
      <c r="C134" t="s">
        <v>338</v>
      </c>
      <c r="D134" s="41"/>
      <c r="E134" s="10">
        <f>E131-D131</f>
        <v>3.5400000000000001E-2</v>
      </c>
      <c r="F134" s="41"/>
      <c r="G134" s="10">
        <f>G131-F131</f>
        <v>2.4600000000000011E-2</v>
      </c>
      <c r="H134" s="41"/>
      <c r="I134" s="10">
        <f>I131-H131</f>
        <v>8.0100000000000005E-2</v>
      </c>
      <c r="J134" s="41"/>
      <c r="K134" s="10">
        <f>K131-J131</f>
        <v>4.4400000000000023E-2</v>
      </c>
      <c r="L134" s="41"/>
      <c r="M134" s="10">
        <f>M131-L131</f>
        <v>0.20300000000000001</v>
      </c>
      <c r="N134" s="41"/>
      <c r="O134" s="10">
        <f>O131-N131</f>
        <v>8.7199999999999972E-2</v>
      </c>
      <c r="P134" s="41"/>
      <c r="Q134" s="10">
        <f>Q131-P131</f>
        <v>0.13649999999999995</v>
      </c>
    </row>
    <row r="135" spans="1:20" x14ac:dyDescent="0.3">
      <c r="A135" s="148"/>
      <c r="B135" s="148" t="s">
        <v>2086</v>
      </c>
      <c r="E135" s="10">
        <f>D129-E129</f>
        <v>2.5399999999999992E-2</v>
      </c>
      <c r="G135" s="10">
        <f>F129-G129</f>
        <v>1.89E-2</v>
      </c>
      <c r="I135" s="10">
        <f>H129-I129</f>
        <v>1.4100000000000015E-2</v>
      </c>
      <c r="K135" s="10">
        <f>J129-K129</f>
        <v>2.4400000000000005E-2</v>
      </c>
      <c r="M135" s="48">
        <f>L129-M129</f>
        <v>0.17300000000000001</v>
      </c>
      <c r="O135" s="48">
        <f>N129-O129</f>
        <v>4.720000000000002E-2</v>
      </c>
      <c r="Q135" s="48">
        <f>P129-Q129</f>
        <v>6.6500000000000004E-2</v>
      </c>
      <c r="T135" s="50" t="s">
        <v>414</v>
      </c>
    </row>
    <row r="136" spans="1:20" s="133" customFormat="1" x14ac:dyDescent="0.3">
      <c r="A136" s="148"/>
      <c r="B136" s="148" t="s">
        <v>93</v>
      </c>
      <c r="E136" s="37">
        <f>E118/D129</f>
        <v>11.463844797178131</v>
      </c>
      <c r="G136" s="37">
        <f>G118/F129</f>
        <v>11.680143755615454</v>
      </c>
      <c r="I136" s="37">
        <f>I118/H129</f>
        <v>10.030864197530862</v>
      </c>
      <c r="K136" s="37">
        <f>K118/J129</f>
        <v>11.524822695035462</v>
      </c>
      <c r="L136" s="37"/>
      <c r="M136" s="37">
        <f>M118/L129</f>
        <v>6.4229249011857705</v>
      </c>
      <c r="O136" s="37">
        <f>O118/N129</f>
        <v>9.2857142857142847</v>
      </c>
      <c r="Q136" s="37">
        <f>Q118/P129</f>
        <v>10.317460317460318</v>
      </c>
    </row>
    <row r="137" spans="1:20" s="133" customFormat="1" x14ac:dyDescent="0.3">
      <c r="A137" s="148"/>
      <c r="B137" s="148" t="s">
        <v>462</v>
      </c>
      <c r="D137" s="31"/>
      <c r="E137" s="41">
        <f>E118/E132</f>
        <v>1</v>
      </c>
      <c r="F137" s="31"/>
      <c r="G137" s="41">
        <f t="shared" ref="G137" si="18">G118/G132</f>
        <v>1</v>
      </c>
      <c r="H137" s="31"/>
      <c r="I137" s="41">
        <f t="shared" ref="I137" si="19">I118/I132</f>
        <v>1</v>
      </c>
      <c r="J137" s="31"/>
      <c r="K137" s="41">
        <f t="shared" ref="K137" si="20">K118/K132</f>
        <v>1</v>
      </c>
      <c r="L137" s="31"/>
      <c r="M137" s="41">
        <f t="shared" ref="M137" si="21">M118/M132</f>
        <v>1</v>
      </c>
      <c r="N137" s="31"/>
      <c r="O137" s="41">
        <f t="shared" ref="O137" si="22">O118/O132</f>
        <v>1</v>
      </c>
      <c r="P137" s="31"/>
      <c r="Q137" s="41">
        <f t="shared" ref="Q137" si="23">Q118/Q132</f>
        <v>1</v>
      </c>
    </row>
    <row r="138" spans="1:20" x14ac:dyDescent="0.3">
      <c r="A138" s="148"/>
      <c r="B138" s="148" t="s">
        <v>2085</v>
      </c>
      <c r="D138" s="41"/>
      <c r="E138" s="3">
        <f>E134/E133</f>
        <v>0.10892307692307693</v>
      </c>
      <c r="F138" s="41"/>
      <c r="G138" s="3">
        <f>G134/G133</f>
        <v>7.5692307692307725E-2</v>
      </c>
      <c r="H138" s="41"/>
      <c r="I138" s="3">
        <f>I134/I133</f>
        <v>0.24646153846153845</v>
      </c>
      <c r="J138" s="41"/>
      <c r="K138" s="3">
        <f>K134/K133</f>
        <v>0.13661538461538469</v>
      </c>
      <c r="L138" s="41"/>
      <c r="M138" s="3">
        <f>M134/M133</f>
        <v>0.62461538461538468</v>
      </c>
      <c r="N138" s="41"/>
      <c r="O138" s="3">
        <f>O134/O133</f>
        <v>0.26830769230769219</v>
      </c>
      <c r="P138" s="41"/>
      <c r="Q138" s="3">
        <f>Q134/Q133</f>
        <v>0.41999999999999987</v>
      </c>
    </row>
    <row r="139" spans="1:20" x14ac:dyDescent="0.3">
      <c r="A139" s="148"/>
      <c r="B139" s="148" t="s">
        <v>2087</v>
      </c>
      <c r="E139" s="3">
        <f>E138/E135</f>
        <v>4.28831011508177</v>
      </c>
      <c r="G139" s="3">
        <f>G138/G135</f>
        <v>4.0048840048840066</v>
      </c>
      <c r="I139" s="3">
        <f>I138/I135</f>
        <v>17.479541734860863</v>
      </c>
      <c r="K139" s="3">
        <f>K138/K135</f>
        <v>5.598991172761667</v>
      </c>
      <c r="M139" s="3">
        <f>M138/M135</f>
        <v>3.6104935526900848</v>
      </c>
      <c r="O139" s="3">
        <f>O138/O135</f>
        <v>5.6844850065188997</v>
      </c>
      <c r="Q139" s="3">
        <f>Q138/Q135</f>
        <v>6.315789473684208</v>
      </c>
    </row>
    <row r="140" spans="1:20" x14ac:dyDescent="0.3">
      <c r="A140" s="148"/>
      <c r="B140" s="148" t="s">
        <v>2088</v>
      </c>
      <c r="E140" s="3">
        <f>E134/E135</f>
        <v>1.3937007874015752</v>
      </c>
      <c r="G140" s="3">
        <f>G134/G135</f>
        <v>1.3015873015873021</v>
      </c>
      <c r="I140" s="3">
        <f>I134/I135</f>
        <v>5.6808510638297811</v>
      </c>
      <c r="K140" s="3">
        <f>K134/K135</f>
        <v>1.8196721311475414</v>
      </c>
      <c r="M140" s="51">
        <f>M134/M135</f>
        <v>1.1734104046242775</v>
      </c>
      <c r="O140" s="51">
        <f>O134/O135</f>
        <v>1.8474576271186427</v>
      </c>
      <c r="Q140" s="51">
        <f>Q134/Q135</f>
        <v>2.0526315789473677</v>
      </c>
    </row>
    <row r="141" spans="1:20" s="133" customFormat="1" x14ac:dyDescent="0.3">
      <c r="A141" s="148"/>
      <c r="B141" s="148" t="s">
        <v>2096</v>
      </c>
      <c r="C141" s="133" t="s">
        <v>92</v>
      </c>
      <c r="D141" s="37"/>
      <c r="E141" s="37">
        <f>E134/D129</f>
        <v>0.31216931216931215</v>
      </c>
      <c r="F141" s="37"/>
      <c r="G141" s="37">
        <f>G134/F129</f>
        <v>0.22102425876010792</v>
      </c>
      <c r="H141" s="37"/>
      <c r="I141" s="37">
        <f>I134/H129</f>
        <v>0.61805555555555547</v>
      </c>
      <c r="J141" s="37"/>
      <c r="K141" s="37">
        <f>K134/J129</f>
        <v>0.39361702127659598</v>
      </c>
      <c r="L141" s="37"/>
      <c r="M141" s="37">
        <f>M134/L129</f>
        <v>1.0029644268774702</v>
      </c>
      <c r="N141" s="37"/>
      <c r="O141" s="37">
        <f>O134/N129</f>
        <v>0.62285714285714255</v>
      </c>
      <c r="P141" s="37"/>
      <c r="Q141" s="37">
        <f>Q134/P129</f>
        <v>1.083333333333333</v>
      </c>
      <c r="S141" s="37"/>
    </row>
    <row r="142" spans="1:20" s="133" customFormat="1" x14ac:dyDescent="0.3">
      <c r="A142" s="148"/>
      <c r="B142" s="148" t="s">
        <v>2097</v>
      </c>
      <c r="C142" s="133" t="s">
        <v>92</v>
      </c>
      <c r="D142" s="96"/>
      <c r="E142" s="96">
        <f>E110/D110</f>
        <v>1.0476190476190477</v>
      </c>
      <c r="F142" s="96"/>
      <c r="G142" s="96">
        <f>G110/F110</f>
        <v>1.0476190476190477</v>
      </c>
      <c r="H142" s="96"/>
      <c r="I142" s="96">
        <f>I110/H110</f>
        <v>1.2222222222222221</v>
      </c>
      <c r="J142" s="96"/>
      <c r="K142" s="96">
        <f>K110/J110</f>
        <v>1.0833333333333335</v>
      </c>
      <c r="L142" s="96"/>
      <c r="M142" s="96">
        <f>M110/L110</f>
        <v>1.0652173913043477</v>
      </c>
      <c r="N142" s="96"/>
      <c r="O142" s="96">
        <f>O110/N110</f>
        <v>1.1428571428571428</v>
      </c>
      <c r="P142" s="96"/>
      <c r="Q142" s="96">
        <f>Q110/P110</f>
        <v>1.2499999999999998</v>
      </c>
      <c r="S142" s="96"/>
    </row>
    <row r="143" spans="1:20" x14ac:dyDescent="0.3">
      <c r="A143" s="148"/>
      <c r="B143" s="148" t="s">
        <v>2081</v>
      </c>
      <c r="E143" s="37">
        <f>E132/E134</f>
        <v>36.72316384180791</v>
      </c>
      <c r="G143" s="37">
        <f>G132/G134</f>
        <v>52.84552845528453</v>
      </c>
      <c r="I143" s="37">
        <f>I132/I134</f>
        <v>16.229712858926341</v>
      </c>
      <c r="K143" s="37">
        <f>K132/K134</f>
        <v>29.279279279279265</v>
      </c>
      <c r="L143" s="37"/>
      <c r="M143" s="37">
        <f>M132/M134</f>
        <v>6.4039408866995071</v>
      </c>
      <c r="O143" s="37">
        <f>O132/O134</f>
        <v>14.90825688073395</v>
      </c>
      <c r="Q143" s="37">
        <f>Q132/Q134</f>
        <v>9.5238095238095273</v>
      </c>
    </row>
    <row r="144" spans="1:20" x14ac:dyDescent="0.3">
      <c r="A144" s="148"/>
      <c r="B144" s="148" t="s">
        <v>2137</v>
      </c>
      <c r="E144" s="37">
        <f>E132/E135</f>
        <v>51.18110236220474</v>
      </c>
      <c r="G144" s="37">
        <f>G132/G135</f>
        <v>68.783068783068785</v>
      </c>
      <c r="I144" s="37">
        <f>I132/I135</f>
        <v>92.198581560283586</v>
      </c>
      <c r="K144" s="37">
        <f>K132/K135</f>
        <v>53.278688524590152</v>
      </c>
      <c r="L144" s="37"/>
      <c r="M144" s="37">
        <f>M132/M135</f>
        <v>7.5144508670520231</v>
      </c>
      <c r="O144" s="37">
        <f>O132/O135</f>
        <v>27.54237288135592</v>
      </c>
      <c r="Q144" s="37">
        <f>Q132/Q135</f>
        <v>19.548872180451127</v>
      </c>
    </row>
    <row r="145" spans="1:20" s="133" customFormat="1" x14ac:dyDescent="0.3">
      <c r="B145" s="148"/>
      <c r="E145" s="37"/>
      <c r="G145" s="37"/>
      <c r="I145" s="37"/>
      <c r="K145" s="37"/>
      <c r="L145" s="37"/>
      <c r="M145" s="37"/>
      <c r="O145" s="37"/>
      <c r="Q145" s="37"/>
    </row>
    <row r="146" spans="1:20" x14ac:dyDescent="0.3">
      <c r="M146" s="133"/>
      <c r="P146" s="133"/>
      <c r="Q146" s="133"/>
    </row>
    <row r="147" spans="1:20" x14ac:dyDescent="0.3">
      <c r="B147" s="40" t="s">
        <v>359</v>
      </c>
      <c r="C147" s="12"/>
      <c r="L147" s="133" t="s">
        <v>1598</v>
      </c>
      <c r="M147" s="133" t="s">
        <v>1598</v>
      </c>
      <c r="N147" s="133"/>
      <c r="O147" s="133"/>
      <c r="P147" s="133" t="s">
        <v>1598</v>
      </c>
      <c r="Q147" s="133" t="s">
        <v>1598</v>
      </c>
    </row>
    <row r="148" spans="1:20" s="133" customFormat="1" x14ac:dyDescent="0.3">
      <c r="B148" s="133" t="s">
        <v>1795</v>
      </c>
      <c r="C148" s="103"/>
      <c r="D148" s="133" t="s">
        <v>1936</v>
      </c>
      <c r="E148" s="133" t="s">
        <v>1931</v>
      </c>
      <c r="F148" s="133" t="s">
        <v>1936</v>
      </c>
      <c r="G148" s="133" t="s">
        <v>1933</v>
      </c>
      <c r="H148" s="133" t="s">
        <v>1937</v>
      </c>
      <c r="I148" s="133" t="s">
        <v>1932</v>
      </c>
      <c r="J148" s="133" t="s">
        <v>1937</v>
      </c>
      <c r="K148" s="133" t="s">
        <v>1934</v>
      </c>
      <c r="L148" s="133" t="s">
        <v>1938</v>
      </c>
      <c r="M148" s="133" t="s">
        <v>1935</v>
      </c>
      <c r="N148" s="133" t="s">
        <v>1938</v>
      </c>
      <c r="O148" s="133" t="s">
        <v>411</v>
      </c>
      <c r="P148" s="133" t="s">
        <v>1938</v>
      </c>
      <c r="Q148" s="133" t="s">
        <v>412</v>
      </c>
    </row>
    <row r="149" spans="1:20" x14ac:dyDescent="0.3">
      <c r="B149" t="s">
        <v>1791</v>
      </c>
      <c r="C149" s="12"/>
      <c r="D149" t="s">
        <v>1930</v>
      </c>
      <c r="E149" t="s">
        <v>1105</v>
      </c>
      <c r="F149" s="133" t="s">
        <v>1930</v>
      </c>
      <c r="G149" s="133" t="s">
        <v>1105</v>
      </c>
      <c r="H149" s="133" t="s">
        <v>1930</v>
      </c>
      <c r="I149" s="133" t="s">
        <v>1105</v>
      </c>
      <c r="J149" s="133" t="s">
        <v>1930</v>
      </c>
      <c r="K149" s="133" t="s">
        <v>1105</v>
      </c>
      <c r="L149" s="133" t="s">
        <v>1930</v>
      </c>
      <c r="M149" s="133" t="s">
        <v>1105</v>
      </c>
      <c r="N149" s="133" t="s">
        <v>1930</v>
      </c>
      <c r="O149" s="133" t="s">
        <v>1105</v>
      </c>
      <c r="P149" s="133" t="s">
        <v>1930</v>
      </c>
      <c r="Q149" s="133" t="s">
        <v>1105</v>
      </c>
      <c r="T149" t="s">
        <v>1314</v>
      </c>
    </row>
    <row r="150" spans="1:20" x14ac:dyDescent="0.3">
      <c r="B150" s="12" t="s">
        <v>33</v>
      </c>
      <c r="C150" s="12" t="s">
        <v>270</v>
      </c>
      <c r="D150" s="41">
        <v>0.5</v>
      </c>
      <c r="E150" s="41">
        <v>0.5</v>
      </c>
      <c r="F150" s="41">
        <v>0.5</v>
      </c>
      <c r="G150" s="41">
        <v>0.5</v>
      </c>
      <c r="H150" s="41">
        <v>1.5</v>
      </c>
      <c r="I150" s="41">
        <v>1.5</v>
      </c>
      <c r="J150" s="41">
        <v>1.5</v>
      </c>
      <c r="K150" s="41">
        <v>1.5</v>
      </c>
      <c r="L150" s="41">
        <v>2</v>
      </c>
      <c r="M150" s="41">
        <v>2</v>
      </c>
      <c r="N150" s="41">
        <v>2</v>
      </c>
      <c r="O150" s="41">
        <v>2</v>
      </c>
      <c r="P150" s="41">
        <v>2</v>
      </c>
      <c r="Q150" s="41">
        <v>2</v>
      </c>
    </row>
    <row r="151" spans="1:20" x14ac:dyDescent="0.3">
      <c r="B151" s="12" t="s">
        <v>26</v>
      </c>
      <c r="C151" s="12" t="s">
        <v>25</v>
      </c>
      <c r="D151" s="41">
        <v>20</v>
      </c>
      <c r="E151" s="41">
        <v>20</v>
      </c>
      <c r="F151" s="41">
        <v>20</v>
      </c>
      <c r="G151" s="41">
        <v>20</v>
      </c>
      <c r="H151" s="41">
        <v>20</v>
      </c>
      <c r="I151" s="41">
        <v>20</v>
      </c>
      <c r="J151" s="41">
        <v>20</v>
      </c>
      <c r="K151" s="41">
        <v>20</v>
      </c>
      <c r="L151" s="41">
        <v>20</v>
      </c>
      <c r="M151" s="41">
        <v>20</v>
      </c>
      <c r="N151" s="41">
        <v>20</v>
      </c>
      <c r="O151" s="41">
        <v>20</v>
      </c>
      <c r="P151" s="41">
        <v>20</v>
      </c>
      <c r="Q151" s="41">
        <v>20</v>
      </c>
    </row>
    <row r="152" spans="1:20" s="133" customFormat="1" x14ac:dyDescent="0.3">
      <c r="A152" s="148"/>
      <c r="B152" s="148" t="s">
        <v>1544</v>
      </c>
      <c r="C152" s="133" t="s">
        <v>338</v>
      </c>
      <c r="E152" s="37">
        <f>E118</f>
        <v>1.3</v>
      </c>
      <c r="G152" s="37">
        <f>G118</f>
        <v>1.3</v>
      </c>
      <c r="I152" s="37">
        <f>I118</f>
        <v>1.3</v>
      </c>
      <c r="K152" s="37">
        <f>K118</f>
        <v>1.3</v>
      </c>
      <c r="L152" s="37"/>
      <c r="M152" s="37">
        <f>M118</f>
        <v>1.3</v>
      </c>
      <c r="O152" s="37">
        <f>O118</f>
        <v>1.3</v>
      </c>
      <c r="Q152" s="37">
        <f>Q118</f>
        <v>1.3</v>
      </c>
    </row>
    <row r="153" spans="1:20" x14ac:dyDescent="0.3">
      <c r="B153" s="12" t="s">
        <v>351</v>
      </c>
      <c r="C153" s="12" t="s">
        <v>377</v>
      </c>
      <c r="D153" s="10">
        <f>D130</f>
        <v>0.19320000000000001</v>
      </c>
      <c r="E153" s="10">
        <f t="shared" ref="E153:Q153" si="24">E130</f>
        <v>0.26400000000000001</v>
      </c>
      <c r="F153" s="10">
        <f t="shared" si="24"/>
        <v>0.18327272727272725</v>
      </c>
      <c r="G153" s="10">
        <f t="shared" si="24"/>
        <v>0.25080000000000002</v>
      </c>
      <c r="H153" s="10">
        <f t="shared" si="24"/>
        <v>9.1800000000000007E-2</v>
      </c>
      <c r="I153" s="10">
        <f t="shared" si="24"/>
        <v>0.14520000000000002</v>
      </c>
      <c r="J153" s="10">
        <f t="shared" si="24"/>
        <v>8.4799999999999986E-2</v>
      </c>
      <c r="K153" s="10">
        <f t="shared" si="24"/>
        <v>0.1144</v>
      </c>
      <c r="L153" s="10">
        <f t="shared" si="24"/>
        <v>0.1288</v>
      </c>
      <c r="M153" s="10">
        <f t="shared" si="24"/>
        <v>0.2303</v>
      </c>
      <c r="N153" s="10">
        <f t="shared" si="24"/>
        <v>7.0000000000000007E-2</v>
      </c>
      <c r="O153" s="10">
        <f t="shared" si="24"/>
        <v>0.11359999999999999</v>
      </c>
      <c r="P153" s="10">
        <f t="shared" si="24"/>
        <v>7.7000000000000013E-2</v>
      </c>
      <c r="Q153" s="10">
        <f t="shared" si="24"/>
        <v>0.14524999999999999</v>
      </c>
    </row>
    <row r="154" spans="1:20" x14ac:dyDescent="0.3">
      <c r="B154" s="12" t="s">
        <v>352</v>
      </c>
      <c r="C154" s="12" t="s">
        <v>377</v>
      </c>
      <c r="D154" s="10"/>
      <c r="E154" s="10">
        <f>E153-D153</f>
        <v>7.0800000000000002E-2</v>
      </c>
      <c r="G154" s="10">
        <f>G153-F153</f>
        <v>6.7527272727272769E-2</v>
      </c>
      <c r="I154" s="10">
        <f>I153-H153</f>
        <v>5.3400000000000017E-2</v>
      </c>
      <c r="K154" s="10">
        <f>K153-J153</f>
        <v>2.9600000000000015E-2</v>
      </c>
      <c r="L154" s="10"/>
      <c r="M154" s="10">
        <f>M153-L153</f>
        <v>0.10150000000000001</v>
      </c>
      <c r="N154" s="10"/>
      <c r="O154" s="10">
        <f>O153-N153</f>
        <v>4.3599999999999986E-2</v>
      </c>
      <c r="Q154" s="10">
        <f>Q153-P153</f>
        <v>6.8249999999999977E-2</v>
      </c>
    </row>
    <row r="155" spans="1:20" x14ac:dyDescent="0.3">
      <c r="B155" s="12" t="s">
        <v>383</v>
      </c>
      <c r="C155" s="12" t="s">
        <v>92</v>
      </c>
      <c r="E155" s="10">
        <f>E154/D153</f>
        <v>0.36645962732919252</v>
      </c>
      <c r="G155" s="10">
        <f>G154/F153</f>
        <v>0.3684523809523812</v>
      </c>
      <c r="I155" s="10">
        <f>I154/H153</f>
        <v>0.58169934640522891</v>
      </c>
      <c r="K155" s="10">
        <f>K154/J153</f>
        <v>0.34905660377358516</v>
      </c>
      <c r="L155" s="10"/>
      <c r="M155" s="10">
        <f>M154/L153</f>
        <v>0.78804347826086962</v>
      </c>
      <c r="N155" s="10"/>
      <c r="O155" s="10">
        <f>O154/N153</f>
        <v>0.62285714285714255</v>
      </c>
      <c r="Q155" s="10">
        <f>Q154/P153</f>
        <v>0.88636363636363591</v>
      </c>
    </row>
    <row r="156" spans="1:20" x14ac:dyDescent="0.3">
      <c r="B156" s="12" t="s">
        <v>293</v>
      </c>
      <c r="C156" s="12" t="s">
        <v>338</v>
      </c>
      <c r="D156" s="31">
        <f>D131</f>
        <v>9.6600000000000005E-2</v>
      </c>
      <c r="E156" s="31">
        <f t="shared" ref="E156:Q156" si="25">E131</f>
        <v>0.13200000000000001</v>
      </c>
      <c r="F156" s="31">
        <f t="shared" si="25"/>
        <v>0.1008</v>
      </c>
      <c r="G156" s="31">
        <f t="shared" si="25"/>
        <v>0.12540000000000001</v>
      </c>
      <c r="H156" s="31">
        <f t="shared" si="25"/>
        <v>0.13770000000000002</v>
      </c>
      <c r="I156" s="31">
        <f t="shared" si="25"/>
        <v>0.21780000000000002</v>
      </c>
      <c r="J156" s="31">
        <f t="shared" si="25"/>
        <v>0.12719999999999998</v>
      </c>
      <c r="K156" s="31">
        <f t="shared" si="25"/>
        <v>0.1716</v>
      </c>
      <c r="L156" s="31">
        <f t="shared" si="25"/>
        <v>0.2576</v>
      </c>
      <c r="M156" s="31">
        <f t="shared" si="25"/>
        <v>0.46060000000000001</v>
      </c>
      <c r="N156" s="31">
        <f t="shared" si="25"/>
        <v>0.14000000000000001</v>
      </c>
      <c r="O156" s="31">
        <f t="shared" si="25"/>
        <v>0.22719999999999999</v>
      </c>
      <c r="P156" s="31">
        <f t="shared" si="25"/>
        <v>0.15400000000000003</v>
      </c>
      <c r="Q156" s="31">
        <f t="shared" si="25"/>
        <v>0.29049999999999998</v>
      </c>
    </row>
    <row r="157" spans="1:20" x14ac:dyDescent="0.3">
      <c r="B157" s="12" t="s">
        <v>402</v>
      </c>
      <c r="C157" s="12" t="s">
        <v>338</v>
      </c>
      <c r="D157" s="31"/>
      <c r="E157" s="31">
        <f>E156-D156</f>
        <v>3.5400000000000001E-2</v>
      </c>
      <c r="F157" s="31"/>
      <c r="G157" s="31">
        <f>G156-F156</f>
        <v>2.4600000000000011E-2</v>
      </c>
      <c r="H157" s="31"/>
      <c r="I157" s="31">
        <f>I156-H156</f>
        <v>8.0100000000000005E-2</v>
      </c>
      <c r="J157" s="31"/>
      <c r="K157" s="31">
        <f>K156-J156</f>
        <v>4.4400000000000023E-2</v>
      </c>
      <c r="L157" s="31"/>
      <c r="M157" s="31">
        <f>M156-L156</f>
        <v>0.20300000000000001</v>
      </c>
      <c r="N157" s="31"/>
      <c r="O157" s="31">
        <f>O156-N156</f>
        <v>8.7199999999999972E-2</v>
      </c>
      <c r="P157" s="31"/>
      <c r="Q157" s="31">
        <f>Q156-P156</f>
        <v>0.13649999999999995</v>
      </c>
    </row>
    <row r="158" spans="1:20" x14ac:dyDescent="0.3">
      <c r="B158" s="12" t="s">
        <v>3</v>
      </c>
      <c r="C158" s="12" t="s">
        <v>302</v>
      </c>
      <c r="D158" s="32">
        <f>D122</f>
        <v>46</v>
      </c>
      <c r="E158" s="32">
        <f t="shared" ref="E158:Q158" si="26">E122</f>
        <v>60</v>
      </c>
      <c r="F158" s="32">
        <f t="shared" si="26"/>
        <v>48</v>
      </c>
      <c r="G158" s="32">
        <f t="shared" si="26"/>
        <v>57</v>
      </c>
      <c r="H158" s="32">
        <f t="shared" si="26"/>
        <v>51</v>
      </c>
      <c r="I158" s="32">
        <f t="shared" si="26"/>
        <v>66</v>
      </c>
      <c r="J158" s="32">
        <f t="shared" si="26"/>
        <v>53</v>
      </c>
      <c r="K158" s="32">
        <f t="shared" si="26"/>
        <v>66</v>
      </c>
      <c r="L158" s="32">
        <f t="shared" si="26"/>
        <v>56</v>
      </c>
      <c r="M158" s="32">
        <f t="shared" si="26"/>
        <v>94</v>
      </c>
      <c r="N158" s="32">
        <f t="shared" si="26"/>
        <v>50</v>
      </c>
      <c r="O158" s="32">
        <f t="shared" si="26"/>
        <v>71</v>
      </c>
      <c r="P158" s="32">
        <f t="shared" si="26"/>
        <v>55</v>
      </c>
      <c r="Q158" s="32">
        <f t="shared" si="26"/>
        <v>83</v>
      </c>
    </row>
    <row r="159" spans="1:20" x14ac:dyDescent="0.3">
      <c r="B159" s="12" t="s">
        <v>277</v>
      </c>
      <c r="C159" s="12" t="s">
        <v>302</v>
      </c>
      <c r="D159" s="32">
        <f t="shared" ref="D159:Q159" si="27">D123</f>
        <v>54</v>
      </c>
      <c r="E159" s="32">
        <f t="shared" si="27"/>
        <v>40</v>
      </c>
      <c r="F159" s="32">
        <f t="shared" si="27"/>
        <v>53</v>
      </c>
      <c r="G159" s="32">
        <f t="shared" si="27"/>
        <v>42</v>
      </c>
      <c r="H159" s="32">
        <f t="shared" si="27"/>
        <v>48</v>
      </c>
      <c r="I159" s="32">
        <f t="shared" si="27"/>
        <v>35</v>
      </c>
      <c r="J159" s="32">
        <f t="shared" si="27"/>
        <v>47</v>
      </c>
      <c r="K159" s="32">
        <f t="shared" si="27"/>
        <v>34</v>
      </c>
      <c r="L159" s="32">
        <f t="shared" si="27"/>
        <v>44</v>
      </c>
      <c r="M159" s="32">
        <f t="shared" si="27"/>
        <v>6</v>
      </c>
      <c r="N159" s="32">
        <f t="shared" si="27"/>
        <v>50</v>
      </c>
      <c r="O159" s="32">
        <f t="shared" si="27"/>
        <v>29</v>
      </c>
      <c r="P159" s="32">
        <f t="shared" si="27"/>
        <v>45</v>
      </c>
      <c r="Q159" s="32">
        <f t="shared" si="27"/>
        <v>17</v>
      </c>
      <c r="T159" t="s">
        <v>741</v>
      </c>
    </row>
    <row r="160" spans="1:20" s="12" customFormat="1" x14ac:dyDescent="0.3">
      <c r="B160" t="s">
        <v>13</v>
      </c>
      <c r="C160" t="s">
        <v>302</v>
      </c>
      <c r="D160" s="32" t="str">
        <f t="shared" ref="D160:Q160" si="28">D124</f>
        <v>n/a</v>
      </c>
      <c r="E160" s="32" t="str">
        <f t="shared" si="28"/>
        <v>n/a</v>
      </c>
      <c r="F160" s="32" t="str">
        <f t="shared" si="28"/>
        <v>n/a</v>
      </c>
      <c r="G160" s="32" t="str">
        <f t="shared" si="28"/>
        <v>n/a</v>
      </c>
      <c r="H160" s="32" t="str">
        <f t="shared" si="28"/>
        <v>n/a</v>
      </c>
      <c r="I160" s="32" t="str">
        <f t="shared" si="28"/>
        <v>n/a</v>
      </c>
      <c r="J160" s="32" t="str">
        <f t="shared" si="28"/>
        <v>n/a</v>
      </c>
      <c r="K160" s="32" t="str">
        <f t="shared" si="28"/>
        <v>n/a</v>
      </c>
      <c r="L160" s="32" t="str">
        <f t="shared" si="28"/>
        <v>n/a</v>
      </c>
      <c r="M160" s="32" t="str">
        <f t="shared" si="28"/>
        <v>n/a</v>
      </c>
      <c r="N160" s="32" t="str">
        <f t="shared" si="28"/>
        <v>n/a</v>
      </c>
      <c r="O160" s="32" t="str">
        <f t="shared" si="28"/>
        <v>n/a</v>
      </c>
      <c r="P160" s="32" t="str">
        <f t="shared" si="28"/>
        <v>n/a</v>
      </c>
      <c r="Q160" s="32" t="str">
        <f t="shared" si="28"/>
        <v>n/a</v>
      </c>
    </row>
    <row r="161" spans="2:20" s="12" customFormat="1" x14ac:dyDescent="0.3">
      <c r="B161" s="12" t="s">
        <v>35</v>
      </c>
      <c r="D161" s="13">
        <f t="shared" ref="D161:Q161" si="29">D112</f>
        <v>7.89</v>
      </c>
      <c r="E161" s="13">
        <f t="shared" si="29"/>
        <v>7.84</v>
      </c>
      <c r="F161" s="13">
        <f t="shared" si="29"/>
        <v>8.32</v>
      </c>
      <c r="G161" s="13">
        <f t="shared" si="29"/>
        <v>8.32</v>
      </c>
      <c r="H161" s="13">
        <f t="shared" si="29"/>
        <v>8.07</v>
      </c>
      <c r="I161" s="13">
        <f t="shared" si="29"/>
        <v>8.08</v>
      </c>
      <c r="J161" s="13">
        <f t="shared" si="29"/>
        <v>8.34</v>
      </c>
      <c r="K161" s="13">
        <f t="shared" si="29"/>
        <v>8.18</v>
      </c>
      <c r="L161" s="13">
        <f t="shared" si="29"/>
        <v>7.92</v>
      </c>
      <c r="M161" s="13">
        <f t="shared" si="29"/>
        <v>7.92</v>
      </c>
      <c r="N161" s="13">
        <f t="shared" si="29"/>
        <v>8.3000000000000007</v>
      </c>
      <c r="O161" s="13">
        <f t="shared" si="29"/>
        <v>8.33</v>
      </c>
      <c r="P161" s="13">
        <f t="shared" si="29"/>
        <v>8.35</v>
      </c>
      <c r="Q161" s="13">
        <f t="shared" si="29"/>
        <v>8.34</v>
      </c>
    </row>
    <row r="162" spans="2:20" s="12" customFormat="1" x14ac:dyDescent="0.3">
      <c r="B162" t="s">
        <v>52</v>
      </c>
      <c r="C162" t="s">
        <v>621</v>
      </c>
      <c r="D162" s="32" t="s">
        <v>1671</v>
      </c>
      <c r="E162" s="32" t="s">
        <v>1671</v>
      </c>
      <c r="F162" s="32" t="s">
        <v>1671</v>
      </c>
      <c r="G162" s="32" t="s">
        <v>1671</v>
      </c>
      <c r="H162" s="32" t="s">
        <v>1671</v>
      </c>
      <c r="I162" s="32" t="s">
        <v>1671</v>
      </c>
      <c r="J162" s="32" t="s">
        <v>1671</v>
      </c>
      <c r="K162" s="32" t="s">
        <v>1671</v>
      </c>
      <c r="L162" s="32" t="s">
        <v>1671</v>
      </c>
      <c r="M162" s="32" t="s">
        <v>1671</v>
      </c>
      <c r="N162" s="32" t="s">
        <v>1671</v>
      </c>
      <c r="O162" s="32" t="s">
        <v>1671</v>
      </c>
      <c r="P162" s="32" t="s">
        <v>1671</v>
      </c>
      <c r="Q162" s="32" t="s">
        <v>1671</v>
      </c>
      <c r="R162" s="32" t="s">
        <v>1671</v>
      </c>
      <c r="T162" s="12" t="s">
        <v>742</v>
      </c>
    </row>
    <row r="163" spans="2:20" s="12" customFormat="1" x14ac:dyDescent="0.3">
      <c r="B163" t="s">
        <v>558</v>
      </c>
      <c r="C163" t="s">
        <v>621</v>
      </c>
      <c r="D163" s="31">
        <f>D113/(1000*Data!$D$18)+D114/(1000*Data!$E$18)</f>
        <v>1.1768815088241079E-3</v>
      </c>
      <c r="E163" s="31">
        <f>E113/(1000*Data!$D$18)+E114/(1000*Data!$E$18)</f>
        <v>1.3006393254773893E-3</v>
      </c>
      <c r="F163" s="31">
        <f>F113/(1000*Data!$D$18)+F114/(1000*Data!$E$18)</f>
        <v>2.0247999781591404E-3</v>
      </c>
      <c r="G163" s="31">
        <f>G113/(1000*Data!$D$18)+G114/(1000*Data!$E$18)</f>
        <v>1.7132968071068868E-3</v>
      </c>
      <c r="H163" s="31">
        <f>H113/(1000*Data!$D$18)+H114/(1000*Data!$E$18)</f>
        <v>1.4444983248810806E-3</v>
      </c>
      <c r="I163" s="31">
        <f>I113/(1000*Data!$D$18)+I114/(1000*Data!$E$18)</f>
        <v>2.5565450066091589E-3</v>
      </c>
      <c r="J163" s="31">
        <f>J113/(1000*Data!$D$18)+J114/(1000*Data!$E$18)</f>
        <v>1.5575158552612696E-3</v>
      </c>
      <c r="K163" s="31">
        <f>K113/(1000*Data!$D$18)+K114/(1000*Data!$E$18)</f>
        <v>3.2106085603794987E-3</v>
      </c>
      <c r="L163" s="31">
        <f>L113/(1000*Data!$D$18)+L114/(1000*Data!$E$18)</f>
        <v>2.9963971746966782E-3</v>
      </c>
      <c r="M163" s="31">
        <f>M113/(1000*Data!$D$18)+M114/(1000*Data!$E$18)</f>
        <v>3.8235840834714959E-3</v>
      </c>
      <c r="N163" s="31">
        <f>N113/(1000*Data!$D$18)+N114/(1000*Data!$E$18)</f>
        <v>4.3895597383463714E-3</v>
      </c>
      <c r="O163" s="31">
        <f>O113/(1000*Data!$D$18)+O114/(1000*Data!$E$18)</f>
        <v>8.1308683141986075E-3</v>
      </c>
      <c r="P163" s="31">
        <f>P113/(1000*Data!$D$18)+P114/(1000*Data!$E$18)</f>
        <v>4.0411462507284864E-3</v>
      </c>
      <c r="Q163" s="31">
        <f>Q113/(1000*Data!$D$18)+Q114/(1000*Data!$E$18)</f>
        <v>5.7952362564206109E-3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E206-04DA-4E2A-8B6A-979250C3B8E4}">
  <dimension ref="A2:O83"/>
  <sheetViews>
    <sheetView zoomScale="106" zoomScaleNormal="106" workbookViewId="0"/>
  </sheetViews>
  <sheetFormatPr defaultRowHeight="14.4" x14ac:dyDescent="0.3"/>
  <cols>
    <col min="2" max="2" width="20.21875" customWidth="1"/>
    <col min="3" max="3" width="10.21875" customWidth="1"/>
    <col min="14" max="14" width="10.5546875" bestFit="1" customWidth="1"/>
  </cols>
  <sheetData>
    <row r="2" spans="2:5" x14ac:dyDescent="0.3">
      <c r="B2" s="14" t="s">
        <v>1748</v>
      </c>
    </row>
    <row r="3" spans="2:5" x14ac:dyDescent="0.3">
      <c r="B3" t="s">
        <v>401</v>
      </c>
    </row>
    <row r="4" spans="2:5" x14ac:dyDescent="0.3">
      <c r="B4" t="s">
        <v>664</v>
      </c>
    </row>
    <row r="6" spans="2:5" s="133" customFormat="1" x14ac:dyDescent="0.3">
      <c r="B6" s="148" t="s">
        <v>114</v>
      </c>
      <c r="D6" s="133" t="s">
        <v>2140</v>
      </c>
      <c r="E6" s="133" t="s">
        <v>1730</v>
      </c>
    </row>
    <row r="7" spans="2:5" s="133" customFormat="1" x14ac:dyDescent="0.3">
      <c r="B7" s="133" t="s">
        <v>667</v>
      </c>
      <c r="C7" s="133" t="s">
        <v>503</v>
      </c>
      <c r="D7" s="133">
        <v>35</v>
      </c>
    </row>
    <row r="8" spans="2:5" s="133" customFormat="1" x14ac:dyDescent="0.3">
      <c r="B8" s="133" t="s">
        <v>1324</v>
      </c>
      <c r="D8" s="133" t="s">
        <v>1091</v>
      </c>
    </row>
    <row r="9" spans="2:5" s="133" customFormat="1" x14ac:dyDescent="0.3">
      <c r="B9" s="133" t="s">
        <v>956</v>
      </c>
      <c r="C9" s="133" t="s">
        <v>22</v>
      </c>
      <c r="D9" s="8">
        <f>PI()*0.188^2/4*1000</f>
        <v>27.759112687119412</v>
      </c>
    </row>
    <row r="10" spans="2:5" s="133" customFormat="1" x14ac:dyDescent="0.3">
      <c r="B10" s="133" t="s">
        <v>32</v>
      </c>
      <c r="C10" s="133" t="s">
        <v>22</v>
      </c>
      <c r="D10" s="133">
        <v>20</v>
      </c>
    </row>
    <row r="11" spans="2:5" s="133" customFormat="1" x14ac:dyDescent="0.3">
      <c r="B11" s="133" t="s">
        <v>326</v>
      </c>
      <c r="D11" s="133" t="s">
        <v>1538</v>
      </c>
    </row>
    <row r="12" spans="2:5" s="133" customFormat="1" x14ac:dyDescent="0.3">
      <c r="B12" s="133" t="s">
        <v>344</v>
      </c>
      <c r="D12" s="133" t="s">
        <v>665</v>
      </c>
    </row>
    <row r="13" spans="2:5" s="133" customFormat="1" x14ac:dyDescent="0.3">
      <c r="B13" s="133" t="s">
        <v>1332</v>
      </c>
      <c r="D13" s="133" t="s">
        <v>1362</v>
      </c>
    </row>
    <row r="14" spans="2:5" s="133" customFormat="1" x14ac:dyDescent="0.3">
      <c r="B14" s="133" t="s">
        <v>1330</v>
      </c>
      <c r="D14" s="133" t="s">
        <v>1333</v>
      </c>
    </row>
    <row r="15" spans="2:5" s="133" customFormat="1" x14ac:dyDescent="0.3">
      <c r="B15" s="133" t="s">
        <v>1968</v>
      </c>
      <c r="D15" s="133" t="s">
        <v>2090</v>
      </c>
      <c r="E15" s="133" t="s">
        <v>1970</v>
      </c>
    </row>
    <row r="16" spans="2:5" s="133" customFormat="1" x14ac:dyDescent="0.3">
      <c r="B16" s="133" t="s">
        <v>1541</v>
      </c>
      <c r="D16" s="133" t="s">
        <v>2124</v>
      </c>
      <c r="E16" s="133" t="s">
        <v>2125</v>
      </c>
    </row>
    <row r="17" spans="2:14" s="133" customFormat="1" x14ac:dyDescent="0.3">
      <c r="B17" s="133" t="s">
        <v>1599</v>
      </c>
      <c r="D17" s="133" t="s">
        <v>2127</v>
      </c>
    </row>
    <row r="18" spans="2:14" s="133" customFormat="1" x14ac:dyDescent="0.3"/>
    <row r="19" spans="2:14" x14ac:dyDescent="0.3">
      <c r="D19" t="s">
        <v>423</v>
      </c>
      <c r="F19" t="s">
        <v>424</v>
      </c>
      <c r="H19" t="s">
        <v>425</v>
      </c>
      <c r="J19" t="s">
        <v>426</v>
      </c>
    </row>
    <row r="20" spans="2:14" x14ac:dyDescent="0.3">
      <c r="B20" t="s">
        <v>307</v>
      </c>
      <c r="D20" t="s">
        <v>427</v>
      </c>
      <c r="E20" t="s">
        <v>354</v>
      </c>
      <c r="F20" t="s">
        <v>355</v>
      </c>
      <c r="G20" t="s">
        <v>354</v>
      </c>
      <c r="H20" t="s">
        <v>355</v>
      </c>
      <c r="I20" t="s">
        <v>354</v>
      </c>
      <c r="J20" t="s">
        <v>355</v>
      </c>
      <c r="K20" t="s">
        <v>354</v>
      </c>
    </row>
    <row r="21" spans="2:14" x14ac:dyDescent="0.3">
      <c r="B21" t="s">
        <v>2037</v>
      </c>
      <c r="C21" t="s">
        <v>338</v>
      </c>
      <c r="D21">
        <v>0.64</v>
      </c>
      <c r="E21">
        <v>0.63</v>
      </c>
      <c r="F21" s="26">
        <v>1.06</v>
      </c>
      <c r="G21">
        <v>0.67</v>
      </c>
      <c r="H21">
        <v>0.67</v>
      </c>
      <c r="I21">
        <v>0.47</v>
      </c>
      <c r="J21">
        <v>0.74</v>
      </c>
      <c r="K21">
        <v>0.56000000000000005</v>
      </c>
      <c r="M21" t="s">
        <v>2071</v>
      </c>
    </row>
    <row r="22" spans="2:14" x14ac:dyDescent="0.3">
      <c r="B22" t="s">
        <v>13</v>
      </c>
      <c r="C22" t="s">
        <v>302</v>
      </c>
      <c r="F22">
        <v>36.5</v>
      </c>
      <c r="H22">
        <v>17.7</v>
      </c>
      <c r="J22">
        <v>7.2</v>
      </c>
    </row>
    <row r="23" spans="2:14" x14ac:dyDescent="0.3">
      <c r="B23" t="s">
        <v>277</v>
      </c>
      <c r="C23" t="s">
        <v>302</v>
      </c>
      <c r="D23">
        <v>34.4</v>
      </c>
      <c r="E23">
        <v>34.4</v>
      </c>
      <c r="F23">
        <v>12.4</v>
      </c>
      <c r="G23">
        <v>34.1</v>
      </c>
      <c r="H23">
        <v>11.4</v>
      </c>
      <c r="I23">
        <v>32</v>
      </c>
      <c r="J23">
        <v>19.7</v>
      </c>
      <c r="K23">
        <v>32.9</v>
      </c>
      <c r="M23" s="10">
        <f>(F37-F48)/F37</f>
        <v>0.55528735632183901</v>
      </c>
      <c r="N23" s="25"/>
    </row>
    <row r="24" spans="2:14" x14ac:dyDescent="0.3">
      <c r="B24" t="s">
        <v>3</v>
      </c>
      <c r="C24" t="s">
        <v>302</v>
      </c>
      <c r="D24">
        <v>65.599999999999994</v>
      </c>
      <c r="E24">
        <v>66</v>
      </c>
      <c r="F24">
        <v>51.1</v>
      </c>
      <c r="G24">
        <v>65.8</v>
      </c>
      <c r="H24">
        <v>70.900000000000006</v>
      </c>
      <c r="I24">
        <v>68</v>
      </c>
      <c r="J24">
        <v>73.099999999999994</v>
      </c>
      <c r="K24">
        <v>67.099999999999994</v>
      </c>
      <c r="N24" s="25"/>
    </row>
    <row r="25" spans="2:14" x14ac:dyDescent="0.3">
      <c r="B25" t="s">
        <v>293</v>
      </c>
      <c r="C25" t="s">
        <v>338</v>
      </c>
      <c r="D25">
        <v>0.42</v>
      </c>
      <c r="E25">
        <v>0.41</v>
      </c>
      <c r="F25">
        <v>0.54</v>
      </c>
      <c r="G25">
        <v>0.44</v>
      </c>
      <c r="H25">
        <v>0.47</v>
      </c>
      <c r="I25">
        <v>0.32</v>
      </c>
      <c r="J25">
        <v>0.54</v>
      </c>
      <c r="K25">
        <v>0.38</v>
      </c>
      <c r="N25" s="25"/>
    </row>
    <row r="26" spans="2:14" x14ac:dyDescent="0.3">
      <c r="B26" t="s">
        <v>415</v>
      </c>
      <c r="C26" t="s">
        <v>338</v>
      </c>
      <c r="D26">
        <v>0.22</v>
      </c>
      <c r="E26">
        <v>0.22</v>
      </c>
      <c r="F26">
        <v>0.13</v>
      </c>
      <c r="G26">
        <v>0.23</v>
      </c>
      <c r="H26">
        <v>0.08</v>
      </c>
      <c r="I26">
        <v>0.15</v>
      </c>
      <c r="J26">
        <v>0.15</v>
      </c>
      <c r="K26">
        <v>0.18</v>
      </c>
      <c r="N26" s="25"/>
    </row>
    <row r="27" spans="2:14" x14ac:dyDescent="0.3">
      <c r="B27" t="s">
        <v>416</v>
      </c>
      <c r="C27" t="s">
        <v>302</v>
      </c>
      <c r="F27">
        <v>54.6</v>
      </c>
      <c r="H27">
        <v>86.2</v>
      </c>
      <c r="J27">
        <v>93.9</v>
      </c>
    </row>
    <row r="28" spans="2:14" x14ac:dyDescent="0.3">
      <c r="B28" t="s">
        <v>417</v>
      </c>
      <c r="C28" t="s">
        <v>338</v>
      </c>
      <c r="F28">
        <v>0.48</v>
      </c>
      <c r="H28">
        <v>0.75</v>
      </c>
      <c r="J28">
        <v>0.82</v>
      </c>
    </row>
    <row r="29" spans="2:14" x14ac:dyDescent="0.3">
      <c r="B29" t="s">
        <v>418</v>
      </c>
      <c r="C29" t="s">
        <v>421</v>
      </c>
      <c r="F29">
        <v>2.7</v>
      </c>
      <c r="H29">
        <v>8.9</v>
      </c>
      <c r="J29">
        <v>24.9</v>
      </c>
    </row>
    <row r="30" spans="2:14" x14ac:dyDescent="0.3">
      <c r="B30" t="s">
        <v>309</v>
      </c>
      <c r="C30" t="s">
        <v>17</v>
      </c>
      <c r="D30">
        <v>35.6</v>
      </c>
      <c r="E30">
        <v>35.799999999999997</v>
      </c>
      <c r="F30">
        <v>45</v>
      </c>
      <c r="G30">
        <v>25.5</v>
      </c>
      <c r="H30">
        <v>25.3</v>
      </c>
      <c r="I30">
        <v>25.2</v>
      </c>
      <c r="J30">
        <v>31.1</v>
      </c>
      <c r="K30">
        <v>12.5</v>
      </c>
    </row>
    <row r="31" spans="2:14" x14ac:dyDescent="0.3">
      <c r="B31" t="s">
        <v>35</v>
      </c>
      <c r="D31">
        <v>7.23</v>
      </c>
      <c r="E31">
        <v>7.45</v>
      </c>
      <c r="F31">
        <v>7.28</v>
      </c>
      <c r="G31">
        <v>7.41</v>
      </c>
      <c r="H31">
        <v>7.8</v>
      </c>
      <c r="I31">
        <v>7.42</v>
      </c>
      <c r="J31">
        <v>8.09</v>
      </c>
      <c r="K31">
        <v>7.41</v>
      </c>
    </row>
    <row r="32" spans="2:14" x14ac:dyDescent="0.3">
      <c r="B32" t="s">
        <v>27</v>
      </c>
      <c r="C32" t="s">
        <v>422</v>
      </c>
      <c r="D32">
        <v>21.5</v>
      </c>
      <c r="E32">
        <v>21.5</v>
      </c>
      <c r="F32">
        <v>21.1</v>
      </c>
      <c r="G32">
        <v>20.6</v>
      </c>
      <c r="H32">
        <v>22.3</v>
      </c>
      <c r="I32">
        <v>23</v>
      </c>
      <c r="J32">
        <v>27.6</v>
      </c>
      <c r="K32">
        <v>27.8</v>
      </c>
    </row>
    <row r="33" spans="1:11" x14ac:dyDescent="0.3">
      <c r="B33" t="s">
        <v>138</v>
      </c>
      <c r="D33">
        <v>0.66</v>
      </c>
      <c r="E33">
        <v>0.66</v>
      </c>
      <c r="F33">
        <v>0.63</v>
      </c>
      <c r="G33">
        <v>0.63</v>
      </c>
      <c r="H33">
        <v>0.59</v>
      </c>
      <c r="I33">
        <v>0.6</v>
      </c>
      <c r="J33">
        <v>0.56000000000000005</v>
      </c>
      <c r="K33">
        <v>0.56999999999999995</v>
      </c>
    </row>
    <row r="34" spans="1:11" x14ac:dyDescent="0.3">
      <c r="B34" t="s">
        <v>419</v>
      </c>
      <c r="C34" t="s">
        <v>302</v>
      </c>
      <c r="D34">
        <v>47.1</v>
      </c>
      <c r="E34">
        <v>47.4</v>
      </c>
      <c r="F34">
        <v>48.4</v>
      </c>
      <c r="G34">
        <v>49.4</v>
      </c>
      <c r="H34">
        <v>48.5</v>
      </c>
      <c r="I34">
        <v>48.5</v>
      </c>
      <c r="J34">
        <v>55.8</v>
      </c>
      <c r="K34">
        <v>55.7</v>
      </c>
    </row>
    <row r="35" spans="1:11" x14ac:dyDescent="0.3">
      <c r="B35" t="s">
        <v>420</v>
      </c>
      <c r="C35" t="s">
        <v>17</v>
      </c>
      <c r="D35">
        <v>729</v>
      </c>
      <c r="E35">
        <v>780</v>
      </c>
      <c r="F35">
        <v>670</v>
      </c>
      <c r="G35">
        <v>692</v>
      </c>
      <c r="H35">
        <v>721</v>
      </c>
      <c r="I35">
        <v>702</v>
      </c>
      <c r="J35">
        <v>794</v>
      </c>
      <c r="K35">
        <v>756</v>
      </c>
    </row>
    <row r="37" spans="1:11" x14ac:dyDescent="0.3">
      <c r="B37" t="s">
        <v>321</v>
      </c>
      <c r="C37" t="s">
        <v>338</v>
      </c>
      <c r="D37">
        <v>0</v>
      </c>
      <c r="E37">
        <v>0</v>
      </c>
      <c r="F37">
        <v>0.87</v>
      </c>
      <c r="G37">
        <v>0</v>
      </c>
      <c r="H37">
        <v>0.87</v>
      </c>
      <c r="I37">
        <v>0</v>
      </c>
      <c r="J37">
        <v>0.87</v>
      </c>
      <c r="K37">
        <v>0</v>
      </c>
    </row>
    <row r="38" spans="1:11" x14ac:dyDescent="0.3">
      <c r="B38" t="s">
        <v>429</v>
      </c>
      <c r="C38" t="s">
        <v>338</v>
      </c>
      <c r="D38">
        <v>0</v>
      </c>
      <c r="E38">
        <v>0</v>
      </c>
      <c r="F38">
        <v>50</v>
      </c>
      <c r="G38">
        <v>50</v>
      </c>
      <c r="H38">
        <v>101</v>
      </c>
      <c r="I38">
        <v>101</v>
      </c>
      <c r="J38">
        <v>202</v>
      </c>
      <c r="K38">
        <v>202</v>
      </c>
    </row>
    <row r="40" spans="1:11" x14ac:dyDescent="0.3">
      <c r="B40" s="6" t="s">
        <v>877</v>
      </c>
    </row>
    <row r="41" spans="1:11" x14ac:dyDescent="0.3">
      <c r="B41" s="27" t="s">
        <v>349</v>
      </c>
      <c r="C41" t="s">
        <v>302</v>
      </c>
      <c r="D41">
        <f t="shared" ref="D41:K41" si="0">SUM(D22:D24)</f>
        <v>100</v>
      </c>
      <c r="E41">
        <f t="shared" si="0"/>
        <v>100.4</v>
      </c>
      <c r="F41">
        <f t="shared" si="0"/>
        <v>100</v>
      </c>
      <c r="G41">
        <f t="shared" si="0"/>
        <v>99.9</v>
      </c>
      <c r="H41">
        <f t="shared" si="0"/>
        <v>100</v>
      </c>
      <c r="I41">
        <f t="shared" si="0"/>
        <v>100</v>
      </c>
      <c r="J41">
        <f t="shared" si="0"/>
        <v>100</v>
      </c>
      <c r="K41">
        <f t="shared" si="0"/>
        <v>100</v>
      </c>
    </row>
    <row r="42" spans="1:11" x14ac:dyDescent="0.3">
      <c r="B42" s="27" t="s">
        <v>332</v>
      </c>
      <c r="C42" t="s">
        <v>302</v>
      </c>
      <c r="D42" s="10">
        <f t="shared" ref="D42:K42" si="1">D24/(D23+D24)</f>
        <v>0.65599999999999992</v>
      </c>
      <c r="E42" s="10">
        <f t="shared" si="1"/>
        <v>0.65737051792828682</v>
      </c>
      <c r="F42" s="10">
        <f t="shared" si="1"/>
        <v>0.80472440944881896</v>
      </c>
      <c r="G42" s="10">
        <f t="shared" si="1"/>
        <v>0.65865865865865858</v>
      </c>
      <c r="H42" s="10">
        <f t="shared" si="1"/>
        <v>0.86148238153098411</v>
      </c>
      <c r="I42" s="10">
        <f t="shared" si="1"/>
        <v>0.68</v>
      </c>
      <c r="J42" s="10">
        <f t="shared" si="1"/>
        <v>0.78771551724137923</v>
      </c>
      <c r="K42" s="10">
        <f t="shared" si="1"/>
        <v>0.67099999999999993</v>
      </c>
    </row>
    <row r="43" spans="1:11" x14ac:dyDescent="0.3">
      <c r="B43" s="27" t="s">
        <v>333</v>
      </c>
      <c r="C43" t="s">
        <v>302</v>
      </c>
      <c r="D43" s="10">
        <f t="shared" ref="D43:K43" si="2">D23/(D23+D24)</f>
        <v>0.34399999999999997</v>
      </c>
      <c r="E43" s="10">
        <f t="shared" si="2"/>
        <v>0.34262948207171312</v>
      </c>
      <c r="F43" s="10">
        <f t="shared" si="2"/>
        <v>0.1952755905511811</v>
      </c>
      <c r="G43" s="10">
        <f t="shared" si="2"/>
        <v>0.34134134134134131</v>
      </c>
      <c r="H43" s="10">
        <f t="shared" si="2"/>
        <v>0.13851761846901578</v>
      </c>
      <c r="I43" s="10">
        <f t="shared" si="2"/>
        <v>0.32</v>
      </c>
      <c r="J43" s="10">
        <f t="shared" si="2"/>
        <v>0.21228448275862069</v>
      </c>
      <c r="K43" s="10">
        <f t="shared" si="2"/>
        <v>0.32899999999999996</v>
      </c>
    </row>
    <row r="44" spans="1:11" x14ac:dyDescent="0.3">
      <c r="B44" s="27" t="s">
        <v>317</v>
      </c>
      <c r="C44" s="12" t="s">
        <v>338</v>
      </c>
      <c r="D44" s="3">
        <f t="shared" ref="D44:K44" si="3">D21*D24/100</f>
        <v>0.41983999999999994</v>
      </c>
      <c r="E44" s="3">
        <f t="shared" si="3"/>
        <v>0.4158</v>
      </c>
      <c r="F44" s="3">
        <f t="shared" si="3"/>
        <v>0.54166000000000003</v>
      </c>
      <c r="G44" s="3">
        <f t="shared" si="3"/>
        <v>0.44085999999999997</v>
      </c>
      <c r="H44" s="3">
        <f t="shared" si="3"/>
        <v>0.47503000000000006</v>
      </c>
      <c r="I44" s="3">
        <f t="shared" si="3"/>
        <v>0.3196</v>
      </c>
      <c r="J44" s="3">
        <f t="shared" si="3"/>
        <v>0.54093999999999998</v>
      </c>
      <c r="K44" s="3">
        <f t="shared" si="3"/>
        <v>0.37575999999999998</v>
      </c>
    </row>
    <row r="45" spans="1:11" x14ac:dyDescent="0.3">
      <c r="B45" s="27" t="s">
        <v>318</v>
      </c>
      <c r="C45" s="12" t="s">
        <v>338</v>
      </c>
      <c r="D45" s="3">
        <f t="shared" ref="D45:K45" si="4">D21*D23/100</f>
        <v>0.22015999999999999</v>
      </c>
      <c r="E45" s="3">
        <f t="shared" si="4"/>
        <v>0.21672</v>
      </c>
      <c r="F45" s="3">
        <f t="shared" si="4"/>
        <v>0.13144000000000003</v>
      </c>
      <c r="G45" s="3">
        <f t="shared" si="4"/>
        <v>0.22847000000000001</v>
      </c>
      <c r="H45" s="3">
        <f t="shared" si="4"/>
        <v>7.6380000000000003E-2</v>
      </c>
      <c r="I45" s="3">
        <f t="shared" si="4"/>
        <v>0.15039999999999998</v>
      </c>
      <c r="J45" s="3">
        <f t="shared" si="4"/>
        <v>0.14577999999999999</v>
      </c>
      <c r="K45" s="3">
        <f t="shared" si="4"/>
        <v>0.18423999999999999</v>
      </c>
    </row>
    <row r="46" spans="1:11" s="133" customFormat="1" x14ac:dyDescent="0.3">
      <c r="B46" s="148" t="s">
        <v>2037</v>
      </c>
      <c r="C46" s="103" t="s">
        <v>338</v>
      </c>
      <c r="D46" s="134">
        <f>D21</f>
        <v>0.64</v>
      </c>
      <c r="E46" s="134">
        <f t="shared" ref="E46:K46" si="5">E21</f>
        <v>0.63</v>
      </c>
      <c r="F46" s="30">
        <f t="shared" si="5"/>
        <v>1.06</v>
      </c>
      <c r="G46" s="134">
        <f t="shared" si="5"/>
        <v>0.67</v>
      </c>
      <c r="H46" s="134">
        <f t="shared" si="5"/>
        <v>0.67</v>
      </c>
      <c r="I46" s="134">
        <f t="shared" si="5"/>
        <v>0.47</v>
      </c>
      <c r="J46" s="134">
        <f t="shared" si="5"/>
        <v>0.74</v>
      </c>
      <c r="K46" s="134">
        <f t="shared" si="5"/>
        <v>0.56000000000000005</v>
      </c>
    </row>
    <row r="47" spans="1:11" s="133" customFormat="1" x14ac:dyDescent="0.3">
      <c r="B47" s="148" t="s">
        <v>308</v>
      </c>
      <c r="C47" s="103" t="s">
        <v>338</v>
      </c>
      <c r="D47" s="134">
        <f>SUM(D25:D26)</f>
        <v>0.64</v>
      </c>
      <c r="E47" s="134">
        <f t="shared" ref="E47:K47" si="6">SUM(E25:E26)</f>
        <v>0.63</v>
      </c>
      <c r="F47" s="134">
        <f t="shared" si="6"/>
        <v>0.67</v>
      </c>
      <c r="G47" s="134">
        <f t="shared" si="6"/>
        <v>0.67</v>
      </c>
      <c r="H47" s="134">
        <f t="shared" si="6"/>
        <v>0.54999999999999993</v>
      </c>
      <c r="I47" s="134">
        <f t="shared" si="6"/>
        <v>0.47</v>
      </c>
      <c r="J47" s="134">
        <f t="shared" si="6"/>
        <v>0.69000000000000006</v>
      </c>
      <c r="K47" s="134">
        <f t="shared" si="6"/>
        <v>0.56000000000000005</v>
      </c>
    </row>
    <row r="48" spans="1:11" x14ac:dyDescent="0.3">
      <c r="A48" s="133"/>
      <c r="B48" s="133" t="s">
        <v>323</v>
      </c>
      <c r="C48" s="12" t="s">
        <v>338</v>
      </c>
      <c r="D48" s="3"/>
      <c r="E48" s="3"/>
      <c r="F48" s="3">
        <f>F21*F22/100</f>
        <v>0.38690000000000002</v>
      </c>
      <c r="G48" s="3"/>
      <c r="H48" s="3">
        <f>H21*H22/100</f>
        <v>0.11859</v>
      </c>
      <c r="I48" s="3"/>
      <c r="J48" s="3">
        <f>J21*J22/100</f>
        <v>5.3280000000000001E-2</v>
      </c>
      <c r="K48" s="3"/>
    </row>
    <row r="49" spans="1:15" x14ac:dyDescent="0.3">
      <c r="A49" s="133"/>
      <c r="B49" s="133" t="s">
        <v>433</v>
      </c>
      <c r="C49" s="12" t="s">
        <v>338</v>
      </c>
      <c r="D49" s="3"/>
      <c r="E49" s="3"/>
      <c r="F49" s="3">
        <f>F37-F48</f>
        <v>0.48309999999999997</v>
      </c>
      <c r="G49" s="3"/>
      <c r="H49" s="3">
        <f>H37-H48</f>
        <v>0.75141000000000002</v>
      </c>
      <c r="I49" s="3"/>
      <c r="J49" s="3">
        <f>J37-J48</f>
        <v>0.81672</v>
      </c>
      <c r="K49" s="3"/>
    </row>
    <row r="50" spans="1:15" x14ac:dyDescent="0.3">
      <c r="A50" s="148"/>
      <c r="B50" s="148" t="s">
        <v>460</v>
      </c>
      <c r="C50" t="s">
        <v>315</v>
      </c>
      <c r="F50" s="10">
        <f>F54/4</f>
        <v>0.13882183908045975</v>
      </c>
      <c r="H50" s="10">
        <f>H54/4</f>
        <v>0.21592241379310345</v>
      </c>
      <c r="J50" s="10">
        <f>J54/4</f>
        <v>0.2346896551724138</v>
      </c>
    </row>
    <row r="51" spans="1:15" x14ac:dyDescent="0.3">
      <c r="A51" s="148"/>
      <c r="B51" s="148" t="s">
        <v>402</v>
      </c>
      <c r="C51" t="s">
        <v>338</v>
      </c>
      <c r="F51" s="10">
        <f>F75</f>
        <v>0.10000000000000003</v>
      </c>
      <c r="H51" s="10">
        <f>H75</f>
        <v>0.14999999999999997</v>
      </c>
      <c r="J51" s="10">
        <f>J75</f>
        <v>0.16000000000000003</v>
      </c>
    </row>
    <row r="52" spans="1:15" x14ac:dyDescent="0.3">
      <c r="A52" s="148"/>
      <c r="B52" s="148" t="s">
        <v>2086</v>
      </c>
      <c r="C52" s="12" t="s">
        <v>338</v>
      </c>
      <c r="F52" s="3">
        <f>G26-F26</f>
        <v>0.1</v>
      </c>
      <c r="H52" s="3">
        <f>I26-H26</f>
        <v>6.9999999999999993E-2</v>
      </c>
      <c r="J52" s="3">
        <f>K26-J26</f>
        <v>0.03</v>
      </c>
    </row>
    <row r="53" spans="1:15" s="133" customFormat="1" x14ac:dyDescent="0.3">
      <c r="A53" s="148"/>
      <c r="B53" s="148" t="s">
        <v>93</v>
      </c>
      <c r="F53" s="8">
        <f>F37/$D26</f>
        <v>3.9545454545454546</v>
      </c>
      <c r="H53" s="8">
        <f>H37/$D26</f>
        <v>3.9545454545454546</v>
      </c>
      <c r="J53" s="198">
        <f>J37/$D26</f>
        <v>3.9545454545454546</v>
      </c>
    </row>
    <row r="54" spans="1:15" x14ac:dyDescent="0.3">
      <c r="A54" s="148"/>
      <c r="B54" s="148" t="s">
        <v>462</v>
      </c>
      <c r="C54" t="s">
        <v>92</v>
      </c>
      <c r="F54" s="52">
        <f>F49/F37</f>
        <v>0.55528735632183901</v>
      </c>
      <c r="G54" s="10"/>
      <c r="H54" s="10">
        <f>H49/H37</f>
        <v>0.86368965517241381</v>
      </c>
      <c r="I54" s="10"/>
      <c r="J54" s="10">
        <f>J49/J37</f>
        <v>0.93875862068965521</v>
      </c>
      <c r="M54" t="s">
        <v>432</v>
      </c>
    </row>
    <row r="55" spans="1:15" x14ac:dyDescent="0.3">
      <c r="A55" s="148"/>
      <c r="B55" s="148" t="s">
        <v>2085</v>
      </c>
      <c r="C55" t="s">
        <v>92</v>
      </c>
      <c r="F55" s="10">
        <f>F51/F50</f>
        <v>0.72034775408818086</v>
      </c>
      <c r="H55" s="10">
        <f>H51/H50</f>
        <v>0.69469397532638621</v>
      </c>
      <c r="J55" s="10">
        <f>J51/J50</f>
        <v>0.68175139582721134</v>
      </c>
    </row>
    <row r="56" spans="1:15" x14ac:dyDescent="0.3">
      <c r="A56" s="148"/>
      <c r="B56" s="148" t="s">
        <v>2087</v>
      </c>
      <c r="C56" t="s">
        <v>92</v>
      </c>
      <c r="F56" s="10">
        <f>F52/F50</f>
        <v>0.72034775408818064</v>
      </c>
      <c r="H56" s="10">
        <f>H52/H50</f>
        <v>0.32419052181898028</v>
      </c>
      <c r="J56" s="10">
        <f>J52/J50</f>
        <v>0.1278283867176021</v>
      </c>
      <c r="M56" t="s">
        <v>514</v>
      </c>
    </row>
    <row r="57" spans="1:15" x14ac:dyDescent="0.3">
      <c r="A57" s="148"/>
      <c r="B57" s="148" t="s">
        <v>2088</v>
      </c>
      <c r="C57" t="s">
        <v>92</v>
      </c>
      <c r="F57" s="3">
        <f>F75/F52</f>
        <v>1.0000000000000002</v>
      </c>
      <c r="H57" s="3">
        <f>H75/H52</f>
        <v>2.1428571428571428</v>
      </c>
      <c r="J57" s="3">
        <f>J75/J52</f>
        <v>5.3333333333333348</v>
      </c>
      <c r="M57" t="s">
        <v>428</v>
      </c>
    </row>
    <row r="58" spans="1:15" s="133" customFormat="1" x14ac:dyDescent="0.3">
      <c r="A58" s="148"/>
      <c r="B58" s="148" t="s">
        <v>2096</v>
      </c>
      <c r="C58" s="133" t="s">
        <v>92</v>
      </c>
      <c r="D58" s="37"/>
      <c r="E58" s="37"/>
      <c r="F58" s="37">
        <f>F51/G45</f>
        <v>0.43769422681314846</v>
      </c>
      <c r="G58" s="37"/>
      <c r="H58" s="37">
        <f>H51/I45</f>
        <v>0.99734042553191482</v>
      </c>
      <c r="I58" s="37"/>
      <c r="J58" s="37">
        <f>J51/K45</f>
        <v>0.86843247937472889</v>
      </c>
      <c r="K58" s="37"/>
      <c r="L58" s="37"/>
      <c r="M58" s="37"/>
      <c r="N58" s="37"/>
      <c r="O58" s="37"/>
    </row>
    <row r="59" spans="1:15" s="133" customFormat="1" x14ac:dyDescent="0.3">
      <c r="A59" s="148"/>
      <c r="B59" s="148" t="s">
        <v>2097</v>
      </c>
      <c r="C59" s="133" t="s">
        <v>92</v>
      </c>
      <c r="D59" s="37"/>
      <c r="E59" s="37"/>
      <c r="F59" s="37">
        <f>F47/G47</f>
        <v>1</v>
      </c>
      <c r="G59" s="37"/>
      <c r="H59" s="37">
        <f>H47/I47</f>
        <v>1.1702127659574468</v>
      </c>
      <c r="I59" s="37"/>
      <c r="J59" s="37">
        <f>J47/K47</f>
        <v>1.2321428571428572</v>
      </c>
      <c r="K59" s="37"/>
      <c r="L59" s="37"/>
      <c r="M59" s="37"/>
      <c r="N59" s="37"/>
      <c r="O59" s="37"/>
    </row>
    <row r="60" spans="1:15" x14ac:dyDescent="0.3">
      <c r="A60" s="148"/>
      <c r="B60" s="148" t="s">
        <v>2081</v>
      </c>
      <c r="F60" s="8">
        <f>F49/F51</f>
        <v>4.8309999999999977</v>
      </c>
      <c r="G60" s="8"/>
      <c r="H60" s="8">
        <f>H49/H51</f>
        <v>5.0094000000000012</v>
      </c>
      <c r="I60" s="8"/>
      <c r="J60" s="8">
        <f>J49/J51</f>
        <v>5.1044999999999989</v>
      </c>
      <c r="M60" t="s">
        <v>428</v>
      </c>
    </row>
    <row r="61" spans="1:15" x14ac:dyDescent="0.3">
      <c r="A61" s="148"/>
      <c r="B61" s="148" t="s">
        <v>2137</v>
      </c>
      <c r="F61" s="8">
        <f>F49/F52</f>
        <v>4.8309999999999995</v>
      </c>
      <c r="H61" s="8">
        <f>H49/H52</f>
        <v>10.734428571428573</v>
      </c>
      <c r="J61" s="8">
        <f>J49/J52</f>
        <v>27.224</v>
      </c>
      <c r="M61" t="s">
        <v>1991</v>
      </c>
    </row>
    <row r="62" spans="1:15" x14ac:dyDescent="0.3">
      <c r="B62" s="27" t="s">
        <v>430</v>
      </c>
      <c r="C62" t="s">
        <v>434</v>
      </c>
      <c r="F62" s="31">
        <f>(F37-F48-4*F51)/F37</f>
        <v>9.5517241379310155E-2</v>
      </c>
      <c r="G62" s="103"/>
      <c r="H62" s="31">
        <f>(H37-H48-4*H51)/H37</f>
        <v>0.17403448275862088</v>
      </c>
      <c r="I62" s="103"/>
      <c r="J62" s="31">
        <f>(J37-J48-4*J51)/J37</f>
        <v>0.20312643678160905</v>
      </c>
      <c r="M62" t="s">
        <v>431</v>
      </c>
    </row>
    <row r="63" spans="1:15" x14ac:dyDescent="0.3">
      <c r="B63" s="27" t="s">
        <v>430</v>
      </c>
      <c r="C63" t="s">
        <v>435</v>
      </c>
      <c r="F63" s="31">
        <f>(F37-F48-4*F51)/F49</f>
        <v>0.17201407576071176</v>
      </c>
      <c r="G63" s="103"/>
      <c r="H63" s="31">
        <f>(H37-H48-4*H51)/H49</f>
        <v>0.20150117778576296</v>
      </c>
      <c r="I63" s="103"/>
      <c r="J63" s="31">
        <f>(J37-J48-4*J51)/J49</f>
        <v>0.21637770594573399</v>
      </c>
      <c r="M63" t="s">
        <v>436</v>
      </c>
    </row>
    <row r="65" spans="2:11" x14ac:dyDescent="0.3">
      <c r="B65" s="40" t="s">
        <v>359</v>
      </c>
      <c r="C65" s="12"/>
      <c r="D65" t="s">
        <v>423</v>
      </c>
      <c r="F65" t="s">
        <v>424</v>
      </c>
      <c r="H65" t="s">
        <v>425</v>
      </c>
      <c r="J65" t="s">
        <v>426</v>
      </c>
    </row>
    <row r="66" spans="2:11" x14ac:dyDescent="0.3">
      <c r="B66" t="s">
        <v>1795</v>
      </c>
      <c r="C66" s="12"/>
      <c r="D66" s="66" t="s">
        <v>1686</v>
      </c>
      <c r="E66" t="s">
        <v>1962</v>
      </c>
      <c r="F66" s="66" t="s">
        <v>1686</v>
      </c>
      <c r="G66" t="s">
        <v>1963</v>
      </c>
      <c r="H66" s="66" t="s">
        <v>1686</v>
      </c>
      <c r="I66" t="s">
        <v>1964</v>
      </c>
      <c r="J66" s="66" t="s">
        <v>1686</v>
      </c>
      <c r="K66" t="s">
        <v>1965</v>
      </c>
    </row>
    <row r="67" spans="2:11" s="133" customFormat="1" x14ac:dyDescent="0.3">
      <c r="B67" s="95" t="s">
        <v>1791</v>
      </c>
      <c r="C67" s="103"/>
      <c r="D67" s="133" t="s">
        <v>1104</v>
      </c>
      <c r="E67" s="133" t="s">
        <v>1104</v>
      </c>
      <c r="F67" s="133" t="s">
        <v>1105</v>
      </c>
      <c r="G67" s="133" t="s">
        <v>1104</v>
      </c>
      <c r="H67" s="133" t="s">
        <v>1105</v>
      </c>
      <c r="I67" s="133" t="s">
        <v>1104</v>
      </c>
      <c r="J67" s="133" t="s">
        <v>1105</v>
      </c>
      <c r="K67" s="133" t="s">
        <v>1104</v>
      </c>
    </row>
    <row r="68" spans="2:11" x14ac:dyDescent="0.3">
      <c r="B68" s="12" t="s">
        <v>33</v>
      </c>
      <c r="C68" s="12" t="s">
        <v>270</v>
      </c>
      <c r="D68">
        <v>1.3</v>
      </c>
      <c r="E68">
        <v>1.3</v>
      </c>
      <c r="F68">
        <v>1.3</v>
      </c>
      <c r="G68">
        <v>1.3</v>
      </c>
      <c r="H68">
        <v>1.5</v>
      </c>
      <c r="I68">
        <v>1.5</v>
      </c>
      <c r="J68">
        <v>1.8</v>
      </c>
      <c r="K68">
        <v>1.8</v>
      </c>
    </row>
    <row r="69" spans="2:11" x14ac:dyDescent="0.3">
      <c r="B69" s="12" t="s">
        <v>26</v>
      </c>
      <c r="C69" s="12" t="s">
        <v>25</v>
      </c>
      <c r="D69">
        <v>20</v>
      </c>
      <c r="E69">
        <v>20</v>
      </c>
      <c r="F69">
        <v>20</v>
      </c>
      <c r="G69">
        <v>20</v>
      </c>
      <c r="H69">
        <v>20</v>
      </c>
      <c r="I69">
        <v>20</v>
      </c>
      <c r="J69">
        <v>20</v>
      </c>
      <c r="K69">
        <v>20</v>
      </c>
    </row>
    <row r="70" spans="2:11" s="133" customFormat="1" x14ac:dyDescent="0.3">
      <c r="B70" s="148" t="s">
        <v>1544</v>
      </c>
      <c r="C70" s="133" t="s">
        <v>338</v>
      </c>
      <c r="F70" s="134">
        <f>F37</f>
        <v>0.87</v>
      </c>
      <c r="G70" s="134"/>
      <c r="H70" s="134">
        <f>H37</f>
        <v>0.87</v>
      </c>
      <c r="I70" s="134"/>
      <c r="J70" s="134">
        <f>J37</f>
        <v>0.87</v>
      </c>
    </row>
    <row r="71" spans="2:11" x14ac:dyDescent="0.3">
      <c r="B71" s="12" t="s">
        <v>351</v>
      </c>
      <c r="C71" s="12" t="s">
        <v>377</v>
      </c>
      <c r="D71" s="10">
        <f t="shared" ref="D71:K71" si="7">D25/D68</f>
        <v>0.32307692307692304</v>
      </c>
      <c r="E71" s="10">
        <f t="shared" si="7"/>
        <v>0.31538461538461537</v>
      </c>
      <c r="F71" s="10">
        <f t="shared" si="7"/>
        <v>0.41538461538461541</v>
      </c>
      <c r="G71" s="10">
        <f t="shared" si="7"/>
        <v>0.33846153846153842</v>
      </c>
      <c r="H71" s="10">
        <f t="shared" si="7"/>
        <v>0.3133333333333333</v>
      </c>
      <c r="I71" s="10">
        <f t="shared" si="7"/>
        <v>0.21333333333333335</v>
      </c>
      <c r="J71" s="10">
        <f t="shared" si="7"/>
        <v>0.3</v>
      </c>
      <c r="K71" s="10">
        <f t="shared" si="7"/>
        <v>0.21111111111111111</v>
      </c>
    </row>
    <row r="72" spans="2:11" x14ac:dyDescent="0.3">
      <c r="B72" s="12" t="s">
        <v>352</v>
      </c>
      <c r="C72" s="12" t="s">
        <v>377</v>
      </c>
      <c r="F72" s="10">
        <f>F71-G71</f>
        <v>7.6923076923076983E-2</v>
      </c>
      <c r="H72" s="10">
        <f>H71-I71</f>
        <v>9.999999999999995E-2</v>
      </c>
      <c r="J72" s="10">
        <f>J71-K71</f>
        <v>8.8888888888888878E-2</v>
      </c>
    </row>
    <row r="73" spans="2:11" x14ac:dyDescent="0.3">
      <c r="B73" s="12" t="s">
        <v>383</v>
      </c>
      <c r="C73" s="12" t="s">
        <v>92</v>
      </c>
      <c r="F73" s="10">
        <f>F72/G71</f>
        <v>0.22727272727272749</v>
      </c>
      <c r="H73" s="10">
        <f>H72/I71</f>
        <v>0.46874999999999972</v>
      </c>
      <c r="J73" s="10">
        <f>J72/K71</f>
        <v>0.42105263157894735</v>
      </c>
    </row>
    <row r="74" spans="2:11" x14ac:dyDescent="0.3">
      <c r="B74" s="12" t="s">
        <v>293</v>
      </c>
      <c r="C74" s="12" t="s">
        <v>338</v>
      </c>
      <c r="D74">
        <f t="shared" ref="D74:K74" si="8">D25</f>
        <v>0.42</v>
      </c>
      <c r="E74">
        <f t="shared" si="8"/>
        <v>0.41</v>
      </c>
      <c r="F74">
        <f t="shared" si="8"/>
        <v>0.54</v>
      </c>
      <c r="G74">
        <f t="shared" si="8"/>
        <v>0.44</v>
      </c>
      <c r="H74">
        <f t="shared" si="8"/>
        <v>0.47</v>
      </c>
      <c r="I74">
        <f t="shared" si="8"/>
        <v>0.32</v>
      </c>
      <c r="J74">
        <f t="shared" si="8"/>
        <v>0.54</v>
      </c>
      <c r="K74">
        <f t="shared" si="8"/>
        <v>0.38</v>
      </c>
    </row>
    <row r="75" spans="2:11" x14ac:dyDescent="0.3">
      <c r="B75" s="12" t="s">
        <v>402</v>
      </c>
      <c r="C75" s="12" t="s">
        <v>338</v>
      </c>
      <c r="F75" s="3">
        <f>F74-G74</f>
        <v>0.10000000000000003</v>
      </c>
      <c r="G75" s="3"/>
      <c r="H75" s="3">
        <f>H74-I74</f>
        <v>0.14999999999999997</v>
      </c>
      <c r="I75" s="3"/>
      <c r="J75" s="3">
        <f>J74-K74</f>
        <v>0.16000000000000003</v>
      </c>
    </row>
    <row r="76" spans="2:11" x14ac:dyDescent="0.3">
      <c r="B76" s="12" t="s">
        <v>3</v>
      </c>
      <c r="C76" s="12" t="s">
        <v>302</v>
      </c>
      <c r="D76">
        <f t="shared" ref="D76:K76" si="9">D24</f>
        <v>65.599999999999994</v>
      </c>
      <c r="E76">
        <f t="shared" si="9"/>
        <v>66</v>
      </c>
      <c r="F76">
        <f t="shared" si="9"/>
        <v>51.1</v>
      </c>
      <c r="G76">
        <f t="shared" si="9"/>
        <v>65.8</v>
      </c>
      <c r="H76">
        <f t="shared" si="9"/>
        <v>70.900000000000006</v>
      </c>
      <c r="I76">
        <f t="shared" si="9"/>
        <v>68</v>
      </c>
      <c r="J76">
        <f t="shared" si="9"/>
        <v>73.099999999999994</v>
      </c>
      <c r="K76">
        <f t="shared" si="9"/>
        <v>67.099999999999994</v>
      </c>
    </row>
    <row r="77" spans="2:11" x14ac:dyDescent="0.3">
      <c r="B77" s="12" t="s">
        <v>277</v>
      </c>
      <c r="C77" s="12" t="s">
        <v>302</v>
      </c>
      <c r="D77">
        <f t="shared" ref="D77:K77" si="10">D23</f>
        <v>34.4</v>
      </c>
      <c r="E77">
        <f t="shared" si="10"/>
        <v>34.4</v>
      </c>
      <c r="F77">
        <f t="shared" si="10"/>
        <v>12.4</v>
      </c>
      <c r="G77">
        <f t="shared" si="10"/>
        <v>34.1</v>
      </c>
      <c r="H77">
        <f t="shared" si="10"/>
        <v>11.4</v>
      </c>
      <c r="I77">
        <f t="shared" si="10"/>
        <v>32</v>
      </c>
      <c r="J77">
        <f t="shared" si="10"/>
        <v>19.7</v>
      </c>
      <c r="K77">
        <f t="shared" si="10"/>
        <v>32.9</v>
      </c>
    </row>
    <row r="78" spans="2:11" x14ac:dyDescent="0.3">
      <c r="B78" s="12" t="s">
        <v>13</v>
      </c>
      <c r="C78" s="12" t="s">
        <v>302</v>
      </c>
      <c r="F78">
        <f>F22</f>
        <v>36.5</v>
      </c>
      <c r="H78">
        <f>H22</f>
        <v>17.7</v>
      </c>
      <c r="J78">
        <f>J22</f>
        <v>7.2</v>
      </c>
    </row>
    <row r="79" spans="2:11" x14ac:dyDescent="0.3">
      <c r="B79" s="12" t="s">
        <v>35</v>
      </c>
      <c r="C79" s="12"/>
      <c r="D79" s="3">
        <f t="shared" ref="D79:K79" si="11">D31</f>
        <v>7.23</v>
      </c>
      <c r="E79" s="3">
        <f t="shared" si="11"/>
        <v>7.45</v>
      </c>
      <c r="F79" s="3">
        <f t="shared" si="11"/>
        <v>7.28</v>
      </c>
      <c r="G79" s="3">
        <f t="shared" si="11"/>
        <v>7.41</v>
      </c>
      <c r="H79" s="3">
        <f t="shared" si="11"/>
        <v>7.8</v>
      </c>
      <c r="I79" s="3">
        <f t="shared" si="11"/>
        <v>7.42</v>
      </c>
      <c r="J79" s="3">
        <f t="shared" si="11"/>
        <v>8.09</v>
      </c>
      <c r="K79" s="3">
        <f t="shared" si="11"/>
        <v>7.41</v>
      </c>
    </row>
    <row r="80" spans="2:11" x14ac:dyDescent="0.3">
      <c r="B80" s="12" t="s">
        <v>52</v>
      </c>
      <c r="C80" s="12" t="s">
        <v>621</v>
      </c>
      <c r="D80" s="10">
        <f>D35/(1000*Data!$C$34)</f>
        <v>5.204652059371586E-2</v>
      </c>
      <c r="E80" s="10">
        <f>E35/(1000*Data!$C$34)</f>
        <v>5.5687635203152772E-2</v>
      </c>
      <c r="F80" s="10">
        <f>F35/(1000*Data!$C$34)</f>
        <v>4.7834250751426104E-2</v>
      </c>
      <c r="G80" s="10">
        <f>G35/(1000*Data!$C$34)</f>
        <v>4.9404927641771436E-2</v>
      </c>
      <c r="H80" s="10">
        <f>H35/(1000*Data!$C$34)</f>
        <v>5.1475365360863015E-2</v>
      </c>
      <c r="I80" s="10">
        <f>I35/(1000*Data!$C$34)</f>
        <v>5.0118871682837497E-2</v>
      </c>
      <c r="J80" s="10">
        <f>J35/(1000*Data!$C$34)</f>
        <v>5.6687156860645259E-2</v>
      </c>
      <c r="K80" s="10">
        <f>K35/(1000*Data!$C$34)</f>
        <v>5.397416950459423E-2</v>
      </c>
    </row>
    <row r="81" spans="2:13" x14ac:dyDescent="0.3">
      <c r="B81" s="12" t="s">
        <v>558</v>
      </c>
      <c r="C81" s="12" t="s">
        <v>621</v>
      </c>
      <c r="D81" s="61">
        <f>D30/(1000*Data!$D$18)</f>
        <v>5.9281560770260645E-4</v>
      </c>
      <c r="E81" s="61">
        <f>E30/(1000*Data!$D$18)</f>
        <v>5.9614603246498055E-4</v>
      </c>
      <c r="F81" s="61">
        <f>F30/(1000*Data!$D$18)</f>
        <v>7.4934557153419346E-4</v>
      </c>
      <c r="G81" s="61">
        <f>G30/(1000*Data!$D$18)</f>
        <v>4.2462915720270961E-4</v>
      </c>
      <c r="H81" s="61">
        <f>H30/(1000*Data!$D$18)</f>
        <v>4.2129873244033545E-4</v>
      </c>
      <c r="I81" s="61">
        <f>I30/(1000*Data!$D$18)</f>
        <v>4.1963352005914835E-4</v>
      </c>
      <c r="J81" s="61">
        <f>J30/(1000*Data!$D$18)</f>
        <v>5.1788105054918711E-4</v>
      </c>
      <c r="K81" s="61">
        <f>K30/(1000*Data!$D$18)</f>
        <v>2.0815154764838707E-4</v>
      </c>
      <c r="M81" t="s">
        <v>661</v>
      </c>
    </row>
    <row r="82" spans="2:13" s="133" customFormat="1" x14ac:dyDescent="0.3">
      <c r="B82" s="103" t="s">
        <v>1795</v>
      </c>
      <c r="C82" s="103"/>
      <c r="D82" s="61"/>
      <c r="E82" s="61"/>
      <c r="F82" s="61"/>
      <c r="G82" s="61"/>
      <c r="H82" s="61"/>
      <c r="I82" s="61"/>
      <c r="J82" s="61"/>
      <c r="K82" s="61"/>
    </row>
    <row r="83" spans="2:13" x14ac:dyDescent="0.3">
      <c r="B83" s="12" t="s">
        <v>757</v>
      </c>
      <c r="C83" s="12" t="s">
        <v>758</v>
      </c>
      <c r="D83" s="3">
        <f t="shared" ref="D83:K83" si="12">D68/(D33*D32)</f>
        <v>9.1613812544045103E-2</v>
      </c>
      <c r="E83" s="3">
        <f t="shared" si="12"/>
        <v>9.1613812544045103E-2</v>
      </c>
      <c r="F83" s="3">
        <f t="shared" si="12"/>
        <v>9.7795832392988793E-2</v>
      </c>
      <c r="G83" s="3">
        <f t="shared" si="12"/>
        <v>0.10016951764524579</v>
      </c>
      <c r="H83" s="3">
        <f t="shared" si="12"/>
        <v>0.11400775252717185</v>
      </c>
      <c r="I83" s="3">
        <f t="shared" si="12"/>
        <v>0.10869565217391305</v>
      </c>
      <c r="J83" s="3">
        <f t="shared" si="12"/>
        <v>0.11645962732919253</v>
      </c>
      <c r="K83" s="3">
        <f t="shared" si="12"/>
        <v>0.11359333585762971</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9F4-FA5C-40FC-BA2B-237C52D5C224}">
  <dimension ref="A2:Y193"/>
  <sheetViews>
    <sheetView zoomScaleNormal="100" workbookViewId="0"/>
  </sheetViews>
  <sheetFormatPr defaultRowHeight="14.4" x14ac:dyDescent="0.3"/>
  <cols>
    <col min="2" max="2" width="24.88671875" customWidth="1"/>
    <col min="3" max="3" width="10.44140625" customWidth="1"/>
    <col min="17" max="17" width="11.109375" customWidth="1"/>
    <col min="18" max="18" width="8.88671875" customWidth="1"/>
    <col min="19" max="19" width="8.21875" customWidth="1"/>
  </cols>
  <sheetData>
    <row r="2" spans="2:7" x14ac:dyDescent="0.3">
      <c r="B2" s="14" t="s">
        <v>1762</v>
      </c>
    </row>
    <row r="3" spans="2:7" x14ac:dyDescent="0.3">
      <c r="B3" t="s">
        <v>286</v>
      </c>
    </row>
    <row r="4" spans="2:7" x14ac:dyDescent="0.3">
      <c r="B4" s="27" t="s">
        <v>475</v>
      </c>
    </row>
    <row r="6" spans="2:7" s="101" customFormat="1" x14ac:dyDescent="0.3">
      <c r="B6" s="148" t="s">
        <v>114</v>
      </c>
      <c r="D6" s="101" t="s">
        <v>209</v>
      </c>
    </row>
    <row r="7" spans="2:7" s="101" customFormat="1" x14ac:dyDescent="0.3">
      <c r="B7" s="101" t="s">
        <v>667</v>
      </c>
      <c r="C7" s="101" t="s">
        <v>503</v>
      </c>
      <c r="D7" s="101">
        <v>35</v>
      </c>
      <c r="F7" s="101">
        <v>55</v>
      </c>
    </row>
    <row r="8" spans="2:7" s="101" customFormat="1" x14ac:dyDescent="0.3">
      <c r="B8" s="101" t="s">
        <v>1324</v>
      </c>
      <c r="D8" s="101" t="s">
        <v>1325</v>
      </c>
      <c r="G8" s="101" t="s">
        <v>1325</v>
      </c>
    </row>
    <row r="9" spans="2:7" s="101" customFormat="1" x14ac:dyDescent="0.3">
      <c r="B9" s="101" t="s">
        <v>956</v>
      </c>
      <c r="C9" s="101" t="s">
        <v>22</v>
      </c>
      <c r="D9" s="101" t="s">
        <v>1671</v>
      </c>
      <c r="F9" s="101" t="s">
        <v>1671</v>
      </c>
    </row>
    <row r="10" spans="2:7" s="101" customFormat="1" x14ac:dyDescent="0.3">
      <c r="B10" s="101" t="s">
        <v>32</v>
      </c>
      <c r="C10" s="101" t="s">
        <v>22</v>
      </c>
      <c r="D10" s="101" t="s">
        <v>1521</v>
      </c>
      <c r="F10" s="133" t="s">
        <v>1521</v>
      </c>
    </row>
    <row r="11" spans="2:7" s="101" customFormat="1" x14ac:dyDescent="0.3">
      <c r="B11" s="101" t="s">
        <v>326</v>
      </c>
      <c r="D11" s="101" t="s">
        <v>1427</v>
      </c>
      <c r="F11" s="101" t="s">
        <v>1323</v>
      </c>
    </row>
    <row r="12" spans="2:7" s="101" customFormat="1" x14ac:dyDescent="0.3">
      <c r="B12" s="101" t="s">
        <v>344</v>
      </c>
      <c r="D12" s="101" t="s">
        <v>694</v>
      </c>
      <c r="F12" s="101" t="s">
        <v>694</v>
      </c>
    </row>
    <row r="13" spans="2:7" s="101" customFormat="1" x14ac:dyDescent="0.3">
      <c r="B13" s="101" t="s">
        <v>1332</v>
      </c>
      <c r="D13" s="101" t="s">
        <v>328</v>
      </c>
    </row>
    <row r="14" spans="2:7" s="101" customFormat="1" x14ac:dyDescent="0.3">
      <c r="B14" s="101" t="s">
        <v>1330</v>
      </c>
      <c r="D14" s="101" t="s">
        <v>1333</v>
      </c>
    </row>
    <row r="15" spans="2:7" s="133" customFormat="1" x14ac:dyDescent="0.3">
      <c r="B15" s="133" t="s">
        <v>1968</v>
      </c>
      <c r="D15" s="133" t="s">
        <v>1969</v>
      </c>
      <c r="E15" s="133" t="s">
        <v>1971</v>
      </c>
    </row>
    <row r="16" spans="2:7" s="133" customFormat="1" x14ac:dyDescent="0.3">
      <c r="B16" s="133" t="s">
        <v>1541</v>
      </c>
      <c r="D16" s="133" t="s">
        <v>2091</v>
      </c>
    </row>
    <row r="17" spans="2:12" s="133" customFormat="1" x14ac:dyDescent="0.3">
      <c r="B17" s="133" t="s">
        <v>1599</v>
      </c>
      <c r="D17" s="133" t="s">
        <v>2153</v>
      </c>
    </row>
    <row r="18" spans="2:12" s="101" customFormat="1" x14ac:dyDescent="0.3"/>
    <row r="19" spans="2:12" s="101" customFormat="1" x14ac:dyDescent="0.3">
      <c r="B19" s="6"/>
    </row>
    <row r="20" spans="2:12" x14ac:dyDescent="0.3">
      <c r="B20" s="27" t="s">
        <v>287</v>
      </c>
      <c r="D20" t="s">
        <v>284</v>
      </c>
      <c r="F20" t="s">
        <v>285</v>
      </c>
    </row>
    <row r="21" spans="2:12" x14ac:dyDescent="0.3">
      <c r="D21" t="s">
        <v>288</v>
      </c>
      <c r="E21" t="s">
        <v>289</v>
      </c>
      <c r="F21" t="s">
        <v>288</v>
      </c>
      <c r="G21" t="s">
        <v>289</v>
      </c>
    </row>
    <row r="22" spans="2:12" x14ac:dyDescent="0.3">
      <c r="B22" t="s">
        <v>308</v>
      </c>
      <c r="C22" t="s">
        <v>290</v>
      </c>
      <c r="D22">
        <v>94</v>
      </c>
      <c r="E22">
        <v>110</v>
      </c>
      <c r="F22">
        <v>368</v>
      </c>
      <c r="G22">
        <v>385</v>
      </c>
      <c r="J22" t="s">
        <v>2203</v>
      </c>
    </row>
    <row r="23" spans="2:12" x14ac:dyDescent="0.3">
      <c r="B23" t="s">
        <v>340</v>
      </c>
      <c r="C23" t="s">
        <v>290</v>
      </c>
      <c r="D23" t="s">
        <v>301</v>
      </c>
      <c r="E23">
        <v>91</v>
      </c>
      <c r="F23" t="s">
        <v>301</v>
      </c>
      <c r="G23">
        <v>274</v>
      </c>
    </row>
    <row r="24" spans="2:12" x14ac:dyDescent="0.3">
      <c r="B24" t="s">
        <v>3</v>
      </c>
      <c r="C24" t="s">
        <v>302</v>
      </c>
      <c r="D24">
        <v>69.7</v>
      </c>
      <c r="E24">
        <v>88.9</v>
      </c>
      <c r="F24">
        <v>67.099999999999994</v>
      </c>
      <c r="G24">
        <v>85.1</v>
      </c>
      <c r="I24" s="8"/>
    </row>
    <row r="25" spans="2:12" x14ac:dyDescent="0.3">
      <c r="B25" t="s">
        <v>277</v>
      </c>
      <c r="C25" t="s">
        <v>302</v>
      </c>
      <c r="D25">
        <v>30.3</v>
      </c>
      <c r="E25">
        <v>8.8000000000000007</v>
      </c>
      <c r="F25">
        <v>32.9</v>
      </c>
      <c r="G25">
        <v>6.6</v>
      </c>
      <c r="I25" s="3"/>
    </row>
    <row r="26" spans="2:12" x14ac:dyDescent="0.3">
      <c r="B26" t="s">
        <v>13</v>
      </c>
      <c r="C26" t="s">
        <v>302</v>
      </c>
      <c r="D26">
        <v>0</v>
      </c>
      <c r="E26">
        <v>2.2999999999999998</v>
      </c>
      <c r="F26">
        <v>0</v>
      </c>
      <c r="G26">
        <v>8.3000000000000007</v>
      </c>
    </row>
    <row r="27" spans="2:12" x14ac:dyDescent="0.3">
      <c r="B27" t="s">
        <v>291</v>
      </c>
      <c r="C27" t="s">
        <v>303</v>
      </c>
      <c r="D27">
        <v>111</v>
      </c>
      <c r="E27">
        <v>130</v>
      </c>
      <c r="F27">
        <v>249</v>
      </c>
      <c r="G27">
        <v>267</v>
      </c>
    </row>
    <row r="28" spans="2:12" x14ac:dyDescent="0.3">
      <c r="B28" t="s">
        <v>292</v>
      </c>
      <c r="C28" t="s">
        <v>303</v>
      </c>
      <c r="D28">
        <v>111</v>
      </c>
      <c r="E28">
        <v>168</v>
      </c>
      <c r="F28">
        <v>249</v>
      </c>
      <c r="G28">
        <v>359</v>
      </c>
    </row>
    <row r="29" spans="2:12" x14ac:dyDescent="0.3">
      <c r="B29" t="s">
        <v>293</v>
      </c>
      <c r="C29" t="s">
        <v>290</v>
      </c>
      <c r="D29">
        <v>66</v>
      </c>
      <c r="E29">
        <v>100</v>
      </c>
      <c r="F29">
        <v>247</v>
      </c>
      <c r="G29">
        <v>359</v>
      </c>
    </row>
    <row r="30" spans="2:12" x14ac:dyDescent="0.3">
      <c r="B30" t="s">
        <v>294</v>
      </c>
      <c r="C30" t="s">
        <v>290</v>
      </c>
      <c r="D30">
        <v>29</v>
      </c>
      <c r="E30">
        <v>10</v>
      </c>
      <c r="F30">
        <v>121</v>
      </c>
      <c r="G30">
        <v>28</v>
      </c>
    </row>
    <row r="31" spans="2:12" x14ac:dyDescent="0.3">
      <c r="B31" t="s">
        <v>304</v>
      </c>
      <c r="C31" t="s">
        <v>290</v>
      </c>
      <c r="D31">
        <v>0</v>
      </c>
      <c r="E31">
        <v>23</v>
      </c>
      <c r="F31">
        <v>0</v>
      </c>
      <c r="G31">
        <v>93</v>
      </c>
    </row>
    <row r="32" spans="2:12" x14ac:dyDescent="0.3">
      <c r="B32" t="s">
        <v>295</v>
      </c>
      <c r="C32" t="s">
        <v>290</v>
      </c>
      <c r="D32">
        <v>0</v>
      </c>
      <c r="E32">
        <v>192</v>
      </c>
      <c r="F32">
        <v>0</v>
      </c>
      <c r="G32">
        <v>510</v>
      </c>
      <c r="J32" s="133"/>
      <c r="K32" s="133"/>
      <c r="L32" s="133"/>
    </row>
    <row r="33" spans="2:12" x14ac:dyDescent="0.3">
      <c r="B33" t="s">
        <v>296</v>
      </c>
      <c r="C33" t="s">
        <v>290</v>
      </c>
      <c r="D33">
        <v>0</v>
      </c>
      <c r="E33">
        <v>178</v>
      </c>
      <c r="F33">
        <v>0</v>
      </c>
      <c r="G33">
        <v>470</v>
      </c>
      <c r="I33" s="133"/>
      <c r="J33" s="133"/>
      <c r="K33" s="133"/>
      <c r="L33" s="133"/>
    </row>
    <row r="34" spans="2:12" x14ac:dyDescent="0.3">
      <c r="B34" t="s">
        <v>298</v>
      </c>
      <c r="D34">
        <v>7.74</v>
      </c>
      <c r="E34">
        <v>7.78</v>
      </c>
      <c r="F34">
        <v>7.82</v>
      </c>
      <c r="G34">
        <v>7.95</v>
      </c>
      <c r="I34" s="133"/>
      <c r="J34" s="133"/>
      <c r="K34" s="133"/>
      <c r="L34" s="133"/>
    </row>
    <row r="35" spans="2:12" x14ac:dyDescent="0.3">
      <c r="B35" t="s">
        <v>297</v>
      </c>
      <c r="D35">
        <v>7.73</v>
      </c>
      <c r="E35">
        <v>8.17</v>
      </c>
      <c r="F35">
        <v>7.89</v>
      </c>
      <c r="G35">
        <v>8.49</v>
      </c>
      <c r="I35" s="133"/>
      <c r="J35" s="133"/>
      <c r="K35" s="133"/>
      <c r="L35" s="133"/>
    </row>
    <row r="36" spans="2:12" x14ac:dyDescent="0.3">
      <c r="B36" t="s">
        <v>299</v>
      </c>
      <c r="C36" t="s">
        <v>47</v>
      </c>
      <c r="D36">
        <v>0.06</v>
      </c>
      <c r="E36">
        <v>0.17</v>
      </c>
      <c r="F36">
        <v>1.18</v>
      </c>
      <c r="G36">
        <v>0.19</v>
      </c>
      <c r="I36" s="16"/>
    </row>
    <row r="37" spans="2:12" x14ac:dyDescent="0.3">
      <c r="B37" t="s">
        <v>300</v>
      </c>
      <c r="C37" t="s">
        <v>47</v>
      </c>
      <c r="D37">
        <v>0.09</v>
      </c>
      <c r="E37">
        <v>0.16</v>
      </c>
      <c r="F37">
        <v>0.28000000000000003</v>
      </c>
      <c r="G37">
        <v>0.38</v>
      </c>
    </row>
    <row r="39" spans="2:12" s="133" customFormat="1" x14ac:dyDescent="0.3">
      <c r="B39" s="133" t="s">
        <v>33</v>
      </c>
      <c r="C39" s="133" t="s">
        <v>270</v>
      </c>
      <c r="D39" s="198">
        <v>0.6</v>
      </c>
      <c r="E39" s="198">
        <v>0.6</v>
      </c>
      <c r="F39" s="198">
        <v>1</v>
      </c>
      <c r="G39" s="198">
        <v>1</v>
      </c>
    </row>
    <row r="40" spans="2:12" s="101" customFormat="1" x14ac:dyDescent="0.3">
      <c r="B40" s="101" t="s">
        <v>26</v>
      </c>
      <c r="D40" s="101" t="s">
        <v>1522</v>
      </c>
      <c r="F40" s="101" t="s">
        <v>1520</v>
      </c>
    </row>
    <row r="41" spans="2:12" s="133" customFormat="1" x14ac:dyDescent="0.3"/>
    <row r="42" spans="2:12" x14ac:dyDescent="0.3">
      <c r="B42" s="6" t="s">
        <v>877</v>
      </c>
      <c r="E42" s="10"/>
      <c r="G42" s="10"/>
    </row>
    <row r="43" spans="2:12" x14ac:dyDescent="0.3">
      <c r="B43" s="27" t="s">
        <v>349</v>
      </c>
      <c r="C43" t="s">
        <v>302</v>
      </c>
      <c r="D43">
        <f>SUM(D24:D26)</f>
        <v>100</v>
      </c>
      <c r="E43" s="133">
        <f t="shared" ref="E43:G43" si="0">SUM(E24:E26)</f>
        <v>100</v>
      </c>
      <c r="F43" s="133">
        <f t="shared" si="0"/>
        <v>100</v>
      </c>
      <c r="G43" s="133">
        <f t="shared" si="0"/>
        <v>99.999999999999986</v>
      </c>
    </row>
    <row r="44" spans="2:12" x14ac:dyDescent="0.3">
      <c r="B44" t="s">
        <v>352</v>
      </c>
      <c r="C44" t="s">
        <v>377</v>
      </c>
      <c r="E44" s="26">
        <f>(E28-E27)/1000</f>
        <v>3.7999999999999999E-2</v>
      </c>
      <c r="G44" s="26">
        <f>(G28-G27)/1000</f>
        <v>9.1999999999999998E-2</v>
      </c>
      <c r="I44" t="s">
        <v>2201</v>
      </c>
    </row>
    <row r="45" spans="2:12" x14ac:dyDescent="0.3">
      <c r="B45" s="12" t="s">
        <v>352</v>
      </c>
      <c r="C45" s="12" t="s">
        <v>377</v>
      </c>
      <c r="D45" s="12"/>
      <c r="E45" s="26">
        <f>E86-D86</f>
        <v>5.7000000000000009E-2</v>
      </c>
      <c r="F45" s="12"/>
      <c r="G45" s="52">
        <f>G86-F86</f>
        <v>0.10999999999999999</v>
      </c>
      <c r="I45" t="s">
        <v>2200</v>
      </c>
    </row>
    <row r="46" spans="2:12" x14ac:dyDescent="0.3">
      <c r="B46" s="27" t="s">
        <v>332</v>
      </c>
      <c r="C46" t="s">
        <v>302</v>
      </c>
      <c r="D46" s="39">
        <f>100*D24/(D$24+D$25)</f>
        <v>69.7</v>
      </c>
      <c r="E46" s="39">
        <f t="shared" ref="E46:G46" si="1">100*E24/(E$24+E$25)</f>
        <v>90.992835209825998</v>
      </c>
      <c r="F46" s="39">
        <f t="shared" si="1"/>
        <v>67.099999999999994</v>
      </c>
      <c r="G46" s="39">
        <f t="shared" si="1"/>
        <v>92.802617230098164</v>
      </c>
      <c r="I46" t="s">
        <v>2205</v>
      </c>
    </row>
    <row r="47" spans="2:12" s="133" customFormat="1" x14ac:dyDescent="0.3">
      <c r="B47" s="148" t="s">
        <v>40</v>
      </c>
      <c r="C47" s="133" t="s">
        <v>302</v>
      </c>
      <c r="D47" s="39">
        <f>100*D29/D22</f>
        <v>70.212765957446805</v>
      </c>
      <c r="E47" s="39">
        <f t="shared" ref="E47:G47" si="2">100*E29/E22</f>
        <v>90.909090909090907</v>
      </c>
      <c r="F47" s="39">
        <f t="shared" si="2"/>
        <v>67.119565217391298</v>
      </c>
      <c r="G47" s="39">
        <f t="shared" si="2"/>
        <v>93.246753246753244</v>
      </c>
      <c r="I47" s="133" t="s">
        <v>2204</v>
      </c>
    </row>
    <row r="48" spans="2:12" x14ac:dyDescent="0.3">
      <c r="B48" s="27" t="s">
        <v>333</v>
      </c>
      <c r="C48" t="s">
        <v>302</v>
      </c>
      <c r="D48" s="39">
        <f>100*D25/(D$24+D$25)</f>
        <v>30.3</v>
      </c>
      <c r="E48" s="39">
        <f t="shared" ref="E48:G48" si="3">100*E25/(E$24+E$25)</f>
        <v>9.0071647901740022</v>
      </c>
      <c r="F48" s="39">
        <f t="shared" si="3"/>
        <v>32.9</v>
      </c>
      <c r="G48" s="39">
        <f t="shared" si="3"/>
        <v>7.1973827699018544</v>
      </c>
    </row>
    <row r="49" spans="2:11" x14ac:dyDescent="0.3">
      <c r="B49" s="148" t="s">
        <v>317</v>
      </c>
      <c r="C49" t="s">
        <v>290</v>
      </c>
      <c r="D49" s="16">
        <f>D22*D46/100</f>
        <v>65.518000000000001</v>
      </c>
      <c r="E49" s="16">
        <f>E22*E46/100</f>
        <v>100.09211873080859</v>
      </c>
      <c r="F49" s="16">
        <f>F22*F46/100</f>
        <v>246.928</v>
      </c>
      <c r="G49" s="16">
        <f>G22*G46/100</f>
        <v>357.29007633587798</v>
      </c>
      <c r="I49" t="s">
        <v>684</v>
      </c>
    </row>
    <row r="50" spans="2:11" x14ac:dyDescent="0.3">
      <c r="B50" s="148" t="s">
        <v>318</v>
      </c>
      <c r="C50" t="s">
        <v>290</v>
      </c>
      <c r="D50" s="16">
        <f>D22*D48/100</f>
        <v>28.482000000000003</v>
      </c>
      <c r="E50" s="16">
        <f>E22*E48/100</f>
        <v>9.9078812691914031</v>
      </c>
      <c r="F50" s="16">
        <f>F22*F48/100</f>
        <v>121.07199999999999</v>
      </c>
      <c r="G50" s="16">
        <f>G22*G48/100</f>
        <v>27.70992366412214</v>
      </c>
      <c r="I50" t="s">
        <v>685</v>
      </c>
    </row>
    <row r="51" spans="2:11" x14ac:dyDescent="0.3">
      <c r="B51" s="27" t="s">
        <v>467</v>
      </c>
      <c r="C51" t="s">
        <v>290</v>
      </c>
      <c r="D51" s="37"/>
      <c r="E51" s="38">
        <f>(E28-E27)*E39</f>
        <v>22.8</v>
      </c>
      <c r="F51" s="16"/>
      <c r="G51" s="38">
        <f>(G28-G27)*G39</f>
        <v>92</v>
      </c>
      <c r="I51" t="s">
        <v>2206</v>
      </c>
    </row>
    <row r="52" spans="2:11" x14ac:dyDescent="0.3">
      <c r="B52" s="27" t="s">
        <v>374</v>
      </c>
      <c r="C52" t="s">
        <v>290</v>
      </c>
      <c r="D52" s="37"/>
      <c r="E52" s="38">
        <f>D30-E30</f>
        <v>19</v>
      </c>
      <c r="F52" s="16"/>
      <c r="G52" s="38">
        <f>F30-G30</f>
        <v>93</v>
      </c>
      <c r="I52" t="s">
        <v>2207</v>
      </c>
    </row>
    <row r="53" spans="2:11" x14ac:dyDescent="0.3">
      <c r="B53" s="27" t="s">
        <v>321</v>
      </c>
      <c r="C53" t="s">
        <v>290</v>
      </c>
      <c r="D53" s="16"/>
      <c r="E53" s="16">
        <f>E32</f>
        <v>192</v>
      </c>
      <c r="F53" s="16"/>
      <c r="G53" s="16">
        <f>G32</f>
        <v>510</v>
      </c>
    </row>
    <row r="54" spans="2:11" x14ac:dyDescent="0.3">
      <c r="B54" s="27" t="s">
        <v>323</v>
      </c>
      <c r="C54" t="s">
        <v>290</v>
      </c>
      <c r="D54" s="8"/>
      <c r="E54" s="8">
        <f>E22*E26/100</f>
        <v>2.5299999999999998</v>
      </c>
      <c r="F54" s="8"/>
      <c r="G54" s="8">
        <f>G22*G26/100</f>
        <v>31.955000000000005</v>
      </c>
    </row>
    <row r="55" spans="2:11" x14ac:dyDescent="0.3">
      <c r="B55" s="27" t="s">
        <v>433</v>
      </c>
      <c r="C55" t="s">
        <v>290</v>
      </c>
      <c r="D55" s="8"/>
      <c r="E55" s="55">
        <f>E53-E54</f>
        <v>189.47</v>
      </c>
      <c r="F55" s="41"/>
      <c r="G55" s="55">
        <f>G53-G54</f>
        <v>478.04500000000002</v>
      </c>
      <c r="I55" t="s">
        <v>2202</v>
      </c>
    </row>
    <row r="56" spans="2:11" s="101" customFormat="1" x14ac:dyDescent="0.3">
      <c r="B56" s="27" t="s">
        <v>1326</v>
      </c>
      <c r="C56" s="101" t="s">
        <v>338</v>
      </c>
      <c r="D56" s="31">
        <f>(D29+D30)/1000</f>
        <v>9.5000000000000001E-2</v>
      </c>
      <c r="E56" s="31">
        <f>(E29+E30)/1000</f>
        <v>0.11</v>
      </c>
      <c r="F56" s="31">
        <f>(F29+F30)/1000</f>
        <v>0.36799999999999999</v>
      </c>
      <c r="G56" s="31">
        <f>(G29+G30)/1000</f>
        <v>0.38700000000000001</v>
      </c>
    </row>
    <row r="57" spans="2:11" s="103" customFormat="1" x14ac:dyDescent="0.3">
      <c r="B57" s="95" t="s">
        <v>2037</v>
      </c>
      <c r="C57" s="103" t="s">
        <v>338</v>
      </c>
      <c r="D57" s="31">
        <f>D56*(100+D26)/100</f>
        <v>9.5000000000000001E-2</v>
      </c>
      <c r="E57" s="31">
        <f>E56*(100+E26)/100</f>
        <v>0.11253000000000001</v>
      </c>
      <c r="F57" s="31">
        <f>F56*(100+F26)/100</f>
        <v>0.36799999999999999</v>
      </c>
      <c r="G57" s="31">
        <f>G56*(100+G26)/100</f>
        <v>0.41912100000000002</v>
      </c>
    </row>
    <row r="58" spans="2:11" s="103" customFormat="1" x14ac:dyDescent="0.3">
      <c r="B58" s="95" t="s">
        <v>2046</v>
      </c>
      <c r="C58" s="103" t="s">
        <v>338</v>
      </c>
      <c r="D58" s="31">
        <f>D56+D54/1000</f>
        <v>9.5000000000000001E-2</v>
      </c>
      <c r="E58" s="31">
        <f>E56+E54/1000</f>
        <v>0.11253000000000001</v>
      </c>
      <c r="F58" s="31">
        <f>F56+F54/1000</f>
        <v>0.36799999999999999</v>
      </c>
      <c r="G58" s="31">
        <f>G56+G54/1000</f>
        <v>0.41895500000000002</v>
      </c>
      <c r="I58" s="103" t="s">
        <v>197</v>
      </c>
    </row>
    <row r="59" spans="2:11" s="133" customFormat="1" x14ac:dyDescent="0.3">
      <c r="B59" s="148" t="s">
        <v>293</v>
      </c>
      <c r="C59" s="133" t="s">
        <v>338</v>
      </c>
      <c r="D59" s="31">
        <f>D29/1000</f>
        <v>6.6000000000000003E-2</v>
      </c>
      <c r="E59" s="31">
        <f>E29/1000</f>
        <v>0.1</v>
      </c>
      <c r="F59" s="31">
        <f>F29/1000</f>
        <v>0.247</v>
      </c>
      <c r="G59" s="31">
        <f>G29/1000</f>
        <v>0.35899999999999999</v>
      </c>
      <c r="I59" s="133" t="s">
        <v>1552</v>
      </c>
    </row>
    <row r="60" spans="2:11" s="101" customFormat="1" x14ac:dyDescent="0.3">
      <c r="B60" s="27" t="s">
        <v>1603</v>
      </c>
      <c r="C60" s="101" t="s">
        <v>338</v>
      </c>
      <c r="D60" s="10">
        <f t="shared" ref="D60" si="4">D49/1000</f>
        <v>6.5518000000000007E-2</v>
      </c>
      <c r="E60" s="10">
        <f>E49/1000</f>
        <v>0.10009211873080859</v>
      </c>
      <c r="F60" s="10">
        <f t="shared" ref="F60:G60" si="5">F49/1000</f>
        <v>0.24692800000000001</v>
      </c>
      <c r="G60" s="10">
        <f t="shared" si="5"/>
        <v>0.357290076335878</v>
      </c>
    </row>
    <row r="61" spans="2:11" x14ac:dyDescent="0.3">
      <c r="B61" s="27" t="s">
        <v>461</v>
      </c>
      <c r="C61" s="101" t="s">
        <v>338</v>
      </c>
      <c r="D61" s="38"/>
      <c r="E61" s="177">
        <f>E59-D59</f>
        <v>3.4000000000000002E-2</v>
      </c>
      <c r="F61" s="38"/>
      <c r="G61" s="177">
        <f>G59-F59</f>
        <v>0.11199999999999999</v>
      </c>
      <c r="H61" s="54"/>
      <c r="I61" s="133" t="s">
        <v>1604</v>
      </c>
      <c r="J61" s="38"/>
      <c r="K61" s="39"/>
    </row>
    <row r="62" spans="2:11" x14ac:dyDescent="0.3">
      <c r="B62" s="6" t="s">
        <v>40</v>
      </c>
      <c r="C62" t="s">
        <v>338</v>
      </c>
      <c r="E62" s="52">
        <f>(E28-E27)*E83/1000</f>
        <v>2.2800000000000001E-2</v>
      </c>
      <c r="G62" s="52">
        <f>(G28-G27)*G83/1000</f>
        <v>9.1999999999999998E-2</v>
      </c>
      <c r="I62" t="s">
        <v>2208</v>
      </c>
    </row>
    <row r="63" spans="2:11" s="101" customFormat="1" x14ac:dyDescent="0.3">
      <c r="B63" s="27" t="s">
        <v>1327</v>
      </c>
      <c r="C63" s="101" t="s">
        <v>338</v>
      </c>
      <c r="D63" s="10">
        <f>D50/1000</f>
        <v>2.8482000000000004E-2</v>
      </c>
      <c r="E63" s="10">
        <f>E50/1000</f>
        <v>9.9078812691914039E-3</v>
      </c>
      <c r="F63" s="10">
        <f>F50/1000</f>
        <v>0.12107199999999999</v>
      </c>
      <c r="G63" s="10">
        <f>G50/1000</f>
        <v>2.770992366412214E-2</v>
      </c>
    </row>
    <row r="64" spans="2:11" s="101" customFormat="1" x14ac:dyDescent="0.3">
      <c r="B64" s="27" t="s">
        <v>321</v>
      </c>
      <c r="C64" s="101" t="s">
        <v>338</v>
      </c>
      <c r="D64" s="10"/>
      <c r="E64" s="10">
        <f>E53/1000</f>
        <v>0.192</v>
      </c>
      <c r="F64" s="10"/>
      <c r="G64" s="10">
        <f>G53/1000</f>
        <v>0.51</v>
      </c>
    </row>
    <row r="65" spans="1:15" s="101" customFormat="1" x14ac:dyDescent="0.3">
      <c r="B65" s="27" t="s">
        <v>323</v>
      </c>
      <c r="C65" s="101" t="s">
        <v>338</v>
      </c>
      <c r="D65" s="8"/>
      <c r="E65" s="31">
        <f>E54/1000</f>
        <v>2.5299999999999997E-3</v>
      </c>
      <c r="F65" s="41"/>
      <c r="G65" s="31">
        <f>G54/1000</f>
        <v>3.1955000000000004E-2</v>
      </c>
    </row>
    <row r="66" spans="1:15" s="101" customFormat="1" x14ac:dyDescent="0.3">
      <c r="B66" s="27" t="s">
        <v>433</v>
      </c>
      <c r="C66" s="101" t="s">
        <v>338</v>
      </c>
      <c r="D66" s="8"/>
      <c r="E66" s="31">
        <f>E64-E65</f>
        <v>0.18947</v>
      </c>
      <c r="F66" s="41"/>
      <c r="G66" s="31">
        <f>G64-G65</f>
        <v>0.478045</v>
      </c>
      <c r="I66" s="148" t="s">
        <v>2141</v>
      </c>
    </row>
    <row r="67" spans="1:15" x14ac:dyDescent="0.3">
      <c r="B67" s="27" t="s">
        <v>460</v>
      </c>
      <c r="C67" s="101" t="s">
        <v>338</v>
      </c>
      <c r="D67" s="38"/>
      <c r="E67" s="91">
        <f>E66/4</f>
        <v>4.73675E-2</v>
      </c>
      <c r="F67" s="38"/>
      <c r="G67" s="91">
        <f>G66/4</f>
        <v>0.11951125</v>
      </c>
      <c r="H67" s="38"/>
      <c r="I67" s="27"/>
    </row>
    <row r="68" spans="1:15" s="133" customFormat="1" x14ac:dyDescent="0.3">
      <c r="B68" s="148" t="s">
        <v>461</v>
      </c>
      <c r="C68" s="133" t="s">
        <v>338</v>
      </c>
      <c r="D68" s="38"/>
      <c r="E68" s="91">
        <f>E61</f>
        <v>3.4000000000000002E-2</v>
      </c>
      <c r="F68" s="38"/>
      <c r="G68" s="91">
        <f>G61</f>
        <v>0.11199999999999999</v>
      </c>
      <c r="H68" s="38"/>
      <c r="I68" s="148" t="s">
        <v>2141</v>
      </c>
    </row>
    <row r="69" spans="1:15" x14ac:dyDescent="0.3">
      <c r="B69" s="27" t="s">
        <v>465</v>
      </c>
      <c r="C69" s="101" t="s">
        <v>338</v>
      </c>
      <c r="D69" s="38"/>
      <c r="E69" s="91">
        <f>D63-E63</f>
        <v>1.8574118730808602E-2</v>
      </c>
      <c r="F69" s="39"/>
      <c r="G69" s="91">
        <f>F63-G63</f>
        <v>9.3362076335877842E-2</v>
      </c>
      <c r="H69" s="38"/>
      <c r="I69" s="38"/>
      <c r="K69" s="16"/>
    </row>
    <row r="70" spans="1:15" s="133" customFormat="1" x14ac:dyDescent="0.3">
      <c r="A70" s="148"/>
      <c r="B70" s="148" t="s">
        <v>93</v>
      </c>
      <c r="D70" s="37"/>
      <c r="E70" s="37">
        <f>E53/D50</f>
        <v>6.7410996418790807</v>
      </c>
      <c r="F70" s="37"/>
      <c r="G70" s="37">
        <f>G53/F50</f>
        <v>4.2123694991410074</v>
      </c>
      <c r="H70" s="37"/>
      <c r="O70" s="134"/>
    </row>
    <row r="71" spans="1:15" x14ac:dyDescent="0.3">
      <c r="A71" s="148"/>
      <c r="B71" s="148" t="s">
        <v>462</v>
      </c>
      <c r="D71" s="8"/>
      <c r="E71" s="3">
        <f>E66/E64</f>
        <v>0.98682291666666666</v>
      </c>
      <c r="F71" s="8"/>
      <c r="G71" s="3">
        <f>G66/G64</f>
        <v>0.93734313725490193</v>
      </c>
    </row>
    <row r="72" spans="1:15" x14ac:dyDescent="0.3">
      <c r="A72" s="148"/>
      <c r="B72" s="148" t="s">
        <v>2085</v>
      </c>
      <c r="C72" t="s">
        <v>92</v>
      </c>
      <c r="D72" s="37"/>
      <c r="E72" s="37">
        <f>E61/E67</f>
        <v>0.7177917348392886</v>
      </c>
      <c r="F72" s="37"/>
      <c r="G72" s="37">
        <f>G61/G67</f>
        <v>0.93715026828018277</v>
      </c>
      <c r="H72" s="6"/>
      <c r="I72" s="37"/>
      <c r="J72" s="37"/>
      <c r="K72" s="37"/>
    </row>
    <row r="73" spans="1:15" x14ac:dyDescent="0.3">
      <c r="A73" s="148"/>
      <c r="B73" s="148" t="s">
        <v>2087</v>
      </c>
      <c r="C73" t="s">
        <v>92</v>
      </c>
      <c r="D73" s="37"/>
      <c r="E73" s="37">
        <f>E69/E67</f>
        <v>0.39212790902641265</v>
      </c>
      <c r="F73" s="37"/>
      <c r="G73" s="37">
        <f>G69/G67</f>
        <v>0.78119906147645379</v>
      </c>
      <c r="H73" s="37"/>
      <c r="I73" s="37"/>
      <c r="J73" s="37"/>
      <c r="K73" s="37"/>
    </row>
    <row r="74" spans="1:15" x14ac:dyDescent="0.3">
      <c r="A74" s="148"/>
      <c r="B74" s="148" t="s">
        <v>2088</v>
      </c>
      <c r="C74" t="s">
        <v>92</v>
      </c>
      <c r="D74" s="37"/>
      <c r="E74" s="37">
        <f>E61/E69</f>
        <v>1.8305040735851834</v>
      </c>
      <c r="F74" s="37"/>
      <c r="G74" s="37">
        <f>G61/G69</f>
        <v>1.1996305608828863</v>
      </c>
      <c r="H74" s="37"/>
      <c r="I74" s="27"/>
    </row>
    <row r="75" spans="1:15" s="133" customFormat="1" x14ac:dyDescent="0.3">
      <c r="A75" s="148"/>
      <c r="B75" s="148" t="s">
        <v>2096</v>
      </c>
      <c r="C75" s="133" t="s">
        <v>92</v>
      </c>
      <c r="D75" s="37"/>
      <c r="E75" s="37">
        <f>E61/D63</f>
        <v>1.1937363949160873</v>
      </c>
      <c r="F75" s="37"/>
      <c r="G75" s="37">
        <f>G61/F63</f>
        <v>0.92506938020351526</v>
      </c>
      <c r="H75" s="37"/>
      <c r="I75" s="148"/>
    </row>
    <row r="76" spans="1:15" s="133" customFormat="1" x14ac:dyDescent="0.3">
      <c r="A76" s="148"/>
      <c r="B76" s="148" t="s">
        <v>2097</v>
      </c>
      <c r="C76" s="133" t="s">
        <v>92</v>
      </c>
      <c r="D76" s="96"/>
      <c r="E76" s="96">
        <f>E56/D56</f>
        <v>1.1578947368421053</v>
      </c>
      <c r="F76" s="96"/>
      <c r="G76" s="96">
        <f>G56/F56</f>
        <v>1.0516304347826086</v>
      </c>
      <c r="H76" s="96"/>
      <c r="I76" s="148"/>
    </row>
    <row r="77" spans="1:15" x14ac:dyDescent="0.3">
      <c r="A77" s="148"/>
      <c r="B77" s="148" t="s">
        <v>2081</v>
      </c>
      <c r="D77" s="37"/>
      <c r="E77" s="37">
        <f>E66/E61</f>
        <v>5.5726470588235291</v>
      </c>
      <c r="F77" s="37"/>
      <c r="G77" s="37">
        <f>G66/G61</f>
        <v>4.268258928571429</v>
      </c>
      <c r="H77" s="37"/>
      <c r="O77" s="3"/>
    </row>
    <row r="78" spans="1:15" x14ac:dyDescent="0.3">
      <c r="A78" s="148"/>
      <c r="B78" s="148" t="s">
        <v>2137</v>
      </c>
      <c r="D78" s="37"/>
      <c r="E78" s="37">
        <f>E66/E69</f>
        <v>10.200753141828962</v>
      </c>
      <c r="F78" s="37"/>
      <c r="G78" s="37">
        <f>G66/G69</f>
        <v>5.1203338524755306</v>
      </c>
      <c r="H78" s="37"/>
      <c r="O78" s="3"/>
    </row>
    <row r="79" spans="1:15" s="100" customFormat="1" x14ac:dyDescent="0.3">
      <c r="B79" s="27"/>
      <c r="D79" s="37"/>
      <c r="E79" s="37"/>
      <c r="F79" s="37"/>
      <c r="G79" s="37"/>
      <c r="H79" s="37"/>
      <c r="O79" s="3"/>
    </row>
    <row r="80" spans="1:15" x14ac:dyDescent="0.3">
      <c r="B80" s="6" t="s">
        <v>359</v>
      </c>
    </row>
    <row r="81" spans="2:15" s="133" customFormat="1" x14ac:dyDescent="0.3">
      <c r="B81" s="133" t="s">
        <v>1795</v>
      </c>
      <c r="D81" s="8" t="s">
        <v>2156</v>
      </c>
      <c r="E81" s="478" t="s">
        <v>1686</v>
      </c>
      <c r="F81" s="198" t="s">
        <v>2156</v>
      </c>
      <c r="G81" s="478" t="s">
        <v>1686</v>
      </c>
    </row>
    <row r="82" spans="2:15" s="133" customFormat="1" x14ac:dyDescent="0.3">
      <c r="B82" s="148" t="s">
        <v>1792</v>
      </c>
      <c r="D82" s="133" t="s">
        <v>1104</v>
      </c>
      <c r="E82" s="133" t="s">
        <v>1105</v>
      </c>
      <c r="F82" s="133" t="s">
        <v>1104</v>
      </c>
      <c r="G82" s="133" t="s">
        <v>1105</v>
      </c>
    </row>
    <row r="83" spans="2:15" x14ac:dyDescent="0.3">
      <c r="B83" t="s">
        <v>33</v>
      </c>
      <c r="C83" t="s">
        <v>270</v>
      </c>
      <c r="D83" s="8">
        <v>0.6</v>
      </c>
      <c r="E83" s="8">
        <v>0.6</v>
      </c>
      <c r="F83" s="8">
        <v>1</v>
      </c>
      <c r="G83" s="8">
        <v>1</v>
      </c>
    </row>
    <row r="84" spans="2:15" x14ac:dyDescent="0.3">
      <c r="B84" t="s">
        <v>388</v>
      </c>
      <c r="C84" t="s">
        <v>25</v>
      </c>
      <c r="D84" s="8" t="str">
        <f>$D40</f>
        <v>25 and 33</v>
      </c>
      <c r="E84" s="8" t="str">
        <f>$D40</f>
        <v>25 and 33</v>
      </c>
      <c r="F84" s="8" t="str">
        <f>$F40</f>
        <v>15 and 20</v>
      </c>
      <c r="G84" s="8" t="str">
        <f>$F40</f>
        <v>15 and 20</v>
      </c>
    </row>
    <row r="85" spans="2:15" s="133" customFormat="1" x14ac:dyDescent="0.3">
      <c r="B85" s="148" t="s">
        <v>1544</v>
      </c>
      <c r="C85" s="133" t="s">
        <v>338</v>
      </c>
      <c r="D85" s="37"/>
      <c r="E85" s="91">
        <f>E53/1000</f>
        <v>0.192</v>
      </c>
      <c r="F85" s="37"/>
      <c r="G85" s="91">
        <f>G53/1000</f>
        <v>0.51</v>
      </c>
      <c r="H85" s="37"/>
      <c r="O85" s="134"/>
    </row>
    <row r="86" spans="2:15" x14ac:dyDescent="0.3">
      <c r="B86" t="s">
        <v>351</v>
      </c>
      <c r="C86" t="s">
        <v>377</v>
      </c>
      <c r="D86">
        <f>D28/1000</f>
        <v>0.111</v>
      </c>
      <c r="E86">
        <f>E28/1000</f>
        <v>0.16800000000000001</v>
      </c>
      <c r="F86">
        <f>F28/1000</f>
        <v>0.249</v>
      </c>
      <c r="G86">
        <f>G28/1000</f>
        <v>0.35899999999999999</v>
      </c>
    </row>
    <row r="87" spans="2:15" s="133" customFormat="1" x14ac:dyDescent="0.3">
      <c r="B87" s="133" t="s">
        <v>352</v>
      </c>
      <c r="C87" s="133" t="s">
        <v>377</v>
      </c>
      <c r="E87" s="26">
        <f>E45</f>
        <v>5.7000000000000009E-2</v>
      </c>
      <c r="G87" s="26">
        <f>G45</f>
        <v>0.10999999999999999</v>
      </c>
      <c r="I87" s="133" t="s">
        <v>1602</v>
      </c>
    </row>
    <row r="88" spans="2:15" x14ac:dyDescent="0.3">
      <c r="B88" t="s">
        <v>353</v>
      </c>
      <c r="C88" t="s">
        <v>92</v>
      </c>
      <c r="E88" s="10">
        <f>E45/D86</f>
        <v>0.5135135135135136</v>
      </c>
      <c r="G88" s="10">
        <f>G45/F86</f>
        <v>0.44176706827309231</v>
      </c>
    </row>
    <row r="89" spans="2:15" x14ac:dyDescent="0.3">
      <c r="B89" t="s">
        <v>293</v>
      </c>
      <c r="C89" t="s">
        <v>338</v>
      </c>
      <c r="D89" s="10">
        <f>D29/1000</f>
        <v>6.6000000000000003E-2</v>
      </c>
      <c r="E89" s="10">
        <f>E29/1000</f>
        <v>0.1</v>
      </c>
      <c r="F89" s="10">
        <f>F29/1000</f>
        <v>0.247</v>
      </c>
      <c r="G89" s="31">
        <f>G29/1000</f>
        <v>0.35899999999999999</v>
      </c>
      <c r="I89" t="s">
        <v>683</v>
      </c>
    </row>
    <row r="90" spans="2:15" x14ac:dyDescent="0.3">
      <c r="B90" t="s">
        <v>402</v>
      </c>
      <c r="C90" t="s">
        <v>338</v>
      </c>
      <c r="E90" s="52">
        <f>E61</f>
        <v>3.4000000000000002E-2</v>
      </c>
      <c r="G90" s="52">
        <f>G61</f>
        <v>0.11199999999999999</v>
      </c>
    </row>
    <row r="91" spans="2:15" x14ac:dyDescent="0.3">
      <c r="B91" t="s">
        <v>3</v>
      </c>
      <c r="C91" t="s">
        <v>302</v>
      </c>
      <c r="D91">
        <f t="shared" ref="D91:G92" si="6">D24</f>
        <v>69.7</v>
      </c>
      <c r="E91">
        <f t="shared" si="6"/>
        <v>88.9</v>
      </c>
      <c r="F91">
        <f t="shared" si="6"/>
        <v>67.099999999999994</v>
      </c>
      <c r="G91">
        <f t="shared" si="6"/>
        <v>85.1</v>
      </c>
    </row>
    <row r="92" spans="2:15" x14ac:dyDescent="0.3">
      <c r="B92" t="s">
        <v>277</v>
      </c>
      <c r="C92" t="s">
        <v>302</v>
      </c>
      <c r="D92">
        <f t="shared" si="6"/>
        <v>30.3</v>
      </c>
      <c r="E92">
        <f t="shared" si="6"/>
        <v>8.8000000000000007</v>
      </c>
      <c r="F92">
        <f t="shared" si="6"/>
        <v>32.9</v>
      </c>
      <c r="G92">
        <f t="shared" si="6"/>
        <v>6.6</v>
      </c>
    </row>
    <row r="93" spans="2:15" x14ac:dyDescent="0.3">
      <c r="B93" t="s">
        <v>13</v>
      </c>
      <c r="C93" t="s">
        <v>302</v>
      </c>
      <c r="D93" s="8"/>
      <c r="E93" s="8">
        <f>E26</f>
        <v>2.2999999999999998</v>
      </c>
      <c r="F93" s="8"/>
      <c r="G93" s="8">
        <f>G26</f>
        <v>8.3000000000000007</v>
      </c>
    </row>
    <row r="94" spans="2:15" x14ac:dyDescent="0.3">
      <c r="B94" t="s">
        <v>35</v>
      </c>
      <c r="D94" s="3">
        <f>D35</f>
        <v>7.73</v>
      </c>
      <c r="E94" s="3">
        <f>E35</f>
        <v>8.17</v>
      </c>
      <c r="F94" s="3">
        <f>F35</f>
        <v>7.89</v>
      </c>
      <c r="G94" s="3">
        <f>G35</f>
        <v>8.49</v>
      </c>
    </row>
    <row r="95" spans="2:15" x14ac:dyDescent="0.3">
      <c r="B95" t="s">
        <v>52</v>
      </c>
      <c r="C95" t="s">
        <v>621</v>
      </c>
      <c r="D95" s="8" t="s">
        <v>1671</v>
      </c>
      <c r="E95" s="8" t="s">
        <v>1671</v>
      </c>
      <c r="F95" s="8" t="s">
        <v>1671</v>
      </c>
      <c r="G95" s="8" t="s">
        <v>1671</v>
      </c>
      <c r="I95" t="s">
        <v>658</v>
      </c>
    </row>
    <row r="96" spans="2:15" x14ac:dyDescent="0.3">
      <c r="B96" t="s">
        <v>558</v>
      </c>
      <c r="C96" t="s">
        <v>621</v>
      </c>
      <c r="D96" s="8" t="s">
        <v>171</v>
      </c>
      <c r="E96" s="8" t="s">
        <v>171</v>
      </c>
      <c r="F96" s="8" t="s">
        <v>171</v>
      </c>
      <c r="G96" s="8" t="s">
        <v>171</v>
      </c>
      <c r="I96" t="s">
        <v>660</v>
      </c>
    </row>
    <row r="97" spans="2:9" x14ac:dyDescent="0.3">
      <c r="B97" s="12" t="s">
        <v>757</v>
      </c>
      <c r="C97" s="12" t="s">
        <v>758</v>
      </c>
      <c r="D97" s="3"/>
      <c r="E97" s="3"/>
      <c r="F97" s="3"/>
      <c r="G97" s="3"/>
      <c r="I97" t="s">
        <v>760</v>
      </c>
    </row>
    <row r="98" spans="2:9" x14ac:dyDescent="0.3">
      <c r="E98" s="10"/>
      <c r="G98" s="10"/>
    </row>
    <row r="101" spans="2:9" x14ac:dyDescent="0.3">
      <c r="B101" s="14" t="s">
        <v>1763</v>
      </c>
    </row>
    <row r="102" spans="2:9" x14ac:dyDescent="0.3">
      <c r="B102" t="s">
        <v>283</v>
      </c>
    </row>
    <row r="103" spans="2:9" x14ac:dyDescent="0.3">
      <c r="B103" t="s">
        <v>473</v>
      </c>
    </row>
    <row r="105" spans="2:9" s="133" customFormat="1" x14ac:dyDescent="0.3">
      <c r="B105" s="148" t="s">
        <v>114</v>
      </c>
      <c r="D105" s="133" t="s">
        <v>1625</v>
      </c>
    </row>
    <row r="106" spans="2:9" s="133" customFormat="1" x14ac:dyDescent="0.3">
      <c r="B106" s="133" t="s">
        <v>667</v>
      </c>
      <c r="C106" s="133" t="s">
        <v>503</v>
      </c>
      <c r="D106" s="133">
        <v>55</v>
      </c>
    </row>
    <row r="107" spans="2:9" s="133" customFormat="1" x14ac:dyDescent="0.3">
      <c r="B107" s="133" t="s">
        <v>1324</v>
      </c>
      <c r="D107" s="133" t="s">
        <v>1626</v>
      </c>
    </row>
    <row r="108" spans="2:9" s="133" customFormat="1" x14ac:dyDescent="0.3">
      <c r="B108" s="133" t="s">
        <v>956</v>
      </c>
      <c r="C108" s="133" t="s">
        <v>22</v>
      </c>
      <c r="D108" s="133" t="s">
        <v>1671</v>
      </c>
      <c r="F108" s="133" t="s">
        <v>1627</v>
      </c>
    </row>
    <row r="109" spans="2:9" s="133" customFormat="1" x14ac:dyDescent="0.3">
      <c r="B109" s="133" t="s">
        <v>32</v>
      </c>
      <c r="C109" s="133" t="s">
        <v>22</v>
      </c>
      <c r="D109" s="133">
        <v>1.4</v>
      </c>
    </row>
    <row r="110" spans="2:9" s="133" customFormat="1" x14ac:dyDescent="0.3">
      <c r="B110" s="133" t="s">
        <v>326</v>
      </c>
      <c r="D110" s="133" t="s">
        <v>343</v>
      </c>
    </row>
    <row r="111" spans="2:9" s="133" customFormat="1" x14ac:dyDescent="0.3">
      <c r="B111" s="133" t="s">
        <v>344</v>
      </c>
      <c r="D111" s="133" t="s">
        <v>694</v>
      </c>
    </row>
    <row r="112" spans="2:9" s="133" customFormat="1" x14ac:dyDescent="0.3">
      <c r="B112" s="133" t="s">
        <v>1332</v>
      </c>
      <c r="D112" s="133" t="s">
        <v>2114</v>
      </c>
      <c r="E112" s="133" t="s">
        <v>1628</v>
      </c>
      <c r="F112" s="133" t="s">
        <v>1629</v>
      </c>
    </row>
    <row r="113" spans="2:20" s="133" customFormat="1" x14ac:dyDescent="0.3">
      <c r="B113" s="133" t="s">
        <v>1330</v>
      </c>
      <c r="D113" s="133" t="s">
        <v>1333</v>
      </c>
    </row>
    <row r="114" spans="2:20" s="133" customFormat="1" x14ac:dyDescent="0.3">
      <c r="B114" s="133" t="s">
        <v>1968</v>
      </c>
      <c r="D114" s="133" t="s">
        <v>2090</v>
      </c>
      <c r="E114" s="133" t="s">
        <v>1970</v>
      </c>
    </row>
    <row r="115" spans="2:20" s="133" customFormat="1" x14ac:dyDescent="0.3">
      <c r="B115" s="133" t="s">
        <v>1541</v>
      </c>
      <c r="D115" s="133" t="s">
        <v>2118</v>
      </c>
    </row>
    <row r="116" spans="2:20" s="133" customFormat="1" x14ac:dyDescent="0.3">
      <c r="B116" s="133" t="s">
        <v>1599</v>
      </c>
      <c r="D116" s="133" t="s">
        <v>2127</v>
      </c>
    </row>
    <row r="117" spans="2:20" s="133" customFormat="1" x14ac:dyDescent="0.3"/>
    <row r="118" spans="2:20" x14ac:dyDescent="0.3">
      <c r="B118" t="s">
        <v>360</v>
      </c>
      <c r="D118" t="s">
        <v>673</v>
      </c>
      <c r="F118" t="s">
        <v>674</v>
      </c>
      <c r="H118" t="s">
        <v>675</v>
      </c>
      <c r="J118" t="s">
        <v>676</v>
      </c>
      <c r="M118" t="s">
        <v>222</v>
      </c>
      <c r="O118" t="s">
        <v>677</v>
      </c>
      <c r="Q118" t="s">
        <v>678</v>
      </c>
      <c r="S118" t="s">
        <v>679</v>
      </c>
    </row>
    <row r="119" spans="2:20" x14ac:dyDescent="0.3">
      <c r="B119" t="s">
        <v>356</v>
      </c>
      <c r="D119" t="s">
        <v>301</v>
      </c>
      <c r="F119" t="s">
        <v>341</v>
      </c>
      <c r="H119" t="s">
        <v>341</v>
      </c>
      <c r="J119" t="s">
        <v>342</v>
      </c>
    </row>
    <row r="120" spans="2:20" x14ac:dyDescent="0.3">
      <c r="B120" t="s">
        <v>53</v>
      </c>
      <c r="D120" t="s">
        <v>427</v>
      </c>
      <c r="E120" t="s">
        <v>354</v>
      </c>
      <c r="F120" t="s">
        <v>355</v>
      </c>
      <c r="G120" t="s">
        <v>354</v>
      </c>
      <c r="H120" t="s">
        <v>355</v>
      </c>
      <c r="I120" t="s">
        <v>354</v>
      </c>
      <c r="J120" t="s">
        <v>355</v>
      </c>
      <c r="K120" t="s">
        <v>354</v>
      </c>
      <c r="L120" t="s">
        <v>762</v>
      </c>
      <c r="M120" t="s">
        <v>355</v>
      </c>
      <c r="N120" t="s">
        <v>354</v>
      </c>
      <c r="O120" t="s">
        <v>355</v>
      </c>
      <c r="P120" t="s">
        <v>354</v>
      </c>
      <c r="Q120" t="s">
        <v>355</v>
      </c>
      <c r="R120" t="s">
        <v>354</v>
      </c>
      <c r="S120" t="s">
        <v>355</v>
      </c>
      <c r="T120" t="s">
        <v>354</v>
      </c>
    </row>
    <row r="121" spans="2:20" x14ac:dyDescent="0.3">
      <c r="B121" t="s">
        <v>343</v>
      </c>
      <c r="C121" t="s">
        <v>348</v>
      </c>
      <c r="D121">
        <v>4</v>
      </c>
      <c r="E121">
        <v>4</v>
      </c>
      <c r="F121">
        <v>4</v>
      </c>
      <c r="G121">
        <v>4</v>
      </c>
      <c r="H121">
        <v>7</v>
      </c>
      <c r="I121">
        <v>7</v>
      </c>
      <c r="J121">
        <v>7</v>
      </c>
      <c r="K121">
        <v>7</v>
      </c>
      <c r="L121" t="s">
        <v>348</v>
      </c>
      <c r="M121">
        <v>7</v>
      </c>
      <c r="N121">
        <v>7</v>
      </c>
      <c r="O121">
        <v>7</v>
      </c>
      <c r="P121">
        <v>7</v>
      </c>
      <c r="Q121">
        <v>7</v>
      </c>
      <c r="R121">
        <v>7</v>
      </c>
      <c r="S121">
        <v>7</v>
      </c>
      <c r="T121">
        <v>7</v>
      </c>
    </row>
    <row r="122" spans="2:20" x14ac:dyDescent="0.3">
      <c r="B122" t="s">
        <v>344</v>
      </c>
      <c r="C122" t="s">
        <v>347</v>
      </c>
      <c r="D122" t="s">
        <v>301</v>
      </c>
      <c r="E122" t="s">
        <v>301</v>
      </c>
      <c r="F122" t="s">
        <v>301</v>
      </c>
      <c r="G122" t="s">
        <v>301</v>
      </c>
      <c r="H122" t="s">
        <v>301</v>
      </c>
      <c r="I122" t="s">
        <v>301</v>
      </c>
      <c r="J122" t="s">
        <v>301</v>
      </c>
      <c r="K122" t="s">
        <v>301</v>
      </c>
      <c r="L122" t="s">
        <v>347</v>
      </c>
      <c r="M122">
        <v>4</v>
      </c>
      <c r="O122">
        <v>6</v>
      </c>
      <c r="Q122">
        <v>6</v>
      </c>
      <c r="S122">
        <v>6</v>
      </c>
    </row>
    <row r="123" spans="2:20" x14ac:dyDescent="0.3">
      <c r="B123" t="s">
        <v>308</v>
      </c>
      <c r="C123" t="s">
        <v>290</v>
      </c>
      <c r="D123">
        <v>2167</v>
      </c>
      <c r="E123">
        <v>2127</v>
      </c>
      <c r="F123">
        <v>2093</v>
      </c>
      <c r="G123">
        <v>2229</v>
      </c>
      <c r="H123">
        <v>2072</v>
      </c>
      <c r="I123">
        <v>2015</v>
      </c>
      <c r="J123">
        <v>1953</v>
      </c>
      <c r="K123">
        <v>1787</v>
      </c>
      <c r="L123" t="s">
        <v>290</v>
      </c>
      <c r="M123">
        <v>1786</v>
      </c>
      <c r="N123">
        <v>1900</v>
      </c>
      <c r="O123">
        <v>1521</v>
      </c>
      <c r="P123">
        <v>2018</v>
      </c>
      <c r="Q123">
        <v>1337</v>
      </c>
      <c r="R123">
        <v>1175</v>
      </c>
      <c r="S123">
        <v>1261</v>
      </c>
      <c r="T123">
        <v>1558</v>
      </c>
    </row>
    <row r="124" spans="2:20" x14ac:dyDescent="0.3">
      <c r="B124" t="s">
        <v>3</v>
      </c>
      <c r="C124" t="s">
        <v>302</v>
      </c>
      <c r="D124">
        <v>58.2</v>
      </c>
      <c r="E124">
        <v>60.3</v>
      </c>
      <c r="F124">
        <v>40.4</v>
      </c>
      <c r="G124">
        <v>60.6</v>
      </c>
      <c r="H124">
        <v>44.9</v>
      </c>
      <c r="I124">
        <v>60.9</v>
      </c>
      <c r="J124">
        <v>52</v>
      </c>
      <c r="K124">
        <v>62.5</v>
      </c>
      <c r="L124" t="s">
        <v>302</v>
      </c>
      <c r="M124">
        <v>66.400000000000006</v>
      </c>
      <c r="N124">
        <v>61.1</v>
      </c>
      <c r="O124">
        <v>66</v>
      </c>
      <c r="P124">
        <v>65</v>
      </c>
      <c r="Q124">
        <v>67.599999999999994</v>
      </c>
      <c r="R124">
        <v>65</v>
      </c>
      <c r="S124">
        <v>81.3</v>
      </c>
      <c r="T124">
        <v>66.7</v>
      </c>
    </row>
    <row r="125" spans="2:20" x14ac:dyDescent="0.3">
      <c r="B125" t="s">
        <v>277</v>
      </c>
      <c r="C125" t="s">
        <v>302</v>
      </c>
      <c r="D125">
        <v>41.8</v>
      </c>
      <c r="E125">
        <v>39.700000000000003</v>
      </c>
      <c r="F125">
        <v>14.9</v>
      </c>
      <c r="G125">
        <v>39.4</v>
      </c>
      <c r="H125">
        <v>18.5</v>
      </c>
      <c r="I125">
        <v>39.1</v>
      </c>
      <c r="J125">
        <v>17</v>
      </c>
      <c r="K125">
        <v>37.5</v>
      </c>
      <c r="L125" t="s">
        <v>302</v>
      </c>
      <c r="M125" s="8">
        <v>20.5</v>
      </c>
      <c r="N125" s="8">
        <v>38.9</v>
      </c>
      <c r="O125" s="8">
        <v>18.350000000000001</v>
      </c>
      <c r="P125" s="8">
        <v>35</v>
      </c>
      <c r="Q125" s="8">
        <v>18.8</v>
      </c>
      <c r="R125" s="8">
        <v>35</v>
      </c>
      <c r="S125" s="8">
        <v>10.199999999999999</v>
      </c>
      <c r="T125" s="8">
        <v>33.200000000000003</v>
      </c>
    </row>
    <row r="126" spans="2:20" x14ac:dyDescent="0.3">
      <c r="B126" t="s">
        <v>13</v>
      </c>
      <c r="C126" t="s">
        <v>302</v>
      </c>
      <c r="F126">
        <v>44.6</v>
      </c>
      <c r="H126">
        <v>36.6</v>
      </c>
      <c r="J126">
        <v>31</v>
      </c>
      <c r="L126" t="s">
        <v>302</v>
      </c>
      <c r="M126">
        <v>13</v>
      </c>
      <c r="O126">
        <v>15.7</v>
      </c>
      <c r="Q126">
        <v>13.5</v>
      </c>
      <c r="S126">
        <v>8.5</v>
      </c>
    </row>
    <row r="127" spans="2:20" x14ac:dyDescent="0.3">
      <c r="B127" t="s">
        <v>293</v>
      </c>
      <c r="C127" t="s">
        <v>290</v>
      </c>
      <c r="D127">
        <v>1255</v>
      </c>
      <c r="E127">
        <v>1277</v>
      </c>
      <c r="F127" s="103">
        <v>1528</v>
      </c>
      <c r="G127">
        <v>1350</v>
      </c>
      <c r="H127" s="178">
        <v>1497</v>
      </c>
      <c r="I127">
        <v>1227</v>
      </c>
      <c r="J127" s="103">
        <v>1471</v>
      </c>
      <c r="K127">
        <v>1117</v>
      </c>
      <c r="L127" t="s">
        <v>290</v>
      </c>
      <c r="M127" s="178">
        <v>1365</v>
      </c>
      <c r="N127">
        <v>1161</v>
      </c>
      <c r="O127">
        <v>1188</v>
      </c>
      <c r="P127">
        <v>1308</v>
      </c>
      <c r="Q127">
        <v>1046</v>
      </c>
      <c r="R127">
        <v>763</v>
      </c>
      <c r="S127">
        <v>1145</v>
      </c>
      <c r="T127">
        <v>1039</v>
      </c>
    </row>
    <row r="128" spans="2:20" x14ac:dyDescent="0.3">
      <c r="B128" t="s">
        <v>350</v>
      </c>
      <c r="C128" t="s">
        <v>290</v>
      </c>
      <c r="D128">
        <v>912</v>
      </c>
      <c r="E128">
        <v>850</v>
      </c>
      <c r="F128">
        <v>565</v>
      </c>
      <c r="G128">
        <v>878</v>
      </c>
      <c r="H128">
        <v>618</v>
      </c>
      <c r="I128">
        <v>789</v>
      </c>
      <c r="J128">
        <v>482</v>
      </c>
      <c r="K128">
        <v>670</v>
      </c>
      <c r="L128" t="s">
        <v>290</v>
      </c>
      <c r="M128">
        <v>421</v>
      </c>
      <c r="N128">
        <v>740</v>
      </c>
      <c r="O128">
        <v>333</v>
      </c>
      <c r="P128">
        <v>710</v>
      </c>
      <c r="Q128">
        <v>291</v>
      </c>
      <c r="R128">
        <v>412</v>
      </c>
      <c r="S128">
        <v>121</v>
      </c>
      <c r="T128">
        <v>615</v>
      </c>
    </row>
    <row r="129" spans="2:22" x14ac:dyDescent="0.3">
      <c r="B129" t="s">
        <v>295</v>
      </c>
      <c r="C129" t="s">
        <v>290</v>
      </c>
      <c r="D129">
        <v>0</v>
      </c>
      <c r="E129">
        <v>0</v>
      </c>
      <c r="F129">
        <v>3477</v>
      </c>
      <c r="G129">
        <v>0</v>
      </c>
      <c r="H129">
        <v>2636</v>
      </c>
      <c r="I129">
        <v>0</v>
      </c>
      <c r="J129">
        <v>2629</v>
      </c>
      <c r="K129">
        <v>0</v>
      </c>
      <c r="L129" t="s">
        <v>290</v>
      </c>
      <c r="M129">
        <v>2144</v>
      </c>
      <c r="O129">
        <v>1834</v>
      </c>
      <c r="Q129">
        <v>1768</v>
      </c>
      <c r="S129">
        <v>1828</v>
      </c>
    </row>
    <row r="130" spans="2:22" x14ac:dyDescent="0.3">
      <c r="B130" t="s">
        <v>296</v>
      </c>
      <c r="C130" t="s">
        <v>290</v>
      </c>
      <c r="D130">
        <v>0</v>
      </c>
      <c r="E130">
        <v>0</v>
      </c>
      <c r="F130">
        <v>1769</v>
      </c>
      <c r="G130">
        <v>0</v>
      </c>
      <c r="H130">
        <v>1412</v>
      </c>
      <c r="I130">
        <v>0</v>
      </c>
      <c r="J130">
        <v>1756</v>
      </c>
      <c r="K130">
        <v>0</v>
      </c>
      <c r="L130" t="s">
        <v>290</v>
      </c>
      <c r="M130">
        <v>1873</v>
      </c>
      <c r="O130">
        <v>1551</v>
      </c>
      <c r="Q130">
        <v>1536</v>
      </c>
      <c r="S130">
        <v>1717</v>
      </c>
    </row>
    <row r="131" spans="2:22" x14ac:dyDescent="0.3">
      <c r="B131" t="s">
        <v>35</v>
      </c>
      <c r="D131">
        <v>7.46</v>
      </c>
      <c r="E131">
        <v>7.49</v>
      </c>
      <c r="F131">
        <v>7.92</v>
      </c>
      <c r="G131">
        <v>7.59</v>
      </c>
      <c r="H131">
        <v>7.9</v>
      </c>
      <c r="I131">
        <v>7.6</v>
      </c>
      <c r="J131">
        <v>7.93</v>
      </c>
      <c r="K131">
        <v>7.56</v>
      </c>
      <c r="M131">
        <v>7.83</v>
      </c>
      <c r="N131">
        <v>7.64</v>
      </c>
      <c r="O131">
        <v>8.24</v>
      </c>
      <c r="P131">
        <v>7.85</v>
      </c>
      <c r="Q131">
        <v>8.18</v>
      </c>
      <c r="R131">
        <v>7.92</v>
      </c>
      <c r="S131">
        <v>8.3800000000000008</v>
      </c>
      <c r="T131">
        <v>7.99</v>
      </c>
    </row>
    <row r="132" spans="2:22" x14ac:dyDescent="0.3">
      <c r="B132" t="s">
        <v>345</v>
      </c>
      <c r="C132" t="s">
        <v>47</v>
      </c>
      <c r="D132">
        <v>1.69</v>
      </c>
      <c r="E132">
        <v>1.21</v>
      </c>
      <c r="F132">
        <v>3.4</v>
      </c>
      <c r="G132">
        <v>1.41</v>
      </c>
      <c r="H132">
        <v>3.6</v>
      </c>
      <c r="I132">
        <v>2.2599999999999998</v>
      </c>
      <c r="J132">
        <v>2.81</v>
      </c>
      <c r="K132">
        <v>2.37</v>
      </c>
      <c r="L132" t="s">
        <v>47</v>
      </c>
      <c r="M132">
        <v>5.1100000000000003</v>
      </c>
      <c r="N132">
        <v>3.24</v>
      </c>
      <c r="O132">
        <v>3.66</v>
      </c>
      <c r="P132">
        <v>2.37</v>
      </c>
      <c r="Q132">
        <v>4.34</v>
      </c>
      <c r="R132">
        <v>3.21</v>
      </c>
      <c r="S132">
        <v>3.87</v>
      </c>
      <c r="T132">
        <v>2.36</v>
      </c>
    </row>
    <row r="133" spans="2:22" x14ac:dyDescent="0.3">
      <c r="B133" t="s">
        <v>309</v>
      </c>
      <c r="C133" t="s">
        <v>346</v>
      </c>
      <c r="D133">
        <v>41.3</v>
      </c>
      <c r="E133">
        <v>49</v>
      </c>
      <c r="F133">
        <v>55.3</v>
      </c>
      <c r="G133">
        <v>51.5</v>
      </c>
      <c r="H133">
        <v>51.8</v>
      </c>
      <c r="I133">
        <v>47.3</v>
      </c>
      <c r="J133">
        <v>49.7</v>
      </c>
      <c r="K133">
        <v>47.2</v>
      </c>
      <c r="L133" t="s">
        <v>346</v>
      </c>
      <c r="M133">
        <v>64.599999999999994</v>
      </c>
      <c r="N133">
        <v>46</v>
      </c>
      <c r="O133">
        <v>39.9</v>
      </c>
      <c r="P133">
        <v>39.4</v>
      </c>
      <c r="Q133">
        <v>37</v>
      </c>
      <c r="R133">
        <v>36.5</v>
      </c>
      <c r="S133">
        <v>30.3</v>
      </c>
      <c r="T133">
        <v>34.5</v>
      </c>
    </row>
    <row r="134" spans="2:22" x14ac:dyDescent="0.3">
      <c r="B134" t="s">
        <v>309</v>
      </c>
      <c r="C134" t="s">
        <v>47</v>
      </c>
      <c r="D134" s="10">
        <f t="shared" ref="D134:K134" si="7">D132*D133/100</f>
        <v>0.69796999999999998</v>
      </c>
      <c r="E134" s="10">
        <f t="shared" si="7"/>
        <v>0.59289999999999998</v>
      </c>
      <c r="F134" s="10">
        <f t="shared" si="7"/>
        <v>1.8801999999999999</v>
      </c>
      <c r="G134" s="10">
        <f t="shared" si="7"/>
        <v>0.72614999999999996</v>
      </c>
      <c r="H134" s="10">
        <f t="shared" si="7"/>
        <v>1.8647999999999998</v>
      </c>
      <c r="I134" s="10">
        <f t="shared" si="7"/>
        <v>1.0689799999999998</v>
      </c>
      <c r="J134" s="10">
        <f t="shared" si="7"/>
        <v>1.3965700000000001</v>
      </c>
      <c r="K134" s="10">
        <f t="shared" si="7"/>
        <v>1.1186400000000001</v>
      </c>
      <c r="L134" s="10"/>
      <c r="M134" s="10">
        <f t="shared" ref="M134:T134" si="8">M132*M133/100</f>
        <v>3.3010600000000001</v>
      </c>
      <c r="N134" s="10">
        <f t="shared" si="8"/>
        <v>1.4904000000000002</v>
      </c>
      <c r="O134" s="10">
        <f t="shared" si="8"/>
        <v>1.46034</v>
      </c>
      <c r="P134" s="10">
        <f t="shared" si="8"/>
        <v>0.93378000000000005</v>
      </c>
      <c r="Q134" s="10">
        <f t="shared" si="8"/>
        <v>1.6057999999999999</v>
      </c>
      <c r="R134" s="10">
        <f t="shared" si="8"/>
        <v>1.1716499999999999</v>
      </c>
      <c r="S134" s="10">
        <f t="shared" si="8"/>
        <v>1.1726100000000002</v>
      </c>
      <c r="T134" s="10">
        <f t="shared" si="8"/>
        <v>0.81420000000000003</v>
      </c>
    </row>
    <row r="135" spans="2:22" x14ac:dyDescent="0.3">
      <c r="B135" t="s">
        <v>672</v>
      </c>
      <c r="D135" s="10"/>
      <c r="E135" s="10"/>
      <c r="F135" s="10">
        <v>0.51</v>
      </c>
      <c r="G135" s="10"/>
      <c r="H135" s="10">
        <v>0.53</v>
      </c>
      <c r="I135" s="10"/>
      <c r="J135" s="10">
        <v>0.67</v>
      </c>
      <c r="K135" s="10"/>
      <c r="L135" s="10"/>
      <c r="M135" s="10">
        <v>0.87</v>
      </c>
      <c r="N135" s="10"/>
      <c r="O135" s="10">
        <v>0.87</v>
      </c>
      <c r="P135" s="10"/>
      <c r="Q135" s="78">
        <v>0.87</v>
      </c>
      <c r="R135" s="10"/>
      <c r="S135" s="10">
        <v>0.94</v>
      </c>
      <c r="T135" s="10"/>
    </row>
    <row r="137" spans="2:22" x14ac:dyDescent="0.3">
      <c r="B137" s="6" t="s">
        <v>877</v>
      </c>
      <c r="E137" s="10"/>
      <c r="G137" s="10"/>
    </row>
    <row r="138" spans="2:22" x14ac:dyDescent="0.3">
      <c r="B138" s="27" t="s">
        <v>349</v>
      </c>
      <c r="C138" t="s">
        <v>302</v>
      </c>
      <c r="D138">
        <f t="shared" ref="D138:K138" si="9">SUM(D124:D126)</f>
        <v>100</v>
      </c>
      <c r="E138">
        <f t="shared" si="9"/>
        <v>100</v>
      </c>
      <c r="F138">
        <f t="shared" si="9"/>
        <v>99.9</v>
      </c>
      <c r="G138">
        <f t="shared" si="9"/>
        <v>100</v>
      </c>
      <c r="H138">
        <f t="shared" si="9"/>
        <v>100</v>
      </c>
      <c r="I138">
        <f t="shared" si="9"/>
        <v>100</v>
      </c>
      <c r="J138">
        <f t="shared" si="9"/>
        <v>100</v>
      </c>
      <c r="K138">
        <f t="shared" si="9"/>
        <v>100</v>
      </c>
      <c r="M138" s="12">
        <f t="shared" ref="M138:T138" si="10">SUM(M124:M126)</f>
        <v>99.9</v>
      </c>
      <c r="N138" s="12">
        <f t="shared" si="10"/>
        <v>100</v>
      </c>
      <c r="O138" s="12">
        <f t="shared" si="10"/>
        <v>100.05</v>
      </c>
      <c r="P138" s="12">
        <f t="shared" si="10"/>
        <v>100</v>
      </c>
      <c r="Q138" s="12">
        <f t="shared" si="10"/>
        <v>99.899999999999991</v>
      </c>
      <c r="R138" s="12">
        <f t="shared" si="10"/>
        <v>100</v>
      </c>
      <c r="S138" s="12">
        <f t="shared" si="10"/>
        <v>100</v>
      </c>
      <c r="T138" s="12">
        <f t="shared" si="10"/>
        <v>99.9</v>
      </c>
    </row>
    <row r="139" spans="2:22" x14ac:dyDescent="0.3">
      <c r="B139" s="27" t="s">
        <v>334</v>
      </c>
      <c r="C139" t="s">
        <v>338</v>
      </c>
      <c r="D139">
        <f t="shared" ref="D139:K139" si="11">SUM(D127:D128)/1000</f>
        <v>2.1669999999999998</v>
      </c>
      <c r="E139">
        <f t="shared" si="11"/>
        <v>2.1269999999999998</v>
      </c>
      <c r="F139">
        <f t="shared" si="11"/>
        <v>2.093</v>
      </c>
      <c r="G139">
        <f t="shared" si="11"/>
        <v>2.2280000000000002</v>
      </c>
      <c r="H139" s="26">
        <f t="shared" si="11"/>
        <v>2.1150000000000002</v>
      </c>
      <c r="I139">
        <f t="shared" si="11"/>
        <v>2.016</v>
      </c>
      <c r="J139">
        <f t="shared" si="11"/>
        <v>1.9530000000000001</v>
      </c>
      <c r="K139">
        <f t="shared" si="11"/>
        <v>1.7869999999999999</v>
      </c>
      <c r="M139" s="12">
        <f t="shared" ref="M139:T139" si="12">SUM(M127:M128)/1000</f>
        <v>1.786</v>
      </c>
      <c r="N139" s="12">
        <f t="shared" si="12"/>
        <v>1.901</v>
      </c>
      <c r="O139" s="12">
        <f t="shared" si="12"/>
        <v>1.5209999999999999</v>
      </c>
      <c r="P139" s="12">
        <f t="shared" si="12"/>
        <v>2.0179999999999998</v>
      </c>
      <c r="Q139" s="12">
        <f t="shared" si="12"/>
        <v>1.337</v>
      </c>
      <c r="R139" s="12">
        <f t="shared" si="12"/>
        <v>1.175</v>
      </c>
      <c r="S139" s="12">
        <f t="shared" si="12"/>
        <v>1.266</v>
      </c>
      <c r="T139" s="33">
        <f t="shared" si="12"/>
        <v>1.6539999999999999</v>
      </c>
      <c r="V139" t="s">
        <v>2209</v>
      </c>
    </row>
    <row r="140" spans="2:22" x14ac:dyDescent="0.3">
      <c r="B140" s="27" t="s">
        <v>332</v>
      </c>
      <c r="C140" t="s">
        <v>302</v>
      </c>
      <c r="D140" s="198">
        <f>100*D124/(D124+D125)</f>
        <v>58.2</v>
      </c>
      <c r="E140" s="198">
        <f t="shared" ref="E140:T140" si="13">100*E124/(E124+E125)</f>
        <v>60.3</v>
      </c>
      <c r="F140" s="198">
        <f t="shared" si="13"/>
        <v>73.056057866184446</v>
      </c>
      <c r="G140" s="198">
        <f t="shared" si="13"/>
        <v>60.6</v>
      </c>
      <c r="H140" s="198">
        <f t="shared" si="13"/>
        <v>70.820189274447955</v>
      </c>
      <c r="I140" s="198">
        <f t="shared" si="13"/>
        <v>60.9</v>
      </c>
      <c r="J140" s="198">
        <f t="shared" si="13"/>
        <v>75.362318840579704</v>
      </c>
      <c r="K140" s="198">
        <f t="shared" si="13"/>
        <v>62.5</v>
      </c>
      <c r="L140" s="198"/>
      <c r="M140" s="198">
        <f t="shared" si="13"/>
        <v>76.409666283084007</v>
      </c>
      <c r="N140" s="198">
        <f t="shared" si="13"/>
        <v>61.1</v>
      </c>
      <c r="O140" s="198">
        <f t="shared" si="13"/>
        <v>78.245406046235928</v>
      </c>
      <c r="P140" s="198">
        <f t="shared" si="13"/>
        <v>65</v>
      </c>
      <c r="Q140" s="198">
        <f t="shared" si="13"/>
        <v>78.240740740740733</v>
      </c>
      <c r="R140" s="198">
        <f t="shared" si="13"/>
        <v>65</v>
      </c>
      <c r="S140" s="198">
        <f t="shared" si="13"/>
        <v>88.852459016393439</v>
      </c>
      <c r="T140" s="198">
        <f t="shared" si="13"/>
        <v>66.766766766766764</v>
      </c>
    </row>
    <row r="141" spans="2:22" x14ac:dyDescent="0.3">
      <c r="B141" s="27" t="s">
        <v>333</v>
      </c>
      <c r="C141" t="s">
        <v>302</v>
      </c>
      <c r="D141" s="198">
        <f>100*D125/(D124+D125)</f>
        <v>41.8</v>
      </c>
      <c r="E141" s="198">
        <f t="shared" ref="E141:T141" si="14">100*E125/(E124+E125)</f>
        <v>39.700000000000003</v>
      </c>
      <c r="F141" s="198">
        <f t="shared" si="14"/>
        <v>26.943942133815554</v>
      </c>
      <c r="G141" s="198">
        <f t="shared" si="14"/>
        <v>39.4</v>
      </c>
      <c r="H141" s="198">
        <f t="shared" si="14"/>
        <v>29.179810725552052</v>
      </c>
      <c r="I141" s="198">
        <f t="shared" si="14"/>
        <v>39.1</v>
      </c>
      <c r="J141" s="198">
        <f t="shared" si="14"/>
        <v>24.637681159420289</v>
      </c>
      <c r="K141" s="198">
        <f t="shared" si="14"/>
        <v>37.5</v>
      </c>
      <c r="L141" s="198"/>
      <c r="M141" s="198">
        <f t="shared" si="14"/>
        <v>23.590333716915993</v>
      </c>
      <c r="N141" s="198">
        <f t="shared" si="14"/>
        <v>38.9</v>
      </c>
      <c r="O141" s="198">
        <f t="shared" si="14"/>
        <v>21.754593953764083</v>
      </c>
      <c r="P141" s="198">
        <f t="shared" si="14"/>
        <v>35</v>
      </c>
      <c r="Q141" s="198">
        <f t="shared" si="14"/>
        <v>21.759259259259263</v>
      </c>
      <c r="R141" s="198">
        <f t="shared" si="14"/>
        <v>35</v>
      </c>
      <c r="S141" s="198">
        <f t="shared" si="14"/>
        <v>11.147540983606556</v>
      </c>
      <c r="T141" s="198">
        <f t="shared" si="14"/>
        <v>33.233233233233236</v>
      </c>
    </row>
    <row r="142" spans="2:22" s="133" customFormat="1" x14ac:dyDescent="0.3">
      <c r="B142" s="148" t="s">
        <v>293</v>
      </c>
      <c r="C142" s="133" t="s">
        <v>338</v>
      </c>
      <c r="D142" s="133">
        <f t="shared" ref="D142:K142" si="15">D127/1000</f>
        <v>1.2549999999999999</v>
      </c>
      <c r="E142" s="133">
        <f t="shared" si="15"/>
        <v>1.2769999999999999</v>
      </c>
      <c r="F142" s="133">
        <f t="shared" si="15"/>
        <v>1.528</v>
      </c>
      <c r="G142" s="10">
        <f t="shared" si="15"/>
        <v>1.35</v>
      </c>
      <c r="H142" s="133">
        <f t="shared" si="15"/>
        <v>1.4970000000000001</v>
      </c>
      <c r="I142" s="133">
        <f t="shared" si="15"/>
        <v>1.2270000000000001</v>
      </c>
      <c r="J142" s="133">
        <f t="shared" si="15"/>
        <v>1.4710000000000001</v>
      </c>
      <c r="K142" s="133">
        <f t="shared" si="15"/>
        <v>1.117</v>
      </c>
      <c r="M142" s="133">
        <f t="shared" ref="M142:T142" si="16">M127/1000</f>
        <v>1.365</v>
      </c>
      <c r="N142" s="133">
        <f t="shared" si="16"/>
        <v>1.161</v>
      </c>
      <c r="O142" s="133">
        <f t="shared" si="16"/>
        <v>1.1879999999999999</v>
      </c>
      <c r="P142" s="133">
        <f t="shared" si="16"/>
        <v>1.3080000000000001</v>
      </c>
      <c r="Q142" s="133">
        <f t="shared" si="16"/>
        <v>1.046</v>
      </c>
      <c r="R142" s="133">
        <f t="shared" si="16"/>
        <v>0.76300000000000001</v>
      </c>
      <c r="S142" s="133">
        <f t="shared" si="16"/>
        <v>1.145</v>
      </c>
      <c r="T142" s="133">
        <f t="shared" si="16"/>
        <v>1.0389999999999999</v>
      </c>
      <c r="V142" s="133" t="s">
        <v>2048</v>
      </c>
    </row>
    <row r="143" spans="2:22" x14ac:dyDescent="0.3">
      <c r="B143" s="148" t="s">
        <v>2049</v>
      </c>
      <c r="C143" t="s">
        <v>338</v>
      </c>
      <c r="D143" s="10">
        <f t="shared" ref="D143:K144" si="17">D140*D$123/100000</f>
        <v>1.2611940000000001</v>
      </c>
      <c r="E143" s="10">
        <f t="shared" si="17"/>
        <v>1.282581</v>
      </c>
      <c r="F143" s="10">
        <f t="shared" si="17"/>
        <v>1.5290632911392403</v>
      </c>
      <c r="G143" s="10">
        <f t="shared" si="17"/>
        <v>1.3507739999999999</v>
      </c>
      <c r="H143" s="10">
        <f t="shared" si="17"/>
        <v>1.4673943217665617</v>
      </c>
      <c r="I143" s="10">
        <f t="shared" si="17"/>
        <v>1.2271350000000001</v>
      </c>
      <c r="J143" s="10">
        <f t="shared" si="17"/>
        <v>1.4718260869565216</v>
      </c>
      <c r="K143" s="10">
        <f t="shared" si="17"/>
        <v>1.1168750000000001</v>
      </c>
      <c r="L143" s="10"/>
      <c r="M143" s="10">
        <f t="shared" ref="M143:T144" si="18">M140*M$123/100000</f>
        <v>1.3646766398158803</v>
      </c>
      <c r="N143" s="10">
        <f t="shared" si="18"/>
        <v>1.1609</v>
      </c>
      <c r="O143" s="10">
        <f t="shared" si="18"/>
        <v>1.1901126259632484</v>
      </c>
      <c r="P143" s="10">
        <f t="shared" si="18"/>
        <v>1.3117000000000001</v>
      </c>
      <c r="Q143" s="10">
        <f t="shared" si="18"/>
        <v>1.0460787037037036</v>
      </c>
      <c r="R143" s="10">
        <f t="shared" si="18"/>
        <v>0.76375000000000004</v>
      </c>
      <c r="S143" s="10">
        <f t="shared" si="18"/>
        <v>1.1204295081967213</v>
      </c>
      <c r="T143" s="10">
        <f t="shared" si="18"/>
        <v>1.0402262262262261</v>
      </c>
      <c r="V143" t="s">
        <v>2210</v>
      </c>
    </row>
    <row r="144" spans="2:22" x14ac:dyDescent="0.3">
      <c r="B144" s="148" t="s">
        <v>318</v>
      </c>
      <c r="C144" t="s">
        <v>338</v>
      </c>
      <c r="D144" s="10">
        <f t="shared" si="17"/>
        <v>0.90580599999999989</v>
      </c>
      <c r="E144" s="10">
        <f t="shared" si="17"/>
        <v>0.84441900000000014</v>
      </c>
      <c r="F144" s="10">
        <f t="shared" si="17"/>
        <v>0.56393670886075953</v>
      </c>
      <c r="G144" s="10">
        <f t="shared" si="17"/>
        <v>0.87822599999999995</v>
      </c>
      <c r="H144" s="10">
        <f t="shared" si="17"/>
        <v>0.60460567823343847</v>
      </c>
      <c r="I144" s="10">
        <f t="shared" si="17"/>
        <v>0.78786500000000004</v>
      </c>
      <c r="J144" s="10">
        <f t="shared" si="17"/>
        <v>0.48117391304347823</v>
      </c>
      <c r="K144" s="10">
        <f t="shared" si="17"/>
        <v>0.67012499999999997</v>
      </c>
      <c r="L144" s="10"/>
      <c r="M144" s="10">
        <f t="shared" si="18"/>
        <v>0.42132336018411959</v>
      </c>
      <c r="N144" s="10">
        <f t="shared" si="18"/>
        <v>0.73909999999999998</v>
      </c>
      <c r="O144" s="10">
        <f t="shared" si="18"/>
        <v>0.33088737403675172</v>
      </c>
      <c r="P144" s="10">
        <f t="shared" si="18"/>
        <v>0.70630000000000004</v>
      </c>
      <c r="Q144" s="10">
        <f t="shared" si="18"/>
        <v>0.29092129629629637</v>
      </c>
      <c r="R144" s="10">
        <f t="shared" si="18"/>
        <v>0.41125</v>
      </c>
      <c r="S144" s="10">
        <f t="shared" si="18"/>
        <v>0.14057049180327869</v>
      </c>
      <c r="T144" s="10">
        <f t="shared" si="18"/>
        <v>0.51777377377377376</v>
      </c>
    </row>
    <row r="145" spans="1:22" x14ac:dyDescent="0.3">
      <c r="A145" s="133"/>
      <c r="B145" s="27" t="s">
        <v>321</v>
      </c>
      <c r="C145" t="s">
        <v>338</v>
      </c>
      <c r="F145">
        <f>F129/1000</f>
        <v>3.4769999999999999</v>
      </c>
      <c r="H145" s="133">
        <f>H129/1000</f>
        <v>2.6360000000000001</v>
      </c>
      <c r="J145" s="133">
        <f>J129/1000</f>
        <v>2.629</v>
      </c>
      <c r="M145" s="133">
        <f>M129/1000</f>
        <v>2.1440000000000001</v>
      </c>
      <c r="O145" s="133">
        <f>O129/1000</f>
        <v>1.8340000000000001</v>
      </c>
      <c r="Q145" s="133">
        <f>Q129/1000</f>
        <v>1.768</v>
      </c>
      <c r="S145" s="133">
        <f>S129/1000</f>
        <v>1.8280000000000001</v>
      </c>
    </row>
    <row r="146" spans="1:22" x14ac:dyDescent="0.3">
      <c r="A146" s="133"/>
      <c r="B146" s="27" t="s">
        <v>323</v>
      </c>
      <c r="C146" t="s">
        <v>338</v>
      </c>
      <c r="F146" s="12">
        <f>(F129-F130)/1000</f>
        <v>1.708</v>
      </c>
      <c r="G146" s="12"/>
      <c r="H146" s="103">
        <f>(H129-H130)/1000</f>
        <v>1.224</v>
      </c>
      <c r="I146" s="12"/>
      <c r="J146" s="103">
        <f>(J129-J130)/1000</f>
        <v>0.873</v>
      </c>
      <c r="K146" s="12"/>
      <c r="M146" s="103">
        <f>(M129-M130)/1000</f>
        <v>0.27100000000000002</v>
      </c>
      <c r="N146" s="12">
        <f>N129-N130</f>
        <v>0</v>
      </c>
      <c r="O146" s="103">
        <f>(O129-O130)/1000</f>
        <v>0.28299999999999997</v>
      </c>
      <c r="P146" s="12">
        <f>P129-P130</f>
        <v>0</v>
      </c>
      <c r="Q146" s="103">
        <f>(Q129-Q130)/1000</f>
        <v>0.23200000000000001</v>
      </c>
      <c r="R146" s="12">
        <f>R129-R130</f>
        <v>0</v>
      </c>
      <c r="S146" s="103">
        <f>(S129-S130)/1000</f>
        <v>0.111</v>
      </c>
      <c r="T146" s="12">
        <f>T129-T130</f>
        <v>0</v>
      </c>
    </row>
    <row r="147" spans="1:22" x14ac:dyDescent="0.3">
      <c r="B147" s="27" t="s">
        <v>671</v>
      </c>
      <c r="C147" t="s">
        <v>338</v>
      </c>
      <c r="D147" s="16"/>
      <c r="E147" s="16"/>
      <c r="F147" s="10">
        <f>F123*F126/((F124+F125)*1000)</f>
        <v>1.6880253164556962</v>
      </c>
      <c r="G147" s="16"/>
      <c r="H147" s="10">
        <f>H123*H126/((H124+H125)*1000)</f>
        <v>1.1961388012618297</v>
      </c>
      <c r="I147" s="16"/>
      <c r="J147" s="10">
        <f>J123*J126/((J124+J125)*1000)</f>
        <v>0.87743478260869567</v>
      </c>
      <c r="K147" s="16"/>
      <c r="M147" s="10">
        <f>M123*M126/((M124+M125)*1000)</f>
        <v>0.26718066743383201</v>
      </c>
      <c r="N147" s="16"/>
      <c r="O147" s="10">
        <f>O123*O126/((O124+O125)*1000)</f>
        <v>0.28310254890337877</v>
      </c>
      <c r="P147" s="16"/>
      <c r="Q147" s="10">
        <f>Q123*Q126/((Q124+Q125)*1000)</f>
        <v>0.20890625000000004</v>
      </c>
      <c r="R147" s="16"/>
      <c r="S147" s="10">
        <f>S123*S126/((S124+S125)*1000)</f>
        <v>0.11714207650273224</v>
      </c>
      <c r="T147" s="16"/>
      <c r="V147" t="s">
        <v>524</v>
      </c>
    </row>
    <row r="148" spans="1:22" x14ac:dyDescent="0.3">
      <c r="A148" s="133"/>
      <c r="B148" s="133" t="s">
        <v>433</v>
      </c>
      <c r="C148" t="s">
        <v>338</v>
      </c>
      <c r="F148">
        <f>F145-F146</f>
        <v>1.7689999999999999</v>
      </c>
      <c r="H148" s="133">
        <f>H145-H146</f>
        <v>1.4120000000000001</v>
      </c>
      <c r="J148" s="133">
        <f>J145-J146</f>
        <v>1.756</v>
      </c>
      <c r="M148" s="133">
        <f>M145-M146</f>
        <v>1.8730000000000002</v>
      </c>
      <c r="O148" s="133">
        <f>O145-O146</f>
        <v>1.5510000000000002</v>
      </c>
      <c r="Q148" s="133">
        <f>Q145-Q146</f>
        <v>1.536</v>
      </c>
      <c r="S148" s="133">
        <f>S145-S146</f>
        <v>1.7170000000000001</v>
      </c>
      <c r="T148" s="12"/>
    </row>
    <row r="149" spans="1:22" x14ac:dyDescent="0.3">
      <c r="A149" s="148"/>
      <c r="B149" s="148" t="s">
        <v>460</v>
      </c>
      <c r="C149" t="s">
        <v>338</v>
      </c>
      <c r="F149" s="10">
        <f>F130/4000</f>
        <v>0.44224999999999998</v>
      </c>
      <c r="H149" s="10">
        <f>H130/4000</f>
        <v>0.35299999999999998</v>
      </c>
      <c r="J149" s="10">
        <f>J130/4000</f>
        <v>0.439</v>
      </c>
      <c r="M149" s="10">
        <f>M130/4000</f>
        <v>0.46825</v>
      </c>
      <c r="N149" s="32"/>
      <c r="O149" s="31">
        <f>O130/4000</f>
        <v>0.38774999999999998</v>
      </c>
      <c r="P149" s="32"/>
      <c r="Q149" s="10">
        <f>Q130/4000</f>
        <v>0.38400000000000001</v>
      </c>
      <c r="R149" s="32"/>
      <c r="S149" s="10">
        <f>S130/4000</f>
        <v>0.42925000000000002</v>
      </c>
      <c r="T149" s="32"/>
    </row>
    <row r="150" spans="1:22" x14ac:dyDescent="0.3">
      <c r="A150" s="148"/>
      <c r="B150" s="148" t="s">
        <v>402</v>
      </c>
      <c r="C150" t="s">
        <v>338</v>
      </c>
      <c r="F150">
        <f>(F127-G127)/1000</f>
        <v>0.17799999999999999</v>
      </c>
      <c r="H150" s="133">
        <f>(H127-I127)/1000</f>
        <v>0.27</v>
      </c>
      <c r="J150" s="133">
        <f>(J127-K127)/1000</f>
        <v>0.35399999999999998</v>
      </c>
      <c r="M150" s="133">
        <f>(M127-N127)/1000</f>
        <v>0.20399999999999999</v>
      </c>
      <c r="N150" s="12"/>
      <c r="O150" s="103">
        <f>(O127-P127)/1000</f>
        <v>-0.12</v>
      </c>
      <c r="P150" s="12"/>
      <c r="Q150" s="133">
        <f>(Q127-R127)/1000</f>
        <v>0.28299999999999997</v>
      </c>
      <c r="R150" s="12"/>
      <c r="S150" s="133">
        <f>(S127-T127)/1000</f>
        <v>0.106</v>
      </c>
      <c r="T150" s="12"/>
    </row>
    <row r="151" spans="1:22" x14ac:dyDescent="0.3">
      <c r="A151" s="148"/>
      <c r="B151" s="148" t="s">
        <v>2086</v>
      </c>
      <c r="C151" t="s">
        <v>338</v>
      </c>
      <c r="F151">
        <f>(G128-F128)/1000</f>
        <v>0.313</v>
      </c>
      <c r="H151" s="133">
        <f>(I128-H128)/1000</f>
        <v>0.17100000000000001</v>
      </c>
      <c r="J151" s="133">
        <f>(K128-J128)/1000</f>
        <v>0.188</v>
      </c>
      <c r="M151" s="133">
        <f>(N128-M128)/1000</f>
        <v>0.31900000000000001</v>
      </c>
      <c r="N151" s="12"/>
      <c r="O151" s="103">
        <f>(P128-O128)/1000</f>
        <v>0.377</v>
      </c>
      <c r="P151" s="12"/>
      <c r="Q151" s="133">
        <f>(R128-Q128)/1000</f>
        <v>0.121</v>
      </c>
      <c r="R151" s="12"/>
      <c r="S151" s="133">
        <f>(T128-S128)/1000</f>
        <v>0.49399999999999999</v>
      </c>
      <c r="T151" s="12"/>
    </row>
    <row r="152" spans="1:22" s="133" customFormat="1" x14ac:dyDescent="0.3">
      <c r="A152" s="148"/>
      <c r="B152" s="148" t="s">
        <v>93</v>
      </c>
      <c r="F152" s="8">
        <f>F145/G144</f>
        <v>3.9591175847674744</v>
      </c>
      <c r="H152" s="198">
        <f>H145/I144</f>
        <v>3.3457508583323285</v>
      </c>
      <c r="J152" s="198">
        <f>J145/K144</f>
        <v>3.9231486662936019</v>
      </c>
      <c r="M152" s="198">
        <f>M145/N144</f>
        <v>2.9008253281017455</v>
      </c>
      <c r="N152" s="103"/>
      <c r="O152" s="198">
        <f>O145/P144</f>
        <v>2.5966303270564914</v>
      </c>
      <c r="P152" s="103"/>
      <c r="Q152" s="198">
        <f>Q145/R144</f>
        <v>4.2990881458966568</v>
      </c>
      <c r="R152" s="103"/>
      <c r="S152" s="198">
        <f>S145/T144</f>
        <v>3.5304994045501648</v>
      </c>
      <c r="T152" s="103"/>
    </row>
    <row r="153" spans="1:22" x14ac:dyDescent="0.3">
      <c r="A153" s="148"/>
      <c r="B153" s="148" t="s">
        <v>462</v>
      </c>
      <c r="C153" t="s">
        <v>92</v>
      </c>
      <c r="F153" s="10">
        <f>F148/F145</f>
        <v>0.50877192982456143</v>
      </c>
      <c r="H153" s="10">
        <f>H148/H145</f>
        <v>0.53566009104704104</v>
      </c>
      <c r="J153" s="10">
        <f>J148/J145</f>
        <v>0.66793457588436667</v>
      </c>
      <c r="M153" s="10">
        <f>M148/M145</f>
        <v>0.8736007462686568</v>
      </c>
      <c r="O153" s="31">
        <f>O148/O145</f>
        <v>0.84569247546346793</v>
      </c>
      <c r="Q153" s="10">
        <f>Q148/Q145</f>
        <v>0.86877828054298645</v>
      </c>
      <c r="S153" s="10">
        <f>S148/S145</f>
        <v>0.93927789934354489</v>
      </c>
    </row>
    <row r="154" spans="1:22" x14ac:dyDescent="0.3">
      <c r="A154" s="148"/>
      <c r="B154" s="148" t="s">
        <v>2085</v>
      </c>
      <c r="C154" t="s">
        <v>92</v>
      </c>
      <c r="F154" s="10">
        <f>F150/F149</f>
        <v>0.40248728094968911</v>
      </c>
      <c r="H154" s="10">
        <f>H150/H149</f>
        <v>0.76487252124645899</v>
      </c>
      <c r="J154" s="10">
        <f>J150/J149</f>
        <v>0.806378132118451</v>
      </c>
      <c r="M154" s="10">
        <f>M150/M149</f>
        <v>0.43566470902295779</v>
      </c>
      <c r="N154" s="31"/>
      <c r="O154" s="31">
        <f>O150/O149</f>
        <v>-0.30947775628626695</v>
      </c>
      <c r="P154" s="31"/>
      <c r="Q154" s="10">
        <f>Q150/Q149</f>
        <v>0.73697916666666663</v>
      </c>
      <c r="R154" s="31"/>
      <c r="S154" s="10">
        <f>S150/S149</f>
        <v>0.24694234129295281</v>
      </c>
      <c r="T154" s="31"/>
    </row>
    <row r="155" spans="1:22" x14ac:dyDescent="0.3">
      <c r="A155" s="148"/>
      <c r="B155" s="148" t="s">
        <v>2087</v>
      </c>
      <c r="C155" t="s">
        <v>92</v>
      </c>
      <c r="F155" s="10">
        <f>F151/F149</f>
        <v>0.70774448841153192</v>
      </c>
      <c r="H155" s="10">
        <f>H151/H149</f>
        <v>0.48441926345609071</v>
      </c>
      <c r="J155" s="10">
        <f>J151/J149</f>
        <v>0.42824601366742598</v>
      </c>
      <c r="M155" s="10">
        <f>M151/M149</f>
        <v>0.68126001067805664</v>
      </c>
      <c r="N155" s="31"/>
      <c r="O155" s="31">
        <f>O151/O149</f>
        <v>0.97227595099935527</v>
      </c>
      <c r="P155" s="31"/>
      <c r="Q155" s="10">
        <f>Q151/Q149</f>
        <v>0.31510416666666663</v>
      </c>
      <c r="R155" s="31"/>
      <c r="S155" s="10">
        <f>S151/S149</f>
        <v>1.1508444962143272</v>
      </c>
      <c r="T155" s="31"/>
    </row>
    <row r="156" spans="1:22" x14ac:dyDescent="0.3">
      <c r="A156" s="148"/>
      <c r="B156" s="148" t="s">
        <v>2088</v>
      </c>
      <c r="C156" t="s">
        <v>92</v>
      </c>
      <c r="F156" s="10">
        <f>F150/F151</f>
        <v>0.56869009584664532</v>
      </c>
      <c r="H156" s="10">
        <f>H150/H151</f>
        <v>1.5789473684210527</v>
      </c>
      <c r="J156" s="10">
        <f>J150/J151</f>
        <v>1.8829787234042552</v>
      </c>
      <c r="M156" s="10">
        <f>M150/M151</f>
        <v>0.63949843260188077</v>
      </c>
      <c r="N156" s="31"/>
      <c r="O156" s="31">
        <f>O150/O151</f>
        <v>-0.3183023872679045</v>
      </c>
      <c r="P156" s="31"/>
      <c r="Q156" s="10">
        <f>Q150/Q151</f>
        <v>2.3388429752066116</v>
      </c>
      <c r="R156" s="31"/>
      <c r="S156" s="10">
        <f>S150/S151</f>
        <v>0.2145748987854251</v>
      </c>
      <c r="T156" s="31"/>
    </row>
    <row r="157" spans="1:22" s="133" customFormat="1" x14ac:dyDescent="0.3">
      <c r="A157" s="148"/>
      <c r="B157" s="148" t="s">
        <v>2096</v>
      </c>
      <c r="C157" s="133" t="s">
        <v>92</v>
      </c>
      <c r="D157" s="37"/>
      <c r="E157" s="37"/>
      <c r="F157" s="37">
        <f>F150/G144</f>
        <v>0.20268131437693715</v>
      </c>
      <c r="G157" s="37"/>
      <c r="H157" s="37">
        <f>H150/I144</f>
        <v>0.34269830491264369</v>
      </c>
      <c r="I157" s="148"/>
      <c r="J157" s="37">
        <f>J150/K144</f>
        <v>0.52825965304980416</v>
      </c>
      <c r="M157" s="37">
        <f>M150/N144</f>
        <v>0.2760113651738601</v>
      </c>
      <c r="O157" s="37">
        <f>O150/P144</f>
        <v>-0.16989947614328188</v>
      </c>
      <c r="Q157" s="37">
        <f>Q150/R144</f>
        <v>0.68814589665653492</v>
      </c>
      <c r="S157" s="37">
        <f>S150/T144</f>
        <v>0.20472261317413429</v>
      </c>
    </row>
    <row r="158" spans="1:22" s="133" customFormat="1" x14ac:dyDescent="0.3">
      <c r="A158" s="148"/>
      <c r="B158" s="148" t="s">
        <v>2097</v>
      </c>
      <c r="C158" s="133" t="s">
        <v>92</v>
      </c>
      <c r="D158" s="96"/>
      <c r="E158" s="96"/>
      <c r="F158" s="96">
        <f>F139/G139</f>
        <v>0.93940754039497298</v>
      </c>
      <c r="G158" s="96"/>
      <c r="H158" s="96">
        <f>H139/I139</f>
        <v>1.049107142857143</v>
      </c>
      <c r="I158" s="148"/>
      <c r="J158" s="96">
        <f>J139/K139</f>
        <v>1.0928931169557918</v>
      </c>
      <c r="M158" s="96">
        <f>M139/N139</f>
        <v>0.93950552340873228</v>
      </c>
      <c r="O158" s="96">
        <f>O139/P139</f>
        <v>0.75371655104063429</v>
      </c>
      <c r="Q158" s="96">
        <f>Q139/R139</f>
        <v>1.1378723404255318</v>
      </c>
      <c r="S158" s="96">
        <f>S139/T139</f>
        <v>0.76541717049576785</v>
      </c>
    </row>
    <row r="159" spans="1:22" x14ac:dyDescent="0.3">
      <c r="A159" s="148"/>
      <c r="B159" s="148" t="s">
        <v>2081</v>
      </c>
      <c r="F159" s="3">
        <f>F148/F150</f>
        <v>9.9382022471910112</v>
      </c>
      <c r="H159" s="134">
        <f>H148/H150</f>
        <v>5.2296296296296294</v>
      </c>
      <c r="J159" s="134">
        <f>J148/J150</f>
        <v>4.9604519774011306</v>
      </c>
      <c r="M159" s="134">
        <f>M148/M150</f>
        <v>9.1813725490196099</v>
      </c>
      <c r="N159" s="12"/>
      <c r="O159" s="134">
        <f>O148/O150</f>
        <v>-12.925000000000002</v>
      </c>
      <c r="P159" s="12"/>
      <c r="Q159" s="134">
        <f>Q148/Q150</f>
        <v>5.4275618374558308</v>
      </c>
      <c r="R159" s="12"/>
      <c r="S159" s="134">
        <f>S148/S150</f>
        <v>16.19811320754717</v>
      </c>
      <c r="T159" s="12"/>
    </row>
    <row r="160" spans="1:22" x14ac:dyDescent="0.3">
      <c r="A160" s="148"/>
      <c r="B160" s="148" t="s">
        <v>2137</v>
      </c>
      <c r="F160" s="8">
        <f>F148/F151</f>
        <v>5.6517571884984026</v>
      </c>
      <c r="H160" s="8">
        <f>H148/H151</f>
        <v>8.257309941520468</v>
      </c>
      <c r="J160" s="8">
        <f>J148/J151</f>
        <v>9.3404255319148941</v>
      </c>
      <c r="M160" s="8">
        <f>M148/M151</f>
        <v>5.8714733542319753</v>
      </c>
      <c r="N160" s="12"/>
      <c r="O160" s="8">
        <f>O148/O151</f>
        <v>4.114058355437666</v>
      </c>
      <c r="P160" s="12"/>
      <c r="Q160" s="8">
        <f>Q148/Q151</f>
        <v>12.694214876033058</v>
      </c>
      <c r="R160" s="12"/>
      <c r="S160" s="8">
        <f>S148/S151</f>
        <v>3.4757085020242915</v>
      </c>
      <c r="T160" s="12"/>
    </row>
    <row r="162" spans="1:22" x14ac:dyDescent="0.3">
      <c r="B162" s="6" t="s">
        <v>359</v>
      </c>
      <c r="H162" t="s">
        <v>1609</v>
      </c>
      <c r="I162" t="s">
        <v>1608</v>
      </c>
      <c r="M162" t="s">
        <v>1598</v>
      </c>
      <c r="N162" t="s">
        <v>1608</v>
      </c>
    </row>
    <row r="163" spans="1:22" s="133" customFormat="1" x14ac:dyDescent="0.3">
      <c r="B163" s="148" t="s">
        <v>1795</v>
      </c>
      <c r="D163" s="66" t="s">
        <v>1686</v>
      </c>
      <c r="E163" s="66" t="s">
        <v>1686</v>
      </c>
      <c r="F163" s="66" t="s">
        <v>1686</v>
      </c>
      <c r="G163" s="133" t="s">
        <v>341</v>
      </c>
      <c r="H163" s="66" t="s">
        <v>1686</v>
      </c>
      <c r="I163" s="133" t="s">
        <v>341</v>
      </c>
      <c r="J163" s="66" t="s">
        <v>1686</v>
      </c>
      <c r="K163" s="133" t="s">
        <v>342</v>
      </c>
      <c r="L163" s="66" t="s">
        <v>1686</v>
      </c>
      <c r="M163" s="66" t="s">
        <v>1686</v>
      </c>
      <c r="N163" s="133" t="s">
        <v>1956</v>
      </c>
      <c r="O163" s="66" t="s">
        <v>1686</v>
      </c>
      <c r="P163" s="133" t="s">
        <v>1956</v>
      </c>
      <c r="Q163" s="66" t="s">
        <v>1686</v>
      </c>
      <c r="R163" s="133" t="s">
        <v>1956</v>
      </c>
      <c r="S163" s="66" t="s">
        <v>1686</v>
      </c>
      <c r="T163" s="133" t="s">
        <v>1956</v>
      </c>
    </row>
    <row r="164" spans="1:22" s="133" customFormat="1" x14ac:dyDescent="0.3">
      <c r="B164" s="148" t="s">
        <v>1791</v>
      </c>
      <c r="D164" s="133" t="s">
        <v>1104</v>
      </c>
      <c r="E164" s="133" t="s">
        <v>1104</v>
      </c>
      <c r="F164" s="133" t="s">
        <v>1105</v>
      </c>
      <c r="G164" s="133" t="s">
        <v>1104</v>
      </c>
      <c r="H164" s="133" t="s">
        <v>1105</v>
      </c>
      <c r="I164" s="133" t="s">
        <v>1104</v>
      </c>
      <c r="J164" s="133" t="s">
        <v>1105</v>
      </c>
      <c r="K164" s="133" t="s">
        <v>1104</v>
      </c>
      <c r="M164" s="133" t="s">
        <v>1105</v>
      </c>
      <c r="N164" s="133" t="s">
        <v>1104</v>
      </c>
      <c r="O164" s="133" t="s">
        <v>1105</v>
      </c>
      <c r="P164" s="133" t="s">
        <v>1104</v>
      </c>
      <c r="Q164" s="133" t="s">
        <v>1105</v>
      </c>
      <c r="R164" s="133" t="s">
        <v>1104</v>
      </c>
      <c r="S164" s="133" t="s">
        <v>1105</v>
      </c>
      <c r="T164" s="133" t="s">
        <v>1104</v>
      </c>
    </row>
    <row r="165" spans="1:22" x14ac:dyDescent="0.3">
      <c r="B165" t="s">
        <v>33</v>
      </c>
      <c r="C165" t="s">
        <v>270</v>
      </c>
      <c r="D165" s="3">
        <v>3.73</v>
      </c>
      <c r="E165" s="3">
        <v>3.73</v>
      </c>
      <c r="F165" s="3">
        <v>3.73</v>
      </c>
      <c r="G165" s="3">
        <v>3.73</v>
      </c>
      <c r="H165" s="3">
        <v>3.73</v>
      </c>
      <c r="I165" s="3">
        <v>3.73</v>
      </c>
      <c r="J165" s="3">
        <v>3.73</v>
      </c>
      <c r="K165" s="3">
        <v>3.73</v>
      </c>
      <c r="L165" t="s">
        <v>270</v>
      </c>
      <c r="M165" s="3">
        <v>3.73</v>
      </c>
      <c r="N165" s="3">
        <v>3.73</v>
      </c>
      <c r="O165" s="3">
        <v>3.73</v>
      </c>
      <c r="P165" s="3">
        <v>3.73</v>
      </c>
      <c r="Q165" s="3">
        <v>3.73</v>
      </c>
      <c r="R165" s="3">
        <v>3.73</v>
      </c>
      <c r="S165" s="3">
        <v>3.73</v>
      </c>
      <c r="T165" s="3">
        <v>3.73</v>
      </c>
      <c r="V165" t="s">
        <v>358</v>
      </c>
    </row>
    <row r="166" spans="1:22" x14ac:dyDescent="0.3">
      <c r="B166" t="s">
        <v>26</v>
      </c>
      <c r="C166" t="s">
        <v>25</v>
      </c>
      <c r="D166" s="8">
        <v>5</v>
      </c>
      <c r="E166" s="8">
        <v>5</v>
      </c>
      <c r="F166" s="8">
        <v>5</v>
      </c>
      <c r="G166" s="8">
        <v>5</v>
      </c>
      <c r="H166" s="8">
        <v>5</v>
      </c>
      <c r="I166" s="8">
        <v>5</v>
      </c>
      <c r="J166" s="8">
        <v>5</v>
      </c>
      <c r="K166" s="8">
        <v>5</v>
      </c>
      <c r="L166" s="8" t="s">
        <v>25</v>
      </c>
      <c r="M166" s="8">
        <v>5</v>
      </c>
      <c r="N166" s="8">
        <v>5</v>
      </c>
      <c r="O166" s="8">
        <v>5</v>
      </c>
      <c r="P166" s="8">
        <v>5</v>
      </c>
      <c r="Q166" s="8">
        <v>5</v>
      </c>
      <c r="R166" s="8">
        <v>5</v>
      </c>
      <c r="S166" s="8">
        <v>5</v>
      </c>
      <c r="T166" s="8">
        <v>5</v>
      </c>
    </row>
    <row r="167" spans="1:22" s="133" customFormat="1" x14ac:dyDescent="0.3">
      <c r="A167" s="148"/>
      <c r="B167" s="148" t="s">
        <v>1544</v>
      </c>
      <c r="C167" s="133" t="s">
        <v>338</v>
      </c>
      <c r="F167" s="8">
        <f>F145</f>
        <v>3.4769999999999999</v>
      </c>
      <c r="H167" s="198">
        <f>H145</f>
        <v>2.6360000000000001</v>
      </c>
      <c r="J167" s="198">
        <f>J145</f>
        <v>2.629</v>
      </c>
      <c r="M167" s="198">
        <f>M145</f>
        <v>2.1440000000000001</v>
      </c>
      <c r="N167" s="103"/>
      <c r="O167" s="198">
        <f>O145</f>
        <v>1.8340000000000001</v>
      </c>
      <c r="P167" s="103"/>
      <c r="Q167" s="198">
        <f>Q145</f>
        <v>1.768</v>
      </c>
      <c r="R167" s="103"/>
      <c r="S167" s="198">
        <f>S145</f>
        <v>1.8280000000000001</v>
      </c>
      <c r="T167" s="103"/>
    </row>
    <row r="168" spans="1:22" x14ac:dyDescent="0.3">
      <c r="B168" t="s">
        <v>351</v>
      </c>
      <c r="C168" t="s">
        <v>377</v>
      </c>
      <c r="D168" s="10">
        <f t="shared" ref="D168:K168" si="19">D127/(D165*1000)</f>
        <v>0.33646112600536193</v>
      </c>
      <c r="E168" s="10">
        <f t="shared" si="19"/>
        <v>0.3423592493297587</v>
      </c>
      <c r="F168" s="10">
        <f t="shared" si="19"/>
        <v>0.40965147453083112</v>
      </c>
      <c r="G168" s="10">
        <f t="shared" si="19"/>
        <v>0.36193029490616624</v>
      </c>
      <c r="H168" s="10">
        <f t="shared" si="19"/>
        <v>0.40134048257372656</v>
      </c>
      <c r="I168" s="10">
        <f t="shared" si="19"/>
        <v>0.32895442359249327</v>
      </c>
      <c r="J168" s="10">
        <f t="shared" si="19"/>
        <v>0.3943699731903485</v>
      </c>
      <c r="K168" s="10">
        <f t="shared" si="19"/>
        <v>0.29946380697050939</v>
      </c>
      <c r="L168" t="s">
        <v>303</v>
      </c>
      <c r="M168" s="10">
        <f t="shared" ref="M168:T168" si="20">M127/(M165*1000)</f>
        <v>0.36595174262734587</v>
      </c>
      <c r="N168" s="10">
        <f t="shared" si="20"/>
        <v>0.31126005361930292</v>
      </c>
      <c r="O168" s="10">
        <f t="shared" si="20"/>
        <v>0.31849865951742629</v>
      </c>
      <c r="P168" s="10">
        <f t="shared" si="20"/>
        <v>0.35067024128686325</v>
      </c>
      <c r="Q168" s="10">
        <f t="shared" si="20"/>
        <v>0.2804289544235925</v>
      </c>
      <c r="R168" s="10">
        <f t="shared" si="20"/>
        <v>0.20455764075067023</v>
      </c>
      <c r="S168" s="10">
        <f t="shared" si="20"/>
        <v>0.306970509383378</v>
      </c>
      <c r="T168" s="10">
        <f t="shared" si="20"/>
        <v>0.27855227882037531</v>
      </c>
    </row>
    <row r="169" spans="1:22" x14ac:dyDescent="0.3">
      <c r="B169" t="s">
        <v>352</v>
      </c>
      <c r="C169" t="s">
        <v>377</v>
      </c>
      <c r="F169" s="10">
        <f>F168-G168</f>
        <v>4.7721179624664878E-2</v>
      </c>
      <c r="H169" s="10">
        <f>H168-I168</f>
        <v>7.2386058981233292E-2</v>
      </c>
      <c r="J169" s="10">
        <f>J168-K168</f>
        <v>9.4906166219839105E-2</v>
      </c>
      <c r="L169" t="s">
        <v>303</v>
      </c>
      <c r="M169" s="10">
        <f>M168-N168</f>
        <v>5.4691689008042943E-2</v>
      </c>
      <c r="O169" s="10">
        <f>O168-P168</f>
        <v>-3.2171581769436963E-2</v>
      </c>
      <c r="Q169" s="10">
        <f>Q168-R168</f>
        <v>7.5871313672922269E-2</v>
      </c>
      <c r="S169" s="10">
        <f>S168-T168</f>
        <v>2.8418230563002689E-2</v>
      </c>
    </row>
    <row r="170" spans="1:22" x14ac:dyDescent="0.3">
      <c r="B170" t="s">
        <v>353</v>
      </c>
      <c r="C170" t="s">
        <v>92</v>
      </c>
      <c r="D170" s="10"/>
      <c r="F170" s="34">
        <f>F169/F168</f>
        <v>0.11649214659685864</v>
      </c>
      <c r="G170" s="34"/>
      <c r="H170" s="34">
        <f>H169/H168</f>
        <v>0.18036072144288587</v>
      </c>
      <c r="I170" s="34"/>
      <c r="J170" s="34">
        <f>J169/J168</f>
        <v>0.24065261726716511</v>
      </c>
      <c r="L170" t="s">
        <v>92</v>
      </c>
      <c r="M170" s="34">
        <f>M169/M168</f>
        <v>0.14945054945054956</v>
      </c>
      <c r="N170" s="34"/>
      <c r="O170" s="34">
        <f>O169/O168</f>
        <v>-0.1010101010101009</v>
      </c>
      <c r="P170" s="34"/>
      <c r="Q170" s="34">
        <f>Q169/Q168</f>
        <v>0.27055449330783943</v>
      </c>
      <c r="R170" s="34"/>
      <c r="S170" s="34">
        <f>S169/S168</f>
        <v>9.2576419213973832E-2</v>
      </c>
    </row>
    <row r="171" spans="1:22" x14ac:dyDescent="0.3">
      <c r="B171" t="s">
        <v>293</v>
      </c>
      <c r="C171" t="s">
        <v>338</v>
      </c>
      <c r="D171">
        <f t="shared" ref="D171:K171" si="21">D127/1000</f>
        <v>1.2549999999999999</v>
      </c>
      <c r="E171">
        <f t="shared" si="21"/>
        <v>1.2769999999999999</v>
      </c>
      <c r="F171">
        <f t="shared" si="21"/>
        <v>1.528</v>
      </c>
      <c r="G171">
        <f t="shared" si="21"/>
        <v>1.35</v>
      </c>
      <c r="H171">
        <f t="shared" si="21"/>
        <v>1.4970000000000001</v>
      </c>
      <c r="I171">
        <f t="shared" si="21"/>
        <v>1.2270000000000001</v>
      </c>
      <c r="J171">
        <f t="shared" si="21"/>
        <v>1.4710000000000001</v>
      </c>
      <c r="K171">
        <f t="shared" si="21"/>
        <v>1.117</v>
      </c>
      <c r="L171" t="s">
        <v>290</v>
      </c>
      <c r="M171">
        <f t="shared" ref="M171:T171" si="22">M127/1000</f>
        <v>1.365</v>
      </c>
      <c r="N171">
        <f t="shared" si="22"/>
        <v>1.161</v>
      </c>
      <c r="O171">
        <f t="shared" si="22"/>
        <v>1.1879999999999999</v>
      </c>
      <c r="P171">
        <f t="shared" si="22"/>
        <v>1.3080000000000001</v>
      </c>
      <c r="Q171">
        <f t="shared" si="22"/>
        <v>1.046</v>
      </c>
      <c r="R171">
        <f t="shared" si="22"/>
        <v>0.76300000000000001</v>
      </c>
      <c r="S171">
        <f t="shared" si="22"/>
        <v>1.145</v>
      </c>
      <c r="T171">
        <f t="shared" si="22"/>
        <v>1.0389999999999999</v>
      </c>
    </row>
    <row r="172" spans="1:22" x14ac:dyDescent="0.3">
      <c r="B172" t="s">
        <v>402</v>
      </c>
      <c r="C172" t="s">
        <v>338</v>
      </c>
      <c r="F172" s="10">
        <f>F171-G171</f>
        <v>0.17799999999999994</v>
      </c>
      <c r="H172" s="10">
        <f>H171-I171</f>
        <v>0.27</v>
      </c>
      <c r="J172" s="10">
        <f>J171-K171</f>
        <v>0.35400000000000009</v>
      </c>
      <c r="M172" s="10">
        <f>M171-N171</f>
        <v>0.20399999999999996</v>
      </c>
      <c r="O172" s="10">
        <f>O171-P171</f>
        <v>-0.12000000000000011</v>
      </c>
      <c r="Q172" s="10">
        <f>Q171-R171</f>
        <v>0.28300000000000003</v>
      </c>
      <c r="S172" s="10">
        <f>S171-T171</f>
        <v>0.10600000000000009</v>
      </c>
    </row>
    <row r="173" spans="1:22" x14ac:dyDescent="0.3">
      <c r="B173" t="s">
        <v>3</v>
      </c>
      <c r="C173" t="s">
        <v>302</v>
      </c>
      <c r="D173">
        <f t="shared" ref="D173:K174" si="23">D124</f>
        <v>58.2</v>
      </c>
      <c r="E173">
        <f t="shared" si="23"/>
        <v>60.3</v>
      </c>
      <c r="F173">
        <f t="shared" si="23"/>
        <v>40.4</v>
      </c>
      <c r="G173">
        <f t="shared" si="23"/>
        <v>60.6</v>
      </c>
      <c r="H173">
        <f t="shared" si="23"/>
        <v>44.9</v>
      </c>
      <c r="I173">
        <f t="shared" si="23"/>
        <v>60.9</v>
      </c>
      <c r="J173">
        <f t="shared" si="23"/>
        <v>52</v>
      </c>
      <c r="K173">
        <f t="shared" si="23"/>
        <v>62.5</v>
      </c>
      <c r="L173" t="s">
        <v>302</v>
      </c>
      <c r="M173">
        <f t="shared" ref="M173:T174" si="24">M124</f>
        <v>66.400000000000006</v>
      </c>
      <c r="N173">
        <f t="shared" si="24"/>
        <v>61.1</v>
      </c>
      <c r="O173">
        <f t="shared" si="24"/>
        <v>66</v>
      </c>
      <c r="P173">
        <f t="shared" si="24"/>
        <v>65</v>
      </c>
      <c r="Q173">
        <f t="shared" si="24"/>
        <v>67.599999999999994</v>
      </c>
      <c r="R173">
        <f t="shared" si="24"/>
        <v>65</v>
      </c>
      <c r="S173">
        <f t="shared" si="24"/>
        <v>81.3</v>
      </c>
      <c r="T173">
        <f t="shared" si="24"/>
        <v>66.7</v>
      </c>
    </row>
    <row r="174" spans="1:22" x14ac:dyDescent="0.3">
      <c r="B174" t="s">
        <v>277</v>
      </c>
      <c r="C174" t="s">
        <v>302</v>
      </c>
      <c r="D174">
        <f t="shared" si="23"/>
        <v>41.8</v>
      </c>
      <c r="E174">
        <f t="shared" si="23"/>
        <v>39.700000000000003</v>
      </c>
      <c r="F174">
        <f t="shared" si="23"/>
        <v>14.9</v>
      </c>
      <c r="G174">
        <f t="shared" si="23"/>
        <v>39.4</v>
      </c>
      <c r="H174">
        <f t="shared" si="23"/>
        <v>18.5</v>
      </c>
      <c r="I174">
        <f t="shared" si="23"/>
        <v>39.1</v>
      </c>
      <c r="J174">
        <f t="shared" si="23"/>
        <v>17</v>
      </c>
      <c r="K174">
        <f t="shared" si="23"/>
        <v>37.5</v>
      </c>
      <c r="L174" t="s">
        <v>302</v>
      </c>
      <c r="M174">
        <f t="shared" si="24"/>
        <v>20.5</v>
      </c>
      <c r="N174">
        <f t="shared" si="24"/>
        <v>38.9</v>
      </c>
      <c r="O174">
        <f t="shared" si="24"/>
        <v>18.350000000000001</v>
      </c>
      <c r="P174">
        <f t="shared" si="24"/>
        <v>35</v>
      </c>
      <c r="Q174">
        <f t="shared" si="24"/>
        <v>18.8</v>
      </c>
      <c r="R174">
        <f t="shared" si="24"/>
        <v>35</v>
      </c>
      <c r="S174">
        <f t="shared" si="24"/>
        <v>10.199999999999999</v>
      </c>
      <c r="T174">
        <f t="shared" si="24"/>
        <v>33.200000000000003</v>
      </c>
    </row>
    <row r="175" spans="1:22" x14ac:dyDescent="0.3">
      <c r="B175" t="s">
        <v>13</v>
      </c>
      <c r="C175" t="s">
        <v>302</v>
      </c>
      <c r="E175" s="8"/>
      <c r="F175" s="8">
        <f>F126</f>
        <v>44.6</v>
      </c>
      <c r="G175" s="8"/>
      <c r="H175" s="8">
        <f>H126</f>
        <v>36.6</v>
      </c>
      <c r="I175" s="8"/>
      <c r="J175" s="8">
        <f>J126</f>
        <v>31</v>
      </c>
      <c r="K175" s="8"/>
      <c r="L175" s="8"/>
      <c r="M175" s="8">
        <f>M126</f>
        <v>13</v>
      </c>
      <c r="N175" s="8"/>
      <c r="O175" s="8">
        <f>O126</f>
        <v>15.7</v>
      </c>
      <c r="P175" s="8"/>
      <c r="Q175" s="8">
        <f>Q126</f>
        <v>13.5</v>
      </c>
      <c r="R175" s="8"/>
      <c r="S175" s="8">
        <f>S126</f>
        <v>8.5</v>
      </c>
    </row>
    <row r="176" spans="1:22" x14ac:dyDescent="0.3">
      <c r="B176" t="s">
        <v>35</v>
      </c>
      <c r="D176" s="3">
        <f t="shared" ref="D176:T176" si="25">D131</f>
        <v>7.46</v>
      </c>
      <c r="E176" s="3">
        <f t="shared" si="25"/>
        <v>7.49</v>
      </c>
      <c r="F176" s="3">
        <f t="shared" si="25"/>
        <v>7.92</v>
      </c>
      <c r="G176" s="3">
        <f t="shared" si="25"/>
        <v>7.59</v>
      </c>
      <c r="H176" s="3">
        <f t="shared" si="25"/>
        <v>7.9</v>
      </c>
      <c r="I176" s="3">
        <f t="shared" si="25"/>
        <v>7.6</v>
      </c>
      <c r="J176" s="3">
        <f t="shared" si="25"/>
        <v>7.93</v>
      </c>
      <c r="K176" s="3">
        <f t="shared" si="25"/>
        <v>7.56</v>
      </c>
      <c r="L176" s="3">
        <f t="shared" si="25"/>
        <v>0</v>
      </c>
      <c r="M176" s="3">
        <f t="shared" si="25"/>
        <v>7.83</v>
      </c>
      <c r="N176" s="3">
        <f t="shared" si="25"/>
        <v>7.64</v>
      </c>
      <c r="O176" s="3">
        <f t="shared" si="25"/>
        <v>8.24</v>
      </c>
      <c r="P176" s="3">
        <f t="shared" si="25"/>
        <v>7.85</v>
      </c>
      <c r="Q176" s="3">
        <f t="shared" si="25"/>
        <v>8.18</v>
      </c>
      <c r="R176" s="3">
        <f t="shared" si="25"/>
        <v>7.92</v>
      </c>
      <c r="S176" s="3">
        <f t="shared" si="25"/>
        <v>8.3800000000000008</v>
      </c>
      <c r="T176" s="3">
        <f t="shared" si="25"/>
        <v>7.99</v>
      </c>
    </row>
    <row r="177" spans="2:25" x14ac:dyDescent="0.3">
      <c r="B177" t="s">
        <v>52</v>
      </c>
      <c r="C177" t="s">
        <v>621</v>
      </c>
      <c r="D177" t="s">
        <v>1671</v>
      </c>
      <c r="E177" s="133" t="s">
        <v>1671</v>
      </c>
      <c r="F177" s="133" t="s">
        <v>1671</v>
      </c>
      <c r="G177" s="133" t="s">
        <v>1671</v>
      </c>
      <c r="H177" s="133" t="s">
        <v>1671</v>
      </c>
      <c r="I177" s="133" t="s">
        <v>1671</v>
      </c>
      <c r="J177" s="133" t="s">
        <v>1671</v>
      </c>
      <c r="K177" s="133" t="s">
        <v>1671</v>
      </c>
      <c r="L177" s="133" t="s">
        <v>1671</v>
      </c>
      <c r="M177" s="133" t="s">
        <v>1671</v>
      </c>
      <c r="N177" s="133" t="s">
        <v>1671</v>
      </c>
      <c r="O177" s="133" t="s">
        <v>1671</v>
      </c>
      <c r="P177" s="133" t="s">
        <v>1671</v>
      </c>
      <c r="Q177" s="133" t="s">
        <v>1671</v>
      </c>
      <c r="R177" s="133" t="s">
        <v>1671</v>
      </c>
      <c r="S177" s="133" t="s">
        <v>1671</v>
      </c>
      <c r="T177" s="133" t="s">
        <v>1671</v>
      </c>
      <c r="V177" t="s">
        <v>658</v>
      </c>
    </row>
    <row r="178" spans="2:25" x14ac:dyDescent="0.3">
      <c r="B178" t="s">
        <v>558</v>
      </c>
      <c r="C178" t="s">
        <v>621</v>
      </c>
      <c r="D178" t="s">
        <v>1676</v>
      </c>
      <c r="E178" s="133" t="s">
        <v>1676</v>
      </c>
      <c r="F178" s="133" t="s">
        <v>1676</v>
      </c>
      <c r="G178" s="133" t="s">
        <v>1676</v>
      </c>
      <c r="H178" s="133" t="s">
        <v>1676</v>
      </c>
      <c r="I178" s="133" t="s">
        <v>1676</v>
      </c>
      <c r="J178" s="133" t="s">
        <v>1676</v>
      </c>
      <c r="K178" s="133" t="s">
        <v>1676</v>
      </c>
      <c r="L178" s="133" t="s">
        <v>1676</v>
      </c>
      <c r="M178" s="133" t="s">
        <v>1676</v>
      </c>
      <c r="N178" s="133" t="s">
        <v>1676</v>
      </c>
      <c r="O178" s="133" t="s">
        <v>1676</v>
      </c>
      <c r="P178" s="133" t="s">
        <v>1676</v>
      </c>
      <c r="Q178" s="133" t="s">
        <v>1676</v>
      </c>
      <c r="R178" s="133" t="s">
        <v>1676</v>
      </c>
      <c r="S178" s="133" t="s">
        <v>1676</v>
      </c>
      <c r="T178" s="133" t="s">
        <v>1676</v>
      </c>
      <c r="V178" t="s">
        <v>659</v>
      </c>
    </row>
    <row r="179" spans="2:25" x14ac:dyDescent="0.3">
      <c r="E179" s="10"/>
      <c r="G179" s="10"/>
    </row>
    <row r="180" spans="2:25" x14ac:dyDescent="0.3">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row>
    <row r="181" spans="2:25" x14ac:dyDescent="0.3">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row>
    <row r="182" spans="2:25" x14ac:dyDescent="0.3">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row>
    <row r="183" spans="2:25" x14ac:dyDescent="0.3">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row>
    <row r="184" spans="2:25" x14ac:dyDescent="0.3">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row>
    <row r="185" spans="2:25" x14ac:dyDescent="0.3">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row>
    <row r="186" spans="2:25" x14ac:dyDescent="0.3">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row>
    <row r="187" spans="2:25" x14ac:dyDescent="0.3">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row>
    <row r="188" spans="2:25" x14ac:dyDescent="0.3">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row>
    <row r="189" spans="2:25" x14ac:dyDescent="0.3">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row>
    <row r="190" spans="2:25" x14ac:dyDescent="0.3">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row>
    <row r="191" spans="2:25" x14ac:dyDescent="0.3">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row>
    <row r="192" spans="2:25" x14ac:dyDescent="0.3">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row>
    <row r="193" spans="2:25" x14ac:dyDescent="0.3">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BDF8-9A38-4493-B801-36C44EEE94D0}">
  <dimension ref="A2:AF378"/>
  <sheetViews>
    <sheetView workbookViewId="0"/>
  </sheetViews>
  <sheetFormatPr defaultRowHeight="14.4" x14ac:dyDescent="0.3"/>
  <cols>
    <col min="2" max="2" width="16" customWidth="1"/>
    <col min="3" max="3" width="12.88671875" customWidth="1"/>
    <col min="4" max="4" width="9.77734375" customWidth="1"/>
    <col min="5" max="5" width="9" customWidth="1"/>
    <col min="6" max="6" width="8.109375" customWidth="1"/>
    <col min="7" max="7" width="10.6640625" customWidth="1"/>
    <col min="8" max="8" width="8.44140625" customWidth="1"/>
    <col min="9" max="9" width="8.33203125" customWidth="1"/>
    <col min="10" max="10" width="9.5546875" customWidth="1"/>
    <col min="11" max="11" width="8.77734375" customWidth="1"/>
    <col min="12" max="12" width="8" customWidth="1"/>
    <col min="13" max="13" width="9.5546875" bestFit="1" customWidth="1"/>
    <col min="14" max="14" width="8.44140625" customWidth="1"/>
    <col min="15" max="16" width="8.44140625" style="133" customWidth="1"/>
    <col min="17" max="17" width="8.44140625" customWidth="1"/>
    <col min="18" max="18" width="8.44140625" style="133" customWidth="1"/>
    <col min="19" max="19" width="9.5546875" bestFit="1" customWidth="1"/>
    <col min="20" max="20" width="9.5546875" style="133" customWidth="1"/>
    <col min="21" max="21" width="8.21875" customWidth="1"/>
    <col min="22" max="22" width="8.21875" style="133" customWidth="1"/>
    <col min="23" max="23" width="8.33203125" bestFit="1" customWidth="1"/>
    <col min="24" max="24" width="8.33203125" style="133" customWidth="1"/>
    <col min="26" max="26" width="8.88671875" style="133"/>
    <col min="28" max="28" width="8.88671875" style="133"/>
  </cols>
  <sheetData>
    <row r="2" spans="2:6" x14ac:dyDescent="0.3">
      <c r="B2" s="14" t="s">
        <v>1759</v>
      </c>
    </row>
    <row r="3" spans="2:6" x14ac:dyDescent="0.3">
      <c r="B3" t="s">
        <v>893</v>
      </c>
    </row>
    <row r="4" spans="2:6" x14ac:dyDescent="0.3">
      <c r="B4" t="s">
        <v>1514</v>
      </c>
    </row>
    <row r="6" spans="2:6" s="133" customFormat="1" x14ac:dyDescent="0.3">
      <c r="B6" s="148" t="s">
        <v>114</v>
      </c>
      <c r="D6" s="133" t="s">
        <v>1518</v>
      </c>
    </row>
    <row r="7" spans="2:6" s="133" customFormat="1" x14ac:dyDescent="0.3">
      <c r="B7" s="133" t="s">
        <v>667</v>
      </c>
      <c r="C7" s="133" t="s">
        <v>503</v>
      </c>
      <c r="D7" s="133">
        <v>53</v>
      </c>
    </row>
    <row r="8" spans="2:6" s="133" customFormat="1" x14ac:dyDescent="0.3">
      <c r="B8" s="133" t="s">
        <v>1324</v>
      </c>
      <c r="D8" s="133" t="s">
        <v>1630</v>
      </c>
      <c r="E8" s="133" t="s">
        <v>1091</v>
      </c>
      <c r="F8" s="133" t="s">
        <v>1626</v>
      </c>
    </row>
    <row r="9" spans="2:6" s="133" customFormat="1" x14ac:dyDescent="0.3">
      <c r="B9" s="133" t="s">
        <v>956</v>
      </c>
      <c r="C9" s="133" t="s">
        <v>22</v>
      </c>
      <c r="D9" s="133" t="s">
        <v>1276</v>
      </c>
    </row>
    <row r="10" spans="2:6" s="133" customFormat="1" x14ac:dyDescent="0.3">
      <c r="B10" s="133" t="s">
        <v>32</v>
      </c>
      <c r="C10" s="133" t="s">
        <v>22</v>
      </c>
      <c r="D10" s="133" t="s">
        <v>1631</v>
      </c>
      <c r="E10" s="133">
        <v>3</v>
      </c>
      <c r="F10" s="133">
        <v>0.85</v>
      </c>
    </row>
    <row r="11" spans="2:6" s="133" customFormat="1" x14ac:dyDescent="0.3">
      <c r="B11" s="133" t="s">
        <v>326</v>
      </c>
      <c r="D11" s="133" t="s">
        <v>1427</v>
      </c>
    </row>
    <row r="12" spans="2:6" s="133" customFormat="1" x14ac:dyDescent="0.3">
      <c r="B12" s="133" t="s">
        <v>344</v>
      </c>
      <c r="D12" s="133" t="s">
        <v>665</v>
      </c>
    </row>
    <row r="13" spans="2:6" s="133" customFormat="1" x14ac:dyDescent="0.3">
      <c r="B13" s="133" t="s">
        <v>1332</v>
      </c>
      <c r="D13" s="133" t="s">
        <v>1331</v>
      </c>
    </row>
    <row r="14" spans="2:6" s="133" customFormat="1" x14ac:dyDescent="0.3">
      <c r="B14" s="133" t="s">
        <v>1330</v>
      </c>
      <c r="D14" s="133" t="s">
        <v>1333</v>
      </c>
    </row>
    <row r="15" spans="2:6" s="133" customFormat="1" x14ac:dyDescent="0.3">
      <c r="B15" s="133" t="s">
        <v>1968</v>
      </c>
      <c r="D15" s="133" t="s">
        <v>1969</v>
      </c>
      <c r="E15" s="133" t="s">
        <v>1971</v>
      </c>
    </row>
    <row r="16" spans="2:6" s="133" customFormat="1" x14ac:dyDescent="0.3">
      <c r="B16" s="133" t="s">
        <v>1541</v>
      </c>
      <c r="D16" s="133" t="s">
        <v>533</v>
      </c>
    </row>
    <row r="17" spans="2:10" s="133" customFormat="1" x14ac:dyDescent="0.3">
      <c r="B17" s="133" t="s">
        <v>1599</v>
      </c>
    </row>
    <row r="18" spans="2:10" x14ac:dyDescent="0.3">
      <c r="B18" s="6"/>
      <c r="C18" s="133"/>
      <c r="D18" s="133"/>
      <c r="E18" s="133"/>
    </row>
    <row r="19" spans="2:10" x14ac:dyDescent="0.3">
      <c r="B19" t="s">
        <v>894</v>
      </c>
      <c r="D19" t="s">
        <v>895</v>
      </c>
      <c r="E19" t="s">
        <v>896</v>
      </c>
      <c r="F19" t="s">
        <v>49</v>
      </c>
      <c r="G19" t="s">
        <v>897</v>
      </c>
      <c r="I19" s="6" t="s">
        <v>40</v>
      </c>
    </row>
    <row r="20" spans="2:10" x14ac:dyDescent="0.3">
      <c r="B20" t="s">
        <v>35</v>
      </c>
      <c r="D20">
        <v>7.45</v>
      </c>
      <c r="E20">
        <v>5.35</v>
      </c>
      <c r="F20">
        <v>6.94</v>
      </c>
      <c r="G20">
        <v>6.71</v>
      </c>
      <c r="I20" s="3">
        <f t="shared" ref="I20:I25" si="0">(D20*E$28+E20*G$28)/(E$28+G$28)</f>
        <v>6.6099999999999994</v>
      </c>
    </row>
    <row r="21" spans="2:10" x14ac:dyDescent="0.3">
      <c r="B21" t="s">
        <v>27</v>
      </c>
      <c r="C21" t="s">
        <v>47</v>
      </c>
      <c r="D21">
        <v>36.4</v>
      </c>
      <c r="E21">
        <v>41.6</v>
      </c>
      <c r="F21">
        <v>38.5</v>
      </c>
      <c r="G21">
        <v>45</v>
      </c>
      <c r="I21" s="8">
        <f t="shared" si="0"/>
        <v>38.479999999999997</v>
      </c>
    </row>
    <row r="22" spans="2:10" x14ac:dyDescent="0.3">
      <c r="B22" t="s">
        <v>14</v>
      </c>
      <c r="C22" t="s">
        <v>47</v>
      </c>
      <c r="D22">
        <v>26.9</v>
      </c>
      <c r="E22">
        <v>27.4</v>
      </c>
      <c r="F22">
        <v>27.1</v>
      </c>
      <c r="G22">
        <v>20.2</v>
      </c>
      <c r="I22" s="8">
        <f t="shared" si="0"/>
        <v>27.1</v>
      </c>
    </row>
    <row r="23" spans="2:10" x14ac:dyDescent="0.3">
      <c r="B23" t="s">
        <v>51</v>
      </c>
      <c r="C23" t="s">
        <v>47</v>
      </c>
      <c r="D23">
        <v>1.63</v>
      </c>
      <c r="E23">
        <v>1.92</v>
      </c>
      <c r="F23">
        <v>1.74</v>
      </c>
      <c r="G23">
        <v>5.14</v>
      </c>
      <c r="I23" s="3">
        <f t="shared" si="0"/>
        <v>1.746</v>
      </c>
    </row>
    <row r="24" spans="2:10" x14ac:dyDescent="0.3">
      <c r="B24" t="s">
        <v>420</v>
      </c>
      <c r="C24" t="s">
        <v>47</v>
      </c>
      <c r="D24">
        <v>0.89</v>
      </c>
      <c r="E24">
        <v>0.49</v>
      </c>
      <c r="F24">
        <v>0.73</v>
      </c>
      <c r="G24">
        <v>4.2699999999999996</v>
      </c>
      <c r="I24" s="3">
        <f t="shared" si="0"/>
        <v>0.73</v>
      </c>
    </row>
    <row r="25" spans="2:10" x14ac:dyDescent="0.3">
      <c r="B25" t="s">
        <v>558</v>
      </c>
      <c r="C25" t="s">
        <v>47</v>
      </c>
      <c r="D25">
        <v>10.210000000000001</v>
      </c>
      <c r="E25">
        <v>4.4999999999999998E-2</v>
      </c>
      <c r="F25">
        <v>2.72</v>
      </c>
      <c r="G25">
        <v>0.94</v>
      </c>
      <c r="I25" s="55">
        <f t="shared" si="0"/>
        <v>6.1440000000000001</v>
      </c>
      <c r="J25" t="s">
        <v>2189</v>
      </c>
    </row>
    <row r="27" spans="2:10" x14ac:dyDescent="0.3">
      <c r="B27" t="s">
        <v>902</v>
      </c>
      <c r="D27">
        <v>1</v>
      </c>
      <c r="E27">
        <v>7</v>
      </c>
    </row>
    <row r="28" spans="2:10" x14ac:dyDescent="0.3">
      <c r="B28" t="s">
        <v>87</v>
      </c>
      <c r="D28" t="s">
        <v>209</v>
      </c>
      <c r="E28">
        <v>3</v>
      </c>
      <c r="F28" t="s">
        <v>211</v>
      </c>
      <c r="G28">
        <v>2</v>
      </c>
      <c r="H28" t="s">
        <v>203</v>
      </c>
    </row>
    <row r="30" spans="2:10" x14ac:dyDescent="0.3">
      <c r="B30" t="s">
        <v>900</v>
      </c>
      <c r="C30">
        <v>3</v>
      </c>
      <c r="D30" t="s">
        <v>22</v>
      </c>
    </row>
    <row r="31" spans="2:10" x14ac:dyDescent="0.3">
      <c r="B31" t="s">
        <v>899</v>
      </c>
      <c r="C31">
        <v>15</v>
      </c>
      <c r="D31" t="s">
        <v>25</v>
      </c>
    </row>
    <row r="32" spans="2:10" x14ac:dyDescent="0.3">
      <c r="B32" t="s">
        <v>903</v>
      </c>
      <c r="C32">
        <f>C30/C31</f>
        <v>0.2</v>
      </c>
      <c r="D32" t="s">
        <v>458</v>
      </c>
    </row>
    <row r="33" spans="2:11" x14ac:dyDescent="0.3">
      <c r="B33" t="s">
        <v>33</v>
      </c>
      <c r="C33" s="3">
        <f>C32*F22/C30</f>
        <v>1.8066666666666669</v>
      </c>
      <c r="D33" t="s">
        <v>904</v>
      </c>
      <c r="F33" t="s">
        <v>2190</v>
      </c>
    </row>
    <row r="34" spans="2:11" x14ac:dyDescent="0.3">
      <c r="B34" t="s">
        <v>901</v>
      </c>
      <c r="C34">
        <v>0.85</v>
      </c>
      <c r="D34" t="s">
        <v>22</v>
      </c>
    </row>
    <row r="36" spans="2:11" x14ac:dyDescent="0.3">
      <c r="B36" t="s">
        <v>906</v>
      </c>
      <c r="C36">
        <v>1.68</v>
      </c>
      <c r="D36" t="s">
        <v>702</v>
      </c>
      <c r="F36" t="s">
        <v>2191</v>
      </c>
    </row>
    <row r="37" spans="2:11" x14ac:dyDescent="0.3">
      <c r="B37" t="s">
        <v>26</v>
      </c>
      <c r="C37" s="8">
        <f>F22/C36</f>
        <v>16.130952380952383</v>
      </c>
      <c r="D37" t="s">
        <v>25</v>
      </c>
    </row>
    <row r="38" spans="2:11" x14ac:dyDescent="0.3">
      <c r="B38" t="s">
        <v>1515</v>
      </c>
      <c r="C38" s="8">
        <f>C32*F22/C36</f>
        <v>3.2261904761904767</v>
      </c>
      <c r="D38" t="s">
        <v>22</v>
      </c>
    </row>
    <row r="40" spans="2:11" x14ac:dyDescent="0.3">
      <c r="B40" t="s">
        <v>307</v>
      </c>
    </row>
    <row r="41" spans="2:11" x14ac:dyDescent="0.3">
      <c r="B41" t="s">
        <v>905</v>
      </c>
      <c r="D41">
        <v>1</v>
      </c>
      <c r="F41">
        <v>2</v>
      </c>
      <c r="H41">
        <v>3</v>
      </c>
    </row>
    <row r="42" spans="2:11" x14ac:dyDescent="0.3">
      <c r="D42" t="s">
        <v>898</v>
      </c>
      <c r="E42" t="s">
        <v>41</v>
      </c>
      <c r="F42" t="s">
        <v>898</v>
      </c>
      <c r="G42" t="s">
        <v>41</v>
      </c>
      <c r="H42" t="s">
        <v>898</v>
      </c>
      <c r="I42" t="s">
        <v>41</v>
      </c>
    </row>
    <row r="43" spans="2:11" x14ac:dyDescent="0.3">
      <c r="B43" t="s">
        <v>33</v>
      </c>
      <c r="C43" t="s">
        <v>270</v>
      </c>
      <c r="D43" s="3">
        <v>1.68</v>
      </c>
      <c r="E43" s="3">
        <v>1.68</v>
      </c>
      <c r="F43" s="3">
        <v>1.68</v>
      </c>
      <c r="G43" s="3">
        <v>1.68</v>
      </c>
      <c r="H43" s="3">
        <v>1.8</v>
      </c>
      <c r="I43" s="3">
        <v>1.8</v>
      </c>
    </row>
    <row r="44" spans="2:11" x14ac:dyDescent="0.3">
      <c r="B44" t="s">
        <v>321</v>
      </c>
      <c r="C44" t="s">
        <v>290</v>
      </c>
      <c r="D44">
        <v>0</v>
      </c>
      <c r="E44">
        <v>0</v>
      </c>
      <c r="F44">
        <v>550</v>
      </c>
      <c r="G44">
        <v>0</v>
      </c>
      <c r="H44">
        <v>0</v>
      </c>
      <c r="I44">
        <v>0</v>
      </c>
      <c r="K44" t="s">
        <v>907</v>
      </c>
    </row>
    <row r="45" spans="2:11" x14ac:dyDescent="0.3">
      <c r="B45" t="s">
        <v>344</v>
      </c>
      <c r="C45" t="s">
        <v>908</v>
      </c>
      <c r="D45" s="3">
        <v>0.79</v>
      </c>
      <c r="E45" s="3">
        <v>0.8</v>
      </c>
      <c r="F45" s="3">
        <v>0.67</v>
      </c>
      <c r="G45" s="3">
        <v>0.67</v>
      </c>
      <c r="H45" s="3">
        <v>0.92</v>
      </c>
      <c r="I45" s="3">
        <v>0.92</v>
      </c>
    </row>
    <row r="46" spans="2:11" x14ac:dyDescent="0.3">
      <c r="B46" t="s">
        <v>308</v>
      </c>
      <c r="C46" t="s">
        <v>290</v>
      </c>
      <c r="E46">
        <v>472.72</v>
      </c>
      <c r="G46">
        <v>400.4</v>
      </c>
      <c r="I46">
        <v>552.4</v>
      </c>
      <c r="K46" t="s">
        <v>2067</v>
      </c>
    </row>
    <row r="47" spans="2:11" x14ac:dyDescent="0.3">
      <c r="B47" t="s">
        <v>293</v>
      </c>
      <c r="C47" t="s">
        <v>290</v>
      </c>
      <c r="D47" s="8"/>
      <c r="E47" s="8">
        <v>355.1</v>
      </c>
      <c r="F47" s="8"/>
      <c r="G47" s="8">
        <v>352</v>
      </c>
      <c r="H47" s="8"/>
      <c r="I47" s="8">
        <v>426.9</v>
      </c>
    </row>
    <row r="48" spans="2:11" x14ac:dyDescent="0.3">
      <c r="B48" t="s">
        <v>351</v>
      </c>
      <c r="C48" t="s">
        <v>909</v>
      </c>
      <c r="E48">
        <v>211</v>
      </c>
      <c r="G48">
        <v>214</v>
      </c>
      <c r="I48">
        <v>198</v>
      </c>
    </row>
    <row r="49" spans="2:11" x14ac:dyDescent="0.3">
      <c r="B49" t="s">
        <v>3</v>
      </c>
      <c r="C49" t="s">
        <v>302</v>
      </c>
      <c r="D49" s="8">
        <v>69.2</v>
      </c>
      <c r="E49" s="8">
        <v>75.400000000000006</v>
      </c>
      <c r="F49" s="8">
        <v>86.4</v>
      </c>
      <c r="G49" s="8">
        <v>91</v>
      </c>
      <c r="H49" s="8">
        <v>71</v>
      </c>
      <c r="I49" s="8">
        <v>77</v>
      </c>
    </row>
    <row r="50" spans="2:11" x14ac:dyDescent="0.3">
      <c r="B50" t="s">
        <v>277</v>
      </c>
      <c r="C50" t="s">
        <v>302</v>
      </c>
      <c r="D50" s="8">
        <v>30.7</v>
      </c>
      <c r="E50" s="8">
        <v>24.3</v>
      </c>
      <c r="F50" s="8">
        <v>10.7</v>
      </c>
      <c r="G50" s="8">
        <v>7</v>
      </c>
      <c r="H50" s="8">
        <v>29</v>
      </c>
      <c r="I50" s="8">
        <v>23</v>
      </c>
    </row>
    <row r="51" spans="2:11" x14ac:dyDescent="0.3">
      <c r="B51" t="s">
        <v>13</v>
      </c>
      <c r="C51" t="s">
        <v>302</v>
      </c>
      <c r="D51" s="8"/>
      <c r="E51" s="8"/>
      <c r="F51" s="8">
        <v>3.5</v>
      </c>
      <c r="G51" s="8">
        <v>2</v>
      </c>
      <c r="H51" s="8"/>
      <c r="I51" s="8"/>
    </row>
    <row r="52" spans="2:11" x14ac:dyDescent="0.3">
      <c r="B52" t="s">
        <v>35</v>
      </c>
      <c r="D52" s="3">
        <v>8.35</v>
      </c>
      <c r="E52" s="3">
        <v>8.1</v>
      </c>
      <c r="F52" s="3">
        <v>8.6</v>
      </c>
      <c r="G52" s="3">
        <v>8.1</v>
      </c>
      <c r="H52" s="3">
        <v>8.09</v>
      </c>
      <c r="I52" s="3">
        <v>7.66</v>
      </c>
    </row>
    <row r="53" spans="2:11" x14ac:dyDescent="0.3">
      <c r="B53" t="s">
        <v>171</v>
      </c>
      <c r="C53" t="s">
        <v>47</v>
      </c>
      <c r="D53" s="8">
        <v>0.2</v>
      </c>
      <c r="E53" s="8">
        <v>0.03</v>
      </c>
      <c r="F53" s="8">
        <v>2.7</v>
      </c>
      <c r="G53" s="8">
        <v>0.1</v>
      </c>
      <c r="H53" s="8">
        <v>0.6</v>
      </c>
      <c r="I53" s="8">
        <v>0.1</v>
      </c>
    </row>
    <row r="55" spans="2:11" x14ac:dyDescent="0.3">
      <c r="D55">
        <v>1</v>
      </c>
      <c r="F55">
        <v>2</v>
      </c>
      <c r="H55">
        <v>3</v>
      </c>
    </row>
    <row r="56" spans="2:11" x14ac:dyDescent="0.3">
      <c r="B56" s="6" t="s">
        <v>877</v>
      </c>
    </row>
    <row r="57" spans="2:11" x14ac:dyDescent="0.3">
      <c r="B57" s="148" t="s">
        <v>747</v>
      </c>
      <c r="C57" t="s">
        <v>302</v>
      </c>
      <c r="D57" s="8">
        <f t="shared" ref="D57:F57" si="1">SUM(D49:D51)</f>
        <v>99.9</v>
      </c>
      <c r="E57" s="8">
        <f t="shared" si="1"/>
        <v>99.7</v>
      </c>
      <c r="F57" s="8">
        <f t="shared" si="1"/>
        <v>100.60000000000001</v>
      </c>
      <c r="G57" s="8">
        <f>SUM(G49:G51)</f>
        <v>100</v>
      </c>
      <c r="H57" s="8">
        <f t="shared" ref="H57:I57" si="2">SUM(H49:H51)</f>
        <v>100</v>
      </c>
      <c r="I57" s="8">
        <f t="shared" si="2"/>
        <v>100</v>
      </c>
      <c r="K57" t="s">
        <v>2066</v>
      </c>
    </row>
    <row r="58" spans="2:11" x14ac:dyDescent="0.3">
      <c r="B58" t="s">
        <v>293</v>
      </c>
      <c r="C58" t="s">
        <v>338</v>
      </c>
      <c r="E58" s="10">
        <f>E43*E48/1000</f>
        <v>0.35447999999999996</v>
      </c>
      <c r="G58" s="10">
        <f>G43*G48/1000</f>
        <v>0.35952000000000001</v>
      </c>
      <c r="I58" s="52">
        <f>I43*I48/1000</f>
        <v>0.35640000000000005</v>
      </c>
      <c r="K58" t="s">
        <v>2313</v>
      </c>
    </row>
    <row r="59" spans="2:11" s="133" customFormat="1" x14ac:dyDescent="0.3">
      <c r="B59" s="133" t="s">
        <v>293</v>
      </c>
      <c r="C59" s="133" t="s">
        <v>338</v>
      </c>
      <c r="E59" s="10">
        <f>E46*E49/100000</f>
        <v>0.35643088000000006</v>
      </c>
      <c r="G59" s="10">
        <f>G46*G49/100000</f>
        <v>0.36436400000000002</v>
      </c>
      <c r="I59" s="10">
        <f>I46*I49/100000</f>
        <v>0.42534799999999995</v>
      </c>
      <c r="K59" s="133" t="s">
        <v>1517</v>
      </c>
    </row>
    <row r="60" spans="2:11" x14ac:dyDescent="0.3">
      <c r="B60" t="s">
        <v>2069</v>
      </c>
      <c r="C60" t="s">
        <v>338</v>
      </c>
      <c r="E60" s="10">
        <f>E47*100/(E49*1000)</f>
        <v>0.47095490716180372</v>
      </c>
      <c r="G60" s="10">
        <f>G47*100/(G49*1000)</f>
        <v>0.38681318681318683</v>
      </c>
      <c r="I60" s="10">
        <f>I47*100/(I49*1000)</f>
        <v>0.55441558441558436</v>
      </c>
      <c r="K60" t="s">
        <v>1516</v>
      </c>
    </row>
    <row r="61" spans="2:11" s="133" customFormat="1" x14ac:dyDescent="0.3">
      <c r="B61" s="133" t="s">
        <v>548</v>
      </c>
      <c r="C61" s="133" t="s">
        <v>338</v>
      </c>
      <c r="E61" s="10">
        <f>E46*E50/100000</f>
        <v>0.11487096000000001</v>
      </c>
      <c r="G61" s="10">
        <f>G46*G50/100000</f>
        <v>2.8027999999999997E-2</v>
      </c>
      <c r="I61" s="10">
        <f>I46*I50/100000</f>
        <v>0.127052</v>
      </c>
      <c r="K61" s="133" t="s">
        <v>2068</v>
      </c>
    </row>
    <row r="62" spans="2:11" s="133" customFormat="1" x14ac:dyDescent="0.3">
      <c r="B62" s="133" t="s">
        <v>321</v>
      </c>
      <c r="C62" s="133" t="s">
        <v>338</v>
      </c>
      <c r="E62" s="8"/>
      <c r="G62" s="10">
        <f>F44/1000</f>
        <v>0.55000000000000004</v>
      </c>
      <c r="I62" s="8"/>
    </row>
    <row r="63" spans="2:11" s="133" customFormat="1" x14ac:dyDescent="0.3">
      <c r="B63" s="133" t="s">
        <v>323</v>
      </c>
      <c r="C63" s="133" t="s">
        <v>338</v>
      </c>
      <c r="E63" s="8"/>
      <c r="G63" s="10">
        <f>G51*G46/100000</f>
        <v>8.0079999999999995E-3</v>
      </c>
      <c r="I63" s="8">
        <f>I51*I46/100</f>
        <v>0</v>
      </c>
    </row>
    <row r="64" spans="2:11" s="133" customFormat="1" x14ac:dyDescent="0.3">
      <c r="B64" s="133" t="s">
        <v>433</v>
      </c>
      <c r="C64" s="133" t="s">
        <v>338</v>
      </c>
      <c r="E64" s="8"/>
      <c r="G64" s="10">
        <f>G62-G63</f>
        <v>0.54199200000000003</v>
      </c>
      <c r="I64" s="8"/>
    </row>
    <row r="65" spans="2:15" s="133" customFormat="1" x14ac:dyDescent="0.3">
      <c r="B65" s="148" t="s">
        <v>460</v>
      </c>
      <c r="C65" s="133" t="s">
        <v>338</v>
      </c>
      <c r="E65" s="8"/>
      <c r="G65" s="10">
        <f>G64/4</f>
        <v>0.13549800000000001</v>
      </c>
      <c r="I65" s="8"/>
    </row>
    <row r="66" spans="2:15" s="133" customFormat="1" x14ac:dyDescent="0.3">
      <c r="B66" s="148" t="s">
        <v>402</v>
      </c>
      <c r="C66" s="133" t="s">
        <v>338</v>
      </c>
      <c r="E66" s="8"/>
      <c r="G66" s="8">
        <f>G47-E47</f>
        <v>-3.1000000000000227</v>
      </c>
      <c r="I66" s="8"/>
    </row>
    <row r="67" spans="2:15" s="133" customFormat="1" x14ac:dyDescent="0.3">
      <c r="B67" s="148" t="s">
        <v>2086</v>
      </c>
      <c r="C67" s="133" t="s">
        <v>338</v>
      </c>
      <c r="E67" s="8"/>
      <c r="G67" s="10"/>
      <c r="I67" s="8"/>
    </row>
    <row r="68" spans="2:15" s="133" customFormat="1" x14ac:dyDescent="0.3">
      <c r="B68" s="148" t="s">
        <v>93</v>
      </c>
      <c r="E68" s="8"/>
      <c r="G68" s="8"/>
      <c r="I68" s="8"/>
    </row>
    <row r="69" spans="2:15" s="133" customFormat="1" x14ac:dyDescent="0.3">
      <c r="B69" s="148" t="s">
        <v>462</v>
      </c>
      <c r="E69" s="8"/>
      <c r="G69" s="10">
        <f>G64/G62</f>
        <v>0.98543999999999998</v>
      </c>
      <c r="I69" s="8"/>
    </row>
    <row r="70" spans="2:15" s="133" customFormat="1" x14ac:dyDescent="0.3">
      <c r="B70" s="148" t="s">
        <v>2085</v>
      </c>
      <c r="C70" s="133" t="s">
        <v>92</v>
      </c>
      <c r="E70" s="8"/>
      <c r="G70" s="133" t="s">
        <v>301</v>
      </c>
      <c r="I70" s="8"/>
      <c r="K70" t="s">
        <v>2343</v>
      </c>
    </row>
    <row r="71" spans="2:15" s="133" customFormat="1" x14ac:dyDescent="0.3">
      <c r="B71" s="148" t="s">
        <v>2087</v>
      </c>
      <c r="C71" s="133" t="s">
        <v>92</v>
      </c>
      <c r="E71" s="8"/>
      <c r="G71" s="133" t="s">
        <v>301</v>
      </c>
      <c r="I71" s="8"/>
    </row>
    <row r="72" spans="2:15" s="133" customFormat="1" x14ac:dyDescent="0.3">
      <c r="B72" s="148" t="s">
        <v>2088</v>
      </c>
      <c r="C72" s="133" t="s">
        <v>92</v>
      </c>
      <c r="E72" s="8"/>
      <c r="G72" s="133" t="s">
        <v>301</v>
      </c>
      <c r="I72" s="8"/>
    </row>
    <row r="73" spans="2:15" s="133" customFormat="1" x14ac:dyDescent="0.3">
      <c r="B73" s="148" t="s">
        <v>2096</v>
      </c>
      <c r="C73" s="133" t="s">
        <v>92</v>
      </c>
      <c r="D73" s="37"/>
      <c r="E73" s="37"/>
      <c r="F73" s="37"/>
      <c r="G73" s="133" t="s">
        <v>301</v>
      </c>
      <c r="H73" s="37"/>
      <c r="I73" s="37"/>
      <c r="J73" s="37"/>
      <c r="K73" s="37"/>
      <c r="L73" s="37"/>
      <c r="M73" s="37"/>
      <c r="N73" s="37"/>
      <c r="O73" s="37"/>
    </row>
    <row r="74" spans="2:15" s="133" customFormat="1" x14ac:dyDescent="0.3">
      <c r="B74" s="148" t="s">
        <v>2097</v>
      </c>
      <c r="C74" s="133" t="s">
        <v>92</v>
      </c>
      <c r="D74" s="37"/>
      <c r="E74" s="37"/>
      <c r="F74" s="37"/>
      <c r="G74" s="133" t="s">
        <v>301</v>
      </c>
      <c r="H74" s="37"/>
      <c r="I74" s="37"/>
      <c r="J74" s="37"/>
      <c r="K74" s="37"/>
      <c r="L74" s="37"/>
      <c r="M74" s="37"/>
      <c r="N74" s="37"/>
      <c r="O74" s="37"/>
    </row>
    <row r="75" spans="2:15" s="133" customFormat="1" x14ac:dyDescent="0.3">
      <c r="B75" s="148" t="s">
        <v>2081</v>
      </c>
      <c r="E75" s="8"/>
      <c r="G75" s="133" t="s">
        <v>301</v>
      </c>
      <c r="I75" s="8"/>
    </row>
    <row r="76" spans="2:15" s="133" customFormat="1" x14ac:dyDescent="0.3">
      <c r="B76" s="148" t="s">
        <v>2137</v>
      </c>
      <c r="E76" s="8"/>
      <c r="G76" s="133" t="s">
        <v>301</v>
      </c>
      <c r="I76" s="8"/>
    </row>
    <row r="77" spans="2:15" s="133" customFormat="1" x14ac:dyDescent="0.3">
      <c r="E77" s="8"/>
      <c r="G77" s="8"/>
      <c r="I77" s="8"/>
    </row>
    <row r="78" spans="2:15" x14ac:dyDescent="0.3">
      <c r="B78" s="6" t="s">
        <v>359</v>
      </c>
      <c r="D78" t="s">
        <v>898</v>
      </c>
      <c r="E78" t="s">
        <v>41</v>
      </c>
      <c r="F78" t="s">
        <v>898</v>
      </c>
      <c r="G78" t="s">
        <v>41</v>
      </c>
      <c r="H78" t="s">
        <v>898</v>
      </c>
      <c r="I78" t="s">
        <v>41</v>
      </c>
    </row>
    <row r="79" spans="2:15" s="133" customFormat="1" x14ac:dyDescent="0.3">
      <c r="B79" s="148" t="s">
        <v>1795</v>
      </c>
    </row>
    <row r="80" spans="2:15" s="133" customFormat="1" x14ac:dyDescent="0.3">
      <c r="B80" s="148" t="s">
        <v>1791</v>
      </c>
      <c r="D80" s="133" t="s">
        <v>1104</v>
      </c>
      <c r="E80" s="133" t="s">
        <v>1104</v>
      </c>
      <c r="F80" s="133" t="s">
        <v>1105</v>
      </c>
      <c r="G80" s="133" t="s">
        <v>1104</v>
      </c>
      <c r="H80" s="133" t="s">
        <v>1104</v>
      </c>
      <c r="I80" s="133" t="s">
        <v>1104</v>
      </c>
    </row>
    <row r="81" spans="2:9" x14ac:dyDescent="0.3">
      <c r="B81" t="s">
        <v>33</v>
      </c>
      <c r="C81" t="s">
        <v>270</v>
      </c>
      <c r="D81" s="3">
        <f t="shared" ref="D81:I81" si="3">D43</f>
        <v>1.68</v>
      </c>
      <c r="E81" s="3">
        <f t="shared" si="3"/>
        <v>1.68</v>
      </c>
      <c r="F81" s="3">
        <f t="shared" si="3"/>
        <v>1.68</v>
      </c>
      <c r="G81" s="3">
        <f t="shared" si="3"/>
        <v>1.68</v>
      </c>
      <c r="H81" s="3">
        <f t="shared" si="3"/>
        <v>1.8</v>
      </c>
      <c r="I81" s="3">
        <f t="shared" si="3"/>
        <v>1.8</v>
      </c>
    </row>
    <row r="82" spans="2:9" x14ac:dyDescent="0.3">
      <c r="B82" t="s">
        <v>26</v>
      </c>
      <c r="C82" t="s">
        <v>25</v>
      </c>
      <c r="D82">
        <f t="shared" ref="D82:I82" si="4">$C$31</f>
        <v>15</v>
      </c>
      <c r="E82">
        <f t="shared" si="4"/>
        <v>15</v>
      </c>
      <c r="F82">
        <f t="shared" si="4"/>
        <v>15</v>
      </c>
      <c r="G82">
        <f t="shared" si="4"/>
        <v>15</v>
      </c>
      <c r="H82">
        <f t="shared" si="4"/>
        <v>15</v>
      </c>
      <c r="I82">
        <f t="shared" si="4"/>
        <v>15</v>
      </c>
    </row>
    <row r="83" spans="2:9" s="133" customFormat="1" x14ac:dyDescent="0.3">
      <c r="B83" s="148" t="s">
        <v>1544</v>
      </c>
      <c r="C83" s="133" t="s">
        <v>338</v>
      </c>
      <c r="E83" s="8"/>
      <c r="G83" s="8">
        <f>G62</f>
        <v>0.55000000000000004</v>
      </c>
      <c r="I83" s="8"/>
    </row>
    <row r="84" spans="2:9" x14ac:dyDescent="0.3">
      <c r="B84" t="s">
        <v>351</v>
      </c>
      <c r="C84" t="s">
        <v>377</v>
      </c>
      <c r="E84">
        <f>E48/1000</f>
        <v>0.21099999999999999</v>
      </c>
      <c r="G84">
        <f>G48/1000</f>
        <v>0.214</v>
      </c>
      <c r="I84">
        <f>I48/1000</f>
        <v>0.19800000000000001</v>
      </c>
    </row>
    <row r="85" spans="2:9" x14ac:dyDescent="0.3">
      <c r="B85" t="s">
        <v>352</v>
      </c>
      <c r="C85" t="s">
        <v>377</v>
      </c>
    </row>
    <row r="86" spans="2:9" x14ac:dyDescent="0.3">
      <c r="B86" t="s">
        <v>353</v>
      </c>
      <c r="C86" t="s">
        <v>92</v>
      </c>
    </row>
    <row r="87" spans="2:9" x14ac:dyDescent="0.3">
      <c r="B87" t="s">
        <v>293</v>
      </c>
      <c r="C87" t="s">
        <v>338</v>
      </c>
      <c r="D87" s="8"/>
      <c r="E87" s="8">
        <f>E47</f>
        <v>355.1</v>
      </c>
      <c r="F87" s="8"/>
      <c r="G87" s="8">
        <f>G47</f>
        <v>352</v>
      </c>
      <c r="H87" s="8"/>
      <c r="I87" s="8">
        <f>I47</f>
        <v>426.9</v>
      </c>
    </row>
    <row r="88" spans="2:9" x14ac:dyDescent="0.3">
      <c r="B88" t="s">
        <v>402</v>
      </c>
      <c r="C88" t="s">
        <v>338</v>
      </c>
      <c r="G88" s="8">
        <f>G87-E87</f>
        <v>-3.1000000000000227</v>
      </c>
    </row>
    <row r="89" spans="2:9" x14ac:dyDescent="0.3">
      <c r="B89" t="s">
        <v>3</v>
      </c>
      <c r="C89" t="s">
        <v>302</v>
      </c>
      <c r="D89" s="8">
        <f t="shared" ref="D89:I92" si="5">D49</f>
        <v>69.2</v>
      </c>
      <c r="E89" s="8">
        <f t="shared" si="5"/>
        <v>75.400000000000006</v>
      </c>
      <c r="F89" s="8">
        <f t="shared" si="5"/>
        <v>86.4</v>
      </c>
      <c r="G89" s="8">
        <f t="shared" si="5"/>
        <v>91</v>
      </c>
      <c r="H89" s="8">
        <f t="shared" si="5"/>
        <v>71</v>
      </c>
      <c r="I89" s="8">
        <f t="shared" si="5"/>
        <v>77</v>
      </c>
    </row>
    <row r="90" spans="2:9" x14ac:dyDescent="0.3">
      <c r="B90" t="s">
        <v>277</v>
      </c>
      <c r="C90" t="s">
        <v>302</v>
      </c>
      <c r="D90" s="8">
        <f t="shared" si="5"/>
        <v>30.7</v>
      </c>
      <c r="E90" s="8">
        <f t="shared" si="5"/>
        <v>24.3</v>
      </c>
      <c r="F90" s="8">
        <f t="shared" si="5"/>
        <v>10.7</v>
      </c>
      <c r="G90" s="8">
        <f t="shared" si="5"/>
        <v>7</v>
      </c>
      <c r="H90" s="8">
        <f t="shared" si="5"/>
        <v>29</v>
      </c>
      <c r="I90" s="8">
        <f t="shared" si="5"/>
        <v>23</v>
      </c>
    </row>
    <row r="91" spans="2:9" x14ac:dyDescent="0.3">
      <c r="B91" t="s">
        <v>13</v>
      </c>
      <c r="C91" t="s">
        <v>302</v>
      </c>
      <c r="D91" s="8">
        <f t="shared" si="5"/>
        <v>0</v>
      </c>
      <c r="E91" s="8">
        <f t="shared" si="5"/>
        <v>0</v>
      </c>
      <c r="F91" s="8">
        <f t="shared" si="5"/>
        <v>3.5</v>
      </c>
      <c r="G91" s="8">
        <f t="shared" si="5"/>
        <v>2</v>
      </c>
      <c r="H91" s="8">
        <f t="shared" si="5"/>
        <v>0</v>
      </c>
      <c r="I91" s="8">
        <f t="shared" si="5"/>
        <v>0</v>
      </c>
    </row>
    <row r="92" spans="2:9" x14ac:dyDescent="0.3">
      <c r="B92" t="s">
        <v>35</v>
      </c>
      <c r="D92" s="3">
        <f t="shared" si="5"/>
        <v>8.35</v>
      </c>
      <c r="E92" s="3">
        <f t="shared" si="5"/>
        <v>8.1</v>
      </c>
      <c r="F92" s="3">
        <f t="shared" si="5"/>
        <v>8.6</v>
      </c>
      <c r="G92" s="3">
        <f t="shared" si="5"/>
        <v>8.1</v>
      </c>
      <c r="H92" s="3">
        <f t="shared" si="5"/>
        <v>8.09</v>
      </c>
      <c r="I92" s="3">
        <f t="shared" si="5"/>
        <v>7.66</v>
      </c>
    </row>
    <row r="93" spans="2:9" x14ac:dyDescent="0.3">
      <c r="B93" t="s">
        <v>52</v>
      </c>
      <c r="C93" t="s">
        <v>621</v>
      </c>
    </row>
    <row r="94" spans="2:9" x14ac:dyDescent="0.3">
      <c r="B94" t="s">
        <v>558</v>
      </c>
      <c r="C94" t="s">
        <v>621</v>
      </c>
    </row>
    <row r="95" spans="2:9" x14ac:dyDescent="0.3">
      <c r="B95" s="12"/>
      <c r="C95" s="12"/>
    </row>
    <row r="98" spans="2:5" x14ac:dyDescent="0.3">
      <c r="B98" s="14" t="s">
        <v>1760</v>
      </c>
    </row>
    <row r="99" spans="2:5" x14ac:dyDescent="0.3">
      <c r="B99" t="s">
        <v>910</v>
      </c>
    </row>
    <row r="100" spans="2:5" x14ac:dyDescent="0.3">
      <c r="B100" t="s">
        <v>911</v>
      </c>
    </row>
    <row r="102" spans="2:5" s="133" customFormat="1" x14ac:dyDescent="0.3">
      <c r="B102" s="148" t="s">
        <v>114</v>
      </c>
      <c r="D102" s="133" t="s">
        <v>2140</v>
      </c>
      <c r="E102" s="133" t="s">
        <v>1735</v>
      </c>
    </row>
    <row r="103" spans="2:5" s="133" customFormat="1" x14ac:dyDescent="0.3">
      <c r="B103" s="133" t="s">
        <v>667</v>
      </c>
      <c r="C103" s="133" t="s">
        <v>503</v>
      </c>
      <c r="D103" s="133">
        <v>35</v>
      </c>
    </row>
    <row r="104" spans="2:5" s="133" customFormat="1" x14ac:dyDescent="0.3">
      <c r="B104" s="133" t="s">
        <v>1324</v>
      </c>
      <c r="D104" s="133" t="s">
        <v>1091</v>
      </c>
    </row>
    <row r="105" spans="2:5" s="133" customFormat="1" x14ac:dyDescent="0.3">
      <c r="B105" s="133" t="s">
        <v>956</v>
      </c>
      <c r="C105" s="133" t="s">
        <v>22</v>
      </c>
      <c r="D105" s="133">
        <v>2.4</v>
      </c>
    </row>
    <row r="106" spans="2:5" s="133" customFormat="1" x14ac:dyDescent="0.3">
      <c r="B106" s="133" t="s">
        <v>32</v>
      </c>
      <c r="C106" s="133" t="s">
        <v>22</v>
      </c>
      <c r="D106" s="133">
        <v>1</v>
      </c>
    </row>
    <row r="107" spans="2:5" s="133" customFormat="1" x14ac:dyDescent="0.3">
      <c r="B107" s="133" t="s">
        <v>326</v>
      </c>
      <c r="D107" s="133" t="s">
        <v>1427</v>
      </c>
    </row>
    <row r="108" spans="2:5" s="133" customFormat="1" x14ac:dyDescent="0.3">
      <c r="B108" s="133" t="s">
        <v>344</v>
      </c>
      <c r="D108" s="133" t="s">
        <v>694</v>
      </c>
    </row>
    <row r="109" spans="2:5" s="133" customFormat="1" x14ac:dyDescent="0.3">
      <c r="B109" s="133" t="s">
        <v>1332</v>
      </c>
      <c r="D109" s="133" t="s">
        <v>1973</v>
      </c>
    </row>
    <row r="110" spans="2:5" s="133" customFormat="1" x14ac:dyDescent="0.3">
      <c r="B110" s="133" t="s">
        <v>1330</v>
      </c>
      <c r="D110" s="133" t="s">
        <v>190</v>
      </c>
    </row>
    <row r="111" spans="2:5" s="133" customFormat="1" x14ac:dyDescent="0.3">
      <c r="B111" s="133" t="s">
        <v>1968</v>
      </c>
      <c r="D111" s="133" t="s">
        <v>2090</v>
      </c>
      <c r="E111" s="133" t="s">
        <v>1972</v>
      </c>
    </row>
    <row r="112" spans="2:5" s="133" customFormat="1" x14ac:dyDescent="0.3">
      <c r="B112" s="133" t="s">
        <v>1541</v>
      </c>
      <c r="D112" s="133" t="s">
        <v>533</v>
      </c>
    </row>
    <row r="113" spans="2:6" s="133" customFormat="1" x14ac:dyDescent="0.3">
      <c r="B113" s="133" t="s">
        <v>1599</v>
      </c>
    </row>
    <row r="114" spans="2:6" s="133" customFormat="1" x14ac:dyDescent="0.3">
      <c r="B114" s="6"/>
    </row>
    <row r="115" spans="2:6" x14ac:dyDescent="0.3">
      <c r="B115" t="s">
        <v>287</v>
      </c>
      <c r="D115" t="s">
        <v>913</v>
      </c>
      <c r="E115" t="s">
        <v>54</v>
      </c>
    </row>
    <row r="116" spans="2:6" x14ac:dyDescent="0.3">
      <c r="B116" t="s">
        <v>27</v>
      </c>
      <c r="C116" t="s">
        <v>422</v>
      </c>
      <c r="D116">
        <v>22.4</v>
      </c>
      <c r="E116">
        <v>24.9</v>
      </c>
    </row>
    <row r="117" spans="2:6" x14ac:dyDescent="0.3">
      <c r="B117" t="s">
        <v>14</v>
      </c>
      <c r="C117" t="s">
        <v>422</v>
      </c>
      <c r="D117">
        <v>14.7</v>
      </c>
      <c r="E117">
        <v>14.7</v>
      </c>
    </row>
    <row r="118" spans="2:6" x14ac:dyDescent="0.3">
      <c r="B118" t="s">
        <v>138</v>
      </c>
      <c r="C118" t="s">
        <v>302</v>
      </c>
      <c r="D118">
        <v>66</v>
      </c>
      <c r="E118">
        <v>59</v>
      </c>
    </row>
    <row r="119" spans="2:6" x14ac:dyDescent="0.3">
      <c r="B119" t="s">
        <v>51</v>
      </c>
      <c r="C119" t="s">
        <v>912</v>
      </c>
      <c r="D119">
        <v>749</v>
      </c>
      <c r="E119">
        <v>1350</v>
      </c>
    </row>
    <row r="120" spans="2:6" x14ac:dyDescent="0.3">
      <c r="B120" t="s">
        <v>48</v>
      </c>
      <c r="C120" t="s">
        <v>422</v>
      </c>
      <c r="D120">
        <v>10</v>
      </c>
      <c r="E120">
        <v>5.5</v>
      </c>
    </row>
    <row r="121" spans="2:6" x14ac:dyDescent="0.3">
      <c r="B121" t="s">
        <v>171</v>
      </c>
      <c r="C121" t="s">
        <v>914</v>
      </c>
      <c r="D121">
        <v>824</v>
      </c>
      <c r="E121">
        <v>255</v>
      </c>
    </row>
    <row r="123" spans="2:6" x14ac:dyDescent="0.3">
      <c r="B123" t="s">
        <v>32</v>
      </c>
      <c r="C123">
        <v>1</v>
      </c>
      <c r="D123" t="s">
        <v>22</v>
      </c>
    </row>
    <row r="124" spans="2:6" x14ac:dyDescent="0.3">
      <c r="B124" t="s">
        <v>452</v>
      </c>
      <c r="C124">
        <v>7.0000000000000007E-2</v>
      </c>
      <c r="D124" t="s">
        <v>22</v>
      </c>
    </row>
    <row r="125" spans="2:6" x14ac:dyDescent="0.3">
      <c r="B125" t="s">
        <v>26</v>
      </c>
      <c r="C125" s="16">
        <v>15</v>
      </c>
      <c r="D125" t="s">
        <v>566</v>
      </c>
      <c r="F125" t="s">
        <v>579</v>
      </c>
    </row>
    <row r="126" spans="2:6" x14ac:dyDescent="0.3">
      <c r="C126" s="8">
        <f>C123/C124</f>
        <v>14.285714285714285</v>
      </c>
      <c r="D126" t="s">
        <v>566</v>
      </c>
      <c r="F126" t="s">
        <v>922</v>
      </c>
    </row>
    <row r="127" spans="2:6" x14ac:dyDescent="0.3">
      <c r="B127" t="s">
        <v>33</v>
      </c>
      <c r="C127">
        <v>1</v>
      </c>
      <c r="D127" t="s">
        <v>270</v>
      </c>
      <c r="F127" t="s">
        <v>579</v>
      </c>
    </row>
    <row r="128" spans="2:6" x14ac:dyDescent="0.3">
      <c r="C128" s="3">
        <f>D117*C124/C123</f>
        <v>1.0290000000000001</v>
      </c>
      <c r="D128" t="s">
        <v>270</v>
      </c>
      <c r="F128" t="s">
        <v>922</v>
      </c>
    </row>
    <row r="129" spans="2:25" x14ac:dyDescent="0.3">
      <c r="C129" s="3">
        <v>1</v>
      </c>
      <c r="D129" t="s">
        <v>361</v>
      </c>
      <c r="F129" t="s">
        <v>579</v>
      </c>
    </row>
    <row r="130" spans="2:25" x14ac:dyDescent="0.3">
      <c r="C130" s="30">
        <f>D120*C124/C123</f>
        <v>0.70000000000000007</v>
      </c>
      <c r="D130" t="s">
        <v>361</v>
      </c>
      <c r="F130" t="s">
        <v>922</v>
      </c>
    </row>
    <row r="132" spans="2:25" x14ac:dyDescent="0.3">
      <c r="B132" t="s">
        <v>307</v>
      </c>
      <c r="C132" t="s">
        <v>915</v>
      </c>
      <c r="D132" t="s">
        <v>33</v>
      </c>
      <c r="E132" t="s">
        <v>916</v>
      </c>
      <c r="F132" t="s">
        <v>917</v>
      </c>
    </row>
    <row r="133" spans="2:25" x14ac:dyDescent="0.3">
      <c r="C133" t="s">
        <v>25</v>
      </c>
      <c r="D133" t="s">
        <v>361</v>
      </c>
      <c r="E133" t="s">
        <v>361</v>
      </c>
    </row>
    <row r="134" spans="2:25" x14ac:dyDescent="0.3">
      <c r="B134" t="s">
        <v>738</v>
      </c>
    </row>
    <row r="135" spans="2:25" x14ac:dyDescent="0.3">
      <c r="B135" t="s">
        <v>673</v>
      </c>
      <c r="C135">
        <v>19</v>
      </c>
      <c r="D135">
        <v>1</v>
      </c>
      <c r="E135">
        <v>1</v>
      </c>
      <c r="F135">
        <v>0</v>
      </c>
    </row>
    <row r="136" spans="2:25" x14ac:dyDescent="0.3">
      <c r="B136" t="s">
        <v>674</v>
      </c>
      <c r="C136">
        <v>7</v>
      </c>
      <c r="D136">
        <v>1</v>
      </c>
      <c r="E136">
        <v>1.05</v>
      </c>
      <c r="F136">
        <v>1</v>
      </c>
    </row>
    <row r="137" spans="2:25" x14ac:dyDescent="0.3">
      <c r="B137" t="s">
        <v>675</v>
      </c>
      <c r="C137">
        <v>7</v>
      </c>
      <c r="D137">
        <v>1</v>
      </c>
      <c r="E137">
        <v>1.07</v>
      </c>
      <c r="F137">
        <v>2</v>
      </c>
    </row>
    <row r="138" spans="2:25" x14ac:dyDescent="0.3">
      <c r="B138" t="s">
        <v>676</v>
      </c>
      <c r="C138">
        <v>7</v>
      </c>
      <c r="D138">
        <v>1</v>
      </c>
      <c r="E138">
        <v>1.0900000000000001</v>
      </c>
      <c r="F138">
        <v>3</v>
      </c>
    </row>
    <row r="139" spans="2:25" x14ac:dyDescent="0.3">
      <c r="B139" t="s">
        <v>222</v>
      </c>
      <c r="C139">
        <v>8</v>
      </c>
      <c r="D139">
        <v>1</v>
      </c>
      <c r="E139">
        <v>1.1200000000000001</v>
      </c>
      <c r="F139">
        <v>4</v>
      </c>
    </row>
    <row r="140" spans="2:25" x14ac:dyDescent="0.3">
      <c r="C140">
        <f>SUM(C135:C139)</f>
        <v>48</v>
      </c>
    </row>
    <row r="142" spans="2:25" x14ac:dyDescent="0.3">
      <c r="B142" t="s">
        <v>733</v>
      </c>
      <c r="D142" t="s">
        <v>673</v>
      </c>
      <c r="G142" t="s">
        <v>674</v>
      </c>
      <c r="J142" t="s">
        <v>675</v>
      </c>
      <c r="M142" t="s">
        <v>676</v>
      </c>
      <c r="P142" t="s">
        <v>222</v>
      </c>
      <c r="R142"/>
      <c r="S142" s="133"/>
      <c r="T142"/>
      <c r="U142" s="133"/>
      <c r="V142"/>
      <c r="W142" s="133"/>
      <c r="X142"/>
      <c r="Y142" s="133"/>
    </row>
    <row r="143" spans="2:25" x14ac:dyDescent="0.3">
      <c r="D143" t="s">
        <v>918</v>
      </c>
      <c r="E143" t="s">
        <v>919</v>
      </c>
      <c r="F143" t="s">
        <v>920</v>
      </c>
      <c r="G143" t="s">
        <v>918</v>
      </c>
      <c r="H143" t="s">
        <v>919</v>
      </c>
      <c r="I143" t="s">
        <v>920</v>
      </c>
      <c r="J143" t="s">
        <v>918</v>
      </c>
      <c r="K143" t="s">
        <v>919</v>
      </c>
      <c r="L143" t="s">
        <v>920</v>
      </c>
      <c r="M143" t="s">
        <v>918</v>
      </c>
      <c r="N143" t="s">
        <v>919</v>
      </c>
      <c r="O143" t="s">
        <v>920</v>
      </c>
      <c r="P143" t="s">
        <v>918</v>
      </c>
      <c r="Q143" t="s">
        <v>919</v>
      </c>
      <c r="R143" t="s">
        <v>920</v>
      </c>
      <c r="S143" s="133"/>
      <c r="T143"/>
      <c r="U143" s="133"/>
      <c r="V143"/>
      <c r="W143" s="133"/>
      <c r="X143"/>
      <c r="Y143" s="133"/>
    </row>
    <row r="144" spans="2:25" x14ac:dyDescent="0.3">
      <c r="B144" t="s">
        <v>321</v>
      </c>
      <c r="C144" t="s">
        <v>31</v>
      </c>
      <c r="H144">
        <v>62</v>
      </c>
      <c r="I144">
        <v>62</v>
      </c>
      <c r="K144">
        <v>102</v>
      </c>
      <c r="L144">
        <v>98</v>
      </c>
      <c r="N144">
        <v>133</v>
      </c>
      <c r="O144">
        <v>124</v>
      </c>
      <c r="P144"/>
      <c r="Q144">
        <v>222</v>
      </c>
      <c r="R144">
        <v>204</v>
      </c>
      <c r="S144" s="133"/>
      <c r="T144"/>
      <c r="U144" s="133"/>
      <c r="V144"/>
      <c r="W144" s="133"/>
      <c r="X144"/>
      <c r="Y144" s="133"/>
    </row>
    <row r="145" spans="2:25" x14ac:dyDescent="0.3">
      <c r="B145" t="s">
        <v>525</v>
      </c>
      <c r="C145" t="s">
        <v>31</v>
      </c>
      <c r="D145">
        <v>217</v>
      </c>
      <c r="E145">
        <v>205</v>
      </c>
      <c r="F145">
        <v>213</v>
      </c>
      <c r="G145">
        <v>215</v>
      </c>
      <c r="H145">
        <v>218</v>
      </c>
      <c r="I145">
        <v>197</v>
      </c>
      <c r="J145">
        <v>226</v>
      </c>
      <c r="K145" s="26">
        <v>262</v>
      </c>
      <c r="L145">
        <v>209</v>
      </c>
      <c r="M145">
        <v>234</v>
      </c>
      <c r="N145">
        <v>253</v>
      </c>
      <c r="O145">
        <v>253</v>
      </c>
      <c r="P145">
        <v>233</v>
      </c>
      <c r="Q145">
        <v>250</v>
      </c>
      <c r="R145" t="s">
        <v>301</v>
      </c>
      <c r="S145" s="133"/>
      <c r="T145" t="s">
        <v>2192</v>
      </c>
      <c r="U145" s="133"/>
      <c r="V145" t="s">
        <v>2344</v>
      </c>
      <c r="W145" s="133"/>
      <c r="X145"/>
      <c r="Y145" s="133"/>
    </row>
    <row r="146" spans="2:25" x14ac:dyDescent="0.3">
      <c r="B146" t="s">
        <v>3</v>
      </c>
      <c r="C146" t="s">
        <v>302</v>
      </c>
      <c r="D146" s="8">
        <v>72.599999999999994</v>
      </c>
      <c r="E146" s="8">
        <v>73</v>
      </c>
      <c r="F146" s="8">
        <v>72.400000000000006</v>
      </c>
      <c r="G146" s="8">
        <v>72.2</v>
      </c>
      <c r="H146" s="8">
        <v>73.5</v>
      </c>
      <c r="I146" s="8">
        <v>74.5</v>
      </c>
      <c r="J146" s="8">
        <v>72.5</v>
      </c>
      <c r="K146" s="8">
        <v>75.2</v>
      </c>
      <c r="L146" s="8">
        <v>76.3</v>
      </c>
      <c r="M146" s="8">
        <v>71.3</v>
      </c>
      <c r="N146" s="8">
        <v>77.2</v>
      </c>
      <c r="O146" s="8">
        <v>77</v>
      </c>
      <c r="P146" s="8">
        <v>71.3</v>
      </c>
      <c r="Q146" s="8">
        <v>80.2</v>
      </c>
      <c r="R146" s="8">
        <v>75.31</v>
      </c>
      <c r="S146" s="8"/>
      <c r="T146"/>
      <c r="U146" s="133"/>
      <c r="V146"/>
      <c r="W146" s="133"/>
      <c r="X146"/>
      <c r="Y146" s="133"/>
    </row>
    <row r="147" spans="2:25" x14ac:dyDescent="0.3">
      <c r="B147" t="s">
        <v>277</v>
      </c>
      <c r="C147" t="s">
        <v>302</v>
      </c>
      <c r="D147" s="8">
        <v>27.5</v>
      </c>
      <c r="E147" s="8">
        <v>27</v>
      </c>
      <c r="F147" s="8">
        <v>27.6</v>
      </c>
      <c r="G147" s="8">
        <v>26.3</v>
      </c>
      <c r="H147" s="8">
        <v>26.5</v>
      </c>
      <c r="I147" s="8">
        <v>25.4</v>
      </c>
      <c r="J147" s="8">
        <v>27.5</v>
      </c>
      <c r="K147" s="8">
        <v>24.8</v>
      </c>
      <c r="L147" s="8">
        <v>23.6</v>
      </c>
      <c r="M147" s="8">
        <v>28.6</v>
      </c>
      <c r="N147" s="8">
        <v>22.8</v>
      </c>
      <c r="O147" s="8">
        <v>22.3</v>
      </c>
      <c r="P147" s="8">
        <v>26.3</v>
      </c>
      <c r="Q147" s="8">
        <v>20.3</v>
      </c>
      <c r="R147" s="8">
        <v>24.7</v>
      </c>
      <c r="S147" s="8"/>
      <c r="T147"/>
      <c r="U147" s="133"/>
      <c r="V147"/>
      <c r="W147" s="133"/>
      <c r="X147"/>
      <c r="Y147" s="133"/>
    </row>
    <row r="148" spans="2:25" x14ac:dyDescent="0.3">
      <c r="B148" t="s">
        <v>13</v>
      </c>
      <c r="C148" t="s">
        <v>302</v>
      </c>
      <c r="D148" s="8"/>
      <c r="E148" s="8"/>
      <c r="F148" s="8"/>
      <c r="H148" s="8">
        <v>2.6</v>
      </c>
      <c r="I148" s="8">
        <v>0.1</v>
      </c>
      <c r="J148" s="8"/>
      <c r="K148" s="8">
        <v>0</v>
      </c>
      <c r="L148" s="8">
        <v>0</v>
      </c>
      <c r="M148" s="8"/>
      <c r="N148" s="8">
        <v>0</v>
      </c>
      <c r="O148" s="8">
        <v>0</v>
      </c>
      <c r="P148" s="8"/>
      <c r="Q148" s="8">
        <v>0</v>
      </c>
      <c r="R148" s="8">
        <v>3.6</v>
      </c>
      <c r="S148" s="8"/>
      <c r="T148" s="8"/>
      <c r="U148" s="8"/>
      <c r="V148"/>
      <c r="W148" s="133"/>
      <c r="X148"/>
      <c r="Y148" s="133"/>
    </row>
    <row r="149" spans="2:25" x14ac:dyDescent="0.3">
      <c r="B149" t="s">
        <v>351</v>
      </c>
      <c r="C149" t="s">
        <v>303</v>
      </c>
      <c r="D149" s="16">
        <v>157</v>
      </c>
      <c r="E149" s="16">
        <v>149</v>
      </c>
      <c r="F149" s="16">
        <v>153</v>
      </c>
      <c r="G149" s="16">
        <v>156</v>
      </c>
      <c r="H149" s="16">
        <v>160</v>
      </c>
      <c r="I149" s="16">
        <v>146</v>
      </c>
      <c r="J149" s="16">
        <v>164</v>
      </c>
      <c r="K149" s="29">
        <v>169</v>
      </c>
      <c r="L149" s="16">
        <v>160</v>
      </c>
      <c r="M149" s="16">
        <v>162</v>
      </c>
      <c r="N149" s="16">
        <v>194</v>
      </c>
      <c r="O149" s="16">
        <v>194</v>
      </c>
      <c r="P149" s="16">
        <v>161</v>
      </c>
      <c r="Q149" s="16">
        <v>195</v>
      </c>
      <c r="R149" s="16" t="s">
        <v>301</v>
      </c>
      <c r="S149" s="16"/>
      <c r="T149" t="s">
        <v>925</v>
      </c>
      <c r="U149" s="16"/>
      <c r="W149" s="133"/>
      <c r="X149"/>
      <c r="Y149" s="133"/>
    </row>
    <row r="150" spans="2:25" x14ac:dyDescent="0.3">
      <c r="B150" t="s">
        <v>921</v>
      </c>
      <c r="C150" t="s">
        <v>302</v>
      </c>
      <c r="H150" s="8">
        <v>96</v>
      </c>
      <c r="I150" s="8">
        <v>99.8</v>
      </c>
      <c r="K150" s="8">
        <v>100</v>
      </c>
      <c r="L150" s="8">
        <v>100</v>
      </c>
      <c r="N150" s="8">
        <v>100</v>
      </c>
      <c r="O150" s="8">
        <v>100</v>
      </c>
      <c r="P150"/>
      <c r="Q150" s="8">
        <v>100</v>
      </c>
      <c r="R150" s="8">
        <v>100</v>
      </c>
      <c r="S150" s="8"/>
      <c r="T150"/>
      <c r="U150" s="133"/>
      <c r="W150" s="133"/>
      <c r="X150"/>
      <c r="Y150" s="133"/>
    </row>
    <row r="151" spans="2:25" x14ac:dyDescent="0.3">
      <c r="B151" t="s">
        <v>304</v>
      </c>
      <c r="C151" t="s">
        <v>302</v>
      </c>
      <c r="H151">
        <v>41.5</v>
      </c>
      <c r="I151" s="8">
        <v>38.6</v>
      </c>
      <c r="K151" s="8">
        <v>49.1</v>
      </c>
      <c r="L151" s="8">
        <v>26.4</v>
      </c>
      <c r="N151" s="8">
        <v>25.1</v>
      </c>
      <c r="O151" s="8">
        <v>13.4</v>
      </c>
      <c r="P151"/>
      <c r="Q151" s="8">
        <v>45.9</v>
      </c>
      <c r="R151" t="s">
        <v>301</v>
      </c>
      <c r="S151" s="133"/>
      <c r="T151"/>
      <c r="U151" s="133"/>
      <c r="W151" s="133"/>
      <c r="X151"/>
      <c r="Y151" s="133"/>
    </row>
    <row r="152" spans="2:25" x14ac:dyDescent="0.3">
      <c r="B152" t="s">
        <v>35</v>
      </c>
      <c r="D152">
        <v>7.3</v>
      </c>
      <c r="E152">
        <v>7.4</v>
      </c>
      <c r="F152">
        <v>7.4</v>
      </c>
      <c r="G152">
        <v>7.2</v>
      </c>
      <c r="H152" s="8">
        <v>7.2</v>
      </c>
      <c r="I152" s="8">
        <v>7.2</v>
      </c>
      <c r="J152" s="8">
        <v>7.2</v>
      </c>
      <c r="K152">
        <v>7.3</v>
      </c>
      <c r="L152" s="8">
        <v>7.3</v>
      </c>
      <c r="M152" s="8">
        <v>7</v>
      </c>
      <c r="N152" s="8">
        <v>7.3</v>
      </c>
      <c r="O152" s="8">
        <v>7.2</v>
      </c>
      <c r="P152" s="8">
        <v>7.1</v>
      </c>
      <c r="Q152" s="8">
        <v>7.2</v>
      </c>
      <c r="R152" s="8">
        <v>7.2</v>
      </c>
      <c r="S152" s="8"/>
      <c r="T152" t="s">
        <v>924</v>
      </c>
      <c r="U152" s="133"/>
      <c r="W152" s="133"/>
      <c r="X152"/>
      <c r="Y152" s="133"/>
    </row>
    <row r="153" spans="2:25" x14ac:dyDescent="0.3">
      <c r="B153" t="s">
        <v>171</v>
      </c>
      <c r="C153" t="s">
        <v>914</v>
      </c>
      <c r="D153" s="16">
        <v>834</v>
      </c>
      <c r="E153" s="16">
        <v>314</v>
      </c>
      <c r="F153" s="16">
        <v>943</v>
      </c>
      <c r="G153" s="16">
        <v>632</v>
      </c>
      <c r="H153" s="16">
        <v>348</v>
      </c>
      <c r="I153" s="16">
        <v>2560</v>
      </c>
      <c r="J153" s="16">
        <v>313</v>
      </c>
      <c r="K153" s="16">
        <v>275</v>
      </c>
      <c r="L153" s="16">
        <v>1090</v>
      </c>
      <c r="M153" s="16">
        <v>269</v>
      </c>
      <c r="N153" s="16">
        <v>412</v>
      </c>
      <c r="O153" s="16">
        <v>274</v>
      </c>
      <c r="P153" s="16">
        <v>209</v>
      </c>
      <c r="Q153" s="16">
        <v>184</v>
      </c>
      <c r="R153" s="16">
        <v>1012</v>
      </c>
      <c r="S153" s="16"/>
      <c r="T153"/>
      <c r="U153" s="133"/>
      <c r="W153" s="133"/>
      <c r="X153"/>
      <c r="Y153" s="133"/>
    </row>
    <row r="154" spans="2:25" x14ac:dyDescent="0.3">
      <c r="O154"/>
      <c r="P154"/>
      <c r="R154"/>
      <c r="S154" s="133"/>
      <c r="T154"/>
      <c r="U154" s="133"/>
      <c r="W154" s="133"/>
      <c r="X154"/>
      <c r="Y154" s="133"/>
    </row>
    <row r="155" spans="2:25" s="133" customFormat="1" x14ac:dyDescent="0.3">
      <c r="D155" s="133" t="s">
        <v>673</v>
      </c>
      <c r="G155" s="133" t="s">
        <v>674</v>
      </c>
      <c r="J155" s="133" t="s">
        <v>675</v>
      </c>
      <c r="M155" s="133" t="s">
        <v>676</v>
      </c>
      <c r="P155" s="133" t="s">
        <v>222</v>
      </c>
    </row>
    <row r="156" spans="2:25" x14ac:dyDescent="0.3">
      <c r="B156" s="6" t="s">
        <v>877</v>
      </c>
      <c r="D156" s="133" t="s">
        <v>918</v>
      </c>
      <c r="E156" s="133" t="s">
        <v>919</v>
      </c>
      <c r="F156" s="133" t="s">
        <v>920</v>
      </c>
      <c r="G156" s="133" t="s">
        <v>918</v>
      </c>
      <c r="H156" s="133" t="s">
        <v>919</v>
      </c>
      <c r="I156" s="133" t="s">
        <v>920</v>
      </c>
      <c r="J156" s="133" t="s">
        <v>918</v>
      </c>
      <c r="K156" s="133" t="s">
        <v>919</v>
      </c>
      <c r="L156" s="133" t="s">
        <v>920</v>
      </c>
      <c r="M156" s="133" t="s">
        <v>918</v>
      </c>
      <c r="N156" s="133" t="s">
        <v>919</v>
      </c>
      <c r="O156" s="133" t="s">
        <v>920</v>
      </c>
      <c r="P156" s="133" t="s">
        <v>918</v>
      </c>
      <c r="Q156" s="133" t="s">
        <v>919</v>
      </c>
      <c r="R156" s="133" t="s">
        <v>920</v>
      </c>
      <c r="S156" s="133"/>
      <c r="T156" t="s">
        <v>2000</v>
      </c>
      <c r="U156" s="133"/>
      <c r="W156" s="133"/>
      <c r="X156"/>
      <c r="Y156" s="133"/>
    </row>
    <row r="157" spans="2:25" x14ac:dyDescent="0.3">
      <c r="B157" t="s">
        <v>747</v>
      </c>
      <c r="C157" t="s">
        <v>92</v>
      </c>
      <c r="D157" s="8">
        <f>SUM(D146:D148)</f>
        <v>100.1</v>
      </c>
      <c r="E157" s="198">
        <f t="shared" ref="E157:N157" si="6">SUM(E146:E148)</f>
        <v>100</v>
      </c>
      <c r="F157" s="198">
        <f t="shared" si="6"/>
        <v>100</v>
      </c>
      <c r="G157" s="198">
        <f t="shared" si="6"/>
        <v>98.5</v>
      </c>
      <c r="H157" s="198">
        <f t="shared" si="6"/>
        <v>102.6</v>
      </c>
      <c r="I157" s="198">
        <f t="shared" si="6"/>
        <v>100</v>
      </c>
      <c r="J157" s="198">
        <f t="shared" si="6"/>
        <v>100</v>
      </c>
      <c r="K157" s="198">
        <f t="shared" si="6"/>
        <v>100</v>
      </c>
      <c r="L157" s="198">
        <f t="shared" si="6"/>
        <v>99.9</v>
      </c>
      <c r="M157" s="198">
        <f t="shared" si="6"/>
        <v>99.9</v>
      </c>
      <c r="N157" s="198">
        <f t="shared" si="6"/>
        <v>100</v>
      </c>
      <c r="O157" s="198">
        <f>SUM(O146:O148)</f>
        <v>99.3</v>
      </c>
      <c r="P157" s="198">
        <f>SUM(P146:P148)</f>
        <v>97.6</v>
      </c>
      <c r="Q157" s="198">
        <f>SUM(Q146:Q148)</f>
        <v>100.5</v>
      </c>
      <c r="R157" s="198">
        <f>SUM(R146:R148)</f>
        <v>103.61</v>
      </c>
      <c r="S157" s="8"/>
      <c r="T157" t="s">
        <v>2070</v>
      </c>
      <c r="U157" s="133"/>
      <c r="W157" s="133"/>
      <c r="X157"/>
      <c r="Y157" s="133"/>
    </row>
    <row r="158" spans="2:25" s="133" customFormat="1" x14ac:dyDescent="0.3">
      <c r="B158" s="133" t="s">
        <v>308</v>
      </c>
      <c r="C158" s="133" t="s">
        <v>338</v>
      </c>
      <c r="D158" s="10">
        <f t="shared" ref="D158:Q158" si="7">D145/($D106*1000)</f>
        <v>0.217</v>
      </c>
      <c r="E158" s="10">
        <f t="shared" si="7"/>
        <v>0.20499999999999999</v>
      </c>
      <c r="F158" s="10">
        <f t="shared" si="7"/>
        <v>0.21299999999999999</v>
      </c>
      <c r="G158" s="10">
        <f t="shared" si="7"/>
        <v>0.215</v>
      </c>
      <c r="H158" s="10">
        <f t="shared" si="7"/>
        <v>0.218</v>
      </c>
      <c r="I158" s="10">
        <f t="shared" si="7"/>
        <v>0.19700000000000001</v>
      </c>
      <c r="J158" s="10">
        <f t="shared" si="7"/>
        <v>0.22600000000000001</v>
      </c>
      <c r="K158" s="10">
        <f t="shared" si="7"/>
        <v>0.26200000000000001</v>
      </c>
      <c r="L158" s="10">
        <f t="shared" si="7"/>
        <v>0.20899999999999999</v>
      </c>
      <c r="M158" s="10">
        <f t="shared" si="7"/>
        <v>0.23400000000000001</v>
      </c>
      <c r="N158" s="10">
        <f t="shared" si="7"/>
        <v>0.253</v>
      </c>
      <c r="O158" s="10">
        <f t="shared" si="7"/>
        <v>0.253</v>
      </c>
      <c r="P158" s="10">
        <f t="shared" si="7"/>
        <v>0.23300000000000001</v>
      </c>
      <c r="Q158" s="10">
        <f t="shared" si="7"/>
        <v>0.25</v>
      </c>
      <c r="R158" s="10" t="s">
        <v>301</v>
      </c>
      <c r="S158" s="10"/>
    </row>
    <row r="159" spans="2:25" s="133" customFormat="1" x14ac:dyDescent="0.3">
      <c r="B159" s="133" t="s">
        <v>351</v>
      </c>
      <c r="C159" s="133" t="s">
        <v>377</v>
      </c>
      <c r="D159" s="10">
        <f t="shared" ref="D159:N159" si="8">D149/1000</f>
        <v>0.157</v>
      </c>
      <c r="E159" s="10">
        <f t="shared" si="8"/>
        <v>0.14899999999999999</v>
      </c>
      <c r="F159" s="10">
        <f t="shared" si="8"/>
        <v>0.153</v>
      </c>
      <c r="G159" s="10">
        <f t="shared" si="8"/>
        <v>0.156</v>
      </c>
      <c r="H159" s="10">
        <f t="shared" si="8"/>
        <v>0.16</v>
      </c>
      <c r="I159" s="10">
        <f t="shared" si="8"/>
        <v>0.14599999999999999</v>
      </c>
      <c r="J159" s="10">
        <f t="shared" si="8"/>
        <v>0.16400000000000001</v>
      </c>
      <c r="K159" s="10">
        <f t="shared" si="8"/>
        <v>0.16900000000000001</v>
      </c>
      <c r="L159" s="10">
        <f t="shared" si="8"/>
        <v>0.16</v>
      </c>
      <c r="M159" s="10">
        <f t="shared" si="8"/>
        <v>0.16200000000000001</v>
      </c>
      <c r="N159" s="10">
        <f t="shared" si="8"/>
        <v>0.19400000000000001</v>
      </c>
      <c r="O159" s="10">
        <f>O149/1000</f>
        <v>0.19400000000000001</v>
      </c>
      <c r="P159" s="10">
        <f>P149/1000</f>
        <v>0.161</v>
      </c>
      <c r="Q159" s="10">
        <f>Q149/1000</f>
        <v>0.19500000000000001</v>
      </c>
      <c r="R159" s="10" t="s">
        <v>301</v>
      </c>
      <c r="S159" s="10"/>
    </row>
    <row r="160" spans="2:25" x14ac:dyDescent="0.3">
      <c r="B160" t="s">
        <v>1999</v>
      </c>
      <c r="C160" t="s">
        <v>377</v>
      </c>
      <c r="D160" s="10">
        <f t="shared" ref="D160:N160" si="9">D192/D186</f>
        <v>0.15754199999999999</v>
      </c>
      <c r="E160" s="10">
        <f t="shared" si="9"/>
        <v>0.14965000000000001</v>
      </c>
      <c r="F160" s="10">
        <f t="shared" si="9"/>
        <v>0.15421200000000002</v>
      </c>
      <c r="G160" s="10">
        <f t="shared" si="9"/>
        <v>0.15523000000000001</v>
      </c>
      <c r="H160" s="10">
        <f t="shared" si="9"/>
        <v>0.16023000000000001</v>
      </c>
      <c r="I160" s="10">
        <f t="shared" si="9"/>
        <v>0.14676500000000001</v>
      </c>
      <c r="J160" s="10">
        <f t="shared" si="9"/>
        <v>0.16385</v>
      </c>
      <c r="K160" s="52">
        <f>K192/K186</f>
        <v>0.197024</v>
      </c>
      <c r="L160" s="10">
        <f t="shared" si="9"/>
        <v>0.159467</v>
      </c>
      <c r="M160" s="52">
        <f t="shared" si="9"/>
        <v>0.16684200000000002</v>
      </c>
      <c r="N160" s="10">
        <f t="shared" si="9"/>
        <v>0.19531600000000002</v>
      </c>
      <c r="O160" s="10">
        <f>O192/O186</f>
        <v>0.19481000000000001</v>
      </c>
      <c r="P160" s="10">
        <f>P192/P186</f>
        <v>0.16612899999999997</v>
      </c>
      <c r="Q160" s="52">
        <f>Q192/Q186</f>
        <v>0.20050000000000001</v>
      </c>
      <c r="R160" s="10" t="s">
        <v>301</v>
      </c>
      <c r="S160" s="10"/>
      <c r="T160" t="s">
        <v>1998</v>
      </c>
      <c r="U160" s="133"/>
      <c r="W160" s="133"/>
      <c r="X160"/>
      <c r="Y160" s="133"/>
    </row>
    <row r="161" spans="1:25" x14ac:dyDescent="0.3">
      <c r="B161" t="s">
        <v>352</v>
      </c>
      <c r="C161" t="s">
        <v>377</v>
      </c>
      <c r="H161" s="10">
        <f>H159-G159</f>
        <v>4.0000000000000036E-3</v>
      </c>
      <c r="I161" s="10">
        <f>I159-G159</f>
        <v>-1.0000000000000009E-2</v>
      </c>
      <c r="K161" s="10">
        <f>K159-J159</f>
        <v>5.0000000000000044E-3</v>
      </c>
      <c r="L161" s="10">
        <f>L159-J159</f>
        <v>-4.0000000000000036E-3</v>
      </c>
      <c r="N161" s="10">
        <f>N159-M159</f>
        <v>3.2000000000000001E-2</v>
      </c>
      <c r="O161" s="10">
        <f>O159-M159</f>
        <v>3.2000000000000001E-2</v>
      </c>
      <c r="P161"/>
      <c r="Q161" s="10">
        <f>Q159-P159</f>
        <v>3.4000000000000002E-2</v>
      </c>
      <c r="R161" s="10" t="s">
        <v>301</v>
      </c>
      <c r="S161" s="10"/>
      <c r="T161"/>
      <c r="U161" s="133"/>
      <c r="W161" s="133"/>
      <c r="X161"/>
      <c r="Y161" s="133"/>
    </row>
    <row r="162" spans="1:25" s="133" customFormat="1" x14ac:dyDescent="0.3">
      <c r="B162" s="133" t="s">
        <v>353</v>
      </c>
      <c r="C162" s="133" t="s">
        <v>92</v>
      </c>
      <c r="H162" s="10">
        <f>H161/G159</f>
        <v>2.5641025641025664E-2</v>
      </c>
      <c r="I162" s="10">
        <f>I161/G159</f>
        <v>-6.4102564102564166E-2</v>
      </c>
      <c r="J162" s="10"/>
      <c r="K162" s="10">
        <f>K161/J159</f>
        <v>3.0487804878048808E-2</v>
      </c>
      <c r="L162" s="10">
        <f>L161/J159</f>
        <v>-2.4390243902439046E-2</v>
      </c>
      <c r="M162" s="10"/>
      <c r="N162" s="10">
        <f>N161/M159</f>
        <v>0.19753086419753085</v>
      </c>
      <c r="O162" s="10">
        <f>O161/M159</f>
        <v>0.19753086419753085</v>
      </c>
      <c r="P162" s="10"/>
      <c r="Q162" s="10">
        <f>Q161/P159</f>
        <v>0.21118012422360249</v>
      </c>
      <c r="R162" s="10" t="s">
        <v>301</v>
      </c>
      <c r="S162" s="10"/>
      <c r="U162" s="10"/>
    </row>
    <row r="163" spans="1:25" s="133" customFormat="1" x14ac:dyDescent="0.3">
      <c r="B163" s="133" t="s">
        <v>293</v>
      </c>
      <c r="C163" s="133" t="s">
        <v>338</v>
      </c>
      <c r="D163" s="10">
        <f t="shared" ref="D163:N163" si="10">D145*D146/100000</f>
        <v>0.15754199999999999</v>
      </c>
      <c r="E163" s="10">
        <f t="shared" si="10"/>
        <v>0.14965000000000001</v>
      </c>
      <c r="F163" s="10">
        <f t="shared" si="10"/>
        <v>0.15421200000000002</v>
      </c>
      <c r="G163" s="10">
        <f t="shared" si="10"/>
        <v>0.15523000000000001</v>
      </c>
      <c r="H163" s="10">
        <f t="shared" si="10"/>
        <v>0.16023000000000001</v>
      </c>
      <c r="I163" s="10">
        <f t="shared" si="10"/>
        <v>0.14676500000000001</v>
      </c>
      <c r="J163" s="10">
        <f t="shared" si="10"/>
        <v>0.16385</v>
      </c>
      <c r="K163" s="10">
        <f t="shared" si="10"/>
        <v>0.197024</v>
      </c>
      <c r="L163" s="10">
        <f t="shared" si="10"/>
        <v>0.159467</v>
      </c>
      <c r="M163" s="10">
        <f t="shared" si="10"/>
        <v>0.16684200000000002</v>
      </c>
      <c r="N163" s="10">
        <f t="shared" si="10"/>
        <v>0.19531600000000002</v>
      </c>
      <c r="O163" s="10">
        <f>O145*O146/100000</f>
        <v>0.19481000000000001</v>
      </c>
      <c r="P163" s="10">
        <f>P145*P146/100000</f>
        <v>0.16612899999999997</v>
      </c>
      <c r="Q163" s="10">
        <f>Q145*Q146/100000</f>
        <v>0.20050000000000001</v>
      </c>
      <c r="R163" s="10" t="s">
        <v>301</v>
      </c>
      <c r="S163" s="10"/>
    </row>
    <row r="164" spans="1:25" s="133" customFormat="1" x14ac:dyDescent="0.3">
      <c r="B164" s="133" t="s">
        <v>40</v>
      </c>
      <c r="C164" s="133" t="s">
        <v>338</v>
      </c>
      <c r="D164" s="10">
        <f>D158*D146/100</f>
        <v>0.15754199999999999</v>
      </c>
      <c r="E164" s="10">
        <f t="shared" ref="E164:N164" si="11">E158*E146/100</f>
        <v>0.14965000000000001</v>
      </c>
      <c r="F164" s="10">
        <f t="shared" si="11"/>
        <v>0.15421200000000002</v>
      </c>
      <c r="G164" s="10">
        <f t="shared" si="11"/>
        <v>0.15523000000000001</v>
      </c>
      <c r="H164" s="10">
        <f t="shared" si="11"/>
        <v>0.16022999999999998</v>
      </c>
      <c r="I164" s="10">
        <f t="shared" si="11"/>
        <v>0.14676500000000001</v>
      </c>
      <c r="J164" s="10">
        <f t="shared" si="11"/>
        <v>0.16385000000000002</v>
      </c>
      <c r="K164" s="10">
        <f t="shared" si="11"/>
        <v>0.197024</v>
      </c>
      <c r="L164" s="10">
        <f t="shared" si="11"/>
        <v>0.15946699999999997</v>
      </c>
      <c r="M164" s="10">
        <f t="shared" si="11"/>
        <v>0.16684200000000002</v>
      </c>
      <c r="N164" s="10">
        <f t="shared" si="11"/>
        <v>0.19531600000000002</v>
      </c>
      <c r="O164" s="10">
        <f>O158*O146/100</f>
        <v>0.19481000000000001</v>
      </c>
      <c r="P164" s="10">
        <f>P158*P146/100</f>
        <v>0.166129</v>
      </c>
      <c r="Q164" s="10">
        <f>Q158*Q146/100</f>
        <v>0.20050000000000001</v>
      </c>
      <c r="R164" s="10"/>
      <c r="S164" s="10"/>
    </row>
    <row r="165" spans="1:25" s="133" customFormat="1" x14ac:dyDescent="0.3">
      <c r="B165" s="133" t="s">
        <v>845</v>
      </c>
      <c r="C165" s="133" t="s">
        <v>338</v>
      </c>
      <c r="D165" s="10">
        <f t="shared" ref="D165:N165" si="12">D158*D147/100</f>
        <v>5.9675000000000006E-2</v>
      </c>
      <c r="E165" s="10">
        <f t="shared" si="12"/>
        <v>5.5349999999999989E-2</v>
      </c>
      <c r="F165" s="10">
        <f t="shared" si="12"/>
        <v>5.8788E-2</v>
      </c>
      <c r="G165" s="10">
        <f t="shared" si="12"/>
        <v>5.6544999999999998E-2</v>
      </c>
      <c r="H165" s="10">
        <f t="shared" si="12"/>
        <v>5.7770000000000002E-2</v>
      </c>
      <c r="I165" s="10">
        <f t="shared" si="12"/>
        <v>5.0037999999999999E-2</v>
      </c>
      <c r="J165" s="10">
        <f t="shared" si="12"/>
        <v>6.2149999999999997E-2</v>
      </c>
      <c r="K165" s="10">
        <f t="shared" si="12"/>
        <v>6.4976000000000006E-2</v>
      </c>
      <c r="L165" s="10">
        <f t="shared" si="12"/>
        <v>4.9324000000000007E-2</v>
      </c>
      <c r="M165" s="10">
        <f t="shared" si="12"/>
        <v>6.6924000000000011E-2</v>
      </c>
      <c r="N165" s="10">
        <f t="shared" si="12"/>
        <v>5.7684000000000006E-2</v>
      </c>
      <c r="O165" s="10">
        <f>O158*O147/100</f>
        <v>5.6419000000000004E-2</v>
      </c>
      <c r="P165" s="10">
        <f>P158*P147/100</f>
        <v>6.1279E-2</v>
      </c>
      <c r="Q165" s="10">
        <f>Q158*Q147/100</f>
        <v>5.0750000000000003E-2</v>
      </c>
      <c r="R165" s="10" t="e">
        <f>R158*R147/100</f>
        <v>#VALUE!</v>
      </c>
      <c r="S165" s="10"/>
      <c r="U165" s="10"/>
    </row>
    <row r="166" spans="1:25" s="133" customFormat="1" x14ac:dyDescent="0.3">
      <c r="B166" s="133" t="s">
        <v>321</v>
      </c>
      <c r="C166" s="133" t="s">
        <v>338</v>
      </c>
      <c r="H166" s="10">
        <f>H144/($D106*1000)</f>
        <v>6.2E-2</v>
      </c>
      <c r="I166" s="10">
        <f>I144/($D106*1000)</f>
        <v>6.2E-2</v>
      </c>
      <c r="K166" s="10">
        <f>K144/($D106*1000)</f>
        <v>0.10199999999999999</v>
      </c>
      <c r="L166" s="10">
        <f>L144/($D106*1000)</f>
        <v>9.8000000000000004E-2</v>
      </c>
      <c r="N166" s="10">
        <f>N144/($D106*1000)</f>
        <v>0.13300000000000001</v>
      </c>
      <c r="O166" s="10">
        <f>O144/($D106*1000)</f>
        <v>0.124</v>
      </c>
      <c r="Q166" s="10">
        <f>Q144/($D106*1000)</f>
        <v>0.222</v>
      </c>
      <c r="R166" s="10">
        <f>R144/($D106*1000)</f>
        <v>0.20399999999999999</v>
      </c>
      <c r="S166" s="10"/>
      <c r="U166" s="10"/>
    </row>
    <row r="167" spans="1:25" s="133" customFormat="1" x14ac:dyDescent="0.3">
      <c r="B167" s="133" t="s">
        <v>323</v>
      </c>
      <c r="C167" s="133" t="s">
        <v>338</v>
      </c>
      <c r="D167" s="10"/>
      <c r="E167" s="10"/>
      <c r="F167" s="10"/>
      <c r="G167" s="10"/>
      <c r="H167" s="10">
        <f>H148*H158/100</f>
        <v>5.6679999999999994E-3</v>
      </c>
      <c r="I167" s="10">
        <f>I148*I158/100</f>
        <v>1.9700000000000002E-4</v>
      </c>
      <c r="J167" s="10"/>
      <c r="K167" s="10">
        <f>K148*K158/100</f>
        <v>0</v>
      </c>
      <c r="L167" s="10">
        <f>L148*L158/100</f>
        <v>0</v>
      </c>
      <c r="M167" s="10"/>
      <c r="N167" s="10">
        <f>N148*N158/100</f>
        <v>0</v>
      </c>
      <c r="O167" s="10">
        <f>O148*O158/100</f>
        <v>0</v>
      </c>
      <c r="P167" s="10"/>
      <c r="Q167" s="10">
        <f>Q148*Q158/100</f>
        <v>0</v>
      </c>
      <c r="R167" s="10" t="e">
        <f>R148*R158/100</f>
        <v>#VALUE!</v>
      </c>
      <c r="S167" s="10"/>
      <c r="U167" s="10"/>
    </row>
    <row r="168" spans="1:25" s="133" customFormat="1" x14ac:dyDescent="0.3">
      <c r="B168" s="133" t="s">
        <v>433</v>
      </c>
      <c r="C168" s="133" t="s">
        <v>338</v>
      </c>
      <c r="H168" s="10">
        <f>H166-H167</f>
        <v>5.6332E-2</v>
      </c>
      <c r="I168" s="10">
        <f>I166-I167</f>
        <v>6.1802999999999997E-2</v>
      </c>
      <c r="J168" s="10"/>
      <c r="K168" s="10">
        <f t="shared" ref="K168:L168" si="13">K166-K167</f>
        <v>0.10199999999999999</v>
      </c>
      <c r="L168" s="10">
        <f t="shared" si="13"/>
        <v>9.8000000000000004E-2</v>
      </c>
      <c r="M168" s="10"/>
      <c r="N168" s="10">
        <f t="shared" ref="N168" si="14">N166-N167</f>
        <v>0.13300000000000001</v>
      </c>
      <c r="O168" s="10">
        <f>O166-O167</f>
        <v>0.124</v>
      </c>
      <c r="P168" s="10"/>
      <c r="Q168" s="10">
        <f t="shared" ref="Q168" si="15">Q166-Q167</f>
        <v>0.222</v>
      </c>
      <c r="R168" s="10" t="e">
        <f>R166-R167</f>
        <v>#VALUE!</v>
      </c>
      <c r="S168" s="10"/>
      <c r="T168" s="133" t="s">
        <v>197</v>
      </c>
      <c r="U168" s="10"/>
    </row>
    <row r="169" spans="1:25" s="133" customFormat="1" x14ac:dyDescent="0.3">
      <c r="A169" s="148"/>
      <c r="B169" s="148" t="s">
        <v>460</v>
      </c>
      <c r="C169" s="133" t="s">
        <v>338</v>
      </c>
      <c r="H169" s="10">
        <f>H168/4</f>
        <v>1.4083E-2</v>
      </c>
      <c r="I169" s="10">
        <f>I168/4</f>
        <v>1.5450749999999999E-2</v>
      </c>
      <c r="J169" s="10"/>
      <c r="K169" s="10">
        <f>K168/4</f>
        <v>2.5499999999999998E-2</v>
      </c>
      <c r="L169" s="10">
        <f>L168/4</f>
        <v>2.4500000000000001E-2</v>
      </c>
      <c r="M169" s="10"/>
      <c r="N169" s="10">
        <f>N168/4</f>
        <v>3.3250000000000002E-2</v>
      </c>
      <c r="O169" s="10">
        <f>O168/4</f>
        <v>3.1E-2</v>
      </c>
      <c r="P169" s="10"/>
      <c r="Q169" s="10">
        <f>Q168/4</f>
        <v>5.5500000000000001E-2</v>
      </c>
      <c r="R169" s="10" t="e">
        <f>R168/4</f>
        <v>#VALUE!</v>
      </c>
      <c r="S169" s="10"/>
      <c r="U169" s="10"/>
    </row>
    <row r="170" spans="1:25" x14ac:dyDescent="0.3">
      <c r="A170" s="148"/>
      <c r="B170" s="148" t="s">
        <v>402</v>
      </c>
      <c r="C170" s="133" t="s">
        <v>338</v>
      </c>
      <c r="D170" s="133"/>
      <c r="E170" s="133"/>
      <c r="F170" s="133"/>
      <c r="G170" s="133"/>
      <c r="H170" s="10">
        <f>H163-G163</f>
        <v>5.0000000000000044E-3</v>
      </c>
      <c r="I170" s="10">
        <f>I163-G163</f>
        <v>-8.4650000000000003E-3</v>
      </c>
      <c r="J170" s="10"/>
      <c r="K170" s="10">
        <f>K163-J163</f>
        <v>3.3174000000000009E-2</v>
      </c>
      <c r="L170" s="10">
        <f>L163-J163</f>
        <v>-4.382999999999998E-3</v>
      </c>
      <c r="M170" s="10"/>
      <c r="N170" s="10">
        <f>N163-M163</f>
        <v>2.8473999999999999E-2</v>
      </c>
      <c r="O170" s="10">
        <f>O163-M163</f>
        <v>2.7967999999999993E-2</v>
      </c>
      <c r="P170" s="10"/>
      <c r="Q170" s="10">
        <f>Q163-P163</f>
        <v>3.437100000000004E-2</v>
      </c>
      <c r="R170" s="10" t="s">
        <v>301</v>
      </c>
      <c r="S170" s="10"/>
      <c r="U170" s="10"/>
      <c r="W170" s="133"/>
      <c r="X170"/>
      <c r="Y170" s="133"/>
    </row>
    <row r="171" spans="1:25" s="133" customFormat="1" x14ac:dyDescent="0.3">
      <c r="A171" s="148"/>
      <c r="B171" s="148" t="s">
        <v>2086</v>
      </c>
      <c r="C171" s="133" t="s">
        <v>338</v>
      </c>
      <c r="H171" s="10">
        <f>G165-H165</f>
        <v>-1.2250000000000039E-3</v>
      </c>
      <c r="I171" s="10">
        <f>G165-I165</f>
        <v>6.5069999999999989E-3</v>
      </c>
      <c r="J171" s="10"/>
      <c r="K171" s="10">
        <f>J165-K165</f>
        <v>-2.8260000000000091E-3</v>
      </c>
      <c r="L171" s="10">
        <f>J165-L165</f>
        <v>1.282599999999999E-2</v>
      </c>
      <c r="M171" s="10"/>
      <c r="N171" s="10">
        <f>M165-N165</f>
        <v>9.2400000000000052E-3</v>
      </c>
      <c r="O171" s="10">
        <f>M165-O165</f>
        <v>1.0505000000000007E-2</v>
      </c>
      <c r="P171" s="10"/>
      <c r="Q171" s="10">
        <f>P165-Q165</f>
        <v>1.0528999999999997E-2</v>
      </c>
      <c r="R171" s="10" t="e">
        <f>P165-R165</f>
        <v>#VALUE!</v>
      </c>
      <c r="S171" s="10"/>
      <c r="U171" s="10"/>
    </row>
    <row r="172" spans="1:25" s="133" customFormat="1" x14ac:dyDescent="0.3">
      <c r="A172" s="148"/>
      <c r="B172" s="148" t="s">
        <v>93</v>
      </c>
      <c r="H172" s="134">
        <f>H166/G165</f>
        <v>1.0964718365903263</v>
      </c>
      <c r="I172" s="134">
        <f>I166/G165</f>
        <v>1.0964718365903263</v>
      </c>
      <c r="K172" s="134">
        <f>K166/J165</f>
        <v>1.6411906677393402</v>
      </c>
      <c r="L172" s="134">
        <f>L166/J165</f>
        <v>1.5768302493966213</v>
      </c>
      <c r="N172" s="134">
        <f>N166/M165</f>
        <v>1.9873289104058331</v>
      </c>
      <c r="O172" s="134">
        <f>O166/M165</f>
        <v>1.8528480066941602</v>
      </c>
      <c r="Q172" s="134">
        <f>Q166/P165</f>
        <v>3.6227745230829487</v>
      </c>
      <c r="R172" s="134">
        <f>R166/P165</f>
        <v>3.3290360482383847</v>
      </c>
    </row>
    <row r="173" spans="1:25" s="133" customFormat="1" x14ac:dyDescent="0.3">
      <c r="A173" s="148"/>
      <c r="B173" s="148" t="s">
        <v>462</v>
      </c>
      <c r="C173" s="133" t="s">
        <v>92</v>
      </c>
      <c r="H173" s="10">
        <f>H168/H166</f>
        <v>0.90858064516129033</v>
      </c>
      <c r="I173" s="10">
        <f>I168/I166</f>
        <v>0.99682258064516127</v>
      </c>
      <c r="J173" s="10"/>
      <c r="K173" s="10">
        <f t="shared" ref="K173:L173" si="16">K168/K166</f>
        <v>1</v>
      </c>
      <c r="L173" s="10">
        <f t="shared" si="16"/>
        <v>1</v>
      </c>
      <c r="M173" s="10"/>
      <c r="N173" s="10">
        <f t="shared" ref="N173" si="17">N168/N166</f>
        <v>1</v>
      </c>
      <c r="O173" s="10">
        <f>O168/O166</f>
        <v>1</v>
      </c>
      <c r="P173" s="10"/>
      <c r="Q173" s="10">
        <f t="shared" ref="Q173" si="18">Q168/Q166</f>
        <v>1</v>
      </c>
      <c r="R173" s="10" t="e">
        <f>R168/R166</f>
        <v>#VALUE!</v>
      </c>
      <c r="S173" s="10"/>
      <c r="U173" s="10"/>
    </row>
    <row r="174" spans="1:25" s="133" customFormat="1" x14ac:dyDescent="0.3">
      <c r="A174" s="148"/>
      <c r="B174" s="148" t="s">
        <v>2085</v>
      </c>
      <c r="C174" s="133" t="s">
        <v>92</v>
      </c>
      <c r="H174" s="10">
        <f>H170/H169</f>
        <v>0.35503798906483025</v>
      </c>
      <c r="I174" s="10">
        <f>I170/I169</f>
        <v>-0.54786984450593013</v>
      </c>
      <c r="J174" s="10"/>
      <c r="K174" s="10">
        <f>K170/K169</f>
        <v>1.3009411764705887</v>
      </c>
      <c r="L174" s="10">
        <f>L170/L169</f>
        <v>-0.17889795918367338</v>
      </c>
      <c r="M174" s="10"/>
      <c r="N174" s="10">
        <f>N170/N169</f>
        <v>0.85636090225563899</v>
      </c>
      <c r="O174" s="10">
        <f>O170/O169</f>
        <v>0.90219354838709653</v>
      </c>
      <c r="P174" s="10"/>
      <c r="Q174" s="10">
        <f>Q170/Q169</f>
        <v>0.61929729729729799</v>
      </c>
      <c r="R174" s="10" t="e">
        <f>R170/R169</f>
        <v>#VALUE!</v>
      </c>
      <c r="S174" s="10"/>
      <c r="U174" s="10"/>
    </row>
    <row r="175" spans="1:25" s="133" customFormat="1" x14ac:dyDescent="0.3">
      <c r="A175" s="148"/>
      <c r="B175" s="148" t="s">
        <v>2087</v>
      </c>
      <c r="C175" s="133" t="s">
        <v>92</v>
      </c>
      <c r="H175" s="10">
        <f>H171/H169</f>
        <v>-8.6984307320883608E-2</v>
      </c>
      <c r="I175" s="10">
        <f>I171/I169</f>
        <v>0.42114460463084313</v>
      </c>
      <c r="J175" s="10"/>
      <c r="K175" s="10">
        <f>K171/K169</f>
        <v>-0.11082352941176507</v>
      </c>
      <c r="L175" s="10">
        <f>L171/L169</f>
        <v>0.52351020408163218</v>
      </c>
      <c r="M175" s="10"/>
      <c r="N175" s="10">
        <f>N171/N169</f>
        <v>0.27789473684210542</v>
      </c>
      <c r="O175" s="10">
        <f>O171/O169</f>
        <v>0.3388709677419357</v>
      </c>
      <c r="P175" s="10"/>
      <c r="Q175" s="10">
        <f>Q171/Q169</f>
        <v>0.18971171171171164</v>
      </c>
      <c r="R175" s="10" t="e">
        <f>R171/R169</f>
        <v>#VALUE!</v>
      </c>
      <c r="S175" s="10"/>
      <c r="U175" s="10"/>
    </row>
    <row r="176" spans="1:25" s="133" customFormat="1" x14ac:dyDescent="0.3">
      <c r="A176" s="148"/>
      <c r="B176" s="148" t="s">
        <v>2088</v>
      </c>
      <c r="C176" s="133" t="s">
        <v>92</v>
      </c>
      <c r="H176" s="10">
        <f>H170/H171</f>
        <v>-4.0816326530612148</v>
      </c>
      <c r="I176" s="10">
        <f>I170/I171</f>
        <v>-1.3009067158444754</v>
      </c>
      <c r="J176" s="10"/>
      <c r="K176" s="10">
        <f>K170/K171</f>
        <v>-11.738853503184679</v>
      </c>
      <c r="L176" s="10">
        <f>L170/L171</f>
        <v>-0.34172774052705451</v>
      </c>
      <c r="M176" s="10"/>
      <c r="N176" s="10">
        <f>N170/N171</f>
        <v>3.0816017316017299</v>
      </c>
      <c r="O176" s="10">
        <f>O170/O171</f>
        <v>2.6623512613041385</v>
      </c>
      <c r="P176" s="10"/>
      <c r="Q176" s="10">
        <f>Q170/Q171</f>
        <v>3.2644125747934325</v>
      </c>
      <c r="R176" s="10" t="e">
        <f>R170/R171</f>
        <v>#VALUE!</v>
      </c>
      <c r="S176" s="10"/>
      <c r="U176" s="10"/>
    </row>
    <row r="177" spans="1:25" s="133" customFormat="1" x14ac:dyDescent="0.3">
      <c r="A177" s="148"/>
      <c r="B177" s="148" t="s">
        <v>2096</v>
      </c>
      <c r="C177" s="133" t="s">
        <v>92</v>
      </c>
      <c r="D177" s="37"/>
      <c r="E177" s="37"/>
      <c r="F177" s="37"/>
      <c r="G177" s="37"/>
      <c r="H177" s="37">
        <f>H174/G165</f>
        <v>6.2788573536975907</v>
      </c>
      <c r="I177" s="37">
        <f>I174/G165</f>
        <v>-9.6890944293205443</v>
      </c>
      <c r="J177" s="37"/>
      <c r="K177" s="37">
        <f>K174/J165</f>
        <v>20.932279589229104</v>
      </c>
      <c r="L177" s="37">
        <f>L174/J165</f>
        <v>-2.8784868734299822</v>
      </c>
      <c r="M177" s="37"/>
      <c r="N177" s="37">
        <f>N174/M165</f>
        <v>12.796020893186881</v>
      </c>
      <c r="O177" s="37">
        <f>O174/M165</f>
        <v>13.480867078881962</v>
      </c>
      <c r="Q177" s="37">
        <f>Q174/P165</f>
        <v>10.106191310192692</v>
      </c>
      <c r="R177" s="37" t="e">
        <f>R174/P165</f>
        <v>#VALUE!</v>
      </c>
      <c r="T177" s="535" t="s">
        <v>2345</v>
      </c>
    </row>
    <row r="178" spans="1:25" s="133" customFormat="1" x14ac:dyDescent="0.3">
      <c r="A178" s="148"/>
      <c r="B178" s="148" t="s">
        <v>2097</v>
      </c>
      <c r="C178" s="133" t="s">
        <v>92</v>
      </c>
      <c r="D178" s="37"/>
      <c r="E178" s="37"/>
      <c r="F178" s="37"/>
      <c r="G178" s="37"/>
      <c r="H178" s="37">
        <f>H158/G158</f>
        <v>1.0139534883720931</v>
      </c>
      <c r="I178" s="37">
        <f>I158/G158</f>
        <v>0.91627906976744189</v>
      </c>
      <c r="J178" s="37"/>
      <c r="K178" s="37">
        <f>K158/J158</f>
        <v>1.1592920353982301</v>
      </c>
      <c r="L178" s="37">
        <f>L158/J158</f>
        <v>0.92477876106194679</v>
      </c>
      <c r="M178" s="37"/>
      <c r="N178" s="37">
        <f>N158/M158</f>
        <v>1.0811965811965811</v>
      </c>
      <c r="O178" s="37">
        <f>O158/M158</f>
        <v>1.0811965811965811</v>
      </c>
      <c r="Q178" s="37">
        <f>Q158/P158</f>
        <v>1.0729613733905579</v>
      </c>
      <c r="R178" s="37" t="e">
        <f>R158/P158</f>
        <v>#VALUE!</v>
      </c>
    </row>
    <row r="179" spans="1:25" s="133" customFormat="1" x14ac:dyDescent="0.3">
      <c r="A179" s="148"/>
      <c r="B179" s="148" t="s">
        <v>2081</v>
      </c>
      <c r="H179" s="8">
        <f>H168/H170</f>
        <v>11.26639999999999</v>
      </c>
      <c r="I179" s="8">
        <f>I168/I170</f>
        <v>-7.301004134672179</v>
      </c>
      <c r="J179" s="10"/>
      <c r="K179" s="8">
        <f>K168/K170</f>
        <v>3.0746970519081196</v>
      </c>
      <c r="L179" s="8">
        <f>L168/L170</f>
        <v>-22.359114761578837</v>
      </c>
      <c r="M179" s="10"/>
      <c r="N179" s="8">
        <f>N168/N170</f>
        <v>4.6709278640162957</v>
      </c>
      <c r="O179" s="8">
        <f>O168/O170</f>
        <v>4.4336384439359282</v>
      </c>
      <c r="P179" s="10"/>
      <c r="Q179" s="8">
        <f>Q168/Q170</f>
        <v>6.4589334031596328</v>
      </c>
      <c r="R179" s="8" t="e">
        <f>R168/R170</f>
        <v>#VALUE!</v>
      </c>
      <c r="S179" s="8"/>
      <c r="U179" s="10"/>
    </row>
    <row r="180" spans="1:25" x14ac:dyDescent="0.3">
      <c r="A180" s="148"/>
      <c r="B180" s="148" t="s">
        <v>2137</v>
      </c>
      <c r="C180" s="133"/>
      <c r="H180" s="8">
        <f>H168/H171</f>
        <v>-45.985306122448833</v>
      </c>
      <c r="I180" s="8">
        <f>I168/I171</f>
        <v>9.4979253112033213</v>
      </c>
      <c r="K180" s="8">
        <f>K168/K171</f>
        <v>-36.093418259023238</v>
      </c>
      <c r="L180" s="8">
        <f>L168/L171</f>
        <v>7.6407297676594483</v>
      </c>
      <c r="M180" s="133"/>
      <c r="N180" s="8">
        <f>N168/N171</f>
        <v>14.393939393939387</v>
      </c>
      <c r="O180" s="8">
        <f>O168/O171</f>
        <v>11.803902903379335</v>
      </c>
      <c r="Q180" s="8">
        <f>Q168/Q171</f>
        <v>21.084623421027644</v>
      </c>
      <c r="R180" s="8" t="e">
        <f>R168/R171</f>
        <v>#VALUE!</v>
      </c>
      <c r="S180" s="8"/>
      <c r="T180"/>
      <c r="U180" s="133"/>
      <c r="W180" s="133"/>
      <c r="X180"/>
      <c r="Y180" s="133"/>
    </row>
    <row r="181" spans="1:25" s="133" customFormat="1" x14ac:dyDescent="0.3">
      <c r="A181" s="148"/>
    </row>
    <row r="182" spans="1:25" s="133" customFormat="1" x14ac:dyDescent="0.3">
      <c r="A182" s="148"/>
      <c r="D182" s="133" t="s">
        <v>673</v>
      </c>
      <c r="G182" s="133" t="s">
        <v>674</v>
      </c>
      <c r="J182" s="133" t="s">
        <v>675</v>
      </c>
      <c r="M182" s="133" t="s">
        <v>676</v>
      </c>
      <c r="N182" s="133" t="s">
        <v>2001</v>
      </c>
      <c r="P182" s="133" t="s">
        <v>222</v>
      </c>
    </row>
    <row r="183" spans="1:25" x14ac:dyDescent="0.3">
      <c r="A183" s="148"/>
      <c r="B183" s="6" t="s">
        <v>359</v>
      </c>
      <c r="D183" s="133" t="s">
        <v>918</v>
      </c>
      <c r="E183" s="133" t="s">
        <v>919</v>
      </c>
      <c r="F183" s="133" t="s">
        <v>920</v>
      </c>
      <c r="G183" s="133" t="s">
        <v>918</v>
      </c>
      <c r="H183" s="133" t="s">
        <v>919</v>
      </c>
      <c r="I183" s="133" t="s">
        <v>920</v>
      </c>
      <c r="J183" s="133" t="s">
        <v>918</v>
      </c>
      <c r="K183" s="133" t="s">
        <v>919</v>
      </c>
      <c r="L183" s="133" t="s">
        <v>920</v>
      </c>
      <c r="M183" s="133" t="s">
        <v>918</v>
      </c>
      <c r="N183" s="133" t="s">
        <v>919</v>
      </c>
      <c r="O183" s="133" t="s">
        <v>920</v>
      </c>
      <c r="P183" s="133" t="s">
        <v>918</v>
      </c>
      <c r="Q183" s="133" t="s">
        <v>919</v>
      </c>
      <c r="R183" s="133" t="s">
        <v>920</v>
      </c>
      <c r="S183" s="133"/>
      <c r="T183"/>
      <c r="U183" s="133"/>
      <c r="W183" s="133"/>
      <c r="X183"/>
      <c r="Y183" s="133"/>
    </row>
    <row r="184" spans="1:25" s="133" customFormat="1" x14ac:dyDescent="0.3">
      <c r="A184" s="148"/>
      <c r="B184" s="148" t="s">
        <v>1795</v>
      </c>
      <c r="D184" s="66" t="s">
        <v>1686</v>
      </c>
      <c r="E184" s="66" t="s">
        <v>1686</v>
      </c>
      <c r="F184" s="66" t="s">
        <v>1686</v>
      </c>
      <c r="G184" s="66" t="s">
        <v>1686</v>
      </c>
      <c r="H184" s="66" t="s">
        <v>1686</v>
      </c>
      <c r="I184" s="66" t="s">
        <v>1686</v>
      </c>
      <c r="J184" s="66" t="s">
        <v>1686</v>
      </c>
      <c r="K184" s="66" t="s">
        <v>1686</v>
      </c>
      <c r="L184" s="66" t="s">
        <v>1686</v>
      </c>
      <c r="M184" s="66" t="s">
        <v>1686</v>
      </c>
      <c r="N184" s="66" t="s">
        <v>1686</v>
      </c>
      <c r="O184" s="66" t="s">
        <v>1686</v>
      </c>
      <c r="P184" s="66" t="s">
        <v>1686</v>
      </c>
      <c r="Q184" s="66" t="s">
        <v>1686</v>
      </c>
      <c r="R184" s="66" t="s">
        <v>1686</v>
      </c>
    </row>
    <row r="185" spans="1:25" s="133" customFormat="1" x14ac:dyDescent="0.3">
      <c r="A185" s="148"/>
      <c r="B185" s="148" t="s">
        <v>1791</v>
      </c>
      <c r="D185" s="133" t="s">
        <v>1104</v>
      </c>
      <c r="E185" s="133" t="s">
        <v>1104</v>
      </c>
      <c r="F185" s="133" t="s">
        <v>1104</v>
      </c>
      <c r="G185" s="133" t="s">
        <v>1104</v>
      </c>
      <c r="H185" s="133" t="s">
        <v>1105</v>
      </c>
      <c r="I185" s="133" t="s">
        <v>1105</v>
      </c>
      <c r="J185" s="133" t="s">
        <v>1104</v>
      </c>
      <c r="K185" s="133" t="s">
        <v>1105</v>
      </c>
      <c r="L185" s="133" t="s">
        <v>1105</v>
      </c>
      <c r="M185" s="133" t="s">
        <v>1104</v>
      </c>
      <c r="N185" s="133" t="s">
        <v>1105</v>
      </c>
      <c r="O185" s="133" t="s">
        <v>1105</v>
      </c>
      <c r="P185" s="133" t="s">
        <v>1104</v>
      </c>
      <c r="Q185" s="133" t="s">
        <v>1105</v>
      </c>
      <c r="R185" s="133" t="s">
        <v>1105</v>
      </c>
    </row>
    <row r="186" spans="1:25" x14ac:dyDescent="0.3">
      <c r="A186" s="148"/>
      <c r="B186" t="s">
        <v>33</v>
      </c>
      <c r="C186" t="s">
        <v>270</v>
      </c>
      <c r="D186">
        <f>$C$127</f>
        <v>1</v>
      </c>
      <c r="E186">
        <f t="shared" ref="E186:R186" si="19">$C$127</f>
        <v>1</v>
      </c>
      <c r="F186">
        <f t="shared" si="19"/>
        <v>1</v>
      </c>
      <c r="G186">
        <f t="shared" si="19"/>
        <v>1</v>
      </c>
      <c r="H186">
        <f t="shared" si="19"/>
        <v>1</v>
      </c>
      <c r="I186">
        <f t="shared" si="19"/>
        <v>1</v>
      </c>
      <c r="J186">
        <f t="shared" si="19"/>
        <v>1</v>
      </c>
      <c r="K186">
        <f t="shared" si="19"/>
        <v>1</v>
      </c>
      <c r="L186">
        <f t="shared" si="19"/>
        <v>1</v>
      </c>
      <c r="M186">
        <f t="shared" si="19"/>
        <v>1</v>
      </c>
      <c r="N186">
        <f t="shared" si="19"/>
        <v>1</v>
      </c>
      <c r="O186">
        <f t="shared" si="19"/>
        <v>1</v>
      </c>
      <c r="P186">
        <f t="shared" si="19"/>
        <v>1</v>
      </c>
      <c r="Q186">
        <f t="shared" si="19"/>
        <v>1</v>
      </c>
      <c r="R186">
        <f t="shared" si="19"/>
        <v>1</v>
      </c>
      <c r="S186" s="133"/>
      <c r="T186" t="s">
        <v>927</v>
      </c>
      <c r="U186" s="133"/>
      <c r="W186" s="133"/>
      <c r="X186"/>
      <c r="Y186" s="133"/>
    </row>
    <row r="187" spans="1:25" x14ac:dyDescent="0.3">
      <c r="A187" s="148"/>
      <c r="B187" t="s">
        <v>26</v>
      </c>
      <c r="C187" t="s">
        <v>25</v>
      </c>
      <c r="D187" s="16">
        <f>$C$125</f>
        <v>15</v>
      </c>
      <c r="E187" s="16">
        <f t="shared" ref="E187:R187" si="20">$C$125</f>
        <v>15</v>
      </c>
      <c r="F187" s="16">
        <f t="shared" si="20"/>
        <v>15</v>
      </c>
      <c r="G187" s="16">
        <f t="shared" si="20"/>
        <v>15</v>
      </c>
      <c r="H187" s="16">
        <f t="shared" si="20"/>
        <v>15</v>
      </c>
      <c r="I187" s="16">
        <f t="shared" si="20"/>
        <v>15</v>
      </c>
      <c r="J187" s="16">
        <f t="shared" si="20"/>
        <v>15</v>
      </c>
      <c r="K187" s="16">
        <f t="shared" si="20"/>
        <v>15</v>
      </c>
      <c r="L187" s="16">
        <f t="shared" si="20"/>
        <v>15</v>
      </c>
      <c r="M187" s="16">
        <f t="shared" si="20"/>
        <v>15</v>
      </c>
      <c r="N187" s="16">
        <f t="shared" si="20"/>
        <v>15</v>
      </c>
      <c r="O187" s="16">
        <f t="shared" si="20"/>
        <v>15</v>
      </c>
      <c r="P187" s="16">
        <f t="shared" si="20"/>
        <v>15</v>
      </c>
      <c r="Q187" s="16">
        <f t="shared" si="20"/>
        <v>15</v>
      </c>
      <c r="R187" s="16">
        <f t="shared" si="20"/>
        <v>15</v>
      </c>
      <c r="S187" s="16"/>
      <c r="T187" t="s">
        <v>923</v>
      </c>
      <c r="U187" s="133"/>
      <c r="W187" s="133"/>
      <c r="X187"/>
      <c r="Y187" s="133"/>
    </row>
    <row r="188" spans="1:25" s="133" customFormat="1" x14ac:dyDescent="0.3">
      <c r="A188" s="148"/>
      <c r="B188" s="148" t="s">
        <v>1544</v>
      </c>
      <c r="C188" s="133" t="s">
        <v>338</v>
      </c>
      <c r="H188" s="10">
        <f>H166</f>
        <v>6.2E-2</v>
      </c>
      <c r="I188" s="10">
        <f>I166</f>
        <v>6.2E-2</v>
      </c>
      <c r="K188" s="10">
        <f>K166</f>
        <v>0.10199999999999999</v>
      </c>
      <c r="L188" s="10">
        <f>L166</f>
        <v>9.8000000000000004E-2</v>
      </c>
      <c r="N188" s="10">
        <f>N166</f>
        <v>0.13300000000000001</v>
      </c>
      <c r="O188" s="10">
        <f>O166</f>
        <v>0.124</v>
      </c>
      <c r="Q188" s="10">
        <f>Q166</f>
        <v>0.222</v>
      </c>
      <c r="R188" s="10">
        <f>R166</f>
        <v>0.20399999999999999</v>
      </c>
      <c r="S188" s="10"/>
    </row>
    <row r="189" spans="1:25" x14ac:dyDescent="0.3">
      <c r="B189" t="s">
        <v>351</v>
      </c>
      <c r="C189" t="s">
        <v>377</v>
      </c>
      <c r="D189" s="10">
        <f t="shared" ref="D189:R189" si="21">D159</f>
        <v>0.157</v>
      </c>
      <c r="E189" s="10">
        <f t="shared" si="21"/>
        <v>0.14899999999999999</v>
      </c>
      <c r="F189" s="10">
        <f t="shared" si="21"/>
        <v>0.153</v>
      </c>
      <c r="G189" s="10">
        <f t="shared" si="21"/>
        <v>0.156</v>
      </c>
      <c r="H189" s="10">
        <f t="shared" si="21"/>
        <v>0.16</v>
      </c>
      <c r="I189" s="10">
        <f t="shared" si="21"/>
        <v>0.14599999999999999</v>
      </c>
      <c r="J189" s="10">
        <f t="shared" si="21"/>
        <v>0.16400000000000001</v>
      </c>
      <c r="K189" s="10">
        <f t="shared" si="21"/>
        <v>0.16900000000000001</v>
      </c>
      <c r="L189" s="10">
        <f t="shared" si="21"/>
        <v>0.16</v>
      </c>
      <c r="M189" s="10">
        <f t="shared" si="21"/>
        <v>0.16200000000000001</v>
      </c>
      <c r="N189" s="10">
        <f t="shared" si="21"/>
        <v>0.19400000000000001</v>
      </c>
      <c r="O189" s="10">
        <f t="shared" si="21"/>
        <v>0.19400000000000001</v>
      </c>
      <c r="P189" s="10">
        <f t="shared" si="21"/>
        <v>0.161</v>
      </c>
      <c r="Q189" s="10">
        <f t="shared" si="21"/>
        <v>0.19500000000000001</v>
      </c>
      <c r="R189" s="10" t="str">
        <f t="shared" si="21"/>
        <v>n/a</v>
      </c>
      <c r="S189" s="10"/>
      <c r="T189"/>
      <c r="U189" s="133"/>
      <c r="W189" s="133"/>
      <c r="X189"/>
      <c r="Y189" s="133"/>
    </row>
    <row r="190" spans="1:25" s="133" customFormat="1" x14ac:dyDescent="0.3">
      <c r="B190" s="133" t="s">
        <v>352</v>
      </c>
      <c r="C190" s="133" t="s">
        <v>377</v>
      </c>
      <c r="D190" s="10"/>
      <c r="E190" s="10"/>
      <c r="F190" s="10"/>
      <c r="G190" s="10"/>
      <c r="H190" s="10">
        <f t="shared" ref="H190:I192" si="22">H161</f>
        <v>4.0000000000000036E-3</v>
      </c>
      <c r="I190" s="10">
        <f t="shared" si="22"/>
        <v>-1.0000000000000009E-2</v>
      </c>
      <c r="J190" s="10"/>
      <c r="K190" s="10">
        <f t="shared" ref="K190:L192" si="23">K161</f>
        <v>5.0000000000000044E-3</v>
      </c>
      <c r="L190" s="10">
        <f t="shared" si="23"/>
        <v>-4.0000000000000036E-3</v>
      </c>
      <c r="M190" s="10"/>
      <c r="N190" s="10">
        <f t="shared" ref="N190:O192" si="24">N161</f>
        <v>3.2000000000000001E-2</v>
      </c>
      <c r="O190" s="10">
        <f t="shared" si="24"/>
        <v>3.2000000000000001E-2</v>
      </c>
      <c r="P190" s="10"/>
      <c r="Q190" s="10">
        <f t="shared" ref="Q190:R192" si="25">Q161</f>
        <v>3.4000000000000002E-2</v>
      </c>
      <c r="R190" s="10" t="str">
        <f t="shared" si="25"/>
        <v>n/a</v>
      </c>
      <c r="S190" s="10"/>
    </row>
    <row r="191" spans="1:25" x14ac:dyDescent="0.3">
      <c r="B191" t="s">
        <v>353</v>
      </c>
      <c r="C191" t="s">
        <v>92</v>
      </c>
      <c r="H191" s="10">
        <f t="shared" si="22"/>
        <v>2.5641025641025664E-2</v>
      </c>
      <c r="I191" s="10">
        <f t="shared" si="22"/>
        <v>-6.4102564102564166E-2</v>
      </c>
      <c r="J191" s="10"/>
      <c r="K191" s="10">
        <f t="shared" si="23"/>
        <v>3.0487804878048808E-2</v>
      </c>
      <c r="L191" s="10">
        <f t="shared" si="23"/>
        <v>-2.4390243902439046E-2</v>
      </c>
      <c r="M191" s="10"/>
      <c r="N191" s="10">
        <f t="shared" si="24"/>
        <v>0.19753086419753085</v>
      </c>
      <c r="O191" s="10">
        <f t="shared" si="24"/>
        <v>0.19753086419753085</v>
      </c>
      <c r="P191" s="10"/>
      <c r="Q191" s="10">
        <f t="shared" si="25"/>
        <v>0.21118012422360249</v>
      </c>
      <c r="R191" s="10" t="str">
        <f t="shared" si="25"/>
        <v>n/a</v>
      </c>
      <c r="S191" s="10"/>
      <c r="T191"/>
      <c r="U191" s="10"/>
      <c r="W191" s="133"/>
      <c r="X191"/>
      <c r="Y191" s="133"/>
    </row>
    <row r="192" spans="1:25" x14ac:dyDescent="0.3">
      <c r="B192" t="s">
        <v>293</v>
      </c>
      <c r="C192" t="s">
        <v>338</v>
      </c>
      <c r="D192" s="10">
        <f>D163</f>
        <v>0.15754199999999999</v>
      </c>
      <c r="E192" s="10">
        <f>E163</f>
        <v>0.14965000000000001</v>
      </c>
      <c r="F192" s="10">
        <f>F163</f>
        <v>0.15421200000000002</v>
      </c>
      <c r="G192" s="10">
        <f>G163</f>
        <v>0.15523000000000001</v>
      </c>
      <c r="H192" s="10">
        <f t="shared" si="22"/>
        <v>0.16023000000000001</v>
      </c>
      <c r="I192" s="10">
        <f t="shared" si="22"/>
        <v>0.14676500000000001</v>
      </c>
      <c r="J192" s="10">
        <f>J163</f>
        <v>0.16385</v>
      </c>
      <c r="K192" s="10">
        <f t="shared" si="23"/>
        <v>0.197024</v>
      </c>
      <c r="L192" s="10">
        <f t="shared" si="23"/>
        <v>0.159467</v>
      </c>
      <c r="M192" s="10">
        <f>M163</f>
        <v>0.16684200000000002</v>
      </c>
      <c r="N192" s="10">
        <f t="shared" si="24"/>
        <v>0.19531600000000002</v>
      </c>
      <c r="O192" s="10">
        <f t="shared" si="24"/>
        <v>0.19481000000000001</v>
      </c>
      <c r="P192" s="10">
        <f>P163</f>
        <v>0.16612899999999997</v>
      </c>
      <c r="Q192" s="10">
        <f t="shared" si="25"/>
        <v>0.20050000000000001</v>
      </c>
      <c r="R192" s="10" t="str">
        <f t="shared" si="25"/>
        <v>n/a</v>
      </c>
      <c r="S192" s="10"/>
      <c r="T192"/>
      <c r="U192" s="133"/>
      <c r="W192" s="133"/>
      <c r="X192"/>
      <c r="Y192" s="133"/>
    </row>
    <row r="193" spans="2:25" x14ac:dyDescent="0.3">
      <c r="B193" t="s">
        <v>402</v>
      </c>
      <c r="C193" t="s">
        <v>338</v>
      </c>
      <c r="H193" s="10">
        <f>H170</f>
        <v>5.0000000000000044E-3</v>
      </c>
      <c r="I193" s="10">
        <f>I170</f>
        <v>-8.4650000000000003E-3</v>
      </c>
      <c r="K193" s="10">
        <f>K170</f>
        <v>3.3174000000000009E-2</v>
      </c>
      <c r="L193" s="10">
        <f>L170</f>
        <v>-4.382999999999998E-3</v>
      </c>
      <c r="M193" s="133"/>
      <c r="N193" s="10">
        <f>N170</f>
        <v>2.8473999999999999E-2</v>
      </c>
      <c r="O193" s="10">
        <f>O170</f>
        <v>2.7967999999999993E-2</v>
      </c>
      <c r="Q193" s="10">
        <f>Q170</f>
        <v>3.437100000000004E-2</v>
      </c>
      <c r="R193" s="10" t="str">
        <f>R170</f>
        <v>n/a</v>
      </c>
      <c r="S193" s="10"/>
      <c r="T193"/>
      <c r="U193" s="133"/>
      <c r="W193" s="133"/>
      <c r="X193"/>
      <c r="Y193" s="133"/>
    </row>
    <row r="194" spans="2:25" x14ac:dyDescent="0.3">
      <c r="B194" t="s">
        <v>3</v>
      </c>
      <c r="C194" t="s">
        <v>302</v>
      </c>
      <c r="D194" s="8">
        <f t="shared" ref="D194:R194" si="26">D146</f>
        <v>72.599999999999994</v>
      </c>
      <c r="E194" s="8">
        <f t="shared" si="26"/>
        <v>73</v>
      </c>
      <c r="F194" s="8">
        <f t="shared" si="26"/>
        <v>72.400000000000006</v>
      </c>
      <c r="G194" s="8">
        <f t="shared" si="26"/>
        <v>72.2</v>
      </c>
      <c r="H194" s="8">
        <f t="shared" si="26"/>
        <v>73.5</v>
      </c>
      <c r="I194" s="8">
        <f t="shared" si="26"/>
        <v>74.5</v>
      </c>
      <c r="J194" s="8">
        <f t="shared" si="26"/>
        <v>72.5</v>
      </c>
      <c r="K194" s="8">
        <f t="shared" si="26"/>
        <v>75.2</v>
      </c>
      <c r="L194" s="8">
        <f t="shared" si="26"/>
        <v>76.3</v>
      </c>
      <c r="M194" s="8">
        <f t="shared" si="26"/>
        <v>71.3</v>
      </c>
      <c r="N194" s="8">
        <f t="shared" si="26"/>
        <v>77.2</v>
      </c>
      <c r="O194" s="8">
        <f t="shared" si="26"/>
        <v>77</v>
      </c>
      <c r="P194" s="8">
        <f t="shared" si="26"/>
        <v>71.3</v>
      </c>
      <c r="Q194" s="8">
        <f t="shared" si="26"/>
        <v>80.2</v>
      </c>
      <c r="R194" s="8">
        <f t="shared" si="26"/>
        <v>75.31</v>
      </c>
      <c r="S194" s="8"/>
      <c r="T194"/>
      <c r="U194" s="133"/>
      <c r="W194" s="133"/>
      <c r="X194"/>
      <c r="Y194" s="133"/>
    </row>
    <row r="195" spans="2:25" x14ac:dyDescent="0.3">
      <c r="B195" t="s">
        <v>277</v>
      </c>
      <c r="C195" t="s">
        <v>302</v>
      </c>
      <c r="D195" s="8">
        <f t="shared" ref="D195:R195" si="27">D147</f>
        <v>27.5</v>
      </c>
      <c r="E195" s="8">
        <f t="shared" si="27"/>
        <v>27</v>
      </c>
      <c r="F195" s="8">
        <f t="shared" si="27"/>
        <v>27.6</v>
      </c>
      <c r="G195" s="8">
        <f t="shared" si="27"/>
        <v>26.3</v>
      </c>
      <c r="H195" s="8">
        <f t="shared" si="27"/>
        <v>26.5</v>
      </c>
      <c r="I195" s="8">
        <f t="shared" si="27"/>
        <v>25.4</v>
      </c>
      <c r="J195" s="8">
        <f t="shared" si="27"/>
        <v>27.5</v>
      </c>
      <c r="K195" s="8">
        <f t="shared" si="27"/>
        <v>24.8</v>
      </c>
      <c r="L195" s="8">
        <f t="shared" si="27"/>
        <v>23.6</v>
      </c>
      <c r="M195" s="8">
        <f t="shared" si="27"/>
        <v>28.6</v>
      </c>
      <c r="N195" s="8">
        <f t="shared" si="27"/>
        <v>22.8</v>
      </c>
      <c r="O195" s="8">
        <f t="shared" si="27"/>
        <v>22.3</v>
      </c>
      <c r="P195" s="8">
        <f t="shared" si="27"/>
        <v>26.3</v>
      </c>
      <c r="Q195" s="8">
        <f t="shared" si="27"/>
        <v>20.3</v>
      </c>
      <c r="R195" s="8">
        <f t="shared" si="27"/>
        <v>24.7</v>
      </c>
      <c r="S195" s="8"/>
      <c r="T195"/>
      <c r="U195" s="133"/>
      <c r="W195" s="133"/>
      <c r="X195"/>
      <c r="Y195" s="133"/>
    </row>
    <row r="196" spans="2:25" x14ac:dyDescent="0.3">
      <c r="B196" t="s">
        <v>13</v>
      </c>
      <c r="C196" t="s">
        <v>302</v>
      </c>
      <c r="D196" s="8">
        <f t="shared" ref="D196:R196" si="28">D148</f>
        <v>0</v>
      </c>
      <c r="E196" s="8">
        <f t="shared" si="28"/>
        <v>0</v>
      </c>
      <c r="F196" s="8">
        <f t="shared" si="28"/>
        <v>0</v>
      </c>
      <c r="G196" s="8">
        <f t="shared" si="28"/>
        <v>0</v>
      </c>
      <c r="H196" s="8">
        <f t="shared" si="28"/>
        <v>2.6</v>
      </c>
      <c r="I196" s="8">
        <f t="shared" si="28"/>
        <v>0.1</v>
      </c>
      <c r="J196" s="8">
        <f t="shared" si="28"/>
        <v>0</v>
      </c>
      <c r="K196" s="8">
        <f t="shared" si="28"/>
        <v>0</v>
      </c>
      <c r="L196" s="8">
        <f t="shared" si="28"/>
        <v>0</v>
      </c>
      <c r="M196" s="8">
        <f t="shared" si="28"/>
        <v>0</v>
      </c>
      <c r="N196" s="8">
        <f t="shared" si="28"/>
        <v>0</v>
      </c>
      <c r="O196" s="8">
        <f t="shared" si="28"/>
        <v>0</v>
      </c>
      <c r="P196" s="8">
        <f t="shared" si="28"/>
        <v>0</v>
      </c>
      <c r="Q196" s="8">
        <f t="shared" si="28"/>
        <v>0</v>
      </c>
      <c r="R196" s="8">
        <f t="shared" si="28"/>
        <v>3.6</v>
      </c>
      <c r="S196" s="8"/>
      <c r="T196"/>
      <c r="U196" s="133"/>
      <c r="W196" s="133"/>
      <c r="X196"/>
      <c r="Y196" s="133"/>
    </row>
    <row r="197" spans="2:25" x14ac:dyDescent="0.3">
      <c r="B197" t="s">
        <v>35</v>
      </c>
      <c r="D197">
        <f t="shared" ref="D197:R197" si="29">D152</f>
        <v>7.3</v>
      </c>
      <c r="E197">
        <f t="shared" si="29"/>
        <v>7.4</v>
      </c>
      <c r="F197">
        <f t="shared" si="29"/>
        <v>7.4</v>
      </c>
      <c r="G197">
        <f t="shared" si="29"/>
        <v>7.2</v>
      </c>
      <c r="H197">
        <f t="shared" si="29"/>
        <v>7.2</v>
      </c>
      <c r="I197">
        <f t="shared" si="29"/>
        <v>7.2</v>
      </c>
      <c r="J197">
        <f t="shared" si="29"/>
        <v>7.2</v>
      </c>
      <c r="K197">
        <f t="shared" si="29"/>
        <v>7.3</v>
      </c>
      <c r="L197">
        <f t="shared" si="29"/>
        <v>7.3</v>
      </c>
      <c r="M197">
        <f t="shared" si="29"/>
        <v>7</v>
      </c>
      <c r="N197">
        <f t="shared" si="29"/>
        <v>7.3</v>
      </c>
      <c r="O197">
        <f t="shared" si="29"/>
        <v>7.2</v>
      </c>
      <c r="P197">
        <f t="shared" si="29"/>
        <v>7.1</v>
      </c>
      <c r="Q197">
        <f t="shared" si="29"/>
        <v>7.2</v>
      </c>
      <c r="R197">
        <f t="shared" si="29"/>
        <v>7.2</v>
      </c>
      <c r="S197" s="133"/>
      <c r="T197" t="s">
        <v>924</v>
      </c>
      <c r="U197" s="133"/>
      <c r="W197" s="133"/>
      <c r="X197"/>
      <c r="Y197" s="133"/>
    </row>
    <row r="198" spans="2:25" x14ac:dyDescent="0.3">
      <c r="B198" t="s">
        <v>52</v>
      </c>
      <c r="C198" t="s">
        <v>621</v>
      </c>
      <c r="D198" t="s">
        <v>1671</v>
      </c>
      <c r="E198" s="133" t="s">
        <v>1671</v>
      </c>
      <c r="F198" s="133" t="s">
        <v>1671</v>
      </c>
      <c r="G198" s="133" t="s">
        <v>1671</v>
      </c>
      <c r="H198" s="133" t="s">
        <v>1671</v>
      </c>
      <c r="I198" s="133" t="s">
        <v>1671</v>
      </c>
      <c r="J198" s="133" t="s">
        <v>1671</v>
      </c>
      <c r="K198" s="133" t="s">
        <v>1671</v>
      </c>
      <c r="L198" s="133" t="s">
        <v>1671</v>
      </c>
      <c r="M198" s="133" t="s">
        <v>1671</v>
      </c>
      <c r="N198" s="133" t="s">
        <v>1671</v>
      </c>
      <c r="O198" s="133" t="s">
        <v>1671</v>
      </c>
      <c r="P198" s="133" t="s">
        <v>1671</v>
      </c>
      <c r="Q198" s="133" t="s">
        <v>1671</v>
      </c>
      <c r="R198" s="133" t="s">
        <v>1671</v>
      </c>
      <c r="S198" s="133"/>
      <c r="T198" t="s">
        <v>742</v>
      </c>
      <c r="U198" s="133"/>
      <c r="W198" s="133"/>
      <c r="X198"/>
      <c r="Y198" s="133"/>
    </row>
    <row r="199" spans="2:25" x14ac:dyDescent="0.3">
      <c r="B199" t="s">
        <v>558</v>
      </c>
      <c r="C199" t="s">
        <v>621</v>
      </c>
      <c r="D199" s="133" t="s">
        <v>1671</v>
      </c>
      <c r="E199" s="133" t="s">
        <v>1671</v>
      </c>
      <c r="F199" s="133" t="s">
        <v>1671</v>
      </c>
      <c r="G199" s="133" t="s">
        <v>1671</v>
      </c>
      <c r="H199" s="133" t="s">
        <v>1671</v>
      </c>
      <c r="I199" s="133" t="s">
        <v>1671</v>
      </c>
      <c r="J199" s="133" t="s">
        <v>1671</v>
      </c>
      <c r="K199" s="133" t="s">
        <v>1671</v>
      </c>
      <c r="L199" s="133" t="s">
        <v>1671</v>
      </c>
      <c r="M199" s="133" t="s">
        <v>1671</v>
      </c>
      <c r="N199" s="133" t="s">
        <v>1671</v>
      </c>
      <c r="O199" s="133" t="s">
        <v>1671</v>
      </c>
      <c r="P199" s="133" t="s">
        <v>1671</v>
      </c>
      <c r="Q199" s="133" t="s">
        <v>1671</v>
      </c>
      <c r="R199" s="133" t="s">
        <v>1671</v>
      </c>
      <c r="S199" s="133"/>
      <c r="T199" t="s">
        <v>171</v>
      </c>
      <c r="U199" s="133"/>
      <c r="W199" s="133"/>
      <c r="X199"/>
      <c r="Y199" s="133"/>
    </row>
    <row r="200" spans="2:25" x14ac:dyDescent="0.3">
      <c r="B200" s="12" t="s">
        <v>757</v>
      </c>
      <c r="C200" s="12" t="s">
        <v>758</v>
      </c>
      <c r="O200"/>
      <c r="P200"/>
      <c r="R200"/>
      <c r="S200" s="133"/>
      <c r="T200"/>
      <c r="U200" s="133"/>
      <c r="V200"/>
      <c r="W200" s="133"/>
      <c r="X200"/>
      <c r="Y200" s="133"/>
    </row>
    <row r="201" spans="2:25" x14ac:dyDescent="0.3">
      <c r="O201"/>
      <c r="P201"/>
      <c r="R201"/>
      <c r="S201" s="133"/>
      <c r="T201"/>
      <c r="U201" s="133"/>
      <c r="V201"/>
      <c r="W201" s="133"/>
      <c r="X201"/>
      <c r="Y201" s="133"/>
    </row>
    <row r="202" spans="2:25" x14ac:dyDescent="0.3">
      <c r="R202"/>
      <c r="S202" s="133"/>
      <c r="T202"/>
      <c r="U202" s="133"/>
      <c r="V202"/>
      <c r="W202" s="133"/>
      <c r="X202"/>
      <c r="Y202" s="133"/>
    </row>
    <row r="203" spans="2:25" x14ac:dyDescent="0.3">
      <c r="B203" s="14" t="s">
        <v>1761</v>
      </c>
    </row>
    <row r="204" spans="2:25" x14ac:dyDescent="0.3">
      <c r="B204" t="s">
        <v>926</v>
      </c>
    </row>
    <row r="205" spans="2:25" x14ac:dyDescent="0.3">
      <c r="B205" t="s">
        <v>933</v>
      </c>
    </row>
    <row r="207" spans="2:25" s="133" customFormat="1" x14ac:dyDescent="0.3">
      <c r="B207" s="148" t="s">
        <v>114</v>
      </c>
      <c r="D207" s="133" t="s">
        <v>2140</v>
      </c>
      <c r="E207" s="133" t="s">
        <v>1735</v>
      </c>
    </row>
    <row r="208" spans="2:25" s="133" customFormat="1" x14ac:dyDescent="0.3">
      <c r="B208" s="133" t="s">
        <v>667</v>
      </c>
      <c r="C208" s="133" t="s">
        <v>503</v>
      </c>
      <c r="D208" s="133">
        <v>36.700000000000003</v>
      </c>
    </row>
    <row r="209" spans="2:10" s="133" customFormat="1" x14ac:dyDescent="0.3">
      <c r="B209" s="133" t="s">
        <v>1324</v>
      </c>
      <c r="D209" s="133" t="s">
        <v>1091</v>
      </c>
    </row>
    <row r="210" spans="2:10" s="133" customFormat="1" x14ac:dyDescent="0.3">
      <c r="B210" s="133" t="s">
        <v>956</v>
      </c>
      <c r="C210" s="133" t="s">
        <v>22</v>
      </c>
      <c r="D210" s="133">
        <v>16</v>
      </c>
    </row>
    <row r="211" spans="2:10" s="133" customFormat="1" x14ac:dyDescent="0.3">
      <c r="B211" s="133" t="s">
        <v>32</v>
      </c>
      <c r="C211" s="133" t="s">
        <v>22</v>
      </c>
      <c r="D211" s="133">
        <v>11</v>
      </c>
    </row>
    <row r="212" spans="2:10" s="133" customFormat="1" x14ac:dyDescent="0.3">
      <c r="B212" s="133" t="s">
        <v>326</v>
      </c>
      <c r="D212" s="133" t="s">
        <v>1355</v>
      </c>
    </row>
    <row r="213" spans="2:10" s="133" customFormat="1" x14ac:dyDescent="0.3">
      <c r="B213" s="133" t="s">
        <v>344</v>
      </c>
      <c r="D213" s="133" t="s">
        <v>694</v>
      </c>
    </row>
    <row r="214" spans="2:10" s="133" customFormat="1" x14ac:dyDescent="0.3">
      <c r="B214" s="133" t="s">
        <v>1332</v>
      </c>
      <c r="D214" s="133" t="s">
        <v>1974</v>
      </c>
    </row>
    <row r="215" spans="2:10" s="133" customFormat="1" x14ac:dyDescent="0.3">
      <c r="B215" s="133" t="s">
        <v>1330</v>
      </c>
      <c r="D215" s="133" t="s">
        <v>1333</v>
      </c>
    </row>
    <row r="216" spans="2:10" s="133" customFormat="1" x14ac:dyDescent="0.3">
      <c r="B216" s="133" t="s">
        <v>1968</v>
      </c>
      <c r="D216" s="133" t="s">
        <v>1969</v>
      </c>
      <c r="E216" s="133" t="s">
        <v>2002</v>
      </c>
      <c r="I216" t="s">
        <v>935</v>
      </c>
    </row>
    <row r="217" spans="2:10" s="133" customFormat="1" x14ac:dyDescent="0.3">
      <c r="B217" s="133" t="s">
        <v>1541</v>
      </c>
      <c r="D217" s="133" t="s">
        <v>533</v>
      </c>
    </row>
    <row r="218" spans="2:10" s="133" customFormat="1" x14ac:dyDescent="0.3">
      <c r="B218" s="133" t="s">
        <v>1599</v>
      </c>
    </row>
    <row r="219" spans="2:10" s="133" customFormat="1" x14ac:dyDescent="0.3">
      <c r="B219" s="6"/>
    </row>
    <row r="220" spans="2:10" x14ac:dyDescent="0.3">
      <c r="B220" t="s">
        <v>287</v>
      </c>
      <c r="C220" t="s">
        <v>93</v>
      </c>
      <c r="D220" t="s">
        <v>159</v>
      </c>
      <c r="E220" t="s">
        <v>160</v>
      </c>
      <c r="G220" t="s">
        <v>33</v>
      </c>
      <c r="H220" t="s">
        <v>916</v>
      </c>
      <c r="J220" t="s">
        <v>5</v>
      </c>
    </row>
    <row r="221" spans="2:10" x14ac:dyDescent="0.3">
      <c r="B221" t="s">
        <v>905</v>
      </c>
      <c r="D221" t="s">
        <v>566</v>
      </c>
      <c r="E221" t="s">
        <v>566</v>
      </c>
      <c r="F221" t="s">
        <v>25</v>
      </c>
      <c r="G221" t="s">
        <v>361</v>
      </c>
      <c r="H221" t="s">
        <v>361</v>
      </c>
      <c r="J221" s="133" t="s">
        <v>361</v>
      </c>
    </row>
    <row r="222" spans="2:10" x14ac:dyDescent="0.3">
      <c r="B222" t="s">
        <v>673</v>
      </c>
      <c r="D222">
        <v>0</v>
      </c>
      <c r="E222">
        <v>20</v>
      </c>
      <c r="F222">
        <v>97</v>
      </c>
      <c r="G222">
        <v>1.3</v>
      </c>
      <c r="H222">
        <v>1.3</v>
      </c>
      <c r="J222" s="8">
        <f>H222-G222</f>
        <v>0</v>
      </c>
    </row>
    <row r="223" spans="2:10" x14ac:dyDescent="0.3">
      <c r="B223" t="s">
        <v>674</v>
      </c>
      <c r="C223">
        <v>0.5</v>
      </c>
      <c r="D223">
        <v>21</v>
      </c>
      <c r="E223">
        <v>41</v>
      </c>
      <c r="F223">
        <v>20</v>
      </c>
      <c r="G223">
        <v>1.5</v>
      </c>
      <c r="H223">
        <v>1.5</v>
      </c>
      <c r="J223" s="8">
        <f t="shared" ref="J223:J229" si="30">H223-G223</f>
        <v>0</v>
      </c>
    </row>
    <row r="224" spans="2:10" x14ac:dyDescent="0.3">
      <c r="B224" t="s">
        <v>675</v>
      </c>
      <c r="C224">
        <v>1</v>
      </c>
      <c r="D224">
        <v>42</v>
      </c>
      <c r="E224">
        <v>49</v>
      </c>
      <c r="F224">
        <v>7</v>
      </c>
      <c r="G224">
        <v>1.5</v>
      </c>
      <c r="H224">
        <v>1.6</v>
      </c>
      <c r="J224" s="8">
        <f t="shared" si="30"/>
        <v>0.10000000000000009</v>
      </c>
    </row>
    <row r="225" spans="2:10" x14ac:dyDescent="0.3">
      <c r="B225" t="s">
        <v>676</v>
      </c>
      <c r="C225">
        <v>2</v>
      </c>
      <c r="D225">
        <v>50</v>
      </c>
      <c r="E225">
        <v>58</v>
      </c>
      <c r="F225">
        <v>8</v>
      </c>
      <c r="G225">
        <v>1.6</v>
      </c>
      <c r="H225">
        <v>1.6</v>
      </c>
      <c r="J225" s="8">
        <f t="shared" si="30"/>
        <v>0</v>
      </c>
    </row>
    <row r="226" spans="2:10" x14ac:dyDescent="0.3">
      <c r="B226" t="s">
        <v>222</v>
      </c>
      <c r="C226">
        <v>3</v>
      </c>
      <c r="D226">
        <v>59</v>
      </c>
      <c r="E226">
        <v>67</v>
      </c>
      <c r="F226">
        <v>8</v>
      </c>
      <c r="G226">
        <v>1.6</v>
      </c>
      <c r="H226">
        <v>1.7</v>
      </c>
      <c r="J226" s="8">
        <f t="shared" si="30"/>
        <v>9.9999999999999867E-2</v>
      </c>
    </row>
    <row r="227" spans="2:10" x14ac:dyDescent="0.3">
      <c r="B227" t="s">
        <v>677</v>
      </c>
      <c r="C227">
        <v>4</v>
      </c>
      <c r="D227">
        <v>68</v>
      </c>
      <c r="E227">
        <v>94</v>
      </c>
      <c r="F227">
        <v>26</v>
      </c>
      <c r="G227">
        <v>1.4</v>
      </c>
      <c r="H227">
        <v>1.7</v>
      </c>
      <c r="J227" s="8">
        <f t="shared" si="30"/>
        <v>0.30000000000000004</v>
      </c>
    </row>
    <row r="228" spans="2:10" x14ac:dyDescent="0.3">
      <c r="B228" t="s">
        <v>678</v>
      </c>
      <c r="C228">
        <v>6</v>
      </c>
      <c r="D228">
        <v>95</v>
      </c>
      <c r="E228">
        <v>107</v>
      </c>
      <c r="F228">
        <v>12</v>
      </c>
      <c r="G228">
        <v>1.5</v>
      </c>
      <c r="H228">
        <v>1.8</v>
      </c>
      <c r="J228" s="8">
        <f t="shared" si="30"/>
        <v>0.30000000000000004</v>
      </c>
    </row>
    <row r="229" spans="2:10" x14ac:dyDescent="0.3">
      <c r="B229" t="s">
        <v>679</v>
      </c>
      <c r="C229">
        <v>7</v>
      </c>
      <c r="D229">
        <v>108</v>
      </c>
      <c r="E229">
        <v>141</v>
      </c>
      <c r="F229">
        <v>33</v>
      </c>
      <c r="G229">
        <v>1.5</v>
      </c>
      <c r="H229">
        <v>1.9</v>
      </c>
      <c r="J229" s="8">
        <f t="shared" si="30"/>
        <v>0.39999999999999991</v>
      </c>
    </row>
    <row r="231" spans="2:10" x14ac:dyDescent="0.3">
      <c r="B231" t="s">
        <v>934</v>
      </c>
      <c r="C231">
        <v>8</v>
      </c>
      <c r="D231" t="s">
        <v>937</v>
      </c>
      <c r="F231" t="s">
        <v>938</v>
      </c>
    </row>
    <row r="232" spans="2:10" x14ac:dyDescent="0.3">
      <c r="B232" t="s">
        <v>32</v>
      </c>
      <c r="C232">
        <v>11</v>
      </c>
      <c r="D232" t="s">
        <v>22</v>
      </c>
    </row>
    <row r="233" spans="2:10" x14ac:dyDescent="0.3">
      <c r="B233" t="s">
        <v>936</v>
      </c>
      <c r="C233">
        <v>0.5</v>
      </c>
      <c r="D233" t="s">
        <v>22</v>
      </c>
    </row>
    <row r="234" spans="2:10" x14ac:dyDescent="0.3">
      <c r="B234" t="s">
        <v>26</v>
      </c>
      <c r="C234">
        <f>C232/C233</f>
        <v>22</v>
      </c>
      <c r="D234" t="s">
        <v>25</v>
      </c>
    </row>
    <row r="235" spans="2:10" x14ac:dyDescent="0.3">
      <c r="B235" t="s">
        <v>33</v>
      </c>
      <c r="C235" s="30">
        <f>D239*C233/C232</f>
        <v>0.81818181818181823</v>
      </c>
      <c r="D235" t="s">
        <v>270</v>
      </c>
      <c r="F235" t="s">
        <v>2193</v>
      </c>
    </row>
    <row r="237" spans="2:10" x14ac:dyDescent="0.3">
      <c r="B237" t="s">
        <v>307</v>
      </c>
      <c r="D237" t="s">
        <v>913</v>
      </c>
      <c r="E237" t="s">
        <v>54</v>
      </c>
    </row>
    <row r="238" spans="2:10" x14ac:dyDescent="0.3">
      <c r="B238" t="s">
        <v>27</v>
      </c>
      <c r="C238" t="s">
        <v>422</v>
      </c>
      <c r="D238">
        <v>26</v>
      </c>
      <c r="E238">
        <v>20</v>
      </c>
    </row>
    <row r="239" spans="2:10" x14ac:dyDescent="0.3">
      <c r="B239" t="s">
        <v>14</v>
      </c>
      <c r="C239" t="s">
        <v>422</v>
      </c>
      <c r="D239">
        <v>18</v>
      </c>
      <c r="E239">
        <v>15</v>
      </c>
    </row>
    <row r="240" spans="2:10" x14ac:dyDescent="0.3">
      <c r="B240" t="s">
        <v>138</v>
      </c>
      <c r="C240" t="s">
        <v>302</v>
      </c>
      <c r="D240">
        <v>70</v>
      </c>
      <c r="E240">
        <v>59</v>
      </c>
    </row>
    <row r="241" spans="2:32" x14ac:dyDescent="0.3">
      <c r="B241" t="s">
        <v>48</v>
      </c>
      <c r="C241" t="s">
        <v>928</v>
      </c>
      <c r="D241">
        <v>12</v>
      </c>
      <c r="E241">
        <v>5.5</v>
      </c>
    </row>
    <row r="242" spans="2:32" x14ac:dyDescent="0.3">
      <c r="B242" t="s">
        <v>171</v>
      </c>
      <c r="C242" t="s">
        <v>929</v>
      </c>
      <c r="D242">
        <v>1254</v>
      </c>
      <c r="E242">
        <v>224</v>
      </c>
    </row>
    <row r="243" spans="2:32" x14ac:dyDescent="0.3">
      <c r="B243" t="s">
        <v>591</v>
      </c>
      <c r="C243" t="s">
        <v>839</v>
      </c>
      <c r="D243">
        <v>1629</v>
      </c>
      <c r="E243">
        <v>5666</v>
      </c>
    </row>
    <row r="245" spans="2:32" x14ac:dyDescent="0.3">
      <c r="B245" t="s">
        <v>733</v>
      </c>
      <c r="D245" t="s">
        <v>277</v>
      </c>
      <c r="F245" t="s">
        <v>3</v>
      </c>
      <c r="H245" t="s">
        <v>13</v>
      </c>
      <c r="K245" s="133"/>
    </row>
    <row r="246" spans="2:32" x14ac:dyDescent="0.3">
      <c r="D246" t="s">
        <v>31</v>
      </c>
      <c r="F246" t="s">
        <v>31</v>
      </c>
      <c r="H246" t="s">
        <v>31</v>
      </c>
      <c r="K246" t="s">
        <v>13</v>
      </c>
    </row>
    <row r="247" spans="2:32" x14ac:dyDescent="0.3">
      <c r="B247" t="s">
        <v>905</v>
      </c>
      <c r="C247" t="s">
        <v>93</v>
      </c>
      <c r="D247" t="s">
        <v>898</v>
      </c>
      <c r="E247" t="s">
        <v>41</v>
      </c>
      <c r="F247" t="s">
        <v>898</v>
      </c>
      <c r="G247" t="s">
        <v>41</v>
      </c>
      <c r="H247" s="133" t="s">
        <v>898</v>
      </c>
      <c r="I247" s="133" t="s">
        <v>41</v>
      </c>
      <c r="K247" t="s">
        <v>361</v>
      </c>
    </row>
    <row r="248" spans="2:32" x14ac:dyDescent="0.3">
      <c r="B248" t="s">
        <v>673</v>
      </c>
      <c r="D248">
        <v>788</v>
      </c>
      <c r="E248">
        <v>894</v>
      </c>
      <c r="F248">
        <v>2597</v>
      </c>
      <c r="G248">
        <v>2772</v>
      </c>
      <c r="H248">
        <v>0</v>
      </c>
      <c r="I248">
        <v>0</v>
      </c>
      <c r="K248" s="134">
        <f>H248*Data!$C$40/($D$211*1000)</f>
        <v>0</v>
      </c>
      <c r="L248" s="134">
        <f>I248*Data!$C$40/($D$211*1000)</f>
        <v>0</v>
      </c>
    </row>
    <row r="249" spans="2:32" x14ac:dyDescent="0.3">
      <c r="B249" t="s">
        <v>674</v>
      </c>
      <c r="C249">
        <v>0.5</v>
      </c>
      <c r="D249">
        <v>955</v>
      </c>
      <c r="E249">
        <v>1054</v>
      </c>
      <c r="F249">
        <v>2813</v>
      </c>
      <c r="G249">
        <v>3137</v>
      </c>
      <c r="H249">
        <v>27</v>
      </c>
      <c r="I249">
        <v>33</v>
      </c>
      <c r="K249" s="134">
        <f>H249*Data!$C$40/($D$211*1000)</f>
        <v>1.7520862349641229E-3</v>
      </c>
      <c r="L249" s="134">
        <f>I249*Data!$C$40/($D$211*1000)</f>
        <v>2.1414387316228169E-3</v>
      </c>
    </row>
    <row r="250" spans="2:32" x14ac:dyDescent="0.3">
      <c r="B250" t="s">
        <v>675</v>
      </c>
      <c r="C250">
        <v>1</v>
      </c>
      <c r="D250">
        <v>962</v>
      </c>
      <c r="E250">
        <v>1034</v>
      </c>
      <c r="F250">
        <v>2985</v>
      </c>
      <c r="G250">
        <v>3319</v>
      </c>
      <c r="H250">
        <v>42</v>
      </c>
      <c r="I250">
        <v>28</v>
      </c>
      <c r="K250" s="134">
        <f>H250*Data!$C$40/($D$211*1000)</f>
        <v>2.7254674766108581E-3</v>
      </c>
      <c r="L250" s="134">
        <f>I250*Data!$C$40/($D$211*1000)</f>
        <v>1.8169783177405718E-3</v>
      </c>
      <c r="AF250" s="133"/>
    </row>
    <row r="251" spans="2:32" x14ac:dyDescent="0.3">
      <c r="B251" t="s">
        <v>676</v>
      </c>
      <c r="C251">
        <v>2</v>
      </c>
      <c r="D251">
        <v>953</v>
      </c>
      <c r="E251">
        <v>1094</v>
      </c>
      <c r="F251">
        <v>3161</v>
      </c>
      <c r="G251">
        <v>3612</v>
      </c>
      <c r="H251">
        <v>43</v>
      </c>
      <c r="I251">
        <v>38</v>
      </c>
      <c r="K251" s="134">
        <f>H251*Data!$C$40/($D$211*1000)</f>
        <v>2.7903595593873069E-3</v>
      </c>
      <c r="L251" s="134">
        <f>I251*Data!$C$40/($D$211*1000)</f>
        <v>2.4658991455050617E-3</v>
      </c>
      <c r="AF251" s="133"/>
    </row>
    <row r="252" spans="2:32" x14ac:dyDescent="0.3">
      <c r="B252" t="s">
        <v>222</v>
      </c>
      <c r="C252">
        <v>3</v>
      </c>
      <c r="D252">
        <v>1004</v>
      </c>
      <c r="E252">
        <v>1307</v>
      </c>
      <c r="F252">
        <v>3628</v>
      </c>
      <c r="G252">
        <v>4404</v>
      </c>
      <c r="H252">
        <v>54</v>
      </c>
      <c r="I252">
        <v>65</v>
      </c>
      <c r="K252" s="134">
        <f>H252*Data!$C$40/($D$211*1000)</f>
        <v>3.5041724699282459E-3</v>
      </c>
      <c r="L252" s="134">
        <f>I252*Data!$C$40/($D$211*1000)</f>
        <v>4.2179853804691844E-3</v>
      </c>
      <c r="M252" s="133"/>
      <c r="N252" s="133"/>
      <c r="AD252" s="133"/>
      <c r="AF252" s="133"/>
    </row>
    <row r="253" spans="2:32" x14ac:dyDescent="0.3">
      <c r="B253" t="s">
        <v>677</v>
      </c>
      <c r="C253">
        <v>4</v>
      </c>
      <c r="D253">
        <v>605</v>
      </c>
      <c r="E253">
        <v>1147</v>
      </c>
      <c r="F253">
        <v>3454</v>
      </c>
      <c r="G253">
        <v>4542</v>
      </c>
      <c r="H253">
        <v>203</v>
      </c>
      <c r="I253">
        <v>349</v>
      </c>
      <c r="K253" s="134">
        <f>H253*Data!$C$40/($D$211*1000)</f>
        <v>1.3173092803619146E-2</v>
      </c>
      <c r="L253" s="134">
        <f>I253*Data!$C$40/($D$211*1000)</f>
        <v>2.2647336888980702E-2</v>
      </c>
      <c r="M253" s="133"/>
      <c r="N253" s="133"/>
      <c r="Q253" s="133"/>
      <c r="S253" s="133"/>
      <c r="U253" s="133"/>
      <c r="W253" s="133"/>
      <c r="Y253" s="133"/>
      <c r="AA253" s="133"/>
      <c r="AC253" s="133"/>
      <c r="AD253" s="133"/>
      <c r="AE253" s="133"/>
      <c r="AF253" s="133"/>
    </row>
    <row r="254" spans="2:32" x14ac:dyDescent="0.3">
      <c r="B254" t="s">
        <v>678</v>
      </c>
      <c r="C254">
        <v>6</v>
      </c>
      <c r="D254">
        <v>575</v>
      </c>
      <c r="E254">
        <v>864</v>
      </c>
      <c r="F254">
        <v>3597</v>
      </c>
      <c r="G254">
        <v>4329</v>
      </c>
      <c r="H254">
        <v>134</v>
      </c>
      <c r="I254">
        <v>229</v>
      </c>
      <c r="K254" s="134">
        <f>H254*Data!$C$40/($D$211*1000)</f>
        <v>8.6955390920441661E-3</v>
      </c>
      <c r="L254" s="134">
        <f>I254*Data!$C$40/($D$211*1000)</f>
        <v>1.4860286955806819E-2</v>
      </c>
      <c r="AD254" s="133"/>
      <c r="AE254" s="133"/>
      <c r="AF254" s="133"/>
    </row>
    <row r="255" spans="2:32" x14ac:dyDescent="0.3">
      <c r="B255" t="s">
        <v>679</v>
      </c>
      <c r="C255">
        <v>7</v>
      </c>
      <c r="D255">
        <v>297</v>
      </c>
      <c r="E255">
        <v>440</v>
      </c>
      <c r="F255">
        <v>3353</v>
      </c>
      <c r="G255">
        <v>4970</v>
      </c>
      <c r="H255">
        <v>235</v>
      </c>
      <c r="I255">
        <v>348</v>
      </c>
      <c r="K255" s="134">
        <f>H255*Data!$C$40/($D$211*1000)</f>
        <v>1.5249639452465515E-2</v>
      </c>
      <c r="L255" s="134">
        <f>I255*Data!$C$40/($D$211*1000)</f>
        <v>2.2582444806204249E-2</v>
      </c>
      <c r="M255" s="133"/>
      <c r="N255" s="133"/>
      <c r="Q255" s="133"/>
      <c r="S255" s="133"/>
      <c r="U255" s="133"/>
      <c r="W255" s="133"/>
      <c r="Y255" s="133"/>
      <c r="AA255" s="133"/>
      <c r="AC255" s="133"/>
      <c r="AE255" s="133"/>
    </row>
    <row r="256" spans="2:32" x14ac:dyDescent="0.3">
      <c r="K256" s="133"/>
      <c r="L256" s="133"/>
      <c r="M256" s="133"/>
      <c r="N256" s="133"/>
      <c r="Q256" s="133"/>
      <c r="S256" s="133"/>
      <c r="U256" s="133"/>
      <c r="W256" s="133"/>
      <c r="Y256" s="133"/>
      <c r="AA256" s="133"/>
      <c r="AC256" s="133"/>
      <c r="AD256" s="133"/>
    </row>
    <row r="257" spans="2:24" s="133" customFormat="1" x14ac:dyDescent="0.3">
      <c r="B257" s="133" t="s">
        <v>2011</v>
      </c>
    </row>
    <row r="258" spans="2:24" s="133" customFormat="1" x14ac:dyDescent="0.3">
      <c r="C258" s="133" t="s">
        <v>905</v>
      </c>
      <c r="D258" s="133" t="s">
        <v>673</v>
      </c>
      <c r="F258" s="133" t="s">
        <v>674</v>
      </c>
      <c r="H258" s="133" t="s">
        <v>675</v>
      </c>
      <c r="J258" s="133" t="s">
        <v>676</v>
      </c>
      <c r="L258" s="133" t="s">
        <v>222</v>
      </c>
      <c r="N258" s="133" t="s">
        <v>677</v>
      </c>
      <c r="P258" s="133" t="s">
        <v>678</v>
      </c>
      <c r="R258" s="133" t="s">
        <v>679</v>
      </c>
      <c r="V258"/>
      <c r="W258"/>
      <c r="X258"/>
    </row>
    <row r="259" spans="2:24" s="133" customFormat="1" x14ac:dyDescent="0.3">
      <c r="B259" s="133" t="s">
        <v>93</v>
      </c>
      <c r="C259"/>
      <c r="D259" s="133">
        <v>0</v>
      </c>
      <c r="E259" s="133">
        <v>0</v>
      </c>
      <c r="F259" s="133">
        <v>0.5</v>
      </c>
      <c r="G259" s="133">
        <v>0.5</v>
      </c>
      <c r="H259" s="133">
        <v>1</v>
      </c>
      <c r="I259" s="133">
        <v>1</v>
      </c>
      <c r="J259" s="133">
        <v>2</v>
      </c>
      <c r="K259" s="133">
        <v>2</v>
      </c>
      <c r="L259" s="133">
        <v>3</v>
      </c>
      <c r="M259" s="133">
        <v>3</v>
      </c>
      <c r="N259">
        <v>4</v>
      </c>
      <c r="O259" s="133">
        <v>4</v>
      </c>
      <c r="P259" s="133">
        <v>6</v>
      </c>
      <c r="Q259" s="133">
        <v>6</v>
      </c>
      <c r="R259" s="133">
        <v>7</v>
      </c>
      <c r="S259" s="133">
        <v>7</v>
      </c>
      <c r="V259"/>
      <c r="W259"/>
      <c r="X259"/>
    </row>
    <row r="260" spans="2:24" s="133" customFormat="1" x14ac:dyDescent="0.3">
      <c r="B260" s="133" t="s">
        <v>3</v>
      </c>
      <c r="C260" s="133" t="s">
        <v>31</v>
      </c>
      <c r="D260" s="133">
        <v>2597</v>
      </c>
      <c r="E260" s="133">
        <v>2772</v>
      </c>
      <c r="F260" s="133">
        <v>2813</v>
      </c>
      <c r="G260" s="133">
        <v>3137</v>
      </c>
      <c r="H260" s="133">
        <v>2985</v>
      </c>
      <c r="I260" s="133">
        <v>3319</v>
      </c>
      <c r="J260" s="133">
        <v>3161</v>
      </c>
      <c r="K260" s="133">
        <v>3612</v>
      </c>
      <c r="L260" s="133">
        <v>3628</v>
      </c>
      <c r="M260" s="133">
        <v>4404</v>
      </c>
      <c r="N260" s="133">
        <v>3454</v>
      </c>
      <c r="O260" s="133">
        <v>4542</v>
      </c>
      <c r="P260" s="133">
        <v>3597</v>
      </c>
      <c r="Q260" s="133">
        <v>4329</v>
      </c>
      <c r="R260" s="133">
        <v>3353</v>
      </c>
      <c r="S260" s="133">
        <v>4970</v>
      </c>
      <c r="U260"/>
      <c r="V260"/>
      <c r="W260"/>
      <c r="X260"/>
    </row>
    <row r="261" spans="2:24" s="133" customFormat="1" x14ac:dyDescent="0.3">
      <c r="B261" s="133" t="s">
        <v>277</v>
      </c>
      <c r="C261" s="133" t="s">
        <v>31</v>
      </c>
      <c r="D261" s="133">
        <v>788</v>
      </c>
      <c r="E261" s="133">
        <v>894</v>
      </c>
      <c r="F261" s="133">
        <v>955</v>
      </c>
      <c r="G261" s="133">
        <v>1054</v>
      </c>
      <c r="H261" s="133">
        <v>962</v>
      </c>
      <c r="I261" s="133">
        <v>1034</v>
      </c>
      <c r="J261" s="133">
        <v>953</v>
      </c>
      <c r="K261" s="133">
        <v>1094</v>
      </c>
      <c r="L261" s="133">
        <v>1004</v>
      </c>
      <c r="M261" s="133">
        <v>1307</v>
      </c>
      <c r="N261" s="133">
        <v>605</v>
      </c>
      <c r="O261" s="133">
        <v>1147</v>
      </c>
      <c r="P261" s="133">
        <v>575</v>
      </c>
      <c r="Q261" s="133">
        <v>864</v>
      </c>
      <c r="R261" s="133">
        <v>297</v>
      </c>
      <c r="S261" s="133">
        <v>440</v>
      </c>
      <c r="U261"/>
      <c r="V261"/>
      <c r="W261"/>
      <c r="X261"/>
    </row>
    <row r="262" spans="2:24" s="133" customFormat="1" x14ac:dyDescent="0.3">
      <c r="B262" s="133" t="s">
        <v>13</v>
      </c>
      <c r="C262" s="133" t="s">
        <v>31</v>
      </c>
      <c r="D262" s="133">
        <v>0</v>
      </c>
      <c r="E262" s="133">
        <v>0</v>
      </c>
      <c r="F262" s="133">
        <v>27</v>
      </c>
      <c r="G262" s="133">
        <v>33</v>
      </c>
      <c r="H262" s="133">
        <v>42</v>
      </c>
      <c r="I262" s="133">
        <v>28</v>
      </c>
      <c r="J262" s="133">
        <v>43</v>
      </c>
      <c r="K262" s="133">
        <v>38</v>
      </c>
      <c r="L262" s="133">
        <v>54</v>
      </c>
      <c r="M262" s="133">
        <v>65</v>
      </c>
      <c r="N262" s="133">
        <v>203</v>
      </c>
      <c r="O262" s="133">
        <v>349</v>
      </c>
      <c r="P262" s="133">
        <v>134</v>
      </c>
      <c r="Q262" s="133">
        <v>229</v>
      </c>
      <c r="R262" s="133">
        <v>235</v>
      </c>
      <c r="S262" s="133">
        <v>348</v>
      </c>
      <c r="V262"/>
      <c r="W262"/>
      <c r="X262"/>
    </row>
    <row r="263" spans="2:24" s="133" customFormat="1" x14ac:dyDescent="0.3"/>
    <row r="264" spans="2:24" s="133" customFormat="1" x14ac:dyDescent="0.3">
      <c r="B264" s="133" t="s">
        <v>308</v>
      </c>
      <c r="C264" s="133" t="s">
        <v>31</v>
      </c>
      <c r="D264" s="133">
        <f>SUM(D260:D262)</f>
        <v>3385</v>
      </c>
      <c r="E264" s="133">
        <f t="shared" ref="E264:S264" si="31">SUM(E260:E262)</f>
        <v>3666</v>
      </c>
      <c r="F264" s="133">
        <f t="shared" si="31"/>
        <v>3795</v>
      </c>
      <c r="G264" s="133">
        <f t="shared" si="31"/>
        <v>4224</v>
      </c>
      <c r="H264" s="133">
        <f t="shared" si="31"/>
        <v>3989</v>
      </c>
      <c r="I264" s="133">
        <f t="shared" si="31"/>
        <v>4381</v>
      </c>
      <c r="J264" s="133">
        <f t="shared" si="31"/>
        <v>4157</v>
      </c>
      <c r="K264" s="133">
        <f t="shared" si="31"/>
        <v>4744</v>
      </c>
      <c r="L264" s="133">
        <f t="shared" si="31"/>
        <v>4686</v>
      </c>
      <c r="M264" s="133">
        <f t="shared" si="31"/>
        <v>5776</v>
      </c>
      <c r="N264" s="133">
        <f t="shared" si="31"/>
        <v>4262</v>
      </c>
      <c r="O264" s="133">
        <f t="shared" si="31"/>
        <v>6038</v>
      </c>
      <c r="P264" s="133">
        <f t="shared" si="31"/>
        <v>4306</v>
      </c>
      <c r="Q264" s="133">
        <f t="shared" si="31"/>
        <v>5422</v>
      </c>
      <c r="R264" s="133">
        <f t="shared" si="31"/>
        <v>3885</v>
      </c>
      <c r="S264" s="133">
        <f t="shared" si="31"/>
        <v>5758</v>
      </c>
    </row>
    <row r="265" spans="2:24" s="133" customFormat="1" x14ac:dyDescent="0.3"/>
    <row r="266" spans="2:24" s="133" customFormat="1" x14ac:dyDescent="0.3">
      <c r="B266" t="s">
        <v>931</v>
      </c>
      <c r="C266"/>
      <c r="D266"/>
      <c r="E266"/>
      <c r="F266"/>
      <c r="G266"/>
      <c r="H266"/>
      <c r="I266"/>
    </row>
    <row r="267" spans="2:24" s="133" customFormat="1" x14ac:dyDescent="0.3">
      <c r="B267" t="s">
        <v>930</v>
      </c>
      <c r="C267"/>
      <c r="D267" t="s">
        <v>419</v>
      </c>
      <c r="E267"/>
      <c r="F267"/>
      <c r="G267"/>
      <c r="H267"/>
      <c r="I267"/>
    </row>
    <row r="268" spans="2:24" s="133" customFormat="1" x14ac:dyDescent="0.3">
      <c r="B268" t="s">
        <v>932</v>
      </c>
      <c r="C268"/>
      <c r="D268" t="s">
        <v>302</v>
      </c>
      <c r="E268"/>
      <c r="F268"/>
      <c r="I268"/>
    </row>
    <row r="269" spans="2:24" s="133" customFormat="1" x14ac:dyDescent="0.3">
      <c r="B269" t="s">
        <v>898</v>
      </c>
      <c r="C269" t="s">
        <v>41</v>
      </c>
      <c r="D269" t="s">
        <v>898</v>
      </c>
      <c r="E269" t="s">
        <v>41</v>
      </c>
      <c r="F269"/>
      <c r="I269"/>
    </row>
    <row r="270" spans="2:24" s="133" customFormat="1" x14ac:dyDescent="0.3">
      <c r="B270">
        <v>4.3600000000000003</v>
      </c>
      <c r="C270">
        <v>4.33</v>
      </c>
      <c r="D270">
        <v>39</v>
      </c>
      <c r="E270">
        <v>37</v>
      </c>
      <c r="F270"/>
      <c r="I270"/>
    </row>
    <row r="271" spans="2:24" s="133" customFormat="1" x14ac:dyDescent="0.3">
      <c r="B271">
        <v>4.04</v>
      </c>
      <c r="C271">
        <v>4.07</v>
      </c>
      <c r="D271">
        <v>44</v>
      </c>
      <c r="E271">
        <v>42</v>
      </c>
      <c r="F271"/>
      <c r="I271"/>
    </row>
    <row r="272" spans="2:24" s="133" customFormat="1" x14ac:dyDescent="0.3">
      <c r="B272">
        <v>4.04</v>
      </c>
      <c r="C272">
        <v>4.01</v>
      </c>
      <c r="D272">
        <v>39</v>
      </c>
      <c r="E272">
        <v>40</v>
      </c>
      <c r="F272"/>
      <c r="I272"/>
    </row>
    <row r="273" spans="2:28" s="133" customFormat="1" x14ac:dyDescent="0.3">
      <c r="B273">
        <v>3.96</v>
      </c>
      <c r="C273">
        <v>4.0199999999999996</v>
      </c>
      <c r="D273">
        <v>45</v>
      </c>
      <c r="E273">
        <v>47</v>
      </c>
      <c r="F273"/>
      <c r="I273"/>
    </row>
    <row r="274" spans="2:28" s="133" customFormat="1" x14ac:dyDescent="0.3">
      <c r="B274">
        <v>3.99</v>
      </c>
      <c r="C274">
        <v>4.37</v>
      </c>
      <c r="D274">
        <v>41</v>
      </c>
      <c r="E274">
        <v>42</v>
      </c>
      <c r="F274"/>
      <c r="I274"/>
    </row>
    <row r="275" spans="2:28" s="133" customFormat="1" x14ac:dyDescent="0.3">
      <c r="B275">
        <v>3.36</v>
      </c>
      <c r="C275">
        <v>4.0599999999999996</v>
      </c>
      <c r="D275">
        <v>35</v>
      </c>
      <c r="E275">
        <v>32</v>
      </c>
      <c r="F275"/>
      <c r="I275"/>
    </row>
    <row r="276" spans="2:28" s="133" customFormat="1" x14ac:dyDescent="0.3">
      <c r="B276">
        <v>3.48</v>
      </c>
      <c r="C276">
        <v>3.92</v>
      </c>
      <c r="D276">
        <v>39</v>
      </c>
      <c r="E276">
        <v>34</v>
      </c>
      <c r="F276"/>
      <c r="I276"/>
    </row>
    <row r="277" spans="2:28" s="133" customFormat="1" x14ac:dyDescent="0.3">
      <c r="B277">
        <v>2.16</v>
      </c>
      <c r="C277">
        <v>3.63</v>
      </c>
      <c r="D277">
        <v>37</v>
      </c>
      <c r="E277">
        <v>32</v>
      </c>
      <c r="F277"/>
      <c r="I277"/>
    </row>
    <row r="279" spans="2:28" x14ac:dyDescent="0.3">
      <c r="B279" s="6" t="s">
        <v>877</v>
      </c>
      <c r="D279" t="s">
        <v>673</v>
      </c>
      <c r="F279" t="s">
        <v>674</v>
      </c>
      <c r="H279" t="s">
        <v>675</v>
      </c>
      <c r="J279" t="s">
        <v>676</v>
      </c>
      <c r="L279" t="s">
        <v>222</v>
      </c>
      <c r="N279" t="s">
        <v>677</v>
      </c>
      <c r="O279"/>
      <c r="P279" t="s">
        <v>678</v>
      </c>
      <c r="R279" t="s">
        <v>679</v>
      </c>
      <c r="AB279"/>
    </row>
    <row r="280" spans="2:28" x14ac:dyDescent="0.3">
      <c r="D280" t="s">
        <v>898</v>
      </c>
      <c r="E280" t="s">
        <v>41</v>
      </c>
      <c r="F280" t="s">
        <v>898</v>
      </c>
      <c r="G280" t="s">
        <v>41</v>
      </c>
      <c r="H280" t="s">
        <v>898</v>
      </c>
      <c r="I280" t="s">
        <v>41</v>
      </c>
      <c r="J280" t="s">
        <v>898</v>
      </c>
      <c r="K280" t="s">
        <v>41</v>
      </c>
      <c r="L280" t="s">
        <v>898</v>
      </c>
      <c r="M280" t="s">
        <v>41</v>
      </c>
      <c r="N280" t="s">
        <v>898</v>
      </c>
      <c r="O280" t="s">
        <v>41</v>
      </c>
      <c r="P280" t="s">
        <v>898</v>
      </c>
      <c r="Q280" t="s">
        <v>41</v>
      </c>
      <c r="R280" t="s">
        <v>898</v>
      </c>
      <c r="S280" t="s">
        <v>41</v>
      </c>
      <c r="AB280"/>
    </row>
    <row r="281" spans="2:28" s="133" customFormat="1" x14ac:dyDescent="0.3">
      <c r="B281" s="133" t="s">
        <v>33</v>
      </c>
      <c r="C281" s="133" t="s">
        <v>361</v>
      </c>
      <c r="D281">
        <f>$G222</f>
        <v>1.3</v>
      </c>
      <c r="E281">
        <f>$G222</f>
        <v>1.3</v>
      </c>
      <c r="F281">
        <f>$G223</f>
        <v>1.5</v>
      </c>
      <c r="G281">
        <f>$G223</f>
        <v>1.5</v>
      </c>
      <c r="H281">
        <f>$G224</f>
        <v>1.5</v>
      </c>
      <c r="I281">
        <f>$G224</f>
        <v>1.5</v>
      </c>
      <c r="J281">
        <f>$G225</f>
        <v>1.6</v>
      </c>
      <c r="K281">
        <f>$G225</f>
        <v>1.6</v>
      </c>
      <c r="L281">
        <f>$G226</f>
        <v>1.6</v>
      </c>
      <c r="M281">
        <f>$G226</f>
        <v>1.6</v>
      </c>
      <c r="N281">
        <f>$G227</f>
        <v>1.4</v>
      </c>
      <c r="O281">
        <f>$G227</f>
        <v>1.4</v>
      </c>
      <c r="P281">
        <f>$G228</f>
        <v>1.5</v>
      </c>
      <c r="Q281">
        <f>$G228</f>
        <v>1.5</v>
      </c>
      <c r="R281">
        <f>$G229</f>
        <v>1.5</v>
      </c>
      <c r="S281">
        <f>$G229</f>
        <v>1.5</v>
      </c>
    </row>
    <row r="282" spans="2:28" x14ac:dyDescent="0.3">
      <c r="B282" t="s">
        <v>2037</v>
      </c>
      <c r="C282" t="s">
        <v>338</v>
      </c>
      <c r="D282" s="10">
        <f t="shared" ref="D282:S282" si="32">D264/(1000*$D$211)</f>
        <v>0.30772727272727274</v>
      </c>
      <c r="E282" s="10">
        <f t="shared" si="32"/>
        <v>0.33327272727272728</v>
      </c>
      <c r="F282" s="10">
        <f t="shared" si="32"/>
        <v>0.34499999999999997</v>
      </c>
      <c r="G282" s="10">
        <f t="shared" si="32"/>
        <v>0.38400000000000001</v>
      </c>
      <c r="H282" s="10">
        <f t="shared" si="32"/>
        <v>0.36263636363636365</v>
      </c>
      <c r="I282" s="10">
        <f t="shared" si="32"/>
        <v>0.39827272727272728</v>
      </c>
      <c r="J282" s="10">
        <f t="shared" si="32"/>
        <v>0.37790909090909092</v>
      </c>
      <c r="K282" s="10">
        <f t="shared" si="32"/>
        <v>0.43127272727272725</v>
      </c>
      <c r="L282" s="10">
        <f t="shared" si="32"/>
        <v>0.42599999999999999</v>
      </c>
      <c r="M282" s="10">
        <f t="shared" si="32"/>
        <v>0.52509090909090905</v>
      </c>
      <c r="N282" s="10">
        <f t="shared" si="32"/>
        <v>0.38745454545454544</v>
      </c>
      <c r="O282" s="10">
        <f t="shared" si="32"/>
        <v>0.5489090909090909</v>
      </c>
      <c r="P282" s="10">
        <f t="shared" si="32"/>
        <v>0.39145454545454544</v>
      </c>
      <c r="Q282" s="10">
        <f t="shared" si="32"/>
        <v>0.49290909090909091</v>
      </c>
      <c r="R282" s="10">
        <f t="shared" si="32"/>
        <v>0.35318181818181821</v>
      </c>
      <c r="S282" s="10">
        <f t="shared" si="32"/>
        <v>0.52345454545454551</v>
      </c>
      <c r="T282" s="10"/>
      <c r="V282" s="10"/>
      <c r="X282" s="10"/>
      <c r="AB282"/>
    </row>
    <row r="283" spans="2:28" s="133" customFormat="1" x14ac:dyDescent="0.3">
      <c r="B283" s="133" t="s">
        <v>40</v>
      </c>
      <c r="C283" s="133" t="s">
        <v>338</v>
      </c>
      <c r="D283" s="10">
        <f t="shared" ref="D283:S283" si="33">SUM(D284:D296)</f>
        <v>3.5642712088502342</v>
      </c>
      <c r="E283" s="10">
        <f t="shared" si="33"/>
        <v>3.6165290879333432</v>
      </c>
      <c r="F283" s="10">
        <f t="shared" si="33"/>
        <v>4.1375415019762851</v>
      </c>
      <c r="G283" s="10">
        <f t="shared" si="33"/>
        <v>4.2414185606060615</v>
      </c>
      <c r="H283" s="10">
        <f t="shared" si="33"/>
        <v>4.7413078465780893</v>
      </c>
      <c r="I283" s="10">
        <f t="shared" si="33"/>
        <v>4.8511047429326357</v>
      </c>
      <c r="J283" s="10">
        <f t="shared" si="33"/>
        <v>5.8707336830537757</v>
      </c>
      <c r="K283" s="10">
        <f t="shared" si="33"/>
        <v>6.0171555265981906</v>
      </c>
      <c r="L283" s="10">
        <f t="shared" si="33"/>
        <v>7.0922665386256929</v>
      </c>
      <c r="M283" s="10">
        <f t="shared" si="33"/>
        <v>7.3612381012339467</v>
      </c>
      <c r="N283" s="10">
        <f t="shared" si="33"/>
        <v>8.174703358584166</v>
      </c>
      <c r="O283" s="10">
        <f t="shared" si="33"/>
        <v>8.6202618137079874</v>
      </c>
      <c r="P283" s="10">
        <f t="shared" si="33"/>
        <v>10.166255119706117</v>
      </c>
      <c r="Q283" s="10">
        <f t="shared" si="33"/>
        <v>10.67223205123906</v>
      </c>
      <c r="R283" s="10">
        <f t="shared" si="33"/>
        <v>11.138547911547912</v>
      </c>
      <c r="S283" s="10">
        <f t="shared" si="33"/>
        <v>11.761086319955373</v>
      </c>
      <c r="T283" s="10"/>
      <c r="V283" s="10"/>
      <c r="X283" s="10"/>
    </row>
    <row r="284" spans="2:28" x14ac:dyDescent="0.3">
      <c r="B284" t="s">
        <v>293</v>
      </c>
      <c r="C284" t="s">
        <v>338</v>
      </c>
      <c r="D284" s="10">
        <f>D260/(1000*$C$232)</f>
        <v>0.2360909090909091</v>
      </c>
      <c r="E284" s="10">
        <f t="shared" ref="E284:S284" si="34">E260/(1000*$C$232)</f>
        <v>0.252</v>
      </c>
      <c r="F284" s="10">
        <f t="shared" si="34"/>
        <v>0.25572727272727275</v>
      </c>
      <c r="G284" s="10">
        <f t="shared" si="34"/>
        <v>0.2851818181818182</v>
      </c>
      <c r="H284" s="10">
        <f t="shared" si="34"/>
        <v>0.27136363636363636</v>
      </c>
      <c r="I284" s="10">
        <f t="shared" si="34"/>
        <v>0.30172727272727273</v>
      </c>
      <c r="J284" s="10">
        <f t="shared" si="34"/>
        <v>0.28736363636363638</v>
      </c>
      <c r="K284" s="10">
        <f t="shared" si="34"/>
        <v>0.32836363636363636</v>
      </c>
      <c r="L284" s="10">
        <f t="shared" si="34"/>
        <v>0.32981818181818184</v>
      </c>
      <c r="M284" s="10">
        <f t="shared" si="34"/>
        <v>0.40036363636363637</v>
      </c>
      <c r="N284" s="10">
        <f t="shared" si="34"/>
        <v>0.314</v>
      </c>
      <c r="O284" s="10">
        <f t="shared" si="34"/>
        <v>0.41290909090909089</v>
      </c>
      <c r="P284" s="10">
        <f t="shared" si="34"/>
        <v>0.32700000000000001</v>
      </c>
      <c r="Q284" s="10">
        <f t="shared" si="34"/>
        <v>0.39354545454545453</v>
      </c>
      <c r="R284" s="10">
        <f t="shared" si="34"/>
        <v>0.30481818181818182</v>
      </c>
      <c r="S284" s="10">
        <f t="shared" si="34"/>
        <v>0.45181818181818184</v>
      </c>
      <c r="T284" s="10"/>
      <c r="U284" t="s">
        <v>942</v>
      </c>
      <c r="V284" s="10"/>
      <c r="X284" s="10"/>
      <c r="AB284"/>
    </row>
    <row r="285" spans="2:28" s="133" customFormat="1" x14ac:dyDescent="0.3">
      <c r="B285" s="133" t="s">
        <v>1082</v>
      </c>
      <c r="C285" s="133" t="s">
        <v>338</v>
      </c>
      <c r="D285" s="10">
        <f>D261/(1000*$C$232)</f>
        <v>7.1636363636363637E-2</v>
      </c>
      <c r="E285" s="10">
        <f t="shared" ref="E285:S285" si="35">E261/(1000*$C$232)</f>
        <v>8.1272727272727274E-2</v>
      </c>
      <c r="F285" s="10">
        <f t="shared" si="35"/>
        <v>8.6818181818181822E-2</v>
      </c>
      <c r="G285" s="10">
        <f t="shared" si="35"/>
        <v>9.5818181818181816E-2</v>
      </c>
      <c r="H285" s="10">
        <f t="shared" si="35"/>
        <v>8.7454545454545451E-2</v>
      </c>
      <c r="I285" s="10">
        <f t="shared" si="35"/>
        <v>9.4E-2</v>
      </c>
      <c r="J285" s="10">
        <f t="shared" si="35"/>
        <v>8.6636363636363636E-2</v>
      </c>
      <c r="K285" s="10">
        <f t="shared" si="35"/>
        <v>9.9454545454545448E-2</v>
      </c>
      <c r="L285" s="10">
        <f t="shared" si="35"/>
        <v>9.1272727272727269E-2</v>
      </c>
      <c r="M285" s="10">
        <f t="shared" si="35"/>
        <v>0.11881818181818182</v>
      </c>
      <c r="N285" s="10">
        <f t="shared" si="35"/>
        <v>5.5E-2</v>
      </c>
      <c r="O285" s="10">
        <f t="shared" si="35"/>
        <v>0.10427272727272727</v>
      </c>
      <c r="P285" s="10">
        <f t="shared" si="35"/>
        <v>5.2272727272727269E-2</v>
      </c>
      <c r="Q285" s="10">
        <f t="shared" si="35"/>
        <v>7.8545454545454543E-2</v>
      </c>
      <c r="R285" s="10">
        <f t="shared" si="35"/>
        <v>2.7E-2</v>
      </c>
      <c r="S285" s="10">
        <f t="shared" si="35"/>
        <v>0.04</v>
      </c>
      <c r="T285" s="10"/>
      <c r="V285" s="10"/>
      <c r="X285" s="10"/>
    </row>
    <row r="286" spans="2:28" s="133" customFormat="1" x14ac:dyDescent="0.3">
      <c r="B286" s="133" t="s">
        <v>308</v>
      </c>
      <c r="C286" s="133" t="s">
        <v>338</v>
      </c>
      <c r="D286" s="10">
        <f t="shared" ref="D286:S286" si="36">SUM(D284:D285)</f>
        <v>0.30772727272727274</v>
      </c>
      <c r="E286" s="10">
        <f t="shared" si="36"/>
        <v>0.33327272727272728</v>
      </c>
      <c r="F286" s="10">
        <f t="shared" si="36"/>
        <v>0.3425454545454546</v>
      </c>
      <c r="G286" s="10">
        <f t="shared" si="36"/>
        <v>0.38100000000000001</v>
      </c>
      <c r="H286" s="10">
        <f t="shared" si="36"/>
        <v>0.35881818181818181</v>
      </c>
      <c r="I286" s="10">
        <f t="shared" si="36"/>
        <v>0.39572727272727271</v>
      </c>
      <c r="J286" s="10">
        <f t="shared" si="36"/>
        <v>0.374</v>
      </c>
      <c r="K286" s="10">
        <f t="shared" si="36"/>
        <v>0.42781818181818182</v>
      </c>
      <c r="L286" s="10">
        <f t="shared" si="36"/>
        <v>0.42109090909090913</v>
      </c>
      <c r="M286" s="10">
        <f t="shared" si="36"/>
        <v>0.51918181818181819</v>
      </c>
      <c r="N286" s="10">
        <f t="shared" si="36"/>
        <v>0.36899999999999999</v>
      </c>
      <c r="O286" s="10">
        <f t="shared" si="36"/>
        <v>0.51718181818181819</v>
      </c>
      <c r="P286" s="10">
        <f t="shared" si="36"/>
        <v>0.37927272727272726</v>
      </c>
      <c r="Q286" s="10">
        <f t="shared" si="36"/>
        <v>0.47209090909090906</v>
      </c>
      <c r="R286" s="10">
        <f t="shared" si="36"/>
        <v>0.33181818181818185</v>
      </c>
      <c r="S286" s="10">
        <f t="shared" si="36"/>
        <v>0.49181818181818182</v>
      </c>
      <c r="T286" s="10"/>
      <c r="V286" s="10"/>
      <c r="X286" s="10"/>
    </row>
    <row r="287" spans="2:28" x14ac:dyDescent="0.3">
      <c r="B287" t="s">
        <v>351</v>
      </c>
      <c r="C287" t="s">
        <v>940</v>
      </c>
      <c r="D287" s="10">
        <f t="shared" ref="D287:S287" si="37">D284/D281</f>
        <v>0.18160839160839162</v>
      </c>
      <c r="E287" s="10">
        <f t="shared" si="37"/>
        <v>0.19384615384615383</v>
      </c>
      <c r="F287" s="10">
        <f t="shared" si="37"/>
        <v>0.17048484848484849</v>
      </c>
      <c r="G287" s="10">
        <f t="shared" si="37"/>
        <v>0.19012121212121214</v>
      </c>
      <c r="H287" s="10">
        <f t="shared" si="37"/>
        <v>0.18090909090909091</v>
      </c>
      <c r="I287" s="10">
        <f t="shared" si="37"/>
        <v>0.20115151515151516</v>
      </c>
      <c r="J287" s="10">
        <f t="shared" si="37"/>
        <v>0.17960227272727272</v>
      </c>
      <c r="K287" s="10">
        <f t="shared" si="37"/>
        <v>0.2052272727272727</v>
      </c>
      <c r="L287" s="10">
        <f t="shared" si="37"/>
        <v>0.20613636363636365</v>
      </c>
      <c r="M287" s="10">
        <f t="shared" si="37"/>
        <v>0.25022727272727274</v>
      </c>
      <c r="N287" s="10">
        <f t="shared" si="37"/>
        <v>0.22428571428571431</v>
      </c>
      <c r="O287" s="10">
        <f t="shared" si="37"/>
        <v>0.29493506493506494</v>
      </c>
      <c r="P287" s="10">
        <f t="shared" si="37"/>
        <v>0.218</v>
      </c>
      <c r="Q287" s="10">
        <f t="shared" si="37"/>
        <v>0.26236363636363635</v>
      </c>
      <c r="R287" s="10">
        <f t="shared" si="37"/>
        <v>0.20321212121212121</v>
      </c>
      <c r="S287" s="10">
        <f t="shared" si="37"/>
        <v>0.30121212121212121</v>
      </c>
      <c r="T287" s="10"/>
      <c r="U287" t="s">
        <v>941</v>
      </c>
      <c r="V287" s="10"/>
      <c r="X287" s="10"/>
      <c r="AB287"/>
    </row>
    <row r="288" spans="2:28" x14ac:dyDescent="0.3">
      <c r="B288" t="s">
        <v>3</v>
      </c>
      <c r="C288" t="s">
        <v>302</v>
      </c>
      <c r="D288" s="10">
        <f t="shared" ref="D288:S288" si="38">D284/D282</f>
        <v>0.76720827178729689</v>
      </c>
      <c r="E288" s="10">
        <f t="shared" si="38"/>
        <v>0.75613747954173482</v>
      </c>
      <c r="F288" s="10">
        <f t="shared" si="38"/>
        <v>0.74123847167325441</v>
      </c>
      <c r="G288" s="10">
        <f t="shared" si="38"/>
        <v>0.74266098484848486</v>
      </c>
      <c r="H288" s="10">
        <f t="shared" si="38"/>
        <v>0.74830784657808969</v>
      </c>
      <c r="I288" s="10">
        <f t="shared" si="38"/>
        <v>0.75758959141748461</v>
      </c>
      <c r="J288" s="10">
        <f t="shared" si="38"/>
        <v>0.7604041375992302</v>
      </c>
      <c r="K288" s="10">
        <f t="shared" si="38"/>
        <v>0.76138279932546382</v>
      </c>
      <c r="L288" s="10">
        <f t="shared" si="38"/>
        <v>0.77422108408023904</v>
      </c>
      <c r="M288" s="10">
        <f t="shared" si="38"/>
        <v>0.76246537396121894</v>
      </c>
      <c r="N288" s="10">
        <f t="shared" si="38"/>
        <v>0.81041764429845142</v>
      </c>
      <c r="O288" s="10">
        <f t="shared" si="38"/>
        <v>0.75223583968201391</v>
      </c>
      <c r="P288" s="10">
        <f t="shared" si="38"/>
        <v>0.83534602879702746</v>
      </c>
      <c r="Q288" s="10">
        <f t="shared" si="38"/>
        <v>0.79841386942087789</v>
      </c>
      <c r="R288" s="10">
        <f t="shared" si="38"/>
        <v>0.86306306306306302</v>
      </c>
      <c r="S288" s="10">
        <f t="shared" si="38"/>
        <v>0.86314692601597776</v>
      </c>
      <c r="T288" s="10"/>
      <c r="U288" t="s">
        <v>939</v>
      </c>
      <c r="V288" s="10"/>
      <c r="X288" s="10"/>
      <c r="AB288"/>
    </row>
    <row r="289" spans="2:28" x14ac:dyDescent="0.3">
      <c r="B289" s="6" t="s">
        <v>40</v>
      </c>
      <c r="C289" t="s">
        <v>302</v>
      </c>
      <c r="D289" s="10">
        <f t="shared" ref="D289:S289" si="39">D260/D264</f>
        <v>0.76720827178729689</v>
      </c>
      <c r="E289" s="10">
        <f t="shared" si="39"/>
        <v>0.75613747954173482</v>
      </c>
      <c r="F289" s="10">
        <f t="shared" si="39"/>
        <v>0.7412384716732543</v>
      </c>
      <c r="G289" s="10">
        <f t="shared" si="39"/>
        <v>0.74266098484848486</v>
      </c>
      <c r="H289" s="10">
        <f t="shared" si="39"/>
        <v>0.7483078465780898</v>
      </c>
      <c r="I289" s="10">
        <f t="shared" si="39"/>
        <v>0.75758959141748461</v>
      </c>
      <c r="J289" s="10">
        <f t="shared" si="39"/>
        <v>0.7604041375992302</v>
      </c>
      <c r="K289" s="10">
        <f t="shared" si="39"/>
        <v>0.76138279932546371</v>
      </c>
      <c r="L289" s="10">
        <f t="shared" si="39"/>
        <v>0.77422108408023904</v>
      </c>
      <c r="M289" s="10">
        <f t="shared" si="39"/>
        <v>0.76246537396121883</v>
      </c>
      <c r="N289" s="10">
        <f t="shared" si="39"/>
        <v>0.81041764429845142</v>
      </c>
      <c r="O289" s="10">
        <f t="shared" si="39"/>
        <v>0.75223583968201391</v>
      </c>
      <c r="P289" s="10">
        <f t="shared" si="39"/>
        <v>0.83534602879702735</v>
      </c>
      <c r="Q289" s="10">
        <f t="shared" si="39"/>
        <v>0.79841386942087789</v>
      </c>
      <c r="R289" s="10">
        <f t="shared" si="39"/>
        <v>0.86306306306306302</v>
      </c>
      <c r="S289" s="10">
        <f t="shared" si="39"/>
        <v>0.86314692601597776</v>
      </c>
      <c r="T289" s="10"/>
      <c r="V289" s="10"/>
      <c r="X289" s="10"/>
      <c r="AB289"/>
    </row>
    <row r="290" spans="2:28" x14ac:dyDescent="0.3">
      <c r="B290" t="s">
        <v>277</v>
      </c>
      <c r="C290" t="s">
        <v>302</v>
      </c>
      <c r="D290" s="10">
        <f t="shared" ref="D290:S290" si="40">D261/D264</f>
        <v>0.23279172821270311</v>
      </c>
      <c r="E290" s="10">
        <f t="shared" si="40"/>
        <v>0.24386252045826515</v>
      </c>
      <c r="F290" s="10">
        <f t="shared" si="40"/>
        <v>0.25164690382081689</v>
      </c>
      <c r="G290" s="10">
        <f t="shared" si="40"/>
        <v>0.24952651515151514</v>
      </c>
      <c r="H290" s="10">
        <f t="shared" si="40"/>
        <v>0.2411631987966909</v>
      </c>
      <c r="I290" s="10">
        <f t="shared" si="40"/>
        <v>0.23601917370463366</v>
      </c>
      <c r="J290" s="10">
        <f t="shared" si="40"/>
        <v>0.22925186432523453</v>
      </c>
      <c r="K290" s="10">
        <f t="shared" si="40"/>
        <v>0.23060708263069141</v>
      </c>
      <c r="L290" s="10">
        <f t="shared" si="40"/>
        <v>0.21425522833973537</v>
      </c>
      <c r="M290" s="10">
        <f t="shared" si="40"/>
        <v>0.22628116343490304</v>
      </c>
      <c r="N290" s="10">
        <f t="shared" si="40"/>
        <v>0.14195213514781793</v>
      </c>
      <c r="O290" s="10">
        <f t="shared" si="40"/>
        <v>0.18996356409407089</v>
      </c>
      <c r="P290" s="10">
        <f t="shared" si="40"/>
        <v>0.13353460287970273</v>
      </c>
      <c r="Q290" s="10">
        <f t="shared" si="40"/>
        <v>0.15935079306528957</v>
      </c>
      <c r="R290" s="10">
        <f t="shared" si="40"/>
        <v>7.6447876447876442E-2</v>
      </c>
      <c r="S290" s="10">
        <f t="shared" si="40"/>
        <v>7.6415422021535256E-2</v>
      </c>
      <c r="T290" s="10"/>
      <c r="V290" s="10"/>
      <c r="X290" s="10"/>
      <c r="AB290"/>
    </row>
    <row r="291" spans="2:28" x14ac:dyDescent="0.3">
      <c r="B291" t="s">
        <v>13</v>
      </c>
      <c r="C291" t="s">
        <v>302</v>
      </c>
      <c r="D291" s="10">
        <f t="shared" ref="D291:S291" si="41">D262/D264</f>
        <v>0</v>
      </c>
      <c r="E291" s="10">
        <f t="shared" si="41"/>
        <v>0</v>
      </c>
      <c r="F291" s="10">
        <f t="shared" si="41"/>
        <v>7.1146245059288534E-3</v>
      </c>
      <c r="G291" s="10">
        <f t="shared" si="41"/>
        <v>7.8125E-3</v>
      </c>
      <c r="H291" s="10">
        <f t="shared" si="41"/>
        <v>1.0528954625219354E-2</v>
      </c>
      <c r="I291" s="10">
        <f t="shared" si="41"/>
        <v>6.3912348778817621E-3</v>
      </c>
      <c r="J291" s="10">
        <f t="shared" si="41"/>
        <v>1.0343998075535241E-2</v>
      </c>
      <c r="K291" s="10">
        <f t="shared" si="41"/>
        <v>8.0101180438448567E-3</v>
      </c>
      <c r="L291" s="10">
        <f t="shared" si="41"/>
        <v>1.1523687580025609E-2</v>
      </c>
      <c r="M291" s="10">
        <f t="shared" si="41"/>
        <v>1.1253462603878116E-2</v>
      </c>
      <c r="N291" s="10">
        <f t="shared" si="41"/>
        <v>4.7630220553730646E-2</v>
      </c>
      <c r="O291" s="10">
        <f t="shared" si="41"/>
        <v>5.7800596223915202E-2</v>
      </c>
      <c r="P291" s="10">
        <f t="shared" si="41"/>
        <v>3.1119368323269857E-2</v>
      </c>
      <c r="Q291" s="10">
        <f t="shared" si="41"/>
        <v>4.2235337513832537E-2</v>
      </c>
      <c r="R291" s="10">
        <f t="shared" si="41"/>
        <v>6.0489060489060491E-2</v>
      </c>
      <c r="S291" s="10">
        <f t="shared" si="41"/>
        <v>6.0437651962486974E-2</v>
      </c>
      <c r="T291" s="10"/>
      <c r="V291" s="10"/>
      <c r="X291" s="10"/>
      <c r="AB291"/>
    </row>
    <row r="292" spans="2:28" x14ac:dyDescent="0.3">
      <c r="B292" t="s">
        <v>459</v>
      </c>
      <c r="D292" s="3">
        <f>SUM(D289:D291)</f>
        <v>1</v>
      </c>
      <c r="E292" s="3">
        <f t="shared" ref="E292:N292" si="42">SUM(E289:E291)</f>
        <v>1</v>
      </c>
      <c r="F292" s="3">
        <f t="shared" si="42"/>
        <v>1</v>
      </c>
      <c r="G292" s="3">
        <f t="shared" si="42"/>
        <v>1</v>
      </c>
      <c r="H292" s="3">
        <f t="shared" si="42"/>
        <v>1</v>
      </c>
      <c r="I292" s="3">
        <f t="shared" si="42"/>
        <v>1</v>
      </c>
      <c r="J292" s="3">
        <f t="shared" si="42"/>
        <v>0.99999999999999989</v>
      </c>
      <c r="K292" s="3">
        <f t="shared" si="42"/>
        <v>1</v>
      </c>
      <c r="L292" s="3">
        <f t="shared" si="42"/>
        <v>1</v>
      </c>
      <c r="M292" s="3">
        <f t="shared" si="42"/>
        <v>1</v>
      </c>
      <c r="N292" s="3">
        <f t="shared" si="42"/>
        <v>1</v>
      </c>
      <c r="O292" s="3">
        <f>SUM(O289:O291)</f>
        <v>1</v>
      </c>
      <c r="P292" s="3">
        <f>SUM(P289:P291)</f>
        <v>1</v>
      </c>
      <c r="Q292" s="3">
        <f>SUM(Q289:Q291)</f>
        <v>1</v>
      </c>
      <c r="R292" s="3">
        <f>SUM(R289:R291)</f>
        <v>0.99999999999999989</v>
      </c>
      <c r="S292" s="3">
        <f>SUM(S289:S291)</f>
        <v>1</v>
      </c>
      <c r="T292" s="134"/>
      <c r="V292" s="134"/>
      <c r="X292" s="134"/>
      <c r="AB292"/>
    </row>
    <row r="293" spans="2:28" s="133" customFormat="1" x14ac:dyDescent="0.3">
      <c r="B293" s="133" t="s">
        <v>93</v>
      </c>
      <c r="D293" s="8">
        <f t="shared" ref="D293:S293" si="43">D259</f>
        <v>0</v>
      </c>
      <c r="E293" s="8">
        <f t="shared" si="43"/>
        <v>0</v>
      </c>
      <c r="F293" s="8">
        <f t="shared" si="43"/>
        <v>0.5</v>
      </c>
      <c r="G293" s="8">
        <f t="shared" si="43"/>
        <v>0.5</v>
      </c>
      <c r="H293" s="8">
        <f t="shared" si="43"/>
        <v>1</v>
      </c>
      <c r="I293" s="8">
        <f t="shared" si="43"/>
        <v>1</v>
      </c>
      <c r="J293" s="8">
        <f t="shared" si="43"/>
        <v>2</v>
      </c>
      <c r="K293" s="8">
        <f t="shared" si="43"/>
        <v>2</v>
      </c>
      <c r="L293" s="8">
        <f t="shared" si="43"/>
        <v>3</v>
      </c>
      <c r="M293" s="8">
        <f t="shared" si="43"/>
        <v>3</v>
      </c>
      <c r="N293" s="8">
        <f t="shared" si="43"/>
        <v>4</v>
      </c>
      <c r="O293" s="8">
        <f t="shared" si="43"/>
        <v>4</v>
      </c>
      <c r="P293" s="8">
        <f t="shared" si="43"/>
        <v>6</v>
      </c>
      <c r="Q293" s="8">
        <f t="shared" si="43"/>
        <v>6</v>
      </c>
      <c r="R293" s="8">
        <f t="shared" si="43"/>
        <v>7</v>
      </c>
      <c r="S293" s="8">
        <f t="shared" si="43"/>
        <v>7</v>
      </c>
      <c r="T293" s="8"/>
      <c r="V293" s="8"/>
      <c r="X293" s="8"/>
    </row>
    <row r="294" spans="2:28" s="133" customFormat="1" x14ac:dyDescent="0.3">
      <c r="B294" s="133" t="s">
        <v>321</v>
      </c>
      <c r="D294" s="10">
        <f t="shared" ref="D294:S294" si="44">D262/(1000*$C$232)</f>
        <v>0</v>
      </c>
      <c r="E294" s="10">
        <f t="shared" si="44"/>
        <v>0</v>
      </c>
      <c r="F294" s="10">
        <f t="shared" si="44"/>
        <v>2.4545454545454545E-3</v>
      </c>
      <c r="G294" s="10">
        <f t="shared" si="44"/>
        <v>3.0000000000000001E-3</v>
      </c>
      <c r="H294" s="10">
        <f t="shared" si="44"/>
        <v>3.8181818181818182E-3</v>
      </c>
      <c r="I294" s="10">
        <f t="shared" si="44"/>
        <v>2.5454545454545456E-3</v>
      </c>
      <c r="J294" s="10">
        <f t="shared" si="44"/>
        <v>3.9090909090909089E-3</v>
      </c>
      <c r="K294" s="10">
        <f t="shared" si="44"/>
        <v>3.4545454545454545E-3</v>
      </c>
      <c r="L294" s="10">
        <f t="shared" si="44"/>
        <v>4.909090909090909E-3</v>
      </c>
      <c r="M294" s="10">
        <f t="shared" si="44"/>
        <v>5.909090909090909E-3</v>
      </c>
      <c r="N294" s="10">
        <f t="shared" si="44"/>
        <v>1.8454545454545456E-2</v>
      </c>
      <c r="O294" s="10">
        <f t="shared" si="44"/>
        <v>3.1727272727272729E-2</v>
      </c>
      <c r="P294" s="10">
        <f t="shared" si="44"/>
        <v>1.2181818181818183E-2</v>
      </c>
      <c r="Q294" s="10">
        <f t="shared" si="44"/>
        <v>2.0818181818181819E-2</v>
      </c>
      <c r="R294" s="10">
        <f t="shared" si="44"/>
        <v>2.1363636363636362E-2</v>
      </c>
      <c r="S294" s="10">
        <f t="shared" si="44"/>
        <v>3.1636363636363636E-2</v>
      </c>
      <c r="T294" s="198"/>
      <c r="V294" s="198"/>
      <c r="X294" s="198"/>
    </row>
    <row r="295" spans="2:28" x14ac:dyDescent="0.3">
      <c r="B295" s="133" t="s">
        <v>321</v>
      </c>
      <c r="C295" t="s">
        <v>338</v>
      </c>
      <c r="D295" s="103"/>
      <c r="E295" s="103"/>
      <c r="F295" s="52">
        <f t="shared" ref="F295:S295" si="45">D285*F293</f>
        <v>3.5818181818181818E-2</v>
      </c>
      <c r="G295" s="52">
        <f t="shared" si="45"/>
        <v>4.0636363636363637E-2</v>
      </c>
      <c r="H295" s="52">
        <f t="shared" si="45"/>
        <v>8.6818181818181822E-2</v>
      </c>
      <c r="I295" s="52">
        <f t="shared" si="45"/>
        <v>9.5818181818181816E-2</v>
      </c>
      <c r="J295" s="52">
        <f t="shared" si="45"/>
        <v>0.1749090909090909</v>
      </c>
      <c r="K295" s="52">
        <f t="shared" si="45"/>
        <v>0.188</v>
      </c>
      <c r="L295" s="52">
        <f t="shared" si="45"/>
        <v>0.25990909090909092</v>
      </c>
      <c r="M295" s="52">
        <f t="shared" si="45"/>
        <v>0.29836363636363633</v>
      </c>
      <c r="N295" s="52">
        <f t="shared" si="45"/>
        <v>0.36509090909090908</v>
      </c>
      <c r="O295" s="52">
        <f t="shared" si="45"/>
        <v>0.47527272727272729</v>
      </c>
      <c r="P295" s="52">
        <f t="shared" si="45"/>
        <v>0.33</v>
      </c>
      <c r="Q295" s="52">
        <f t="shared" si="45"/>
        <v>0.62563636363636355</v>
      </c>
      <c r="R295" s="52">
        <f t="shared" si="45"/>
        <v>0.36590909090909091</v>
      </c>
      <c r="S295" s="52">
        <f t="shared" si="45"/>
        <v>0.54981818181818176</v>
      </c>
      <c r="T295" s="198"/>
      <c r="U295" s="26" t="s">
        <v>2194</v>
      </c>
      <c r="V295" s="52"/>
      <c r="W295" s="26"/>
      <c r="X295" s="52"/>
      <c r="AB295"/>
    </row>
    <row r="296" spans="2:28" s="133" customFormat="1" x14ac:dyDescent="0.3">
      <c r="B296" s="133" t="s">
        <v>323</v>
      </c>
      <c r="C296" s="133" t="s">
        <v>338</v>
      </c>
      <c r="D296" s="10">
        <f t="shared" ref="D296:S296" si="46">D262/(1000*$C$232)</f>
        <v>0</v>
      </c>
      <c r="E296" s="10">
        <f t="shared" si="46"/>
        <v>0</v>
      </c>
      <c r="F296" s="10">
        <f t="shared" si="46"/>
        <v>2.4545454545454545E-3</v>
      </c>
      <c r="G296" s="10">
        <f t="shared" si="46"/>
        <v>3.0000000000000001E-3</v>
      </c>
      <c r="H296" s="10">
        <f t="shared" si="46"/>
        <v>3.8181818181818182E-3</v>
      </c>
      <c r="I296" s="10">
        <f t="shared" si="46"/>
        <v>2.5454545454545456E-3</v>
      </c>
      <c r="J296" s="10">
        <f t="shared" si="46"/>
        <v>3.9090909090909089E-3</v>
      </c>
      <c r="K296" s="10">
        <f t="shared" si="46"/>
        <v>3.4545454545454545E-3</v>
      </c>
      <c r="L296" s="10">
        <f t="shared" si="46"/>
        <v>4.909090909090909E-3</v>
      </c>
      <c r="M296" s="10">
        <f t="shared" si="46"/>
        <v>5.909090909090909E-3</v>
      </c>
      <c r="N296" s="10">
        <f t="shared" si="46"/>
        <v>1.8454545454545456E-2</v>
      </c>
      <c r="O296" s="10">
        <f t="shared" si="46"/>
        <v>3.1727272727272729E-2</v>
      </c>
      <c r="P296" s="10">
        <f t="shared" si="46"/>
        <v>1.2181818181818183E-2</v>
      </c>
      <c r="Q296" s="10">
        <f t="shared" si="46"/>
        <v>2.0818181818181819E-2</v>
      </c>
      <c r="R296" s="10">
        <f t="shared" si="46"/>
        <v>2.1363636363636362E-2</v>
      </c>
      <c r="S296" s="10">
        <f t="shared" si="46"/>
        <v>3.1636363636363636E-2</v>
      </c>
      <c r="T296" s="10"/>
      <c r="V296" s="10"/>
      <c r="X296" s="10"/>
    </row>
    <row r="297" spans="2:28" s="103" customFormat="1" x14ac:dyDescent="0.3">
      <c r="B297" s="133" t="s">
        <v>433</v>
      </c>
      <c r="C297" s="133" t="s">
        <v>338</v>
      </c>
      <c r="F297" s="31">
        <f t="shared" ref="F297:S297" si="47">F295-F296</f>
        <v>3.3363636363636366E-2</v>
      </c>
      <c r="G297" s="31">
        <f t="shared" si="47"/>
        <v>3.7636363636363634E-2</v>
      </c>
      <c r="H297" s="31">
        <f t="shared" si="47"/>
        <v>8.3000000000000004E-2</v>
      </c>
      <c r="I297" s="31">
        <f t="shared" si="47"/>
        <v>9.3272727272727271E-2</v>
      </c>
      <c r="J297" s="31">
        <f t="shared" si="47"/>
        <v>0.17099999999999999</v>
      </c>
      <c r="K297" s="31">
        <f t="shared" si="47"/>
        <v>0.18454545454545454</v>
      </c>
      <c r="L297" s="31">
        <f t="shared" si="47"/>
        <v>0.255</v>
      </c>
      <c r="M297" s="31">
        <f t="shared" si="47"/>
        <v>0.29245454545454541</v>
      </c>
      <c r="N297" s="31">
        <f t="shared" si="47"/>
        <v>0.34663636363636363</v>
      </c>
      <c r="O297" s="31">
        <f t="shared" si="47"/>
        <v>0.44354545454545458</v>
      </c>
      <c r="P297" s="31">
        <f t="shared" si="47"/>
        <v>0.31781818181818183</v>
      </c>
      <c r="Q297" s="31">
        <f t="shared" si="47"/>
        <v>0.6048181818181817</v>
      </c>
      <c r="R297" s="31">
        <f t="shared" si="47"/>
        <v>0.34454545454545454</v>
      </c>
      <c r="S297" s="31">
        <f t="shared" si="47"/>
        <v>0.51818181818181808</v>
      </c>
      <c r="T297" s="31"/>
      <c r="V297" s="31"/>
      <c r="X297" s="31"/>
    </row>
    <row r="298" spans="2:28" s="103" customFormat="1" x14ac:dyDescent="0.3">
      <c r="B298" s="148" t="s">
        <v>460</v>
      </c>
      <c r="C298" s="133" t="s">
        <v>338</v>
      </c>
      <c r="F298" s="31">
        <f t="shared" ref="F298:S298" si="48">F297/4</f>
        <v>8.3409090909090915E-3</v>
      </c>
      <c r="G298" s="31">
        <f t="shared" si="48"/>
        <v>9.4090909090909086E-3</v>
      </c>
      <c r="H298" s="31">
        <f t="shared" si="48"/>
        <v>2.0750000000000001E-2</v>
      </c>
      <c r="I298" s="31">
        <f t="shared" si="48"/>
        <v>2.3318181818181818E-2</v>
      </c>
      <c r="J298" s="31">
        <f t="shared" si="48"/>
        <v>4.2749999999999996E-2</v>
      </c>
      <c r="K298" s="31">
        <f t="shared" si="48"/>
        <v>4.6136363636363635E-2</v>
      </c>
      <c r="L298" s="31">
        <f t="shared" si="48"/>
        <v>6.3750000000000001E-2</v>
      </c>
      <c r="M298" s="31">
        <f t="shared" si="48"/>
        <v>7.3113636363636353E-2</v>
      </c>
      <c r="N298" s="31">
        <f t="shared" si="48"/>
        <v>8.6659090909090908E-2</v>
      </c>
      <c r="O298" s="31">
        <f t="shared" si="48"/>
        <v>0.11088636363636364</v>
      </c>
      <c r="P298" s="31">
        <f t="shared" si="48"/>
        <v>7.9454545454545458E-2</v>
      </c>
      <c r="Q298" s="31">
        <f t="shared" si="48"/>
        <v>0.15120454545454542</v>
      </c>
      <c r="R298" s="31">
        <f t="shared" si="48"/>
        <v>8.6136363636363636E-2</v>
      </c>
      <c r="S298" s="31">
        <f t="shared" si="48"/>
        <v>0.12954545454545452</v>
      </c>
      <c r="T298" s="31"/>
      <c r="V298" s="31"/>
      <c r="X298" s="31"/>
    </row>
    <row r="299" spans="2:28" s="103" customFormat="1" x14ac:dyDescent="0.3">
      <c r="B299" s="148" t="s">
        <v>402</v>
      </c>
      <c r="C299" s="133" t="s">
        <v>338</v>
      </c>
      <c r="F299" s="31">
        <f>F284-$D284</f>
        <v>1.9636363636363646E-2</v>
      </c>
      <c r="G299" s="31">
        <f>G284-$E284</f>
        <v>3.3181818181818201E-2</v>
      </c>
      <c r="H299" s="31">
        <f>H284-$D284</f>
        <v>3.5272727272727261E-2</v>
      </c>
      <c r="I299" s="31">
        <f>I284-$E284</f>
        <v>4.9727272727272731E-2</v>
      </c>
      <c r="J299" s="31">
        <f>J284-$D284</f>
        <v>5.1272727272727275E-2</v>
      </c>
      <c r="K299" s="31">
        <f>K284-$E284</f>
        <v>7.6363636363636356E-2</v>
      </c>
      <c r="L299" s="31">
        <f>L284-$D284</f>
        <v>9.3727272727272742E-2</v>
      </c>
      <c r="M299" s="31">
        <f>M284-$E284</f>
        <v>0.14836363636363636</v>
      </c>
      <c r="N299" s="31">
        <f>N284-$D284</f>
        <v>7.79090909090909E-2</v>
      </c>
      <c r="O299" s="31">
        <f>O284-$E284</f>
        <v>0.16090909090909089</v>
      </c>
      <c r="P299" s="31">
        <f>P284-$D284</f>
        <v>9.0909090909090912E-2</v>
      </c>
      <c r="Q299" s="31">
        <f>Q284-$E284</f>
        <v>0.14154545454545453</v>
      </c>
      <c r="R299" s="31">
        <f>R284-$D284</f>
        <v>6.872727272727272E-2</v>
      </c>
      <c r="S299" s="31">
        <f>S284-$E284</f>
        <v>0.19981818181818184</v>
      </c>
      <c r="T299" s="31"/>
      <c r="U299" s="103" t="s">
        <v>2012</v>
      </c>
      <c r="V299" s="31"/>
      <c r="X299" s="31"/>
    </row>
    <row r="300" spans="2:28" s="103" customFormat="1" x14ac:dyDescent="0.3">
      <c r="B300" s="148" t="s">
        <v>2086</v>
      </c>
      <c r="C300" s="133" t="s">
        <v>338</v>
      </c>
      <c r="F300" s="31">
        <f>$D285-F285</f>
        <v>-1.5181818181818185E-2</v>
      </c>
      <c r="G300" s="31">
        <f>$E285-G285</f>
        <v>-1.4545454545454542E-2</v>
      </c>
      <c r="H300" s="31">
        <f>$D285-H285</f>
        <v>-1.5818181818181815E-2</v>
      </c>
      <c r="I300" s="31">
        <f>$E285-I285</f>
        <v>-1.2727272727272726E-2</v>
      </c>
      <c r="J300" s="31">
        <f>$D285-J285</f>
        <v>-1.4999999999999999E-2</v>
      </c>
      <c r="K300" s="31">
        <f>$E285-K285</f>
        <v>-1.8181818181818174E-2</v>
      </c>
      <c r="L300" s="31">
        <f>$D285-L285</f>
        <v>-1.9636363636363632E-2</v>
      </c>
      <c r="M300" s="31">
        <f>$E285-M285</f>
        <v>-3.7545454545454549E-2</v>
      </c>
      <c r="N300" s="31">
        <f>$D285-N285</f>
        <v>1.6636363636363637E-2</v>
      </c>
      <c r="O300" s="31">
        <f>$E285-O285</f>
        <v>-2.2999999999999993E-2</v>
      </c>
      <c r="P300" s="31">
        <f>$D285-P285</f>
        <v>1.9363636363636368E-2</v>
      </c>
      <c r="Q300" s="31">
        <f>$E285-Q285</f>
        <v>2.727272727272731E-3</v>
      </c>
      <c r="R300" s="31">
        <f>$D285-R285</f>
        <v>4.4636363636363641E-2</v>
      </c>
      <c r="S300" s="31">
        <f>$E285-S285</f>
        <v>4.1272727272727273E-2</v>
      </c>
      <c r="T300" s="31"/>
      <c r="V300" s="31"/>
      <c r="X300" s="31"/>
    </row>
    <row r="301" spans="2:28" s="133" customFormat="1" x14ac:dyDescent="0.3">
      <c r="B301" s="148" t="s">
        <v>93</v>
      </c>
      <c r="D301" s="103"/>
      <c r="E301" s="103"/>
      <c r="F301" s="31">
        <f>F295/$D285</f>
        <v>0.5</v>
      </c>
      <c r="G301" s="31">
        <f>G295/$E285</f>
        <v>0.5</v>
      </c>
      <c r="H301" s="31">
        <f>H295/$D285</f>
        <v>1.2119289340101522</v>
      </c>
      <c r="I301" s="31">
        <f>I295/$E285</f>
        <v>1.1789709172259508</v>
      </c>
      <c r="J301" s="31">
        <f>J295/$D285</f>
        <v>2.4416243654822334</v>
      </c>
      <c r="K301" s="31">
        <f>K295/$E285</f>
        <v>2.3131991051454137</v>
      </c>
      <c r="L301" s="31">
        <f>L295/$D285</f>
        <v>3.6281725888324874</v>
      </c>
      <c r="M301" s="31">
        <f>M295/$E285</f>
        <v>3.6711409395973149</v>
      </c>
      <c r="N301" s="31">
        <f>N295/$D285</f>
        <v>5.0964467005076139</v>
      </c>
      <c r="O301" s="31">
        <f>O295/$E285</f>
        <v>5.8478747203579422</v>
      </c>
      <c r="P301" s="31">
        <f>P295/$D285</f>
        <v>4.6065989847715736</v>
      </c>
      <c r="Q301" s="31">
        <f>Q295/$E285</f>
        <v>7.697986577181207</v>
      </c>
      <c r="R301" s="31">
        <f>R295/$D285</f>
        <v>5.1078680203045685</v>
      </c>
      <c r="S301" s="31">
        <f>S295/$E285</f>
        <v>6.7651006711409387</v>
      </c>
      <c r="T301" s="31"/>
      <c r="V301" s="31"/>
      <c r="X301" s="31"/>
      <c r="Y301" s="103"/>
      <c r="Z301" s="103"/>
    </row>
    <row r="302" spans="2:28" s="103" customFormat="1" x14ac:dyDescent="0.3">
      <c r="B302" s="148" t="s">
        <v>462</v>
      </c>
      <c r="C302" s="133" t="s">
        <v>92</v>
      </c>
      <c r="F302" s="31">
        <f>F297/F295</f>
        <v>0.93147208121827418</v>
      </c>
      <c r="G302" s="31">
        <f t="shared" ref="G302:N302" si="49">G297/G295</f>
        <v>0.92617449664429519</v>
      </c>
      <c r="H302" s="31">
        <f t="shared" si="49"/>
        <v>0.95602094240837698</v>
      </c>
      <c r="I302" s="31">
        <f t="shared" si="49"/>
        <v>0.97343453510436428</v>
      </c>
      <c r="J302" s="31">
        <f t="shared" si="49"/>
        <v>0.97765072765072758</v>
      </c>
      <c r="K302" s="31">
        <f t="shared" si="49"/>
        <v>0.98162475822050288</v>
      </c>
      <c r="L302" s="31">
        <f t="shared" si="49"/>
        <v>0.98111227701993697</v>
      </c>
      <c r="M302" s="31">
        <f t="shared" si="49"/>
        <v>0.98019500304692253</v>
      </c>
      <c r="N302" s="31">
        <f t="shared" si="49"/>
        <v>0.94945219123505975</v>
      </c>
      <c r="O302" s="31">
        <f>O297/O295</f>
        <v>0.93324407039020663</v>
      </c>
      <c r="P302" s="31">
        <f>P297/P295</f>
        <v>0.96308539944903582</v>
      </c>
      <c r="Q302" s="31">
        <f>Q297/Q295</f>
        <v>0.96672478930543437</v>
      </c>
      <c r="R302" s="31">
        <f>R297/R295</f>
        <v>0.94161490683229809</v>
      </c>
      <c r="S302" s="31">
        <f>S297/S295</f>
        <v>0.94246031746031733</v>
      </c>
      <c r="T302" s="31"/>
      <c r="V302" s="31"/>
      <c r="X302" s="31"/>
    </row>
    <row r="303" spans="2:28" s="103" customFormat="1" x14ac:dyDescent="0.3">
      <c r="B303" s="148" t="s">
        <v>2085</v>
      </c>
      <c r="C303" s="133" t="s">
        <v>92</v>
      </c>
      <c r="F303" s="31">
        <f t="shared" ref="F303:S303" si="50">F299/F298</f>
        <v>2.3542234332425078</v>
      </c>
      <c r="G303" s="31">
        <f t="shared" si="50"/>
        <v>3.5265700483091811</v>
      </c>
      <c r="H303" s="31">
        <f t="shared" si="50"/>
        <v>1.6998904709748077</v>
      </c>
      <c r="I303" s="31">
        <f t="shared" si="50"/>
        <v>2.132553606237817</v>
      </c>
      <c r="J303" s="31">
        <f t="shared" si="50"/>
        <v>1.1993620414673047</v>
      </c>
      <c r="K303" s="31">
        <f t="shared" si="50"/>
        <v>1.6551724137931034</v>
      </c>
      <c r="L303" s="31">
        <f t="shared" si="50"/>
        <v>1.4702317290552587</v>
      </c>
      <c r="M303" s="31">
        <f t="shared" si="50"/>
        <v>2.0292197699720238</v>
      </c>
      <c r="N303" s="31">
        <f t="shared" si="50"/>
        <v>0.8990296354576448</v>
      </c>
      <c r="O303" s="31">
        <f t="shared" si="50"/>
        <v>1.4511170321787248</v>
      </c>
      <c r="P303" s="31">
        <f t="shared" si="50"/>
        <v>1.1441647597254003</v>
      </c>
      <c r="Q303" s="31">
        <f t="shared" si="50"/>
        <v>0.93611904404028268</v>
      </c>
      <c r="R303" s="31">
        <f t="shared" si="50"/>
        <v>0.79788918205804737</v>
      </c>
      <c r="S303" s="31">
        <f t="shared" si="50"/>
        <v>1.5424561403508776</v>
      </c>
      <c r="T303" s="31"/>
      <c r="V303" s="31"/>
      <c r="X303" s="31"/>
    </row>
    <row r="304" spans="2:28" s="103" customFormat="1" x14ac:dyDescent="0.3">
      <c r="B304" s="148" t="s">
        <v>2087</v>
      </c>
      <c r="C304" s="133" t="s">
        <v>92</v>
      </c>
      <c r="F304" s="31">
        <f t="shared" ref="F304:S304" si="51">F300/F298</f>
        <v>-1.8201634877384198</v>
      </c>
      <c r="G304" s="31">
        <f t="shared" si="51"/>
        <v>-1.545893719806763</v>
      </c>
      <c r="H304" s="31">
        <f t="shared" si="51"/>
        <v>-0.7623220153340633</v>
      </c>
      <c r="I304" s="31">
        <f t="shared" si="51"/>
        <v>-0.54580896686159841</v>
      </c>
      <c r="J304" s="31">
        <f t="shared" si="51"/>
        <v>-0.35087719298245618</v>
      </c>
      <c r="K304" s="31">
        <f t="shared" si="51"/>
        <v>-0.39408866995073877</v>
      </c>
      <c r="L304" s="31">
        <f t="shared" si="51"/>
        <v>-0.30802139037433146</v>
      </c>
      <c r="M304" s="31">
        <f t="shared" si="51"/>
        <v>-0.51352191482747911</v>
      </c>
      <c r="N304" s="31">
        <f t="shared" si="51"/>
        <v>0.1919748229740362</v>
      </c>
      <c r="O304" s="31">
        <f t="shared" si="51"/>
        <v>-0.20741955318712843</v>
      </c>
      <c r="P304" s="31">
        <f t="shared" si="51"/>
        <v>0.24370709382151035</v>
      </c>
      <c r="Q304" s="31">
        <f t="shared" si="51"/>
        <v>1.803697580039083E-2</v>
      </c>
      <c r="R304" s="31">
        <f t="shared" si="51"/>
        <v>0.51820580474934042</v>
      </c>
      <c r="S304" s="31">
        <f t="shared" si="51"/>
        <v>0.31859649122807027</v>
      </c>
      <c r="T304" s="31"/>
      <c r="V304" s="31"/>
      <c r="X304" s="31"/>
    </row>
    <row r="305" spans="2:28" s="103" customFormat="1" x14ac:dyDescent="0.3">
      <c r="B305" s="148" t="s">
        <v>2088</v>
      </c>
      <c r="C305" s="133" t="s">
        <v>92</v>
      </c>
      <c r="F305" s="31">
        <f t="shared" ref="F305:S305" si="52">F299/F300</f>
        <v>-1.293413173652695</v>
      </c>
      <c r="G305" s="31">
        <f t="shared" si="52"/>
        <v>-2.2812500000000018</v>
      </c>
      <c r="H305" s="31">
        <f t="shared" si="52"/>
        <v>-2.2298850574712641</v>
      </c>
      <c r="I305" s="31">
        <f t="shared" si="52"/>
        <v>-3.9071428571428579</v>
      </c>
      <c r="J305" s="31">
        <f t="shared" si="52"/>
        <v>-3.4181818181818184</v>
      </c>
      <c r="K305" s="31">
        <f t="shared" si="52"/>
        <v>-4.2000000000000011</v>
      </c>
      <c r="L305" s="31">
        <f t="shared" si="52"/>
        <v>-4.7731481481481497</v>
      </c>
      <c r="M305" s="31">
        <f t="shared" si="52"/>
        <v>-3.9515738498789341</v>
      </c>
      <c r="N305" s="31">
        <f t="shared" si="52"/>
        <v>4.6830601092896167</v>
      </c>
      <c r="O305" s="31">
        <f t="shared" si="52"/>
        <v>-6.9960474308300409</v>
      </c>
      <c r="P305" s="31">
        <f t="shared" si="52"/>
        <v>4.6948356807511731</v>
      </c>
      <c r="Q305" s="31">
        <f t="shared" si="52"/>
        <v>51.899999999999928</v>
      </c>
      <c r="R305" s="31">
        <f t="shared" si="52"/>
        <v>1.5397148676171077</v>
      </c>
      <c r="S305" s="31">
        <f t="shared" si="52"/>
        <v>4.8414096916299565</v>
      </c>
      <c r="T305" s="31"/>
      <c r="V305" s="31"/>
      <c r="X305" s="31"/>
    </row>
    <row r="306" spans="2:28" s="133" customFormat="1" x14ac:dyDescent="0.3">
      <c r="B306" s="148" t="s">
        <v>2096</v>
      </c>
      <c r="C306" s="133" t="s">
        <v>92</v>
      </c>
      <c r="D306" s="37"/>
      <c r="E306" s="37"/>
      <c r="F306" s="37">
        <f>F299/$D285</f>
        <v>0.27411167512690371</v>
      </c>
      <c r="G306" s="37">
        <f>G299/$E285</f>
        <v>0.40827740492170045</v>
      </c>
      <c r="H306" s="37">
        <f>H299/$D285</f>
        <v>0.49238578680203027</v>
      </c>
      <c r="I306" s="37">
        <f>I299/$E285</f>
        <v>0.61185682326621926</v>
      </c>
      <c r="J306" s="37">
        <f>J299/$D285</f>
        <v>0.71573604060913709</v>
      </c>
      <c r="K306" s="37">
        <f>K299/$E285</f>
        <v>0.93959731543624148</v>
      </c>
      <c r="L306" s="37">
        <f>L299/$D285</f>
        <v>1.3083756345177666</v>
      </c>
      <c r="M306" s="37">
        <f>M299/$E285</f>
        <v>1.825503355704698</v>
      </c>
      <c r="N306" s="37">
        <f>N299/$D285</f>
        <v>1.0875634517766497</v>
      </c>
      <c r="O306" s="37">
        <f>O299/$E285</f>
        <v>1.9798657718120802</v>
      </c>
      <c r="P306" s="37">
        <f>P299/$D285</f>
        <v>1.2690355329949239</v>
      </c>
      <c r="Q306" s="37">
        <f>Q299/$E285</f>
        <v>1.7416107382550334</v>
      </c>
      <c r="R306" s="37">
        <f>R299/$D285</f>
        <v>0.95939086294416231</v>
      </c>
      <c r="S306" s="37">
        <f>S299/$E285</f>
        <v>2.4586129753914991</v>
      </c>
    </row>
    <row r="307" spans="2:28" s="133" customFormat="1" x14ac:dyDescent="0.3">
      <c r="B307" s="148" t="s">
        <v>2097</v>
      </c>
      <c r="C307" s="133" t="s">
        <v>92</v>
      </c>
      <c r="D307" s="37"/>
      <c r="E307" s="37"/>
      <c r="F307" s="37">
        <f>F286/$D286</f>
        <v>1.1131462333825703</v>
      </c>
      <c r="G307" s="37">
        <f>G286/$E286</f>
        <v>1.1432078559738135</v>
      </c>
      <c r="H307" s="37">
        <f>H286/$D286</f>
        <v>1.1660265878877401</v>
      </c>
      <c r="I307" s="37">
        <f>I286/$E286</f>
        <v>1.1873977086743044</v>
      </c>
      <c r="J307" s="37">
        <f>J286/$D286</f>
        <v>1.2153618906942392</v>
      </c>
      <c r="K307" s="37">
        <f>K286/$E286</f>
        <v>1.2836879432624113</v>
      </c>
      <c r="L307" s="37">
        <f>L286/$D286</f>
        <v>1.3683899556868537</v>
      </c>
      <c r="M307" s="37">
        <f>M286/$E286</f>
        <v>1.5578286961265684</v>
      </c>
      <c r="N307" s="37">
        <f>N286/$D286</f>
        <v>1.1991137370753322</v>
      </c>
      <c r="O307" s="37">
        <f>O286/$E286</f>
        <v>1.5518276050190944</v>
      </c>
      <c r="P307" s="37">
        <f>P286/$D286</f>
        <v>1.2324963072378139</v>
      </c>
      <c r="Q307" s="37">
        <f>Q286/$E286</f>
        <v>1.4165302782324058</v>
      </c>
      <c r="R307" s="37">
        <f>R286/$D286</f>
        <v>1.0782865583456427</v>
      </c>
      <c r="S307" s="37">
        <f>S286/$E286</f>
        <v>1.475722858701582</v>
      </c>
    </row>
    <row r="308" spans="2:28" s="103" customFormat="1" x14ac:dyDescent="0.3">
      <c r="B308" s="148" t="s">
        <v>2081</v>
      </c>
      <c r="C308" s="133"/>
      <c r="F308" s="55">
        <f t="shared" ref="F308:S308" si="53">F297/F299</f>
        <v>1.6990740740740733</v>
      </c>
      <c r="G308" s="55">
        <f t="shared" si="53"/>
        <v>1.1342465753424651</v>
      </c>
      <c r="H308" s="55">
        <f t="shared" si="53"/>
        <v>2.3530927835051556</v>
      </c>
      <c r="I308" s="55">
        <f t="shared" si="53"/>
        <v>1.8756855575868372</v>
      </c>
      <c r="J308" s="41">
        <f t="shared" si="53"/>
        <v>3.3351063829787231</v>
      </c>
      <c r="K308" s="55">
        <f t="shared" si="53"/>
        <v>2.416666666666667</v>
      </c>
      <c r="L308" s="55">
        <f t="shared" si="53"/>
        <v>2.7206595538312315</v>
      </c>
      <c r="M308" s="55">
        <f t="shared" si="53"/>
        <v>1.9712009803921566</v>
      </c>
      <c r="N308" s="41">
        <f t="shared" si="53"/>
        <v>4.4492415402567103</v>
      </c>
      <c r="O308" s="55">
        <f t="shared" si="53"/>
        <v>2.7564971751412433</v>
      </c>
      <c r="P308" s="41">
        <f t="shared" si="53"/>
        <v>3.496</v>
      </c>
      <c r="Q308" s="41">
        <f t="shared" si="53"/>
        <v>4.2729608220937694</v>
      </c>
      <c r="R308" s="41">
        <f t="shared" si="53"/>
        <v>5.0132275132275135</v>
      </c>
      <c r="S308" s="55">
        <f t="shared" si="53"/>
        <v>2.5932666060054586</v>
      </c>
      <c r="T308" s="41"/>
      <c r="V308" s="41"/>
      <c r="X308" s="41"/>
    </row>
    <row r="309" spans="2:28" s="103" customFormat="1" x14ac:dyDescent="0.3">
      <c r="B309" s="148" t="s">
        <v>2137</v>
      </c>
      <c r="C309" s="133"/>
      <c r="F309" s="41">
        <f t="shared" ref="F309:S309" si="54">F297/F300</f>
        <v>-2.1976047904191613</v>
      </c>
      <c r="G309" s="41">
        <f t="shared" si="54"/>
        <v>-2.5875000000000004</v>
      </c>
      <c r="H309" s="41">
        <f t="shared" si="54"/>
        <v>-5.2471264367816106</v>
      </c>
      <c r="I309" s="41">
        <f t="shared" si="54"/>
        <v>-7.3285714285714292</v>
      </c>
      <c r="J309" s="41">
        <f t="shared" si="54"/>
        <v>-11.399999999999999</v>
      </c>
      <c r="K309" s="41">
        <f t="shared" si="54"/>
        <v>-10.150000000000004</v>
      </c>
      <c r="L309" s="41">
        <f t="shared" si="54"/>
        <v>-12.986111111111114</v>
      </c>
      <c r="M309" s="41">
        <f t="shared" si="54"/>
        <v>-7.7893462469733636</v>
      </c>
      <c r="N309" s="41">
        <f t="shared" si="54"/>
        <v>20.83606557377049</v>
      </c>
      <c r="O309" s="41">
        <f t="shared" si="54"/>
        <v>-19.284584980237163</v>
      </c>
      <c r="P309" s="41">
        <f t="shared" si="54"/>
        <v>16.4131455399061</v>
      </c>
      <c r="Q309" s="41">
        <f t="shared" si="54"/>
        <v>221.76666666666631</v>
      </c>
      <c r="R309" s="41">
        <f t="shared" si="54"/>
        <v>7.7189409368635431</v>
      </c>
      <c r="S309" s="41">
        <f t="shared" si="54"/>
        <v>12.555066079295152</v>
      </c>
      <c r="T309" s="41"/>
      <c r="V309" s="41"/>
      <c r="X309" s="41"/>
    </row>
    <row r="310" spans="2:28" x14ac:dyDescent="0.3">
      <c r="J310" t="s">
        <v>2121</v>
      </c>
      <c r="O310"/>
      <c r="P310" t="s">
        <v>2121</v>
      </c>
      <c r="Q310" t="s">
        <v>197</v>
      </c>
      <c r="R310" s="133" t="s">
        <v>2121</v>
      </c>
      <c r="AB310"/>
    </row>
    <row r="311" spans="2:28" s="133" customFormat="1" x14ac:dyDescent="0.3"/>
    <row r="312" spans="2:28" s="133" customFormat="1" x14ac:dyDescent="0.3">
      <c r="B312" s="6" t="s">
        <v>1823</v>
      </c>
    </row>
    <row r="313" spans="2:28" s="133" customFormat="1" x14ac:dyDescent="0.3">
      <c r="D313" s="133" t="s">
        <v>673</v>
      </c>
      <c r="E313" s="133" t="s">
        <v>674</v>
      </c>
      <c r="F313" s="133" t="s">
        <v>675</v>
      </c>
      <c r="G313" s="133" t="s">
        <v>676</v>
      </c>
      <c r="H313" s="133" t="s">
        <v>222</v>
      </c>
      <c r="I313" s="133" t="s">
        <v>677</v>
      </c>
      <c r="J313" s="133" t="s">
        <v>678</v>
      </c>
      <c r="K313" s="133" t="s">
        <v>679</v>
      </c>
      <c r="N313" s="133" t="s">
        <v>2314</v>
      </c>
    </row>
    <row r="314" spans="2:28" s="133" customFormat="1" x14ac:dyDescent="0.3">
      <c r="B314" s="133" t="s">
        <v>33</v>
      </c>
      <c r="C314" s="133" t="s">
        <v>361</v>
      </c>
      <c r="D314" s="133">
        <f>AVERAGE(D281:E281)</f>
        <v>1.3</v>
      </c>
      <c r="E314" s="133">
        <f>AVERAGE(F281:G281)</f>
        <v>1.5</v>
      </c>
      <c r="F314" s="133">
        <f>AVERAGE(H281:I281)</f>
        <v>1.5</v>
      </c>
      <c r="G314" s="133">
        <f>AVERAGE(J281:K281)</f>
        <v>1.6</v>
      </c>
      <c r="H314" s="133">
        <f>AVERAGE(L281:M281)</f>
        <v>1.6</v>
      </c>
      <c r="I314" s="133">
        <f>AVERAGE(N281:O281)</f>
        <v>1.4</v>
      </c>
      <c r="J314" s="133">
        <f>AVERAGE(P281:Q281)</f>
        <v>1.5</v>
      </c>
      <c r="K314" s="133">
        <f>AVERAGE(R281:S281)</f>
        <v>1.5</v>
      </c>
      <c r="N314" s="133" t="s">
        <v>2017</v>
      </c>
    </row>
    <row r="315" spans="2:28" s="133" customFormat="1" x14ac:dyDescent="0.3">
      <c r="B315" s="133" t="s">
        <v>2037</v>
      </c>
      <c r="C315" s="133" t="s">
        <v>338</v>
      </c>
      <c r="D315" s="10">
        <f>AVERAGE(D282:E282)</f>
        <v>0.32050000000000001</v>
      </c>
      <c r="E315" s="10">
        <f>AVERAGE(F282:G282)</f>
        <v>0.36449999999999999</v>
      </c>
      <c r="F315" s="10">
        <f>AVERAGE(H282:I282)</f>
        <v>0.38045454545454549</v>
      </c>
      <c r="G315" s="10">
        <f>AVERAGE(J282:K282)</f>
        <v>0.40459090909090911</v>
      </c>
      <c r="H315" s="10">
        <f>AVERAGE(L282:M282)</f>
        <v>0.47554545454545449</v>
      </c>
      <c r="I315" s="10">
        <f>AVERAGE(N282:O282)</f>
        <v>0.46818181818181814</v>
      </c>
      <c r="J315" s="10">
        <f>AVERAGE(P282:Q282)</f>
        <v>0.44218181818181818</v>
      </c>
      <c r="K315" s="10">
        <f>AVERAGE(R282:S282)</f>
        <v>0.43831818181818183</v>
      </c>
    </row>
    <row r="316" spans="2:28" s="133" customFormat="1" x14ac:dyDescent="0.3">
      <c r="B316" s="133" t="s">
        <v>40</v>
      </c>
      <c r="C316" s="133" t="s">
        <v>338</v>
      </c>
      <c r="D316" s="10">
        <f t="shared" ref="D316:K316" si="55">SUM(D317:D328)</f>
        <v>3.5904001483917884</v>
      </c>
      <c r="E316" s="10">
        <f t="shared" si="55"/>
        <v>4.1867527585639008</v>
      </c>
      <c r="F316" s="10">
        <f t="shared" si="55"/>
        <v>4.7930244765735441</v>
      </c>
      <c r="G316" s="10">
        <f t="shared" si="55"/>
        <v>5.9402627866441655</v>
      </c>
      <c r="H316" s="10">
        <f t="shared" si="55"/>
        <v>7.2213432290207304</v>
      </c>
      <c r="I316" s="10">
        <f t="shared" si="55"/>
        <v>8.3723916770551678</v>
      </c>
      <c r="J316" s="10">
        <f t="shared" si="55"/>
        <v>10.402743585472589</v>
      </c>
      <c r="K316" s="10">
        <f t="shared" si="55"/>
        <v>11.423317115751642</v>
      </c>
    </row>
    <row r="317" spans="2:28" s="133" customFormat="1" x14ac:dyDescent="0.3">
      <c r="B317" s="133" t="s">
        <v>293</v>
      </c>
      <c r="C317" s="133" t="s">
        <v>338</v>
      </c>
      <c r="D317" s="10">
        <f>AVERAGE(D284:E284)</f>
        <v>0.24404545454545457</v>
      </c>
      <c r="E317" s="10">
        <f>AVERAGE(F284:G284)</f>
        <v>0.2704545454545455</v>
      </c>
      <c r="F317" s="10">
        <f>AVERAGE(H284:I284)</f>
        <v>0.28654545454545455</v>
      </c>
      <c r="G317" s="10">
        <f>AVERAGE(J284:K284)</f>
        <v>0.30786363636363634</v>
      </c>
      <c r="H317" s="10">
        <f>AVERAGE(L284:M284)</f>
        <v>0.36509090909090913</v>
      </c>
      <c r="I317" s="10">
        <f>AVERAGE(N284:O284)</f>
        <v>0.36345454545454547</v>
      </c>
      <c r="J317" s="10">
        <f>AVERAGE(P284:Q284)</f>
        <v>0.3602727272727273</v>
      </c>
      <c r="K317" s="10">
        <f>AVERAGE(R284:S284)</f>
        <v>0.37831818181818183</v>
      </c>
    </row>
    <row r="318" spans="2:28" s="133" customFormat="1" x14ac:dyDescent="0.3">
      <c r="B318" s="133" t="s">
        <v>1082</v>
      </c>
      <c r="C318" s="133" t="s">
        <v>338</v>
      </c>
      <c r="D318" s="10">
        <f>AVERAGE(D285:E285)</f>
        <v>7.6454545454545456E-2</v>
      </c>
      <c r="E318" s="10">
        <f>AVERAGE(F285:G285)</f>
        <v>9.1318181818181826E-2</v>
      </c>
      <c r="F318" s="10">
        <f>AVERAGE(H285:I285)</f>
        <v>9.0727272727272726E-2</v>
      </c>
      <c r="G318" s="10">
        <f>AVERAGE(J285:K285)</f>
        <v>9.3045454545454542E-2</v>
      </c>
      <c r="H318" s="10">
        <f>AVERAGE(L285:M285)</f>
        <v>0.10504545454545455</v>
      </c>
      <c r="I318" s="10">
        <f>AVERAGE(N285:O285)</f>
        <v>7.963636363636363E-2</v>
      </c>
      <c r="J318" s="10">
        <f>AVERAGE(P285:Q285)</f>
        <v>6.5409090909090903E-2</v>
      </c>
      <c r="K318" s="10">
        <f>AVERAGE(R285:S285)</f>
        <v>3.3500000000000002E-2</v>
      </c>
    </row>
    <row r="319" spans="2:28" s="133" customFormat="1" x14ac:dyDescent="0.3">
      <c r="B319" s="133" t="s">
        <v>308</v>
      </c>
      <c r="C319" s="133" t="s">
        <v>338</v>
      </c>
      <c r="D319" s="10">
        <f t="shared" ref="D319:K319" si="56">SUM(D317:D318)</f>
        <v>0.32050000000000001</v>
      </c>
      <c r="E319" s="10">
        <f t="shared" si="56"/>
        <v>0.36177272727272736</v>
      </c>
      <c r="F319" s="10">
        <f t="shared" si="56"/>
        <v>0.37727272727272726</v>
      </c>
      <c r="G319" s="10">
        <f t="shared" si="56"/>
        <v>0.40090909090909088</v>
      </c>
      <c r="H319" s="10">
        <f t="shared" si="56"/>
        <v>0.47013636363636369</v>
      </c>
      <c r="I319" s="10">
        <f t="shared" si="56"/>
        <v>0.44309090909090909</v>
      </c>
      <c r="J319" s="10">
        <f t="shared" si="56"/>
        <v>0.42568181818181822</v>
      </c>
      <c r="K319" s="10">
        <f t="shared" si="56"/>
        <v>0.41181818181818186</v>
      </c>
    </row>
    <row r="320" spans="2:28" s="133" customFormat="1" x14ac:dyDescent="0.3">
      <c r="B320" s="133" t="s">
        <v>351</v>
      </c>
      <c r="C320" s="133" t="s">
        <v>940</v>
      </c>
      <c r="D320" s="10">
        <f t="shared" ref="D320:D326" si="57">AVERAGE(D287:E287)</f>
        <v>0.18772727272727274</v>
      </c>
      <c r="E320" s="10">
        <f t="shared" ref="E320:E326" si="58">AVERAGE(F287:G287)</f>
        <v>0.1803030303030303</v>
      </c>
      <c r="F320" s="10">
        <f t="shared" ref="F320:F326" si="59">AVERAGE(H287:I287)</f>
        <v>0.19103030303030305</v>
      </c>
      <c r="G320" s="10">
        <f t="shared" ref="G320:G326" si="60">AVERAGE(J287:K287)</f>
        <v>0.1924147727272727</v>
      </c>
      <c r="H320" s="10">
        <f t="shared" ref="H320:H326" si="61">AVERAGE(L287:M287)</f>
        <v>0.22818181818181821</v>
      </c>
      <c r="I320" s="10">
        <f t="shared" ref="I320:I326" si="62">AVERAGE(N287:O287)</f>
        <v>0.25961038961038962</v>
      </c>
      <c r="J320" s="10">
        <f t="shared" ref="J320:J326" si="63">AVERAGE(P287:Q287)</f>
        <v>0.24018181818181816</v>
      </c>
      <c r="K320" s="10">
        <f t="shared" ref="K320:K326" si="64">AVERAGE(R287:S287)</f>
        <v>0.25221212121212122</v>
      </c>
    </row>
    <row r="321" spans="2:11" s="133" customFormat="1" x14ac:dyDescent="0.3">
      <c r="B321" s="133" t="s">
        <v>3</v>
      </c>
      <c r="C321" s="133" t="s">
        <v>302</v>
      </c>
      <c r="D321" s="10">
        <f t="shared" si="57"/>
        <v>0.76167287566451591</v>
      </c>
      <c r="E321" s="10">
        <f t="shared" si="58"/>
        <v>0.74194972826086958</v>
      </c>
      <c r="F321" s="10">
        <f t="shared" si="59"/>
        <v>0.75294871899778715</v>
      </c>
      <c r="G321" s="10">
        <f t="shared" si="60"/>
        <v>0.76089346846234696</v>
      </c>
      <c r="H321" s="10">
        <f t="shared" si="61"/>
        <v>0.76834322902072905</v>
      </c>
      <c r="I321" s="10">
        <f t="shared" si="62"/>
        <v>0.78132674199023266</v>
      </c>
      <c r="J321" s="10">
        <f t="shared" si="63"/>
        <v>0.81687994910895267</v>
      </c>
      <c r="K321" s="10">
        <f t="shared" si="64"/>
        <v>0.86310499453952039</v>
      </c>
    </row>
    <row r="322" spans="2:11" s="133" customFormat="1" x14ac:dyDescent="0.3">
      <c r="B322" s="6" t="s">
        <v>40</v>
      </c>
      <c r="C322" s="133" t="s">
        <v>302</v>
      </c>
      <c r="D322" s="10">
        <f t="shared" si="57"/>
        <v>0.76167287566451591</v>
      </c>
      <c r="E322" s="10">
        <f t="shared" si="58"/>
        <v>0.74194972826086958</v>
      </c>
      <c r="F322" s="10">
        <f t="shared" si="59"/>
        <v>0.75294871899778726</v>
      </c>
      <c r="G322" s="10">
        <f t="shared" si="60"/>
        <v>0.76089346846234696</v>
      </c>
      <c r="H322" s="10">
        <f t="shared" si="61"/>
        <v>0.76834322902072894</v>
      </c>
      <c r="I322" s="10">
        <f t="shared" si="62"/>
        <v>0.78132674199023266</v>
      </c>
      <c r="J322" s="10">
        <f t="shared" si="63"/>
        <v>0.81687994910895267</v>
      </c>
      <c r="K322" s="10">
        <f t="shared" si="64"/>
        <v>0.86310499453952039</v>
      </c>
    </row>
    <row r="323" spans="2:11" s="133" customFormat="1" x14ac:dyDescent="0.3">
      <c r="B323" s="133" t="s">
        <v>277</v>
      </c>
      <c r="C323" s="133" t="s">
        <v>302</v>
      </c>
      <c r="D323" s="10">
        <f t="shared" si="57"/>
        <v>0.23832712433548414</v>
      </c>
      <c r="E323" s="10">
        <f t="shared" si="58"/>
        <v>0.25058670948616601</v>
      </c>
      <c r="F323" s="10">
        <f t="shared" si="59"/>
        <v>0.23859118625066228</v>
      </c>
      <c r="G323" s="10">
        <f t="shared" si="60"/>
        <v>0.22992947347796297</v>
      </c>
      <c r="H323" s="10">
        <f t="shared" si="61"/>
        <v>0.22026819588731922</v>
      </c>
      <c r="I323" s="10">
        <f t="shared" si="62"/>
        <v>0.1659578496209444</v>
      </c>
      <c r="J323" s="10">
        <f t="shared" si="63"/>
        <v>0.14644269797249615</v>
      </c>
      <c r="K323" s="10">
        <f t="shared" si="64"/>
        <v>7.6431649234705856E-2</v>
      </c>
    </row>
    <row r="324" spans="2:11" s="133" customFormat="1" x14ac:dyDescent="0.3">
      <c r="B324" s="133" t="s">
        <v>13</v>
      </c>
      <c r="C324" s="133" t="s">
        <v>302</v>
      </c>
      <c r="D324" s="10">
        <f t="shared" si="57"/>
        <v>0</v>
      </c>
      <c r="E324" s="10">
        <f t="shared" si="58"/>
        <v>7.4635622529644272E-3</v>
      </c>
      <c r="F324" s="10">
        <f t="shared" si="59"/>
        <v>8.4600947515505575E-3</v>
      </c>
      <c r="G324" s="10">
        <f t="shared" si="60"/>
        <v>9.1770580596900499E-3</v>
      </c>
      <c r="H324" s="10">
        <f t="shared" si="61"/>
        <v>1.1388575091951863E-2</v>
      </c>
      <c r="I324" s="10">
        <f t="shared" si="62"/>
        <v>5.2715408388822924E-2</v>
      </c>
      <c r="J324" s="10">
        <f t="shared" si="63"/>
        <v>3.6677352918551197E-2</v>
      </c>
      <c r="K324" s="10">
        <f t="shared" si="64"/>
        <v>6.0463356225773729E-2</v>
      </c>
    </row>
    <row r="325" spans="2:11" s="133" customFormat="1" x14ac:dyDescent="0.3">
      <c r="B325" s="133" t="s">
        <v>459</v>
      </c>
      <c r="D325" s="134">
        <f t="shared" si="57"/>
        <v>1</v>
      </c>
      <c r="E325" s="134">
        <f t="shared" si="58"/>
        <v>1</v>
      </c>
      <c r="F325" s="134">
        <f t="shared" si="59"/>
        <v>1</v>
      </c>
      <c r="G325" s="134">
        <f t="shared" si="60"/>
        <v>1</v>
      </c>
      <c r="H325" s="134">
        <f t="shared" si="61"/>
        <v>1</v>
      </c>
      <c r="I325" s="134">
        <f t="shared" si="62"/>
        <v>1</v>
      </c>
      <c r="J325" s="134">
        <f t="shared" si="63"/>
        <v>1</v>
      </c>
      <c r="K325" s="134">
        <f t="shared" si="64"/>
        <v>1</v>
      </c>
    </row>
    <row r="326" spans="2:11" s="133" customFormat="1" x14ac:dyDescent="0.3">
      <c r="B326" s="133" t="s">
        <v>93</v>
      </c>
      <c r="D326" s="133">
        <f t="shared" si="57"/>
        <v>0</v>
      </c>
      <c r="E326" s="133">
        <f t="shared" si="58"/>
        <v>0.5</v>
      </c>
      <c r="F326" s="133">
        <f t="shared" si="59"/>
        <v>1</v>
      </c>
      <c r="G326" s="133">
        <f t="shared" si="60"/>
        <v>2</v>
      </c>
      <c r="H326" s="133">
        <f t="shared" si="61"/>
        <v>3</v>
      </c>
      <c r="I326" s="133">
        <f t="shared" si="62"/>
        <v>4</v>
      </c>
      <c r="J326" s="133">
        <f t="shared" si="63"/>
        <v>6</v>
      </c>
      <c r="K326" s="133">
        <f t="shared" si="64"/>
        <v>7</v>
      </c>
    </row>
    <row r="327" spans="2:11" s="133" customFormat="1" x14ac:dyDescent="0.3">
      <c r="B327" s="133" t="s">
        <v>321</v>
      </c>
      <c r="C327" s="133" t="s">
        <v>338</v>
      </c>
      <c r="D327" s="52"/>
      <c r="E327" s="52">
        <f t="shared" ref="E327:K327" si="65">D318*E326</f>
        <v>3.8227272727272728E-2</v>
      </c>
      <c r="F327" s="52">
        <f t="shared" si="65"/>
        <v>9.1318181818181826E-2</v>
      </c>
      <c r="G327" s="52">
        <f t="shared" si="65"/>
        <v>0.18145454545454545</v>
      </c>
      <c r="H327" s="52">
        <f t="shared" si="65"/>
        <v>0.27913636363636363</v>
      </c>
      <c r="I327" s="52">
        <f t="shared" si="65"/>
        <v>0.42018181818181821</v>
      </c>
      <c r="J327" s="52">
        <f t="shared" si="65"/>
        <v>0.47781818181818181</v>
      </c>
      <c r="K327" s="52">
        <f t="shared" si="65"/>
        <v>0.45786363636363631</v>
      </c>
    </row>
    <row r="328" spans="2:11" s="133" customFormat="1" x14ac:dyDescent="0.3">
      <c r="B328" s="133" t="s">
        <v>323</v>
      </c>
      <c r="C328" s="133" t="s">
        <v>338</v>
      </c>
      <c r="D328" s="10">
        <f>AVERAGE(D296:E296)</f>
        <v>0</v>
      </c>
      <c r="E328" s="10">
        <f>AVERAGE(F296:G296)</f>
        <v>2.7272727272727275E-3</v>
      </c>
      <c r="F328" s="10">
        <f>AVERAGE(H296:I296)</f>
        <v>3.1818181818181819E-3</v>
      </c>
      <c r="G328" s="10">
        <f>AVERAGE(J296:K296)</f>
        <v>3.6818181818181819E-3</v>
      </c>
      <c r="H328" s="10">
        <f>AVERAGE(L296:M296)</f>
        <v>5.4090909090909085E-3</v>
      </c>
      <c r="I328" s="10">
        <f>AVERAGE(N296:O296)</f>
        <v>2.5090909090909094E-2</v>
      </c>
      <c r="J328" s="10">
        <f>AVERAGE(P296:Q296)</f>
        <v>1.6500000000000001E-2</v>
      </c>
      <c r="K328" s="10">
        <f>AVERAGE(R296:S296)</f>
        <v>2.6499999999999999E-2</v>
      </c>
    </row>
    <row r="329" spans="2:11" s="133" customFormat="1" x14ac:dyDescent="0.3">
      <c r="B329" s="133" t="s">
        <v>433</v>
      </c>
      <c r="C329" s="133" t="s">
        <v>338</v>
      </c>
      <c r="D329" s="31"/>
      <c r="E329" s="31">
        <f t="shared" ref="E329:K329" si="66">E327-E328</f>
        <v>3.5500000000000004E-2</v>
      </c>
      <c r="F329" s="31">
        <f t="shared" si="66"/>
        <v>8.8136363636363638E-2</v>
      </c>
      <c r="G329" s="31">
        <f t="shared" si="66"/>
        <v>0.17777272727272728</v>
      </c>
      <c r="H329" s="31">
        <f t="shared" si="66"/>
        <v>0.27372727272727271</v>
      </c>
      <c r="I329" s="31">
        <f t="shared" si="66"/>
        <v>0.3950909090909091</v>
      </c>
      <c r="J329" s="31">
        <f t="shared" si="66"/>
        <v>0.46131818181818179</v>
      </c>
      <c r="K329" s="31">
        <f t="shared" si="66"/>
        <v>0.43136363636363628</v>
      </c>
    </row>
    <row r="330" spans="2:11" s="133" customFormat="1" x14ac:dyDescent="0.3">
      <c r="B330" s="148" t="s">
        <v>460</v>
      </c>
      <c r="C330" s="133" t="s">
        <v>338</v>
      </c>
      <c r="D330" s="31"/>
      <c r="E330" s="31">
        <f t="shared" ref="E330:K330" si="67">E329/4</f>
        <v>8.8750000000000009E-3</v>
      </c>
      <c r="F330" s="31">
        <f t="shared" si="67"/>
        <v>2.2034090909090909E-2</v>
      </c>
      <c r="G330" s="31">
        <f t="shared" si="67"/>
        <v>4.4443181818181819E-2</v>
      </c>
      <c r="H330" s="31">
        <f t="shared" si="67"/>
        <v>6.8431818181818177E-2</v>
      </c>
      <c r="I330" s="31">
        <f t="shared" si="67"/>
        <v>9.8772727272727276E-2</v>
      </c>
      <c r="J330" s="31">
        <f t="shared" si="67"/>
        <v>0.11532954545454545</v>
      </c>
      <c r="K330" s="31">
        <f t="shared" si="67"/>
        <v>0.10784090909090907</v>
      </c>
    </row>
    <row r="331" spans="2:11" s="133" customFormat="1" x14ac:dyDescent="0.3">
      <c r="B331" s="148" t="s">
        <v>402</v>
      </c>
      <c r="C331" s="133" t="s">
        <v>338</v>
      </c>
      <c r="D331" s="31"/>
      <c r="E331" s="31">
        <f t="shared" ref="E331:K331" si="68">E317-$D317</f>
        <v>2.6409090909090938E-2</v>
      </c>
      <c r="F331" s="31">
        <f t="shared" si="68"/>
        <v>4.2499999999999982E-2</v>
      </c>
      <c r="G331" s="31">
        <f t="shared" si="68"/>
        <v>6.3818181818181774E-2</v>
      </c>
      <c r="H331" s="31">
        <f t="shared" si="68"/>
        <v>0.12104545454545457</v>
      </c>
      <c r="I331" s="31">
        <f t="shared" si="68"/>
        <v>0.11940909090909091</v>
      </c>
      <c r="J331" s="31">
        <f t="shared" si="68"/>
        <v>0.11622727272727273</v>
      </c>
      <c r="K331" s="31">
        <f t="shared" si="68"/>
        <v>0.13427272727272727</v>
      </c>
    </row>
    <row r="332" spans="2:11" s="133" customFormat="1" x14ac:dyDescent="0.3">
      <c r="B332" s="148" t="s">
        <v>2086</v>
      </c>
      <c r="C332" s="133" t="s">
        <v>338</v>
      </c>
      <c r="D332" s="31"/>
      <c r="E332" s="31">
        <f t="shared" ref="E332:K332" si="69">$D318-E318</f>
        <v>-1.4863636363636371E-2</v>
      </c>
      <c r="F332" s="31">
        <f t="shared" si="69"/>
        <v>-1.427272727272727E-2</v>
      </c>
      <c r="G332" s="31">
        <f t="shared" si="69"/>
        <v>-1.6590909090909087E-2</v>
      </c>
      <c r="H332" s="31">
        <f t="shared" si="69"/>
        <v>-2.8590909090909097E-2</v>
      </c>
      <c r="I332" s="31">
        <f t="shared" si="69"/>
        <v>-3.1818181818181746E-3</v>
      </c>
      <c r="J332" s="31">
        <f t="shared" si="69"/>
        <v>1.1045454545454553E-2</v>
      </c>
      <c r="K332" s="31">
        <f t="shared" si="69"/>
        <v>4.2954545454545454E-2</v>
      </c>
    </row>
    <row r="333" spans="2:11" s="133" customFormat="1" x14ac:dyDescent="0.3">
      <c r="B333" s="148" t="s">
        <v>93</v>
      </c>
      <c r="D333" s="31"/>
      <c r="E333" s="31">
        <f t="shared" ref="E333:K333" si="70">E327/$D318</f>
        <v>0.5</v>
      </c>
      <c r="F333" s="31">
        <f t="shared" si="70"/>
        <v>1.1944114149821641</v>
      </c>
      <c r="G333" s="31">
        <f t="shared" si="70"/>
        <v>2.3733650416171224</v>
      </c>
      <c r="H333" s="31">
        <f t="shared" si="70"/>
        <v>3.6510107015457787</v>
      </c>
      <c r="I333" s="31">
        <f t="shared" si="70"/>
        <v>5.4958382877526759</v>
      </c>
      <c r="J333" s="31">
        <f t="shared" si="70"/>
        <v>6.2497027348394765</v>
      </c>
      <c r="K333" s="31">
        <f t="shared" si="70"/>
        <v>5.9887039239001183</v>
      </c>
    </row>
    <row r="334" spans="2:11" s="133" customFormat="1" x14ac:dyDescent="0.3">
      <c r="B334" s="148" t="s">
        <v>462</v>
      </c>
      <c r="C334" s="133" t="s">
        <v>92</v>
      </c>
      <c r="D334" s="31"/>
      <c r="E334" s="31">
        <f t="shared" ref="E334" si="71">E329/E327</f>
        <v>0.92865636147443531</v>
      </c>
      <c r="F334" s="31">
        <f>F329/F327</f>
        <v>0.96515679442508706</v>
      </c>
      <c r="G334" s="31">
        <f t="shared" ref="G334:K334" si="72">G329/G327</f>
        <v>0.97970941883767537</v>
      </c>
      <c r="H334" s="31">
        <f t="shared" si="72"/>
        <v>0.98062204852629864</v>
      </c>
      <c r="I334" s="31">
        <f t="shared" si="72"/>
        <v>0.94028559065339679</v>
      </c>
      <c r="J334" s="31">
        <f t="shared" si="72"/>
        <v>0.96546803652968038</v>
      </c>
      <c r="K334" s="31">
        <f t="shared" si="72"/>
        <v>0.94212250570832912</v>
      </c>
    </row>
    <row r="335" spans="2:11" s="133" customFormat="1" x14ac:dyDescent="0.3">
      <c r="B335" s="148" t="s">
        <v>2085</v>
      </c>
      <c r="C335" s="133" t="s">
        <v>92</v>
      </c>
      <c r="D335" s="31"/>
      <c r="E335" s="31">
        <f t="shared" ref="E335:K335" si="73">E331/E330</f>
        <v>2.9756722151088377</v>
      </c>
      <c r="F335" s="31">
        <f t="shared" si="73"/>
        <v>1.9288292934502314</v>
      </c>
      <c r="G335" s="31">
        <f t="shared" si="73"/>
        <v>1.4359498849399119</v>
      </c>
      <c r="H335" s="31">
        <f t="shared" si="73"/>
        <v>1.7688475589505153</v>
      </c>
      <c r="I335" s="31">
        <f t="shared" si="73"/>
        <v>1.2089277496548549</v>
      </c>
      <c r="J335" s="31">
        <f t="shared" si="73"/>
        <v>1.0077840181298652</v>
      </c>
      <c r="K335" s="31">
        <f t="shared" si="73"/>
        <v>1.2451001053740782</v>
      </c>
    </row>
    <row r="336" spans="2:11" s="133" customFormat="1" x14ac:dyDescent="0.3">
      <c r="B336" s="148" t="s">
        <v>2087</v>
      </c>
      <c r="C336" s="133" t="s">
        <v>92</v>
      </c>
      <c r="D336" s="31"/>
      <c r="E336" s="31">
        <f t="shared" ref="E336:K336" si="74">E332/E330</f>
        <v>-1.6747759282970556</v>
      </c>
      <c r="F336" s="31">
        <f t="shared" si="74"/>
        <v>-0.64775657555440935</v>
      </c>
      <c r="G336" s="31">
        <f t="shared" si="74"/>
        <v>-0.3733060598312451</v>
      </c>
      <c r="H336" s="31">
        <f t="shared" si="74"/>
        <v>-0.41780139488542023</v>
      </c>
      <c r="I336" s="31">
        <f t="shared" si="74"/>
        <v>-3.221352968246656E-2</v>
      </c>
      <c r="J336" s="31">
        <f t="shared" si="74"/>
        <v>9.577298255985818E-2</v>
      </c>
      <c r="K336" s="31">
        <f t="shared" si="74"/>
        <v>0.39831401475237099</v>
      </c>
    </row>
    <row r="337" spans="2:28" s="133" customFormat="1" x14ac:dyDescent="0.3">
      <c r="B337" s="148" t="s">
        <v>2088</v>
      </c>
      <c r="C337" s="133" t="s">
        <v>92</v>
      </c>
      <c r="D337" s="31"/>
      <c r="E337" s="31">
        <f t="shared" ref="E337:K337" si="75">E331/E332</f>
        <v>-1.7767584097859339</v>
      </c>
      <c r="F337" s="31">
        <f t="shared" si="75"/>
        <v>-2.977707006369426</v>
      </c>
      <c r="G337" s="31">
        <f t="shared" si="75"/>
        <v>-3.8465753424657518</v>
      </c>
      <c r="H337" s="31">
        <f t="shared" si="75"/>
        <v>-4.2337042925278219</v>
      </c>
      <c r="I337" s="31">
        <f t="shared" si="75"/>
        <v>-37.528571428571517</v>
      </c>
      <c r="J337" s="31">
        <f t="shared" si="75"/>
        <v>10.522633744855961</v>
      </c>
      <c r="K337" s="31">
        <f t="shared" si="75"/>
        <v>3.1259259259259258</v>
      </c>
    </row>
    <row r="338" spans="2:28" s="133" customFormat="1" x14ac:dyDescent="0.3">
      <c r="B338" s="148" t="s">
        <v>2096</v>
      </c>
      <c r="C338" s="133" t="s">
        <v>92</v>
      </c>
      <c r="D338" s="37"/>
      <c r="E338" s="37">
        <f t="shared" ref="E338:K338" si="76">E331/$D318</f>
        <v>0.3454221165279433</v>
      </c>
      <c r="F338" s="37">
        <f t="shared" si="76"/>
        <v>0.5558858501783589</v>
      </c>
      <c r="G338" s="37">
        <f t="shared" si="76"/>
        <v>0.83472057074910766</v>
      </c>
      <c r="H338" s="37">
        <f t="shared" si="76"/>
        <v>1.5832342449464925</v>
      </c>
      <c r="I338" s="37">
        <f t="shared" si="76"/>
        <v>1.5618311533888227</v>
      </c>
      <c r="J338" s="37">
        <f t="shared" si="76"/>
        <v>1.5202140309155767</v>
      </c>
      <c r="K338" s="37">
        <f t="shared" si="76"/>
        <v>1.7562425683709868</v>
      </c>
      <c r="L338" s="37"/>
      <c r="M338" s="37"/>
      <c r="N338" s="37"/>
      <c r="O338" s="37"/>
    </row>
    <row r="339" spans="2:28" s="133" customFormat="1" x14ac:dyDescent="0.3">
      <c r="B339" s="148" t="s">
        <v>2097</v>
      </c>
      <c r="C339" s="133" t="s">
        <v>92</v>
      </c>
      <c r="D339" s="37"/>
      <c r="E339" s="37">
        <f t="shared" ref="E339:K339" si="77">E319/$D319</f>
        <v>1.1287760601333146</v>
      </c>
      <c r="F339" s="37">
        <f t="shared" si="77"/>
        <v>1.1771379946106935</v>
      </c>
      <c r="G339" s="37">
        <f t="shared" si="77"/>
        <v>1.2508863990923271</v>
      </c>
      <c r="H339" s="37">
        <f t="shared" si="77"/>
        <v>1.4668841299106512</v>
      </c>
      <c r="I339" s="37">
        <f t="shared" si="77"/>
        <v>1.3824989363210891</v>
      </c>
      <c r="J339" s="37">
        <f t="shared" si="77"/>
        <v>1.3281803999432706</v>
      </c>
      <c r="K339" s="37">
        <f t="shared" si="77"/>
        <v>1.284924124237697</v>
      </c>
      <c r="L339" s="37"/>
      <c r="M339" s="37"/>
      <c r="N339" s="37"/>
      <c r="O339" s="37"/>
    </row>
    <row r="340" spans="2:28" s="133" customFormat="1" x14ac:dyDescent="0.3">
      <c r="B340" s="148" t="s">
        <v>2081</v>
      </c>
      <c r="D340" s="41"/>
      <c r="E340" s="41">
        <f t="shared" ref="E340:K340" si="78">E329/E331</f>
        <v>1.344234079173837</v>
      </c>
      <c r="F340" s="41">
        <f t="shared" si="78"/>
        <v>2.0737967914438511</v>
      </c>
      <c r="G340" s="41">
        <f t="shared" si="78"/>
        <v>2.7856125356125374</v>
      </c>
      <c r="H340" s="41">
        <f t="shared" si="78"/>
        <v>2.2613593691325566</v>
      </c>
      <c r="I340" s="41">
        <f t="shared" si="78"/>
        <v>3.3087171678720977</v>
      </c>
      <c r="J340" s="41">
        <f t="shared" si="78"/>
        <v>3.9691044192412979</v>
      </c>
      <c r="K340" s="41">
        <f t="shared" si="78"/>
        <v>3.2125930941096814</v>
      </c>
    </row>
    <row r="341" spans="2:28" s="133" customFormat="1" x14ac:dyDescent="0.3">
      <c r="B341" s="148" t="s">
        <v>2137</v>
      </c>
      <c r="D341" s="41"/>
      <c r="E341" s="41">
        <f t="shared" ref="E341:K341" si="79">E329/E332</f>
        <v>-2.3883792048929653</v>
      </c>
      <c r="F341" s="41">
        <f t="shared" si="79"/>
        <v>-6.175159235668791</v>
      </c>
      <c r="G341" s="41">
        <f t="shared" si="79"/>
        <v>-10.715068493150687</v>
      </c>
      <c r="H341" s="41">
        <f t="shared" si="79"/>
        <v>-9.5739268680445129</v>
      </c>
      <c r="I341" s="41">
        <f t="shared" si="79"/>
        <v>-124.17142857142886</v>
      </c>
      <c r="J341" s="41">
        <f t="shared" si="79"/>
        <v>41.765432098765402</v>
      </c>
      <c r="K341" s="41">
        <f t="shared" si="79"/>
        <v>10.042328042328041</v>
      </c>
    </row>
    <row r="342" spans="2:28" s="133" customFormat="1" x14ac:dyDescent="0.3">
      <c r="B342" s="148"/>
      <c r="D342" s="31"/>
      <c r="E342" s="31"/>
      <c r="F342" s="31"/>
      <c r="G342" s="31"/>
      <c r="H342" s="31"/>
      <c r="I342" s="31"/>
      <c r="J342" s="31"/>
      <c r="K342" s="31"/>
    </row>
    <row r="343" spans="2:28" x14ac:dyDescent="0.3">
      <c r="D343" s="133"/>
      <c r="E343" t="s">
        <v>1171</v>
      </c>
      <c r="O343"/>
      <c r="P343"/>
      <c r="R343"/>
      <c r="AB343"/>
    </row>
    <row r="344" spans="2:28" x14ac:dyDescent="0.3">
      <c r="B344" s="6" t="s">
        <v>359</v>
      </c>
      <c r="D344" s="133" t="s">
        <v>898</v>
      </c>
      <c r="E344" t="s">
        <v>41</v>
      </c>
      <c r="F344" t="s">
        <v>898</v>
      </c>
      <c r="G344" t="s">
        <v>41</v>
      </c>
      <c r="H344" t="s">
        <v>898</v>
      </c>
      <c r="I344" t="s">
        <v>41</v>
      </c>
      <c r="J344" t="s">
        <v>898</v>
      </c>
      <c r="K344" t="s">
        <v>41</v>
      </c>
      <c r="L344" t="s">
        <v>898</v>
      </c>
      <c r="M344" t="s">
        <v>41</v>
      </c>
      <c r="N344" t="s">
        <v>898</v>
      </c>
      <c r="O344" t="s">
        <v>41</v>
      </c>
      <c r="P344" t="s">
        <v>898</v>
      </c>
      <c r="Q344" t="s">
        <v>41</v>
      </c>
      <c r="R344" t="s">
        <v>898</v>
      </c>
      <c r="S344" t="s">
        <v>41</v>
      </c>
      <c r="AB344"/>
    </row>
    <row r="345" spans="2:28" s="133" customFormat="1" x14ac:dyDescent="0.3">
      <c r="B345" s="148" t="s">
        <v>1795</v>
      </c>
      <c r="D345" s="66" t="s">
        <v>1686</v>
      </c>
      <c r="E345" s="66" t="s">
        <v>2156</v>
      </c>
      <c r="F345" s="133" t="s">
        <v>2003</v>
      </c>
      <c r="G345" s="66" t="s">
        <v>1686</v>
      </c>
      <c r="H345" s="133" t="s">
        <v>2004</v>
      </c>
      <c r="I345" s="66" t="s">
        <v>1686</v>
      </c>
      <c r="J345" s="133" t="s">
        <v>2005</v>
      </c>
      <c r="K345" s="66" t="s">
        <v>1686</v>
      </c>
      <c r="L345" s="133" t="s">
        <v>2006</v>
      </c>
      <c r="M345" s="66" t="s">
        <v>1686</v>
      </c>
      <c r="N345" s="133" t="s">
        <v>2007</v>
      </c>
      <c r="O345" s="66" t="s">
        <v>1686</v>
      </c>
      <c r="P345" s="133" t="s">
        <v>2008</v>
      </c>
      <c r="Q345" s="66" t="s">
        <v>1686</v>
      </c>
      <c r="R345" s="133" t="s">
        <v>2009</v>
      </c>
      <c r="S345" s="66" t="s">
        <v>1686</v>
      </c>
    </row>
    <row r="346" spans="2:28" s="133" customFormat="1" x14ac:dyDescent="0.3">
      <c r="B346" s="148" t="s">
        <v>1791</v>
      </c>
      <c r="D346" s="133" t="s">
        <v>1104</v>
      </c>
      <c r="E346" s="133" t="s">
        <v>1104</v>
      </c>
      <c r="F346" s="133" t="s">
        <v>1105</v>
      </c>
      <c r="G346" s="133" t="s">
        <v>1105</v>
      </c>
      <c r="H346" s="133" t="s">
        <v>1105</v>
      </c>
      <c r="I346" s="133" t="s">
        <v>1105</v>
      </c>
      <c r="J346" s="133" t="s">
        <v>1105</v>
      </c>
      <c r="K346" s="133" t="s">
        <v>1105</v>
      </c>
      <c r="L346" s="133" t="s">
        <v>1105</v>
      </c>
      <c r="M346" s="133" t="s">
        <v>1105</v>
      </c>
      <c r="N346" s="133" t="s">
        <v>1105</v>
      </c>
      <c r="O346" s="133" t="s">
        <v>1105</v>
      </c>
      <c r="P346" s="133" t="s">
        <v>1105</v>
      </c>
      <c r="Q346" s="133" t="s">
        <v>1105</v>
      </c>
      <c r="R346" s="133" t="s">
        <v>1105</v>
      </c>
      <c r="S346" s="133" t="s">
        <v>1105</v>
      </c>
    </row>
    <row r="347" spans="2:28" x14ac:dyDescent="0.3">
      <c r="B347" t="s">
        <v>33</v>
      </c>
      <c r="C347" t="s">
        <v>361</v>
      </c>
      <c r="D347">
        <f t="shared" ref="D347:S347" si="80">D281</f>
        <v>1.3</v>
      </c>
      <c r="E347" s="133">
        <f t="shared" si="80"/>
        <v>1.3</v>
      </c>
      <c r="F347" s="133">
        <f t="shared" si="80"/>
        <v>1.5</v>
      </c>
      <c r="G347" s="133">
        <f t="shared" si="80"/>
        <v>1.5</v>
      </c>
      <c r="H347" s="133">
        <f t="shared" si="80"/>
        <v>1.5</v>
      </c>
      <c r="I347" s="133">
        <f t="shared" si="80"/>
        <v>1.5</v>
      </c>
      <c r="J347" s="133">
        <f t="shared" si="80"/>
        <v>1.6</v>
      </c>
      <c r="K347" s="133">
        <f t="shared" si="80"/>
        <v>1.6</v>
      </c>
      <c r="L347" s="133">
        <f t="shared" si="80"/>
        <v>1.6</v>
      </c>
      <c r="M347" s="133">
        <f t="shared" si="80"/>
        <v>1.6</v>
      </c>
      <c r="N347" s="133">
        <f t="shared" si="80"/>
        <v>1.4</v>
      </c>
      <c r="O347" s="133">
        <f t="shared" si="80"/>
        <v>1.4</v>
      </c>
      <c r="P347" s="133">
        <f t="shared" si="80"/>
        <v>1.5</v>
      </c>
      <c r="Q347" s="133">
        <f t="shared" si="80"/>
        <v>1.5</v>
      </c>
      <c r="R347" s="133">
        <f t="shared" si="80"/>
        <v>1.5</v>
      </c>
      <c r="S347" s="133">
        <f t="shared" si="80"/>
        <v>1.5</v>
      </c>
      <c r="AB347"/>
    </row>
    <row r="348" spans="2:28" x14ac:dyDescent="0.3">
      <c r="B348" t="s">
        <v>26</v>
      </c>
      <c r="C348" t="s">
        <v>25</v>
      </c>
      <c r="D348">
        <f>$C$234</f>
        <v>22</v>
      </c>
      <c r="E348">
        <f t="shared" ref="E348:S348" si="81">$C$234</f>
        <v>22</v>
      </c>
      <c r="F348">
        <f t="shared" si="81"/>
        <v>22</v>
      </c>
      <c r="G348">
        <f t="shared" si="81"/>
        <v>22</v>
      </c>
      <c r="H348">
        <f t="shared" si="81"/>
        <v>22</v>
      </c>
      <c r="I348">
        <f t="shared" si="81"/>
        <v>22</v>
      </c>
      <c r="J348">
        <f t="shared" si="81"/>
        <v>22</v>
      </c>
      <c r="K348">
        <f t="shared" si="81"/>
        <v>22</v>
      </c>
      <c r="L348">
        <f t="shared" si="81"/>
        <v>22</v>
      </c>
      <c r="M348">
        <f t="shared" si="81"/>
        <v>22</v>
      </c>
      <c r="N348">
        <f t="shared" si="81"/>
        <v>22</v>
      </c>
      <c r="O348">
        <f t="shared" si="81"/>
        <v>22</v>
      </c>
      <c r="P348">
        <f t="shared" si="81"/>
        <v>22</v>
      </c>
      <c r="Q348">
        <f t="shared" si="81"/>
        <v>22</v>
      </c>
      <c r="R348">
        <f t="shared" si="81"/>
        <v>22</v>
      </c>
      <c r="S348">
        <f t="shared" si="81"/>
        <v>22</v>
      </c>
      <c r="AB348"/>
    </row>
    <row r="349" spans="2:28" s="103" customFormat="1" x14ac:dyDescent="0.3">
      <c r="B349" s="148" t="s">
        <v>1544</v>
      </c>
      <c r="C349" s="133" t="s">
        <v>338</v>
      </c>
      <c r="F349" s="31">
        <f t="shared" ref="F349:S349" si="82">F295</f>
        <v>3.5818181818181818E-2</v>
      </c>
      <c r="G349" s="31">
        <f t="shared" si="82"/>
        <v>4.0636363636363637E-2</v>
      </c>
      <c r="H349" s="31">
        <f t="shared" si="82"/>
        <v>8.6818181818181822E-2</v>
      </c>
      <c r="I349" s="31">
        <f t="shared" si="82"/>
        <v>9.5818181818181816E-2</v>
      </c>
      <c r="J349" s="31">
        <f t="shared" si="82"/>
        <v>0.1749090909090909</v>
      </c>
      <c r="K349" s="31">
        <f t="shared" si="82"/>
        <v>0.188</v>
      </c>
      <c r="L349" s="31">
        <f t="shared" si="82"/>
        <v>0.25990909090909092</v>
      </c>
      <c r="M349" s="31">
        <f t="shared" si="82"/>
        <v>0.29836363636363633</v>
      </c>
      <c r="N349" s="31">
        <f t="shared" si="82"/>
        <v>0.36509090909090908</v>
      </c>
      <c r="O349" s="31">
        <f t="shared" si="82"/>
        <v>0.47527272727272729</v>
      </c>
      <c r="P349" s="31">
        <f t="shared" si="82"/>
        <v>0.33</v>
      </c>
      <c r="Q349" s="31">
        <f t="shared" si="82"/>
        <v>0.62563636363636355</v>
      </c>
      <c r="R349" s="31">
        <f t="shared" si="82"/>
        <v>0.36590909090909091</v>
      </c>
      <c r="S349" s="31">
        <f t="shared" si="82"/>
        <v>0.54981818181818176</v>
      </c>
      <c r="T349" s="31"/>
      <c r="V349" s="31"/>
      <c r="X349" s="31"/>
    </row>
    <row r="350" spans="2:28" x14ac:dyDescent="0.3">
      <c r="B350" t="s">
        <v>351</v>
      </c>
      <c r="C350" t="s">
        <v>701</v>
      </c>
      <c r="D350" s="10">
        <f t="shared" ref="D350:N350" si="83">D287</f>
        <v>0.18160839160839162</v>
      </c>
      <c r="E350" s="10">
        <f t="shared" si="83"/>
        <v>0.19384615384615383</v>
      </c>
      <c r="F350" s="10">
        <f t="shared" si="83"/>
        <v>0.17048484848484849</v>
      </c>
      <c r="G350" s="10">
        <f t="shared" si="83"/>
        <v>0.19012121212121214</v>
      </c>
      <c r="H350" s="10">
        <f t="shared" si="83"/>
        <v>0.18090909090909091</v>
      </c>
      <c r="I350" s="10">
        <f t="shared" si="83"/>
        <v>0.20115151515151516</v>
      </c>
      <c r="J350" s="10">
        <f t="shared" si="83"/>
        <v>0.17960227272727272</v>
      </c>
      <c r="K350" s="10">
        <f t="shared" si="83"/>
        <v>0.2052272727272727</v>
      </c>
      <c r="L350" s="10">
        <f t="shared" si="83"/>
        <v>0.20613636363636365</v>
      </c>
      <c r="M350" s="10">
        <f t="shared" si="83"/>
        <v>0.25022727272727274</v>
      </c>
      <c r="N350" s="10">
        <f t="shared" si="83"/>
        <v>0.22428571428571431</v>
      </c>
      <c r="O350" s="10">
        <f>O287</f>
        <v>0.29493506493506494</v>
      </c>
      <c r="P350" s="10">
        <f>P287</f>
        <v>0.218</v>
      </c>
      <c r="Q350" s="10">
        <f>Q287</f>
        <v>0.26236363636363635</v>
      </c>
      <c r="R350" s="10">
        <f>R287</f>
        <v>0.20321212121212121</v>
      </c>
      <c r="S350" s="10">
        <f>S287</f>
        <v>0.30121212121212121</v>
      </c>
      <c r="T350" s="10"/>
      <c r="V350" s="10"/>
      <c r="X350" s="10"/>
      <c r="AB350"/>
    </row>
    <row r="351" spans="2:28" x14ac:dyDescent="0.3">
      <c r="B351" t="s">
        <v>352</v>
      </c>
      <c r="C351" t="s">
        <v>377</v>
      </c>
      <c r="F351" s="10">
        <f>F350-$D350</f>
        <v>-1.1123543123543134E-2</v>
      </c>
      <c r="G351" s="10">
        <f>G350-$E350</f>
        <v>-3.7249417249416994E-3</v>
      </c>
      <c r="H351" s="10">
        <f>H350-$D350</f>
        <v>-6.9930069930071448E-4</v>
      </c>
      <c r="I351" s="10">
        <f>I350-$E350</f>
        <v>7.3053613053613298E-3</v>
      </c>
      <c r="J351" s="10">
        <f>J350-$D350</f>
        <v>-2.0061188811189012E-3</v>
      </c>
      <c r="K351" s="10">
        <f>K350-$E350</f>
        <v>1.1381118881118868E-2</v>
      </c>
      <c r="L351" s="10">
        <f>L350-$D350</f>
        <v>2.4527972027972023E-2</v>
      </c>
      <c r="M351" s="10">
        <f>M350-$E350</f>
        <v>5.6381118881118908E-2</v>
      </c>
      <c r="N351" s="10">
        <f>N350-$D350</f>
        <v>4.2677322677322688E-2</v>
      </c>
      <c r="O351" s="10">
        <f>O350-$E350</f>
        <v>0.1010889110889111</v>
      </c>
      <c r="P351" s="10">
        <f>P350-$D350</f>
        <v>3.6391608391608377E-2</v>
      </c>
      <c r="Q351" s="10">
        <f>Q350-$E350</f>
        <v>6.851748251748252E-2</v>
      </c>
      <c r="R351" s="10">
        <f>R350-$D350</f>
        <v>2.1603729603729582E-2</v>
      </c>
      <c r="S351" s="10">
        <f>S350-$E350</f>
        <v>0.10736596736596737</v>
      </c>
      <c r="T351" s="10"/>
      <c r="V351" s="10"/>
      <c r="X351" s="10"/>
      <c r="AB351"/>
    </row>
    <row r="352" spans="2:28" x14ac:dyDescent="0.3">
      <c r="B352" t="s">
        <v>353</v>
      </c>
      <c r="C352" t="s">
        <v>92</v>
      </c>
      <c r="F352" s="10">
        <f>F351/$D350</f>
        <v>-6.1250160441535154E-2</v>
      </c>
      <c r="G352" s="10">
        <f>G351/$E350</f>
        <v>-1.9215969215969086E-2</v>
      </c>
      <c r="H352" s="10">
        <f>H351/$D350</f>
        <v>-3.8505968425106723E-3</v>
      </c>
      <c r="I352" s="10">
        <f>I351/$E350</f>
        <v>3.7686387686387816E-2</v>
      </c>
      <c r="J352" s="10">
        <f>J351/$D350</f>
        <v>-1.1046399691952362E-2</v>
      </c>
      <c r="K352" s="10">
        <f>K351/$E350</f>
        <v>5.8712121212121146E-2</v>
      </c>
      <c r="L352" s="10">
        <f>L351/$D350</f>
        <v>0.13505968425105888</v>
      </c>
      <c r="M352" s="10">
        <f>M351/$E350</f>
        <v>0.29085497835497853</v>
      </c>
      <c r="N352" s="10">
        <f>N351/$D350</f>
        <v>0.23499642444578914</v>
      </c>
      <c r="O352" s="10">
        <f>O351/$E350</f>
        <v>0.52149041434755727</v>
      </c>
      <c r="P352" s="10">
        <f>P351/$D350</f>
        <v>0.20038505968425097</v>
      </c>
      <c r="Q352" s="10">
        <f>Q351/$E350</f>
        <v>0.35346320346320348</v>
      </c>
      <c r="R352" s="10">
        <f>R351/$D350</f>
        <v>0.11895777178796034</v>
      </c>
      <c r="S352" s="10">
        <f>S351/$E350</f>
        <v>0.55387205387205396</v>
      </c>
      <c r="T352" s="10"/>
      <c r="V352" s="10"/>
      <c r="X352" s="10"/>
      <c r="AB352"/>
    </row>
    <row r="353" spans="2:28" x14ac:dyDescent="0.3">
      <c r="B353" t="s">
        <v>293</v>
      </c>
      <c r="C353" t="s">
        <v>338</v>
      </c>
      <c r="D353" s="10">
        <f t="shared" ref="D353:S353" si="84">D284</f>
        <v>0.2360909090909091</v>
      </c>
      <c r="E353" s="10">
        <f t="shared" si="84"/>
        <v>0.252</v>
      </c>
      <c r="F353" s="10">
        <f t="shared" si="84"/>
        <v>0.25572727272727275</v>
      </c>
      <c r="G353" s="10">
        <f t="shared" si="84"/>
        <v>0.2851818181818182</v>
      </c>
      <c r="H353" s="10">
        <f t="shared" si="84"/>
        <v>0.27136363636363636</v>
      </c>
      <c r="I353" s="10">
        <f t="shared" si="84"/>
        <v>0.30172727272727273</v>
      </c>
      <c r="J353" s="10">
        <f t="shared" si="84"/>
        <v>0.28736363636363638</v>
      </c>
      <c r="K353" s="10">
        <f t="shared" si="84"/>
        <v>0.32836363636363636</v>
      </c>
      <c r="L353" s="10">
        <f t="shared" si="84"/>
        <v>0.32981818181818184</v>
      </c>
      <c r="M353" s="10">
        <f t="shared" si="84"/>
        <v>0.40036363636363637</v>
      </c>
      <c r="N353" s="10">
        <f t="shared" si="84"/>
        <v>0.314</v>
      </c>
      <c r="O353" s="10">
        <f t="shared" si="84"/>
        <v>0.41290909090909089</v>
      </c>
      <c r="P353" s="10">
        <f t="shared" si="84"/>
        <v>0.32700000000000001</v>
      </c>
      <c r="Q353" s="10">
        <f t="shared" si="84"/>
        <v>0.39354545454545453</v>
      </c>
      <c r="R353" s="10">
        <f t="shared" si="84"/>
        <v>0.30481818181818182</v>
      </c>
      <c r="S353" s="10">
        <f t="shared" si="84"/>
        <v>0.45181818181818184</v>
      </c>
      <c r="T353" s="10"/>
      <c r="V353" s="10"/>
      <c r="X353" s="10"/>
      <c r="AB353"/>
    </row>
    <row r="354" spans="2:28" x14ac:dyDescent="0.3">
      <c r="B354" t="s">
        <v>402</v>
      </c>
      <c r="C354" t="s">
        <v>338</v>
      </c>
      <c r="F354" s="10">
        <f>F353-$D353</f>
        <v>1.9636363636363646E-2</v>
      </c>
      <c r="G354" s="10">
        <f>G353-$E353</f>
        <v>3.3181818181818201E-2</v>
      </c>
      <c r="H354" s="10">
        <f>H353-$D353</f>
        <v>3.5272727272727261E-2</v>
      </c>
      <c r="I354" s="10">
        <f>I353-$E353</f>
        <v>4.9727272727272731E-2</v>
      </c>
      <c r="J354" s="10">
        <f>J353-$D353</f>
        <v>5.1272727272727275E-2</v>
      </c>
      <c r="K354" s="10">
        <f>K353-$E353</f>
        <v>7.6363636363636356E-2</v>
      </c>
      <c r="L354" s="10">
        <f>L353-$D353</f>
        <v>9.3727272727272742E-2</v>
      </c>
      <c r="M354" s="10">
        <f>M353-$E353</f>
        <v>0.14836363636363636</v>
      </c>
      <c r="N354" s="10">
        <f>N353-$D353</f>
        <v>7.79090909090909E-2</v>
      </c>
      <c r="O354" s="10">
        <f>O353-$E353</f>
        <v>0.16090909090909089</v>
      </c>
      <c r="P354" s="10">
        <f>P353-$D353</f>
        <v>9.0909090909090912E-2</v>
      </c>
      <c r="Q354" s="10">
        <f>Q353-$E353</f>
        <v>0.14154545454545453</v>
      </c>
      <c r="R354" s="10">
        <f>R353-$D353</f>
        <v>6.872727272727272E-2</v>
      </c>
      <c r="S354" s="10">
        <f>S353-$E353</f>
        <v>0.19981818181818184</v>
      </c>
      <c r="T354" s="10"/>
      <c r="V354" s="10"/>
      <c r="X354" s="10"/>
      <c r="AB354"/>
    </row>
    <row r="355" spans="2:28" x14ac:dyDescent="0.3">
      <c r="B355" t="s">
        <v>3</v>
      </c>
      <c r="C355" t="s">
        <v>302</v>
      </c>
      <c r="D355" s="198">
        <f>D289*100</f>
        <v>76.720827178729692</v>
      </c>
      <c r="E355" s="198">
        <f t="shared" ref="E355:S355" si="85">E289*100</f>
        <v>75.613747954173476</v>
      </c>
      <c r="F355" s="198">
        <f t="shared" si="85"/>
        <v>74.123847167325437</v>
      </c>
      <c r="G355" s="198">
        <f t="shared" si="85"/>
        <v>74.266098484848484</v>
      </c>
      <c r="H355" s="198">
        <f t="shared" si="85"/>
        <v>74.830784657808977</v>
      </c>
      <c r="I355" s="198">
        <f t="shared" si="85"/>
        <v>75.758959141748463</v>
      </c>
      <c r="J355" s="198">
        <f t="shared" si="85"/>
        <v>76.040413759923027</v>
      </c>
      <c r="K355" s="198">
        <f t="shared" si="85"/>
        <v>76.138279932546368</v>
      </c>
      <c r="L355" s="198">
        <f t="shared" si="85"/>
        <v>77.422108408023902</v>
      </c>
      <c r="M355" s="198">
        <f t="shared" si="85"/>
        <v>76.24653739612188</v>
      </c>
      <c r="N355" s="198">
        <f t="shared" si="85"/>
        <v>81.041764429845145</v>
      </c>
      <c r="O355" s="198">
        <f t="shared" si="85"/>
        <v>75.223583968201396</v>
      </c>
      <c r="P355" s="198">
        <f t="shared" si="85"/>
        <v>83.534602879702732</v>
      </c>
      <c r="Q355" s="198">
        <f t="shared" si="85"/>
        <v>79.841386942087794</v>
      </c>
      <c r="R355" s="198">
        <f t="shared" si="85"/>
        <v>86.306306306306297</v>
      </c>
      <c r="S355" s="198">
        <f t="shared" si="85"/>
        <v>86.31469260159777</v>
      </c>
      <c r="T355" s="10"/>
      <c r="V355" s="10"/>
      <c r="X355" s="10"/>
      <c r="AB355"/>
    </row>
    <row r="356" spans="2:28" x14ac:dyDescent="0.3">
      <c r="B356" t="s">
        <v>277</v>
      </c>
      <c r="C356" t="s">
        <v>302</v>
      </c>
      <c r="D356" s="198">
        <f>D290*100</f>
        <v>23.279172821270311</v>
      </c>
      <c r="E356" s="198">
        <f t="shared" ref="E356:S356" si="86">E290*100</f>
        <v>24.386252045826513</v>
      </c>
      <c r="F356" s="198">
        <f t="shared" si="86"/>
        <v>25.164690382081687</v>
      </c>
      <c r="G356" s="198">
        <f t="shared" si="86"/>
        <v>24.952651515151516</v>
      </c>
      <c r="H356" s="198">
        <f t="shared" si="86"/>
        <v>24.116319879669092</v>
      </c>
      <c r="I356" s="198">
        <f t="shared" si="86"/>
        <v>23.601917370463365</v>
      </c>
      <c r="J356" s="198">
        <f t="shared" si="86"/>
        <v>22.925186432523454</v>
      </c>
      <c r="K356" s="198">
        <f t="shared" si="86"/>
        <v>23.060708263069142</v>
      </c>
      <c r="L356" s="198">
        <f t="shared" si="86"/>
        <v>21.425522833973538</v>
      </c>
      <c r="M356" s="198">
        <f t="shared" si="86"/>
        <v>22.628116343490305</v>
      </c>
      <c r="N356" s="198">
        <f t="shared" si="86"/>
        <v>14.195213514781793</v>
      </c>
      <c r="O356" s="198">
        <f t="shared" si="86"/>
        <v>18.996356409407088</v>
      </c>
      <c r="P356" s="198">
        <f t="shared" si="86"/>
        <v>13.353460287970274</v>
      </c>
      <c r="Q356" s="198">
        <f t="shared" si="86"/>
        <v>15.935079306528957</v>
      </c>
      <c r="R356" s="198">
        <f t="shared" si="86"/>
        <v>7.6447876447876446</v>
      </c>
      <c r="S356" s="198">
        <f t="shared" si="86"/>
        <v>7.6415422021535253</v>
      </c>
      <c r="T356" s="10"/>
      <c r="V356" s="10"/>
      <c r="X356" s="10"/>
      <c r="AB356"/>
    </row>
    <row r="357" spans="2:28" x14ac:dyDescent="0.3">
      <c r="B357" t="s">
        <v>13</v>
      </c>
      <c r="C357" t="s">
        <v>302</v>
      </c>
      <c r="D357" s="198">
        <f>D291*100</f>
        <v>0</v>
      </c>
      <c r="E357" s="198">
        <f t="shared" ref="E357:S357" si="87">E291*100</f>
        <v>0</v>
      </c>
      <c r="F357" s="198">
        <f t="shared" si="87"/>
        <v>0.71146245059288538</v>
      </c>
      <c r="G357" s="198">
        <f t="shared" si="87"/>
        <v>0.78125</v>
      </c>
      <c r="H357" s="198">
        <f t="shared" si="87"/>
        <v>1.0528954625219353</v>
      </c>
      <c r="I357" s="198">
        <f t="shared" si="87"/>
        <v>0.63912348778817618</v>
      </c>
      <c r="J357" s="198">
        <f t="shared" si="87"/>
        <v>1.0343998075535241</v>
      </c>
      <c r="K357" s="198">
        <f t="shared" si="87"/>
        <v>0.80101180438448571</v>
      </c>
      <c r="L357" s="198">
        <f t="shared" si="87"/>
        <v>1.1523687580025608</v>
      </c>
      <c r="M357" s="198">
        <f t="shared" si="87"/>
        <v>1.1253462603878117</v>
      </c>
      <c r="N357" s="198">
        <f t="shared" si="87"/>
        <v>4.7630220553730647</v>
      </c>
      <c r="O357" s="198">
        <f t="shared" si="87"/>
        <v>5.7800596223915202</v>
      </c>
      <c r="P357" s="198">
        <f t="shared" si="87"/>
        <v>3.1119368323269856</v>
      </c>
      <c r="Q357" s="198">
        <f t="shared" si="87"/>
        <v>4.223533751383254</v>
      </c>
      <c r="R357" s="198">
        <f t="shared" si="87"/>
        <v>6.0489060489060487</v>
      </c>
      <c r="S357" s="198">
        <f t="shared" si="87"/>
        <v>6.0437651962486978</v>
      </c>
      <c r="T357" s="10"/>
      <c r="V357" s="10"/>
      <c r="X357" s="10"/>
      <c r="AB357"/>
    </row>
    <row r="358" spans="2:28" x14ac:dyDescent="0.3">
      <c r="B358" t="s">
        <v>35</v>
      </c>
      <c r="D358">
        <v>7.4</v>
      </c>
      <c r="E358">
        <v>7.4</v>
      </c>
      <c r="F358">
        <v>7.4</v>
      </c>
      <c r="G358">
        <v>7.4</v>
      </c>
      <c r="H358">
        <v>7.4</v>
      </c>
      <c r="I358">
        <v>7.4</v>
      </c>
      <c r="J358">
        <v>7.4</v>
      </c>
      <c r="K358">
        <v>7.4</v>
      </c>
      <c r="L358">
        <v>7.4</v>
      </c>
      <c r="M358">
        <v>7.4</v>
      </c>
      <c r="N358">
        <v>7.4</v>
      </c>
      <c r="O358">
        <v>7.4</v>
      </c>
      <c r="P358">
        <v>7.4</v>
      </c>
      <c r="Q358">
        <v>7.4</v>
      </c>
      <c r="R358">
        <v>7.4</v>
      </c>
      <c r="S358">
        <v>7.4</v>
      </c>
      <c r="AA358" t="s">
        <v>943</v>
      </c>
      <c r="AB358"/>
    </row>
    <row r="359" spans="2:28" x14ac:dyDescent="0.3">
      <c r="B359" t="s">
        <v>52</v>
      </c>
      <c r="C359" t="s">
        <v>621</v>
      </c>
      <c r="D359" t="s">
        <v>1671</v>
      </c>
      <c r="E359" s="133" t="s">
        <v>1671</v>
      </c>
      <c r="F359" s="133" t="s">
        <v>1671</v>
      </c>
      <c r="G359" s="133" t="s">
        <v>1671</v>
      </c>
      <c r="H359" s="133" t="s">
        <v>1671</v>
      </c>
      <c r="I359" s="133" t="s">
        <v>1671</v>
      </c>
      <c r="J359" s="133" t="s">
        <v>1671</v>
      </c>
      <c r="K359" s="133" t="s">
        <v>1671</v>
      </c>
      <c r="L359" s="133" t="s">
        <v>1671</v>
      </c>
      <c r="M359" s="133" t="s">
        <v>1671</v>
      </c>
      <c r="N359" s="133" t="s">
        <v>1671</v>
      </c>
      <c r="O359" s="133" t="s">
        <v>1671</v>
      </c>
      <c r="P359" s="133" t="s">
        <v>1671</v>
      </c>
      <c r="Q359" s="133" t="s">
        <v>1671</v>
      </c>
      <c r="R359" s="133" t="s">
        <v>1671</v>
      </c>
      <c r="S359" s="133" t="s">
        <v>1671</v>
      </c>
      <c r="AB359"/>
    </row>
    <row r="360" spans="2:28" x14ac:dyDescent="0.3">
      <c r="B360" t="s">
        <v>558</v>
      </c>
      <c r="C360" t="s">
        <v>621</v>
      </c>
      <c r="D360" t="s">
        <v>1741</v>
      </c>
      <c r="E360" s="133" t="s">
        <v>1741</v>
      </c>
      <c r="F360" s="133" t="s">
        <v>1741</v>
      </c>
      <c r="G360" s="133" t="s">
        <v>1741</v>
      </c>
      <c r="H360" s="133" t="s">
        <v>1741</v>
      </c>
      <c r="I360" s="133" t="s">
        <v>1741</v>
      </c>
      <c r="J360" s="133" t="s">
        <v>1741</v>
      </c>
      <c r="K360" s="133" t="s">
        <v>1741</v>
      </c>
      <c r="L360" s="133" t="s">
        <v>1741</v>
      </c>
      <c r="M360" s="133" t="s">
        <v>1741</v>
      </c>
      <c r="N360" s="133" t="s">
        <v>1741</v>
      </c>
      <c r="O360" s="133" t="s">
        <v>1741</v>
      </c>
      <c r="P360" s="133" t="s">
        <v>1741</v>
      </c>
      <c r="Q360" s="133" t="s">
        <v>1741</v>
      </c>
      <c r="R360" s="133" t="s">
        <v>1741</v>
      </c>
      <c r="S360" s="133" t="s">
        <v>1741</v>
      </c>
      <c r="AB360"/>
    </row>
    <row r="361" spans="2:28" x14ac:dyDescent="0.3">
      <c r="B361" s="12" t="s">
        <v>757</v>
      </c>
      <c r="C361" s="12" t="s">
        <v>758</v>
      </c>
      <c r="O361"/>
      <c r="P361"/>
      <c r="R361"/>
      <c r="AB361"/>
    </row>
    <row r="362" spans="2:28" x14ac:dyDescent="0.3">
      <c r="O362"/>
      <c r="P362"/>
      <c r="R362"/>
      <c r="AB362"/>
    </row>
    <row r="363" spans="2:28" x14ac:dyDescent="0.3">
      <c r="O363"/>
      <c r="P363"/>
      <c r="R363"/>
      <c r="AB363"/>
    </row>
    <row r="364" spans="2:28" x14ac:dyDescent="0.3">
      <c r="O364"/>
      <c r="P364"/>
      <c r="R364"/>
      <c r="AB364"/>
    </row>
    <row r="365" spans="2:28" x14ac:dyDescent="0.3">
      <c r="O365"/>
      <c r="P365"/>
      <c r="R365"/>
      <c r="AB365"/>
    </row>
    <row r="366" spans="2:28" x14ac:dyDescent="0.3">
      <c r="O366"/>
      <c r="P366"/>
      <c r="R366"/>
      <c r="AB366"/>
    </row>
    <row r="367" spans="2:28" x14ac:dyDescent="0.3">
      <c r="O367"/>
      <c r="P367"/>
      <c r="R367"/>
      <c r="AB367"/>
    </row>
    <row r="368" spans="2:28" x14ac:dyDescent="0.3">
      <c r="O368"/>
      <c r="P368"/>
      <c r="R368"/>
      <c r="AB368"/>
    </row>
    <row r="369" spans="15:28" x14ac:dyDescent="0.3">
      <c r="O369"/>
      <c r="P369"/>
      <c r="R369"/>
      <c r="AB369"/>
    </row>
    <row r="370" spans="15:28" x14ac:dyDescent="0.3">
      <c r="O370"/>
      <c r="P370"/>
      <c r="R370"/>
      <c r="AB370"/>
    </row>
    <row r="371" spans="15:28" x14ac:dyDescent="0.3">
      <c r="O371"/>
      <c r="P371"/>
      <c r="R371"/>
      <c r="AB371"/>
    </row>
    <row r="372" spans="15:28" x14ac:dyDescent="0.3">
      <c r="O372"/>
      <c r="P372"/>
      <c r="R372"/>
      <c r="AB372"/>
    </row>
    <row r="373" spans="15:28" x14ac:dyDescent="0.3">
      <c r="O373"/>
      <c r="P373"/>
      <c r="R373"/>
      <c r="AB373"/>
    </row>
    <row r="374" spans="15:28" x14ac:dyDescent="0.3">
      <c r="O374"/>
      <c r="P374"/>
      <c r="R374"/>
      <c r="AB374"/>
    </row>
    <row r="375" spans="15:28" x14ac:dyDescent="0.3">
      <c r="P375"/>
      <c r="R375"/>
    </row>
    <row r="376" spans="15:28" x14ac:dyDescent="0.3">
      <c r="P376"/>
      <c r="R376"/>
    </row>
    <row r="377" spans="15:28" x14ac:dyDescent="0.3">
      <c r="P377"/>
    </row>
    <row r="378" spans="15:28" x14ac:dyDescent="0.3">
      <c r="P37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Readme</vt:lpstr>
      <vt:lpstr>S1</vt:lpstr>
      <vt:lpstr>S2</vt:lpstr>
      <vt:lpstr>S3</vt:lpstr>
      <vt:lpstr>S4</vt:lpstr>
      <vt:lpstr>Agnees</vt:lpstr>
      <vt:lpstr>Alfaro</vt:lpstr>
      <vt:lpstr>Bass</vt:lpstr>
      <vt:lpstr>Corb</vt:lpstr>
      <vt:lpstr>Deschamps</vt:lpstr>
      <vt:lpstr>Diaz</vt:lpstr>
      <vt:lpstr>Font</vt:lpstr>
      <vt:lpstr>Illi</vt:lpstr>
      <vt:lpstr>Khan</vt:lpstr>
      <vt:lpstr>Kim</vt:lpstr>
      <vt:lpstr>Lebranch</vt:lpstr>
      <vt:lpstr>Lovato</vt:lpstr>
      <vt:lpstr>Luo</vt:lpstr>
      <vt:lpstr>Jing</vt:lpstr>
      <vt:lpstr>Schon</vt:lpstr>
      <vt:lpstr>Tao</vt:lpstr>
      <vt:lpstr>Thapa</vt:lpstr>
      <vt:lpstr>Treu</vt:lpstr>
      <vt:lpstr>Voelk</vt:lpstr>
      <vt:lpstr>Wahid</vt:lpstr>
      <vt:lpstr>Wang W</vt:lpstr>
      <vt:lpstr>Yang</vt:lpstr>
      <vt:lpstr>Zhang</vt:lpstr>
      <vt:lpstr>Zhu</vt:lpstr>
      <vt:lpstr>Data</vt:lpstr>
      <vt:lpstr>Hafuka</vt:lpstr>
      <vt:lpstr>Jens</vt:lpstr>
      <vt:lpstr>Okoro</vt:lpstr>
      <vt:lpstr>Palu</vt:lpstr>
      <vt:lpstr>Xu</vt:lpstr>
      <vt:lpstr>Wang H</vt:lpstr>
      <vt:lpstr>Table 1</vt:lpstr>
      <vt:lpstr>All</vt:lpstr>
      <vt:lpstr>Readme!_Hlk104036267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Heaven S.</dc:creator>
  <cp:lastModifiedBy>Heaven S.</cp:lastModifiedBy>
  <dcterms:created xsi:type="dcterms:W3CDTF">2021-09-10T09:04:51Z</dcterms:created>
  <dcterms:modified xsi:type="dcterms:W3CDTF">2022-06-22T12:43:34Z</dcterms:modified>
</cp:coreProperties>
</file>