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jb3006_soton_ac_uk/Documents/Shared with Everyone/Blue light catheter paper/Frontiers in Microbiology/"/>
    </mc:Choice>
  </mc:AlternateContent>
  <xr:revisionPtr revIDLastSave="1175" documentId="13_ncr:1_{DF03195C-1418-AB40-809E-27EBC6FEEC56}" xr6:coauthVersionLast="47" xr6:coauthVersionMax="47" xr10:uidLastSave="{9827AC75-1F55-409E-B71A-56F83AEFD8A6}"/>
  <bookViews>
    <workbookView minimized="1" xWindow="1905" yWindow="1800" windowWidth="21600" windowHeight="11490" tabRatio="733" activeTab="1" xr2:uid="{FB819BE8-A338-2E40-95FE-363BB8C94395}"/>
  </bookViews>
  <sheets>
    <sheet name="Propagation loss" sheetId="1" r:id="rId1"/>
    <sheet name="Side emission" sheetId="7" r:id="rId2"/>
    <sheet name="Power budget" sheetId="3" r:id="rId3"/>
    <sheet name="SEM statistics" sheetId="8" r:id="rId4"/>
    <sheet name="MB evaluation of catheters" sheetId="4" r:id="rId5"/>
    <sheet name="Power metre characterisation" sheetId="9" r:id="rId6"/>
    <sheet name="Correction factor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7" l="1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O6" i="7"/>
  <c r="P6" i="7"/>
  <c r="Q6" i="7"/>
  <c r="O7" i="7"/>
  <c r="P7" i="7"/>
  <c r="Q7" i="7"/>
  <c r="O8" i="7"/>
  <c r="P8" i="7"/>
  <c r="Q8" i="7"/>
  <c r="O9" i="7"/>
  <c r="P9" i="7"/>
  <c r="Q9" i="7"/>
  <c r="O10" i="7"/>
  <c r="P10" i="7"/>
  <c r="Q10" i="7"/>
  <c r="O11" i="7"/>
  <c r="P11" i="7"/>
  <c r="Q11" i="7"/>
  <c r="O12" i="7"/>
  <c r="P12" i="7"/>
  <c r="Q12" i="7"/>
  <c r="O13" i="7"/>
  <c r="P13" i="7"/>
  <c r="Q13" i="7"/>
  <c r="O14" i="7"/>
  <c r="P14" i="7"/>
  <c r="Q14" i="7"/>
  <c r="N7" i="7"/>
  <c r="N8" i="7"/>
  <c r="N9" i="7"/>
  <c r="N10" i="7"/>
  <c r="N11" i="7"/>
  <c r="N12" i="7"/>
  <c r="N13" i="7"/>
  <c r="N14" i="7"/>
  <c r="N6" i="7"/>
  <c r="C14" i="3"/>
  <c r="C13" i="3"/>
  <c r="D13" i="3" s="1"/>
  <c r="D14" i="3"/>
  <c r="D4" i="3"/>
  <c r="C6" i="3"/>
  <c r="D6" i="3" s="1"/>
  <c r="C5" i="3"/>
  <c r="D5" i="3" s="1"/>
  <c r="D8" i="3" s="1"/>
  <c r="C4" i="3"/>
  <c r="C7" i="3" s="1"/>
  <c r="G6" i="3" s="1"/>
  <c r="G7" i="3" s="1"/>
  <c r="G8" i="3" s="1"/>
  <c r="G9" i="3" s="1"/>
  <c r="D28" i="1"/>
  <c r="D29" i="1"/>
  <c r="D7" i="1"/>
  <c r="V12" i="9"/>
  <c r="U12" i="9"/>
  <c r="R12" i="9"/>
  <c r="Q12" i="9"/>
  <c r="P12" i="9"/>
  <c r="S12" i="9" s="1"/>
  <c r="M12" i="9"/>
  <c r="L12" i="9"/>
  <c r="K12" i="9"/>
  <c r="O12" i="9" s="1"/>
  <c r="V11" i="9"/>
  <c r="U11" i="9"/>
  <c r="R11" i="9"/>
  <c r="Q11" i="9"/>
  <c r="P11" i="9"/>
  <c r="T11" i="9" s="1"/>
  <c r="M11" i="9"/>
  <c r="L11" i="9"/>
  <c r="K11" i="9"/>
  <c r="O11" i="9" s="1"/>
  <c r="V10" i="9"/>
  <c r="U10" i="9"/>
  <c r="R10" i="9"/>
  <c r="Q10" i="9"/>
  <c r="S10" i="9" s="1"/>
  <c r="P10" i="9"/>
  <c r="T10" i="9" s="1"/>
  <c r="M10" i="9"/>
  <c r="N10" i="9" s="1"/>
  <c r="L10" i="9"/>
  <c r="K10" i="9"/>
  <c r="O10" i="9" s="1"/>
  <c r="W9" i="9"/>
  <c r="V9" i="9"/>
  <c r="U9" i="9"/>
  <c r="S9" i="9"/>
  <c r="R9" i="9"/>
  <c r="Q9" i="9"/>
  <c r="P9" i="9"/>
  <c r="T9" i="9" s="1"/>
  <c r="M9" i="9"/>
  <c r="L9" i="9"/>
  <c r="K9" i="9"/>
  <c r="O9" i="9" s="1"/>
  <c r="V8" i="9"/>
  <c r="U8" i="9"/>
  <c r="R8" i="9"/>
  <c r="Q8" i="9"/>
  <c r="S8" i="9" s="1"/>
  <c r="P8" i="9"/>
  <c r="T8" i="9" s="1"/>
  <c r="M8" i="9"/>
  <c r="N8" i="9" s="1"/>
  <c r="L8" i="9"/>
  <c r="K8" i="9"/>
  <c r="O8" i="9" s="1"/>
  <c r="W7" i="9"/>
  <c r="V7" i="9"/>
  <c r="U7" i="9"/>
  <c r="S7" i="9"/>
  <c r="R7" i="9"/>
  <c r="Q7" i="9"/>
  <c r="P7" i="9"/>
  <c r="T7" i="9" s="1"/>
  <c r="M7" i="9"/>
  <c r="L7" i="9"/>
  <c r="K7" i="9"/>
  <c r="O7" i="9" s="1"/>
  <c r="V6" i="9"/>
  <c r="U6" i="9"/>
  <c r="R6" i="9"/>
  <c r="Q6" i="9"/>
  <c r="S6" i="9" s="1"/>
  <c r="P6" i="9"/>
  <c r="T6" i="9" s="1"/>
  <c r="M6" i="9"/>
  <c r="N6" i="9" s="1"/>
  <c r="L6" i="9"/>
  <c r="K6" i="9"/>
  <c r="O6" i="9" s="1"/>
  <c r="W5" i="9"/>
  <c r="V5" i="9"/>
  <c r="U5" i="9"/>
  <c r="T5" i="9"/>
  <c r="S5" i="9"/>
  <c r="R5" i="9"/>
  <c r="Q5" i="9"/>
  <c r="P5" i="9"/>
  <c r="M5" i="9"/>
  <c r="L5" i="9"/>
  <c r="K5" i="9"/>
  <c r="N5" i="9" s="1"/>
  <c r="V4" i="9"/>
  <c r="W12" i="9" s="1"/>
  <c r="U4" i="9"/>
  <c r="R4" i="9"/>
  <c r="Q4" i="9"/>
  <c r="S4" i="9" s="1"/>
  <c r="P4" i="9"/>
  <c r="T4" i="9" s="1"/>
  <c r="M4" i="9"/>
  <c r="O4" i="9" s="1"/>
  <c r="L4" i="9"/>
  <c r="K4" i="9"/>
  <c r="B1" i="9"/>
  <c r="B10" i="9" s="1"/>
  <c r="G5" i="3"/>
  <c r="G4" i="3"/>
  <c r="D7" i="3" l="1"/>
  <c r="C8" i="3"/>
  <c r="O5" i="9"/>
  <c r="B4" i="9"/>
  <c r="N4" i="9"/>
  <c r="B12" i="9"/>
  <c r="W4" i="9"/>
  <c r="W8" i="9"/>
  <c r="B5" i="9"/>
  <c r="B7" i="9"/>
  <c r="N7" i="9"/>
  <c r="B9" i="9"/>
  <c r="N9" i="9"/>
  <c r="B11" i="9"/>
  <c r="N11" i="9"/>
  <c r="T12" i="9"/>
  <c r="S11" i="9"/>
  <c r="W11" i="9"/>
  <c r="N12" i="9"/>
  <c r="B6" i="9"/>
  <c r="B8" i="9"/>
  <c r="W6" i="9"/>
  <c r="W10" i="9"/>
  <c r="H7" i="3"/>
  <c r="H8" i="3" s="1"/>
  <c r="H9" i="3" l="1"/>
  <c r="H10" i="3" s="1"/>
  <c r="I9" i="3" l="1"/>
  <c r="I10" i="3" s="1"/>
  <c r="L11" i="8"/>
  <c r="L15" i="8" s="1"/>
  <c r="J11" i="8"/>
  <c r="J15" i="8" s="1"/>
  <c r="H11" i="8"/>
  <c r="H15" i="8" s="1"/>
  <c r="F11" i="8"/>
  <c r="F15" i="8" s="1"/>
  <c r="D11" i="8"/>
  <c r="D15" i="8" s="1"/>
  <c r="B11" i="8"/>
  <c r="B15" i="8" s="1"/>
  <c r="L10" i="8"/>
  <c r="L14" i="8" s="1"/>
  <c r="J10" i="8"/>
  <c r="J14" i="8" s="1"/>
  <c r="H10" i="8"/>
  <c r="F10" i="8"/>
  <c r="F14" i="8" s="1"/>
  <c r="D10" i="8"/>
  <c r="D14" i="8" s="1"/>
  <c r="B10" i="8"/>
  <c r="B14" i="8" s="1"/>
  <c r="R9" i="8"/>
  <c r="S6" i="8"/>
  <c r="R6" i="8"/>
  <c r="Q6" i="8"/>
  <c r="U4" i="8"/>
  <c r="S4" i="8"/>
  <c r="Y4" i="8" s="1"/>
  <c r="Y5" i="8" s="1"/>
  <c r="AD3" i="8"/>
  <c r="AD4" i="8" s="1"/>
  <c r="AD5" i="8" s="1"/>
  <c r="M13" i="8" l="1"/>
  <c r="G17" i="8"/>
  <c r="G16" i="8"/>
  <c r="T4" i="8"/>
  <c r="H14" i="8"/>
  <c r="G12" i="8"/>
  <c r="M12" i="8"/>
  <c r="G13" i="8"/>
  <c r="X4" i="8"/>
  <c r="M17" i="8" l="1"/>
  <c r="M16" i="8"/>
  <c r="G18" i="8" s="1"/>
  <c r="G6" i="7" l="1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G12" i="7"/>
  <c r="H12" i="7"/>
  <c r="I12" i="7"/>
  <c r="J12" i="7"/>
  <c r="G13" i="7"/>
  <c r="H13" i="7"/>
  <c r="I13" i="7"/>
  <c r="J13" i="7"/>
  <c r="G14" i="7"/>
  <c r="H14" i="7"/>
  <c r="I14" i="7"/>
  <c r="J14" i="7"/>
  <c r="L6" i="7" l="1"/>
  <c r="K6" i="7"/>
  <c r="M6" i="7" l="1"/>
  <c r="L7" i="7"/>
  <c r="K7" i="7"/>
  <c r="M7" i="7" s="1"/>
  <c r="L9" i="7"/>
  <c r="K9" i="7"/>
  <c r="K11" i="7"/>
  <c r="L11" i="7"/>
  <c r="K14" i="7"/>
  <c r="L14" i="7"/>
  <c r="K12" i="7"/>
  <c r="L12" i="7"/>
  <c r="L8" i="7"/>
  <c r="K8" i="7"/>
  <c r="M8" i="7" s="1"/>
  <c r="L10" i="7"/>
  <c r="K10" i="7"/>
  <c r="L13" i="7"/>
  <c r="K13" i="7"/>
  <c r="M11" i="7" l="1"/>
  <c r="M14" i="7"/>
  <c r="M12" i="7"/>
  <c r="M9" i="7"/>
  <c r="M13" i="7"/>
  <c r="M10" i="7"/>
  <c r="N5" i="4"/>
  <c r="P19" i="4"/>
  <c r="O19" i="4"/>
  <c r="N19" i="4"/>
  <c r="P17" i="4"/>
  <c r="O17" i="4"/>
  <c r="N17" i="4"/>
  <c r="P15" i="4"/>
  <c r="O15" i="4"/>
  <c r="N15" i="4"/>
  <c r="P13" i="4"/>
  <c r="O13" i="4"/>
  <c r="N13" i="4"/>
  <c r="P11" i="4"/>
  <c r="O11" i="4"/>
  <c r="N11" i="4"/>
  <c r="P9" i="4"/>
  <c r="O9" i="4"/>
  <c r="N9" i="4"/>
  <c r="P7" i="4"/>
  <c r="O7" i="4"/>
  <c r="N7" i="4"/>
  <c r="O5" i="4"/>
  <c r="P5" i="4"/>
  <c r="J5" i="4"/>
  <c r="L5" i="4" s="1"/>
  <c r="J6" i="4"/>
  <c r="L6" i="4" s="1"/>
  <c r="J7" i="4"/>
  <c r="L7" i="4" s="1"/>
  <c r="J8" i="4"/>
  <c r="L8" i="4" s="1"/>
  <c r="J9" i="4"/>
  <c r="L9" i="4" s="1"/>
  <c r="J10" i="4"/>
  <c r="L10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J19" i="4"/>
  <c r="L19" i="4" s="1"/>
  <c r="J4" i="4"/>
  <c r="L4" i="4" s="1"/>
  <c r="I5" i="4"/>
  <c r="K5" i="4" s="1"/>
  <c r="I6" i="4"/>
  <c r="K6" i="4" s="1"/>
  <c r="I7" i="4"/>
  <c r="K7" i="4" s="1"/>
  <c r="I8" i="4"/>
  <c r="K8" i="4" s="1"/>
  <c r="I9" i="4"/>
  <c r="K9" i="4" s="1"/>
  <c r="I10" i="4"/>
  <c r="K10" i="4" s="1"/>
  <c r="I11" i="4"/>
  <c r="K11" i="4" s="1"/>
  <c r="I12" i="4"/>
  <c r="K12" i="4" s="1"/>
  <c r="I13" i="4"/>
  <c r="K13" i="4" s="1"/>
  <c r="I14" i="4"/>
  <c r="K14" i="4" s="1"/>
  <c r="I15" i="4"/>
  <c r="K15" i="4" s="1"/>
  <c r="I16" i="4"/>
  <c r="K16" i="4" s="1"/>
  <c r="I17" i="4"/>
  <c r="K17" i="4" s="1"/>
  <c r="I18" i="4"/>
  <c r="K18" i="4" s="1"/>
  <c r="I19" i="4"/>
  <c r="K19" i="4" s="1"/>
  <c r="I4" i="4"/>
  <c r="K4" i="4" s="1"/>
  <c r="E7" i="1"/>
  <c r="F7" i="1" s="1"/>
  <c r="G11" i="1" s="1"/>
  <c r="E6" i="1"/>
  <c r="I6" i="1" s="1"/>
  <c r="E5" i="1"/>
  <c r="I5" i="1" s="1"/>
  <c r="I15" i="1"/>
  <c r="E39" i="1"/>
  <c r="F39" i="1" s="1"/>
  <c r="E38" i="1"/>
  <c r="F38" i="1" s="1"/>
  <c r="E37" i="1"/>
  <c r="F37" i="1" s="1"/>
  <c r="E36" i="1"/>
  <c r="E35" i="1"/>
  <c r="E29" i="1"/>
  <c r="F29" i="1" s="1"/>
  <c r="E28" i="1"/>
  <c r="F28" i="1" s="1"/>
  <c r="E27" i="1"/>
  <c r="F27" i="1" s="1"/>
  <c r="E26" i="1"/>
  <c r="E25" i="1"/>
  <c r="F25" i="1" s="1"/>
  <c r="I16" i="1"/>
  <c r="F15" i="1"/>
  <c r="R19" i="4" l="1"/>
  <c r="Q9" i="4"/>
  <c r="Q7" i="4"/>
  <c r="Q11" i="4"/>
  <c r="R11" i="4"/>
  <c r="T11" i="4" s="1"/>
  <c r="R15" i="4"/>
  <c r="T15" i="4" s="1"/>
  <c r="R7" i="4"/>
  <c r="R13" i="4"/>
  <c r="T19" i="4"/>
  <c r="R17" i="4"/>
  <c r="R9" i="4"/>
  <c r="Q15" i="4"/>
  <c r="R5" i="4"/>
  <c r="Q17" i="4"/>
  <c r="Q19" i="4"/>
  <c r="S19" i="4" s="1"/>
  <c r="Q5" i="4"/>
  <c r="Q13" i="4"/>
  <c r="M17" i="4"/>
  <c r="M8" i="4"/>
  <c r="M7" i="4"/>
  <c r="M14" i="4"/>
  <c r="M13" i="4"/>
  <c r="M11" i="4"/>
  <c r="M9" i="4"/>
  <c r="M16" i="4"/>
  <c r="M15" i="4"/>
  <c r="M6" i="4"/>
  <c r="M5" i="4"/>
  <c r="M12" i="4"/>
  <c r="M10" i="4"/>
  <c r="M18" i="4"/>
  <c r="M19" i="4"/>
  <c r="M4" i="4"/>
  <c r="F6" i="1"/>
  <c r="G7" i="1" s="1"/>
  <c r="F5" i="1"/>
  <c r="I26" i="1"/>
  <c r="I27" i="1"/>
  <c r="I37" i="1"/>
  <c r="G28" i="1"/>
  <c r="I35" i="1"/>
  <c r="I25" i="1"/>
  <c r="I36" i="1"/>
  <c r="G38" i="1"/>
  <c r="F36" i="1"/>
  <c r="G37" i="1" s="1"/>
  <c r="F35" i="1"/>
  <c r="F26" i="1"/>
  <c r="G27" i="1" s="1"/>
  <c r="F16" i="1"/>
  <c r="G16" i="1" s="1"/>
  <c r="G20" i="1" s="1"/>
  <c r="S11" i="4" l="1"/>
  <c r="S5" i="4"/>
  <c r="T5" i="4"/>
  <c r="U13" i="4"/>
  <c r="V13" i="4"/>
  <c r="AB19" i="4" s="1"/>
  <c r="B24" i="4"/>
  <c r="B23" i="4"/>
  <c r="S7" i="4"/>
  <c r="T7" i="4"/>
  <c r="U19" i="4"/>
  <c r="C24" i="4"/>
  <c r="C25" i="4" s="1"/>
  <c r="C23" i="4"/>
  <c r="V19" i="4"/>
  <c r="S15" i="4"/>
  <c r="T9" i="4"/>
  <c r="S9" i="4"/>
  <c r="T13" i="4"/>
  <c r="S13" i="4"/>
  <c r="S17" i="4"/>
  <c r="T17" i="4"/>
  <c r="G6" i="1"/>
  <c r="G10" i="1" s="1"/>
  <c r="G36" i="1"/>
  <c r="G40" i="1" s="1"/>
  <c r="G41" i="1" s="1"/>
  <c r="G26" i="1"/>
  <c r="G30" i="1" s="1"/>
  <c r="G31" i="1" s="1"/>
  <c r="D25" i="4" l="1"/>
  <c r="B25" i="4"/>
  <c r="X19" i="4"/>
  <c r="F23" i="4"/>
  <c r="D23" i="4"/>
  <c r="AA19" i="4"/>
  <c r="Z19" i="4"/>
  <c r="W19" i="4"/>
  <c r="I44" i="1"/>
  <c r="G44" i="1"/>
  <c r="I23" i="4" l="1"/>
  <c r="J23" i="4"/>
  <c r="J24" i="4" s="1"/>
  <c r="Y19" i="4"/>
  <c r="E23" i="4"/>
  <c r="AC19" i="4"/>
</calcChain>
</file>

<file path=xl/sharedStrings.xml><?xml version="1.0" encoding="utf-8"?>
<sst xmlns="http://schemas.openxmlformats.org/spreadsheetml/2006/main" count="289" uniqueCount="166">
  <si>
    <t>818-sl detector</t>
  </si>
  <si>
    <t>LS-6946</t>
  </si>
  <si>
    <t>Batch 1</t>
  </si>
  <si>
    <t>1 mm fiber 0.5 na</t>
  </si>
  <si>
    <t>Cut back 
position</t>
  </si>
  <si>
    <t>Waveguide 
length (cm)</t>
  </si>
  <si>
    <t>Background</t>
  </si>
  <si>
    <t>Optical 
power (mW)</t>
  </si>
  <si>
    <t>Optical 
power
 (mW)</t>
  </si>
  <si>
    <t>Dbm</t>
  </si>
  <si>
    <t>Loss Db/cm</t>
  </si>
  <si>
    <t>Length</t>
  </si>
  <si>
    <t>Normalised loss dB</t>
  </si>
  <si>
    <t>Coupling loss</t>
  </si>
  <si>
    <t>Batch 2</t>
  </si>
  <si>
    <t>1mm fibre 0.5 na</t>
  </si>
  <si>
    <t>LS-69436</t>
  </si>
  <si>
    <t>600 um 0.22 NA</t>
  </si>
  <si>
    <t>Average</t>
  </si>
  <si>
    <t>Std</t>
  </si>
  <si>
    <t>Propagation loss dB/cm</t>
  </si>
  <si>
    <t>Waveguide</t>
  </si>
  <si>
    <t>Waveguide 2</t>
  </si>
  <si>
    <t>Waveguide 3</t>
  </si>
  <si>
    <t>Mean Propagation loss</t>
  </si>
  <si>
    <t>Mean  Propagation loss</t>
  </si>
  <si>
    <t>Propagation length from normalisation start (cm)</t>
  </si>
  <si>
    <t>Waveguide 1</t>
  </si>
  <si>
    <t>Waveguide 4</t>
  </si>
  <si>
    <t>LED</t>
  </si>
  <si>
    <t>Catheter</t>
  </si>
  <si>
    <t>Segment</t>
  </si>
  <si>
    <t>Intensity</t>
  </si>
  <si>
    <t>Mean</t>
  </si>
  <si>
    <t>Num Cells</t>
  </si>
  <si>
    <t>StD</t>
  </si>
  <si>
    <t>CV</t>
  </si>
  <si>
    <t>Treatment</t>
  </si>
  <si>
    <t>No light control</t>
  </si>
  <si>
    <t>Blue light</t>
  </si>
  <si>
    <t>Plating Dilution</t>
  </si>
  <si>
    <t>SEM</t>
  </si>
  <si>
    <t>Means</t>
  </si>
  <si>
    <t>t</t>
  </si>
  <si>
    <t>X-u</t>
  </si>
  <si>
    <t>X1</t>
  </si>
  <si>
    <t>X2</t>
  </si>
  <si>
    <t>S2</t>
  </si>
  <si>
    <t>S1</t>
  </si>
  <si>
    <t>Sdelta</t>
  </si>
  <si>
    <t>df</t>
  </si>
  <si>
    <t>p</t>
  </si>
  <si>
    <t>Technical replicates</t>
  </si>
  <si>
    <t>Biological replicates</t>
  </si>
  <si>
    <t>Stdev (CFU)</t>
  </si>
  <si>
    <t xml:space="preserve">Mean (CFU) </t>
  </si>
  <si>
    <t>t value</t>
  </si>
  <si>
    <t>Degrees 
freedom</t>
  </si>
  <si>
    <t>X2-X1</t>
  </si>
  <si>
    <t>&lt;0.005</t>
  </si>
  <si>
    <t>P
2 tailed</t>
  </si>
  <si>
    <t>Light guiding
Catheter (X2)</t>
  </si>
  <si>
    <t>Control 
Catheter
(X1)</t>
  </si>
  <si>
    <t>P
1 tailed</t>
  </si>
  <si>
    <t>Whole catheter.  Segment 1+ Segment 2 , CFU</t>
  </si>
  <si>
    <t xml:space="preserve"> Separate segments CFU</t>
  </si>
  <si>
    <t>Plate 1 CFU</t>
  </si>
  <si>
    <t>Plate 2 CFU</t>
  </si>
  <si>
    <t>Plate 3 CFU</t>
  </si>
  <si>
    <t>t value
alpha=0.05</t>
  </si>
  <si>
    <t>Infinity</t>
  </si>
  <si>
    <t>95%
Confidence
Interval of difference
Lower</t>
  </si>
  <si>
    <t>95%
Confidence interval of difference
Upper</t>
  </si>
  <si>
    <t>Kill factor&gt;&gt;</t>
  </si>
  <si>
    <t>&lt;0.01</t>
  </si>
  <si>
    <t>Welchs T test</t>
  </si>
  <si>
    <t>Photodiode measurement (mW)</t>
  </si>
  <si>
    <t>Stdev</t>
  </si>
  <si>
    <r>
      <t xml:space="preserve">Displacement </t>
    </r>
    <r>
      <rPr>
        <b/>
        <i/>
        <sz val="14"/>
        <color theme="1"/>
        <rFont val="Calibri"/>
        <family val="2"/>
        <scheme val="minor"/>
      </rPr>
      <t>i</t>
    </r>
    <r>
      <rPr>
        <b/>
        <sz val="14"/>
        <color theme="1"/>
        <rFont val="Calibri"/>
        <family val="2"/>
        <scheme val="minor"/>
      </rPr>
      <t xml:space="preserve"> (cm)</t>
    </r>
  </si>
  <si>
    <t>Running mean</t>
  </si>
  <si>
    <t>B11</t>
  </si>
  <si>
    <t>B41</t>
  </si>
  <si>
    <t>B42</t>
  </si>
  <si>
    <t>Control 1</t>
  </si>
  <si>
    <t>Control 2</t>
  </si>
  <si>
    <t>Control 3</t>
  </si>
  <si>
    <t>FOV</t>
  </si>
  <si>
    <t>No Cells</t>
  </si>
  <si>
    <t>Notes</t>
  </si>
  <si>
    <t>globules</t>
  </si>
  <si>
    <t>clusters without mucus</t>
  </si>
  <si>
    <t>evenly spaced bright cells</t>
  </si>
  <si>
    <t>dim/ sparse cells</t>
  </si>
  <si>
    <t>Globules with mucus</t>
  </si>
  <si>
    <t>single clump , some fragments</t>
  </si>
  <si>
    <t>large biofilm mass</t>
  </si>
  <si>
    <t>Mean (cells/FOV)</t>
  </si>
  <si>
    <t>StDev (cells/FOV)</t>
  </si>
  <si>
    <t>StDev</t>
  </si>
  <si>
    <t>Mean (cells/cm2)</t>
  </si>
  <si>
    <t>Stdev (cells/cm2)</t>
  </si>
  <si>
    <t>Survival fraction</t>
  </si>
  <si>
    <t>Width</t>
  </si>
  <si>
    <t>Height</t>
  </si>
  <si>
    <t>Field of view</t>
  </si>
  <si>
    <t>um2</t>
  </si>
  <si>
    <t>globules DISPLAYED</t>
  </si>
  <si>
    <t>cm2</t>
  </si>
  <si>
    <t>evenly spaced bright cells DISPLAYED</t>
  </si>
  <si>
    <t>Displayed</t>
  </si>
  <si>
    <t>DISPLAYED evenly spaced bright cells</t>
  </si>
  <si>
    <t>Fibre</t>
  </si>
  <si>
    <t>Max</t>
  </si>
  <si>
    <t>Min</t>
  </si>
  <si>
    <t>mW/cm2</t>
  </si>
  <si>
    <t>Output power (mW)</t>
  </si>
  <si>
    <t>fibre&gt;&gt;&gt;waveguide</t>
  </si>
  <si>
    <t>LED &gt;&gt;&gt; fibre</t>
  </si>
  <si>
    <t>Max loss (dB)</t>
  </si>
  <si>
    <t>Min loss (dB)</t>
  </si>
  <si>
    <t>Average loss (dB)</t>
  </si>
  <si>
    <t>fibre&gt;&gt;&gt;catheter body</t>
  </si>
  <si>
    <t xml:space="preserve">Power propogating (mW) </t>
  </si>
  <si>
    <t>Power propagating (%)</t>
  </si>
  <si>
    <t>Cumulative loss (dB)</t>
  </si>
  <si>
    <t>P=0.006</t>
  </si>
  <si>
    <t>P=0.003</t>
  </si>
  <si>
    <r>
      <rPr>
        <i/>
        <sz val="14"/>
        <color theme="1"/>
        <rFont val="Calibri"/>
        <family val="2"/>
        <scheme val="minor"/>
      </rPr>
      <t>P</t>
    </r>
    <r>
      <rPr>
        <sz val="14"/>
        <color theme="1"/>
        <rFont val="Calibri"/>
        <family val="2"/>
        <scheme val="minor"/>
      </rPr>
      <t>=0.007</t>
    </r>
  </si>
  <si>
    <r>
      <rPr>
        <i/>
        <sz val="14"/>
        <color theme="1"/>
        <rFont val="Calibri"/>
        <family val="2"/>
        <scheme val="minor"/>
      </rPr>
      <t>P</t>
    </r>
    <r>
      <rPr>
        <sz val="14"/>
        <color theme="1"/>
        <rFont val="Calibri"/>
        <family val="2"/>
        <scheme val="minor"/>
      </rPr>
      <t>=0.013</t>
    </r>
  </si>
  <si>
    <t>Multiplication factor for cell density</t>
  </si>
  <si>
    <t>Measuring the propagation loss for silicone waveguides in light guiding catheters</t>
  </si>
  <si>
    <t>Measuring the side emission irradiance and calculating the irradiance at the far wall of the catheter lumen</t>
  </si>
  <si>
    <t>LED to fibre coupling loss</t>
  </si>
  <si>
    <t>Optical Power budget for system</t>
  </si>
  <si>
    <t>By eye counts from SEM images of intact cells on silicone surfaces</t>
  </si>
  <si>
    <t>CFU counts of Proteus Mirabilis from catheter pieces in an invitro study comparing LGC to standard catheter</t>
  </si>
  <si>
    <t>Adjacent (cm)</t>
  </si>
  <si>
    <t>Absolute power (uW)</t>
  </si>
  <si>
    <t>Relative power (%)</t>
  </si>
  <si>
    <t>Angle</t>
  </si>
  <si>
    <t>Opposite (cm)</t>
  </si>
  <si>
    <t>No filter 1</t>
  </si>
  <si>
    <t xml:space="preserve">No filter 2 </t>
  </si>
  <si>
    <t>No filter 3</t>
  </si>
  <si>
    <t>No filter mean</t>
  </si>
  <si>
    <t>No filter SD</t>
  </si>
  <si>
    <t>Costheta</t>
  </si>
  <si>
    <t>Filter Path (mm)</t>
  </si>
  <si>
    <t>Transmission</t>
  </si>
  <si>
    <t>OD3 1</t>
  </si>
  <si>
    <t>OD3 2</t>
  </si>
  <si>
    <t>OD 3 3</t>
  </si>
  <si>
    <t>OD3 filter Mean</t>
  </si>
  <si>
    <t>OD3 filter SD</t>
  </si>
  <si>
    <t>918 OD3
Power (mW)</t>
  </si>
  <si>
    <t>818 sphere
Power (No multiplication) (uW)</t>
  </si>
  <si>
    <t>Integration Sphere 
Power (After multiplication) (mW)</t>
  </si>
  <si>
    <t>Correction Factor</t>
  </si>
  <si>
    <t>Sphere Multiplication factor</t>
  </si>
  <si>
    <t>Mean correction factor</t>
  </si>
  <si>
    <t>SD</t>
  </si>
  <si>
    <t>Repeat measurements Direct power measurement with OD3 ND filter vs Integrating sphere measurements.</t>
  </si>
  <si>
    <t>DB</t>
  </si>
  <si>
    <t xml:space="preserve"> LS-69456</t>
  </si>
  <si>
    <r>
      <t xml:space="preserve">Estimated Intensity at far wall of lumen (mW) </t>
    </r>
    <r>
      <rPr>
        <b/>
        <i/>
        <sz val="14"/>
        <color theme="1"/>
        <rFont val="Calibri"/>
        <family val="2"/>
        <scheme val="minor"/>
      </rPr>
      <t>Z=2.9mm</t>
    </r>
  </si>
  <si>
    <t>Relative Photodiode measurement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</si>
</sst>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E+00"/>
  </numFmts>
  <fonts count="11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164" fontId="0" fillId="0" borderId="2" xfId="0" applyNumberFormat="1" applyBorder="1"/>
    <xf numFmtId="0" fontId="2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0" fontId="2" fillId="0" borderId="4" xfId="0" applyFont="1" applyBorder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5" xfId="0" applyBorder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5" xfId="0" applyNumberFormat="1" applyBorder="1"/>
    <xf numFmtId="165" fontId="2" fillId="0" borderId="0" xfId="0" applyNumberFormat="1" applyFont="1"/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2" fillId="0" borderId="7" xfId="0" applyFont="1" applyBorder="1"/>
    <xf numFmtId="2" fontId="0" fillId="0" borderId="7" xfId="0" applyNumberFormat="1" applyBorder="1"/>
    <xf numFmtId="2" fontId="0" fillId="0" borderId="8" xfId="0" applyNumberFormat="1" applyBorder="1"/>
    <xf numFmtId="0" fontId="3" fillId="0" borderId="0" xfId="0" applyFont="1"/>
    <xf numFmtId="11" fontId="2" fillId="0" borderId="0" xfId="0" applyNumberFormat="1" applyFont="1"/>
    <xf numFmtId="0" fontId="0" fillId="0" borderId="0" xfId="0" applyBorder="1"/>
    <xf numFmtId="11" fontId="0" fillId="0" borderId="0" xfId="0" applyNumberFormat="1"/>
    <xf numFmtId="0" fontId="0" fillId="0" borderId="0" xfId="0" applyFill="1" applyBorder="1"/>
    <xf numFmtId="11" fontId="0" fillId="0" borderId="0" xfId="0" applyNumberFormat="1" applyBorder="1"/>
    <xf numFmtId="11" fontId="0" fillId="0" borderId="5" xfId="0" applyNumberFormat="1" applyBorder="1"/>
    <xf numFmtId="11" fontId="0" fillId="0" borderId="6" xfId="0" applyNumberFormat="1" applyBorder="1"/>
    <xf numFmtId="11" fontId="0" fillId="0" borderId="7" xfId="0" applyNumberFormat="1" applyBorder="1"/>
    <xf numFmtId="11" fontId="0" fillId="0" borderId="8" xfId="0" applyNumberFormat="1" applyBorder="1"/>
    <xf numFmtId="0" fontId="1" fillId="0" borderId="11" xfId="0" applyFont="1" applyBorder="1"/>
    <xf numFmtId="165" fontId="0" fillId="0" borderId="7" xfId="0" applyNumberFormat="1" applyBorder="1"/>
    <xf numFmtId="0" fontId="1" fillId="0" borderId="0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11" fontId="0" fillId="0" borderId="2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/>
    <xf numFmtId="0" fontId="1" fillId="0" borderId="3" xfId="0" applyFont="1" applyBorder="1"/>
    <xf numFmtId="11" fontId="0" fillId="0" borderId="1" xfId="0" applyNumberFormat="1" applyBorder="1"/>
    <xf numFmtId="11" fontId="0" fillId="0" borderId="3" xfId="0" applyNumberFormat="1" applyBorder="1"/>
    <xf numFmtId="0" fontId="0" fillId="0" borderId="2" xfId="0" applyFill="1" applyBorder="1"/>
    <xf numFmtId="0" fontId="0" fillId="0" borderId="7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/>
    <xf numFmtId="2" fontId="0" fillId="2" borderId="2" xfId="0" applyNumberFormat="1" applyFill="1" applyBorder="1"/>
    <xf numFmtId="11" fontId="0" fillId="2" borderId="2" xfId="0" applyNumberFormat="1" applyFill="1" applyBorder="1"/>
    <xf numFmtId="11" fontId="0" fillId="2" borderId="1" xfId="0" applyNumberFormat="1" applyFill="1" applyBorder="1"/>
    <xf numFmtId="11" fontId="0" fillId="2" borderId="3" xfId="0" applyNumberFormat="1" applyFill="1" applyBorder="1"/>
    <xf numFmtId="0" fontId="0" fillId="2" borderId="3" xfId="0" applyFill="1" applyBorder="1"/>
    <xf numFmtId="0" fontId="0" fillId="2" borderId="7" xfId="0" applyFill="1" applyBorder="1"/>
    <xf numFmtId="2" fontId="0" fillId="2" borderId="7" xfId="0" applyNumberFormat="1" applyFill="1" applyBorder="1"/>
    <xf numFmtId="11" fontId="0" fillId="2" borderId="7" xfId="0" applyNumberFormat="1" applyFill="1" applyBorder="1"/>
    <xf numFmtId="165" fontId="0" fillId="2" borderId="7" xfId="0" applyNumberFormat="1" applyFill="1" applyBorder="1"/>
    <xf numFmtId="11" fontId="0" fillId="2" borderId="6" xfId="0" applyNumberFormat="1" applyFill="1" applyBorder="1"/>
    <xf numFmtId="11" fontId="0" fillId="2" borderId="8" xfId="0" applyNumberFormat="1" applyFill="1" applyBorder="1"/>
    <xf numFmtId="0" fontId="0" fillId="2" borderId="0" xfId="0" applyFill="1" applyBorder="1"/>
    <xf numFmtId="2" fontId="0" fillId="2" borderId="0" xfId="0" applyNumberFormat="1" applyFill="1" applyBorder="1"/>
    <xf numFmtId="11" fontId="0" fillId="2" borderId="0" xfId="0" applyNumberFormat="1" applyFill="1" applyBorder="1"/>
    <xf numFmtId="11" fontId="0" fillId="2" borderId="4" xfId="0" applyNumberFormat="1" applyFill="1" applyBorder="1"/>
    <xf numFmtId="11" fontId="0" fillId="2" borderId="5" xfId="0" applyNumberFormat="1" applyFill="1" applyBorder="1"/>
    <xf numFmtId="0" fontId="0" fillId="2" borderId="5" xfId="0" applyFill="1" applyBorder="1"/>
    <xf numFmtId="11" fontId="0" fillId="0" borderId="0" xfId="0" applyNumberFormat="1" applyFill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0" fillId="0" borderId="13" xfId="0" applyBorder="1"/>
    <xf numFmtId="0" fontId="0" fillId="0" borderId="12" xfId="0" applyFill="1" applyBorder="1" applyAlignment="1">
      <alignment horizontal="center" vertical="center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2" xfId="0" applyFont="1" applyBorder="1" applyAlignment="1">
      <alignment wrapText="1"/>
    </xf>
    <xf numFmtId="165" fontId="0" fillId="0" borderId="3" xfId="0" applyNumberFormat="1" applyBorder="1"/>
    <xf numFmtId="0" fontId="1" fillId="0" borderId="6" xfId="0" applyFont="1" applyBorder="1"/>
    <xf numFmtId="165" fontId="0" fillId="0" borderId="8" xfId="0" applyNumberFormat="1" applyBorder="1"/>
    <xf numFmtId="0" fontId="1" fillId="2" borderId="1" xfId="0" applyFont="1" applyFill="1" applyBorder="1"/>
    <xf numFmtId="165" fontId="0" fillId="2" borderId="3" xfId="0" applyNumberFormat="1" applyFill="1" applyBorder="1"/>
    <xf numFmtId="0" fontId="1" fillId="2" borderId="6" xfId="0" applyFont="1" applyFill="1" applyBorder="1"/>
    <xf numFmtId="165" fontId="0" fillId="2" borderId="8" xfId="0" applyNumberFormat="1" applyFill="1" applyBorder="1"/>
    <xf numFmtId="0" fontId="1" fillId="2" borderId="4" xfId="0" applyFont="1" applyFill="1" applyBorder="1"/>
    <xf numFmtId="165" fontId="0" fillId="2" borderId="5" xfId="0" applyNumberFormat="1" applyFill="1" applyBorder="1"/>
    <xf numFmtId="164" fontId="0" fillId="0" borderId="13" xfId="0" applyNumberFormat="1" applyBorder="1"/>
    <xf numFmtId="0" fontId="0" fillId="0" borderId="4" xfId="0" applyBorder="1"/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1" fontId="0" fillId="0" borderId="4" xfId="0" applyNumberFormat="1" applyBorder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1" fontId="1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166" fontId="0" fillId="0" borderId="0" xfId="0" applyNumberFormat="1" applyBorder="1"/>
    <xf numFmtId="0" fontId="1" fillId="0" borderId="8" xfId="0" applyFont="1" applyBorder="1"/>
    <xf numFmtId="165" fontId="0" fillId="0" borderId="11" xfId="0" applyNumberFormat="1" applyBorder="1"/>
    <xf numFmtId="0" fontId="1" fillId="0" borderId="14" xfId="0" applyFont="1" applyBorder="1" applyAlignment="1">
      <alignment wrapText="1"/>
    </xf>
    <xf numFmtId="0" fontId="0" fillId="0" borderId="9" xfId="0" applyNumberForma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 applyFill="1" applyBorder="1"/>
    <xf numFmtId="0" fontId="0" fillId="0" borderId="15" xfId="0" applyBorder="1"/>
    <xf numFmtId="0" fontId="0" fillId="0" borderId="16" xfId="0" applyBorder="1"/>
    <xf numFmtId="164" fontId="0" fillId="0" borderId="16" xfId="0" applyNumberFormat="1" applyBorder="1"/>
    <xf numFmtId="164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 applyAlignment="1"/>
    <xf numFmtId="0" fontId="2" fillId="0" borderId="23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21" xfId="0" applyFont="1" applyBorder="1"/>
    <xf numFmtId="0" fontId="2" fillId="0" borderId="31" xfId="0" applyFont="1" applyBorder="1"/>
    <xf numFmtId="0" fontId="0" fillId="0" borderId="32" xfId="0" applyBorder="1"/>
    <xf numFmtId="0" fontId="2" fillId="0" borderId="33" xfId="0" applyFont="1" applyBorder="1"/>
    <xf numFmtId="1" fontId="0" fillId="0" borderId="33" xfId="0" applyNumberFormat="1" applyBorder="1"/>
    <xf numFmtId="1" fontId="0" fillId="0" borderId="34" xfId="0" applyNumberFormat="1" applyBorder="1"/>
    <xf numFmtId="1" fontId="0" fillId="0" borderId="18" xfId="0" applyNumberFormat="1" applyBorder="1"/>
    <xf numFmtId="1" fontId="0" fillId="0" borderId="35" xfId="0" applyNumberFormat="1" applyBorder="1"/>
    <xf numFmtId="1" fontId="0" fillId="0" borderId="29" xfId="0" applyNumberFormat="1" applyBorder="1"/>
    <xf numFmtId="1" fontId="0" fillId="0" borderId="30" xfId="0" applyNumberFormat="1" applyBorder="1"/>
    <xf numFmtId="1" fontId="0" fillId="0" borderId="21" xfId="0" applyNumberFormat="1" applyBorder="1"/>
    <xf numFmtId="1" fontId="0" fillId="0" borderId="31" xfId="0" applyNumberFormat="1" applyBorder="1"/>
    <xf numFmtId="0" fontId="2" fillId="0" borderId="36" xfId="0" applyFont="1" applyBorder="1"/>
    <xf numFmtId="1" fontId="0" fillId="0" borderId="36" xfId="0" applyNumberFormat="1" applyBorder="1"/>
    <xf numFmtId="0" fontId="2" fillId="0" borderId="15" xfId="0" applyFont="1" applyBorder="1"/>
    <xf numFmtId="1" fontId="0" fillId="0" borderId="15" xfId="0" applyNumberFormat="1" applyBorder="1"/>
    <xf numFmtId="11" fontId="2" fillId="0" borderId="37" xfId="0" applyNumberFormat="1" applyFont="1" applyBorder="1"/>
    <xf numFmtId="11" fontId="0" fillId="0" borderId="37" xfId="0" applyNumberFormat="1" applyBorder="1"/>
    <xf numFmtId="11" fontId="0" fillId="0" borderId="38" xfId="0" applyNumberFormat="1" applyBorder="1"/>
    <xf numFmtId="11" fontId="2" fillId="0" borderId="39" xfId="0" applyNumberFormat="1" applyFont="1" applyBorder="1"/>
    <xf numFmtId="11" fontId="0" fillId="0" borderId="39" xfId="0" applyNumberFormat="1" applyBorder="1"/>
    <xf numFmtId="11" fontId="0" fillId="0" borderId="40" xfId="0" applyNumberFormat="1" applyBorder="1"/>
    <xf numFmtId="0" fontId="2" fillId="0" borderId="9" xfId="0" applyFont="1" applyBorder="1"/>
    <xf numFmtId="2" fontId="0" fillId="0" borderId="11" xfId="0" applyNumberFormat="1" applyBorder="1"/>
    <xf numFmtId="0" fontId="0" fillId="2" borderId="0" xfId="0" applyFill="1"/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5" fillId="0" borderId="5" xfId="0" applyFont="1" applyBorder="1"/>
    <xf numFmtId="0" fontId="2" fillId="0" borderId="13" xfId="0" applyFont="1" applyBorder="1"/>
    <xf numFmtId="11" fontId="0" fillId="0" borderId="36" xfId="0" applyNumberFormat="1" applyBorder="1"/>
    <xf numFmtId="0" fontId="2" fillId="0" borderId="13" xfId="0" applyFont="1" applyBorder="1" applyAlignment="1">
      <alignment wrapText="1"/>
    </xf>
    <xf numFmtId="0" fontId="5" fillId="0" borderId="32" xfId="0" applyFont="1" applyBorder="1"/>
    <xf numFmtId="11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18" xfId="0" applyFont="1" applyBorder="1"/>
    <xf numFmtId="0" fontId="6" fillId="0" borderId="20" xfId="0" applyFont="1" applyBorder="1"/>
    <xf numFmtId="0" fontId="7" fillId="0" borderId="0" xfId="0" applyFont="1" applyBorder="1"/>
    <xf numFmtId="0" fontId="7" fillId="0" borderId="32" xfId="0" applyFont="1" applyBorder="1"/>
    <xf numFmtId="0" fontId="6" fillId="0" borderId="21" xfId="0" applyFont="1" applyBorder="1"/>
    <xf numFmtId="0" fontId="7" fillId="0" borderId="22" xfId="0" applyFont="1" applyBorder="1"/>
    <xf numFmtId="0" fontId="7" fillId="0" borderId="30" xfId="0" applyFont="1" applyBorder="1"/>
    <xf numFmtId="0" fontId="6" fillId="0" borderId="18" xfId="0" applyFont="1" applyBorder="1" applyAlignment="1">
      <alignment horizontal="center"/>
    </xf>
    <xf numFmtId="165" fontId="7" fillId="0" borderId="0" xfId="0" applyNumberFormat="1" applyFont="1" applyBorder="1"/>
    <xf numFmtId="2" fontId="7" fillId="0" borderId="32" xfId="0" applyNumberFormat="1" applyFont="1" applyBorder="1"/>
    <xf numFmtId="2" fontId="7" fillId="0" borderId="0" xfId="0" applyNumberFormat="1" applyFont="1" applyBorder="1"/>
    <xf numFmtId="2" fontId="7" fillId="0" borderId="22" xfId="0" applyNumberFormat="1" applyFont="1" applyBorder="1"/>
    <xf numFmtId="2" fontId="7" fillId="0" borderId="30" xfId="0" applyNumberFormat="1" applyFont="1" applyBorder="1"/>
    <xf numFmtId="0" fontId="4" fillId="0" borderId="9" xfId="0" applyFont="1" applyBorder="1"/>
    <xf numFmtId="0" fontId="4" fillId="0" borderId="11" xfId="0" applyFont="1" applyBorder="1"/>
    <xf numFmtId="0" fontId="1" fillId="0" borderId="0" xfId="0" applyFont="1"/>
    <xf numFmtId="0" fontId="2" fillId="0" borderId="18" xfId="0" applyFont="1" applyBorder="1"/>
    <xf numFmtId="0" fontId="0" fillId="0" borderId="34" xfId="0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165" fontId="0" fillId="0" borderId="16" xfId="0" applyNumberFormat="1" applyBorder="1"/>
    <xf numFmtId="165" fontId="0" fillId="0" borderId="20" xfId="0" applyNumberFormat="1" applyBorder="1"/>
    <xf numFmtId="165" fontId="0" fillId="0" borderId="32" xfId="0" applyNumberFormat="1" applyBorder="1"/>
    <xf numFmtId="0" fontId="0" fillId="0" borderId="17" xfId="0" applyBorder="1"/>
    <xf numFmtId="165" fontId="0" fillId="0" borderId="17" xfId="0" applyNumberFormat="1" applyBorder="1"/>
    <xf numFmtId="0" fontId="0" fillId="0" borderId="21" xfId="0" applyBorder="1"/>
    <xf numFmtId="0" fontId="0" fillId="0" borderId="22" xfId="0" applyBorder="1"/>
    <xf numFmtId="0" fontId="0" fillId="0" borderId="30" xfId="0" applyBorder="1"/>
    <xf numFmtId="165" fontId="0" fillId="0" borderId="21" xfId="0" applyNumberFormat="1" applyBorder="1"/>
    <xf numFmtId="165" fontId="0" fillId="0" borderId="22" xfId="0" applyNumberFormat="1" applyBorder="1"/>
    <xf numFmtId="165" fontId="0" fillId="0" borderId="30" xfId="0" applyNumberFormat="1" applyBorder="1"/>
    <xf numFmtId="0" fontId="0" fillId="0" borderId="0" xfId="0" applyFont="1"/>
    <xf numFmtId="11" fontId="0" fillId="0" borderId="0" xfId="0" applyNumberFormat="1" applyFont="1"/>
    <xf numFmtId="2" fontId="0" fillId="0" borderId="0" xfId="0" applyNumberFormat="1" applyFont="1"/>
    <xf numFmtId="0" fontId="0" fillId="0" borderId="12" xfId="0" applyFont="1" applyBorder="1"/>
    <xf numFmtId="0" fontId="1" fillId="0" borderId="9" xfId="0" applyFont="1" applyBorder="1" applyAlignment="1">
      <alignment wrapText="1"/>
    </xf>
    <xf numFmtId="0" fontId="1" fillId="0" borderId="13" xfId="0" applyFont="1" applyBorder="1"/>
    <xf numFmtId="0" fontId="10" fillId="0" borderId="1" xfId="0" applyFont="1" applyBorder="1"/>
    <xf numFmtId="0" fontId="0" fillId="0" borderId="2" xfId="0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10" fillId="0" borderId="4" xfId="0" applyFont="1" applyBorder="1"/>
    <xf numFmtId="2" fontId="0" fillId="0" borderId="5" xfId="0" applyNumberFormat="1" applyFont="1" applyBorder="1"/>
    <xf numFmtId="0" fontId="1" fillId="0" borderId="44" xfId="0" applyFont="1" applyBorder="1"/>
    <xf numFmtId="2" fontId="0" fillId="0" borderId="1" xfId="0" applyNumberFormat="1" applyFont="1" applyBorder="1"/>
    <xf numFmtId="0" fontId="1" fillId="0" borderId="14" xfId="0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0" fontId="1" fillId="0" borderId="15" xfId="0" applyFont="1" applyBorder="1" applyAlignment="1">
      <alignment horizontal="center"/>
    </xf>
    <xf numFmtId="165" fontId="7" fillId="0" borderId="16" xfId="0" applyNumberFormat="1" applyFont="1" applyBorder="1"/>
    <xf numFmtId="165" fontId="7" fillId="0" borderId="17" xfId="0" applyNumberFormat="1" applyFont="1" applyBorder="1"/>
    <xf numFmtId="0" fontId="6" fillId="0" borderId="22" xfId="0" applyFont="1" applyBorder="1"/>
    <xf numFmtId="0" fontId="6" fillId="0" borderId="30" xfId="0" applyFont="1" applyBorder="1"/>
    <xf numFmtId="0" fontId="2" fillId="0" borderId="17" xfId="0" applyFont="1" applyBorder="1"/>
    <xf numFmtId="165" fontId="0" fillId="0" borderId="34" xfId="0" applyNumberFormat="1" applyBorder="1"/>
    <xf numFmtId="0" fontId="2" fillId="0" borderId="0" xfId="0" applyFont="1" applyBorder="1"/>
    <xf numFmtId="2" fontId="0" fillId="0" borderId="0" xfId="0" applyNumberFormat="1" applyBorder="1"/>
    <xf numFmtId="0" fontId="2" fillId="0" borderId="0" xfId="0" applyFont="1" applyBorder="1" applyAlignment="1">
      <alignment wrapText="1"/>
    </xf>
    <xf numFmtId="0" fontId="9" fillId="0" borderId="0" xfId="0" applyFont="1" applyBorder="1"/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0" fillId="0" borderId="14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29" xfId="0" applyFont="1" applyBorder="1"/>
    <xf numFmtId="0" fontId="1" fillId="0" borderId="31" xfId="0" applyFont="1" applyBorder="1"/>
    <xf numFmtId="164" fontId="0" fillId="0" borderId="5" xfId="0" applyNumberFormat="1" applyFill="1" applyBorder="1"/>
    <xf numFmtId="164" fontId="0" fillId="0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61773217636232"/>
          <c:y val="0.10229345001570557"/>
          <c:w val="0.70203985708558492"/>
          <c:h val="0.62416370677403554"/>
        </c:manualLayout>
      </c:layout>
      <c:scatterChart>
        <c:scatterStyle val="lineMarker"/>
        <c:varyColors val="0"/>
        <c:ser>
          <c:idx val="1"/>
          <c:order val="0"/>
          <c:tx>
            <c:strRef>
              <c:f>'Propagation loss'!$A$33</c:f>
              <c:strCache>
                <c:ptCount val="1"/>
                <c:pt idx="0">
                  <c:v>Waveguide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'Propagation loss'!$H$35:$H$37</c:f>
              <c:numCache>
                <c:formatCode>0.0</c:formatCode>
                <c:ptCount val="3"/>
                <c:pt idx="0" formatCode="General">
                  <c:v>16</c:v>
                </c:pt>
                <c:pt idx="1">
                  <c:v>8</c:v>
                </c:pt>
                <c:pt idx="2">
                  <c:v>0</c:v>
                </c:pt>
              </c:numCache>
            </c:numRef>
          </c:xVal>
          <c:yVal>
            <c:numRef>
              <c:f>'Propagation loss'!$I$35:$I$37</c:f>
              <c:numCache>
                <c:formatCode>0.00</c:formatCode>
                <c:ptCount val="3"/>
                <c:pt idx="0">
                  <c:v>-15.852592474905498</c:v>
                </c:pt>
                <c:pt idx="1">
                  <c:v>-8.2721291488462452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23-2F45-B31F-393F387CA17C}"/>
            </c:ext>
          </c:extLst>
        </c:ser>
        <c:ser>
          <c:idx val="2"/>
          <c:order val="1"/>
          <c:tx>
            <c:strRef>
              <c:f>'Propagation loss'!$A$23</c:f>
              <c:strCache>
                <c:ptCount val="1"/>
                <c:pt idx="0">
                  <c:v>Waveguide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'Propagation loss'!$H$25:$H$27</c:f>
              <c:numCache>
                <c:formatCode>0.0</c:formatCode>
                <c:ptCount val="3"/>
                <c:pt idx="0" formatCode="General">
                  <c:v>16</c:v>
                </c:pt>
                <c:pt idx="1">
                  <c:v>8</c:v>
                </c:pt>
                <c:pt idx="2">
                  <c:v>0</c:v>
                </c:pt>
              </c:numCache>
            </c:numRef>
          </c:xVal>
          <c:yVal>
            <c:numRef>
              <c:f>'Propagation loss'!$I$25:$I$27</c:f>
              <c:numCache>
                <c:formatCode>0.00</c:formatCode>
                <c:ptCount val="3"/>
                <c:pt idx="0">
                  <c:v>-17.487319149694624</c:v>
                </c:pt>
                <c:pt idx="1">
                  <c:v>-9.9272340966307944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23-2F45-B31F-393F387CA17C}"/>
            </c:ext>
          </c:extLst>
        </c:ser>
        <c:ser>
          <c:idx val="0"/>
          <c:order val="2"/>
          <c:tx>
            <c:strRef>
              <c:f>'Propagation loss'!$A$13</c:f>
              <c:strCache>
                <c:ptCount val="1"/>
                <c:pt idx="0">
                  <c:v>Waveguide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'Propagation loss'!$H$15:$H$16</c:f>
              <c:numCache>
                <c:formatCode>0.0</c:formatCode>
                <c:ptCount val="2"/>
                <c:pt idx="0" formatCode="General">
                  <c:v>15.2</c:v>
                </c:pt>
                <c:pt idx="1">
                  <c:v>0</c:v>
                </c:pt>
              </c:numCache>
            </c:numRef>
          </c:xVal>
          <c:yVal>
            <c:numRef>
              <c:f>'Propagation loss'!$I$15:$I$16</c:f>
              <c:numCache>
                <c:formatCode>0.00</c:formatCode>
                <c:ptCount val="2"/>
                <c:pt idx="0">
                  <c:v>-16.505233752645626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23-2F45-B31F-393F387CA17C}"/>
            </c:ext>
          </c:extLst>
        </c:ser>
        <c:ser>
          <c:idx val="3"/>
          <c:order val="3"/>
          <c:tx>
            <c:strRef>
              <c:f>'Propagation loss'!$A$3</c:f>
              <c:strCache>
                <c:ptCount val="1"/>
                <c:pt idx="0">
                  <c:v>Waveguide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'Propagation loss'!$H$5:$H$6</c:f>
              <c:numCache>
                <c:formatCode>0.0</c:formatCode>
                <c:ptCount val="2"/>
                <c:pt idx="0" formatCode="General">
                  <c:v>13.5</c:v>
                </c:pt>
                <c:pt idx="1">
                  <c:v>0</c:v>
                </c:pt>
              </c:numCache>
            </c:numRef>
          </c:xVal>
          <c:yVal>
            <c:numRef>
              <c:f>'Propagation loss'!$I$5:$I$6</c:f>
              <c:numCache>
                <c:formatCode>0.00</c:formatCode>
                <c:ptCount val="2"/>
                <c:pt idx="0">
                  <c:v>-15.629075830411026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23-2F45-B31F-393F387C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974800"/>
        <c:axId val="408975192"/>
      </c:scatterChart>
      <c:valAx>
        <c:axId val="40897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Waveguide</a:t>
                </a:r>
                <a:r>
                  <a:rPr lang="en-GB" baseline="0"/>
                  <a:t> Length (cm)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975192"/>
        <c:crossesAt val="-25"/>
        <c:crossBetween val="midCat"/>
      </c:valAx>
      <c:valAx>
        <c:axId val="40897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Notmalised</a:t>
                </a:r>
                <a:r>
                  <a:rPr lang="en-GB" baseline="0"/>
                  <a:t> output power dB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974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6623376173561073"/>
          <c:y val="0.1035515048793549"/>
          <c:w val="0.18594343459092066"/>
          <c:h val="0.29713061697713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Lumen intensity mW/cm2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'Side emission'!$B$6:$B$14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'Side emission'!$K$6:$K$14</c:f>
              <c:numCache>
                <c:formatCode>0.000</c:formatCode>
                <c:ptCount val="9"/>
                <c:pt idx="0">
                  <c:v>72.866197648572097</c:v>
                </c:pt>
                <c:pt idx="1">
                  <c:v>31.957435923897023</c:v>
                </c:pt>
                <c:pt idx="2">
                  <c:v>8.3611480263157905</c:v>
                </c:pt>
                <c:pt idx="3">
                  <c:v>2.7984350229303594</c:v>
                </c:pt>
                <c:pt idx="4">
                  <c:v>1.2859799045391984</c:v>
                </c:pt>
                <c:pt idx="5">
                  <c:v>0.70456100318298798</c:v>
                </c:pt>
                <c:pt idx="6">
                  <c:v>0.40165328242757437</c:v>
                </c:pt>
                <c:pt idx="7">
                  <c:v>0.24636177612969429</c:v>
                </c:pt>
                <c:pt idx="8">
                  <c:v>0.15770897423597618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F6-CA44-B2C9-C340A248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047184"/>
        <c:axId val="983625680"/>
      </c:scatterChart>
      <c:valAx>
        <c:axId val="98604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625680"/>
        <c:crosses val="autoZero"/>
        <c:crossBetween val="midCat"/>
      </c:valAx>
      <c:valAx>
        <c:axId val="9836256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Intensity inside lumen mW/cm2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04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7744288337862"/>
          <c:y val="0.15618628570860157"/>
          <c:w val="0.64166554763268768"/>
          <c:h val="0.656831034134032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'Power metre characterisation'!$N$3</c:f>
              <c:strCache>
                <c:ptCount val="1"/>
                <c:pt idx="0">
                  <c:v>No filter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[1]Sheet1!$O$4:$O$12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8.8433049398953634E-2</c:v>
                  </c:pt>
                  <c:pt idx="2">
                    <c:v>0.19677210243273896</c:v>
                  </c:pt>
                  <c:pt idx="3">
                    <c:v>0.33929587369775166</c:v>
                  </c:pt>
                  <c:pt idx="4">
                    <c:v>6.7282836575657368E-2</c:v>
                  </c:pt>
                  <c:pt idx="5">
                    <c:v>0.38258427010593909</c:v>
                  </c:pt>
                  <c:pt idx="6">
                    <c:v>0.2169540109382127</c:v>
                  </c:pt>
                  <c:pt idx="7">
                    <c:v>1.0129732566297966</c:v>
                  </c:pt>
                  <c:pt idx="8">
                    <c:v>1.2105901756772652</c:v>
                  </c:pt>
                </c:numCache>
              </c:numRef>
            </c:plus>
            <c:minus>
              <c:numRef>
                <c:f>[1]Sheet1!$O$4:$O$12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8.8433049398953634E-2</c:v>
                  </c:pt>
                  <c:pt idx="2">
                    <c:v>0.19677210243273896</c:v>
                  </c:pt>
                  <c:pt idx="3">
                    <c:v>0.33929587369775166</c:v>
                  </c:pt>
                  <c:pt idx="4">
                    <c:v>6.7282836575657368E-2</c:v>
                  </c:pt>
                  <c:pt idx="5">
                    <c:v>0.38258427010593909</c:v>
                  </c:pt>
                  <c:pt idx="6">
                    <c:v>0.2169540109382127</c:v>
                  </c:pt>
                  <c:pt idx="7">
                    <c:v>1.0129732566297966</c:v>
                  </c:pt>
                  <c:pt idx="8">
                    <c:v>1.2105901756772652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'Power metre characterisation'!$J$4:$J$12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xVal>
          <c:yVal>
            <c:numRef>
              <c:f>'Power metre characterisation'!$N$4:$N$12</c:f>
              <c:numCache>
                <c:formatCode>0.0</c:formatCode>
                <c:ptCount val="9"/>
                <c:pt idx="0">
                  <c:v>100</c:v>
                </c:pt>
                <c:pt idx="1">
                  <c:v>99.748801362130393</c:v>
                </c:pt>
                <c:pt idx="2">
                  <c:v>100.25241511631872</c:v>
                </c:pt>
                <c:pt idx="3">
                  <c:v>100.29277511207295</c:v>
                </c:pt>
                <c:pt idx="4">
                  <c:v>100.3272741472806</c:v>
                </c:pt>
                <c:pt idx="5">
                  <c:v>100.06041927418903</c:v>
                </c:pt>
                <c:pt idx="6">
                  <c:v>100.34247901724461</c:v>
                </c:pt>
                <c:pt idx="7">
                  <c:v>100.30059765707415</c:v>
                </c:pt>
                <c:pt idx="8">
                  <c:v>100.64083192384544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F-4789-BC95-B2CDCD18A245}"/>
            </c:ext>
          </c:extLst>
        </c:ser>
        <c:ser>
          <c:idx val="1"/>
          <c:order val="1"/>
          <c:tx>
            <c:strRef>
              <c:f>'Power metre characterisation'!$S$3</c:f>
              <c:strCache>
                <c:ptCount val="1"/>
                <c:pt idx="0">
                  <c:v>OD3 filter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[1]Sheet1!$T$4:$T$12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0.19514714498921237</c:v>
                  </c:pt>
                  <c:pt idx="2">
                    <c:v>0.13625627337546681</c:v>
                  </c:pt>
                  <c:pt idx="3">
                    <c:v>0.4702830723934629</c:v>
                  </c:pt>
                  <c:pt idx="4">
                    <c:v>0.8619251273070323</c:v>
                  </c:pt>
                  <c:pt idx="5">
                    <c:v>1.2673169462367579</c:v>
                  </c:pt>
                  <c:pt idx="6">
                    <c:v>0.38021378236652104</c:v>
                  </c:pt>
                  <c:pt idx="7">
                    <c:v>1.17795587412087</c:v>
                  </c:pt>
                  <c:pt idx="8">
                    <c:v>0.27882869484713618</c:v>
                  </c:pt>
                </c:numCache>
              </c:numRef>
            </c:plus>
            <c:minus>
              <c:numRef>
                <c:f>[1]Sheet1!$T$4:$T$12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0.19514714498921237</c:v>
                  </c:pt>
                  <c:pt idx="2">
                    <c:v>0.13625627337546681</c:v>
                  </c:pt>
                  <c:pt idx="3">
                    <c:v>0.4702830723934629</c:v>
                  </c:pt>
                  <c:pt idx="4">
                    <c:v>0.8619251273070323</c:v>
                  </c:pt>
                  <c:pt idx="5">
                    <c:v>1.2673169462367579</c:v>
                  </c:pt>
                  <c:pt idx="6">
                    <c:v>0.38021378236652104</c:v>
                  </c:pt>
                  <c:pt idx="7">
                    <c:v>1.17795587412087</c:v>
                  </c:pt>
                  <c:pt idx="8">
                    <c:v>0.27882869484713618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'Power metre characterisation'!$J$4:$J$12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xVal>
          <c:yVal>
            <c:numRef>
              <c:f>'Power metre characterisation'!$S$4:$S$12</c:f>
              <c:numCache>
                <c:formatCode>0.0</c:formatCode>
                <c:ptCount val="9"/>
                <c:pt idx="0">
                  <c:v>100</c:v>
                </c:pt>
                <c:pt idx="1">
                  <c:v>100.09167324659734</c:v>
                </c:pt>
                <c:pt idx="2">
                  <c:v>99.067677718534938</c:v>
                </c:pt>
                <c:pt idx="3">
                  <c:v>96.998681663298385</c:v>
                </c:pt>
                <c:pt idx="4">
                  <c:v>93.225808545640874</c:v>
                </c:pt>
                <c:pt idx="5">
                  <c:v>90.168327096525331</c:v>
                </c:pt>
                <c:pt idx="6">
                  <c:v>84.761238658320394</c:v>
                </c:pt>
                <c:pt idx="7">
                  <c:v>80.561809589800944</c:v>
                </c:pt>
                <c:pt idx="8">
                  <c:v>76.198570301621245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1F-4789-BC95-B2CDCD18A245}"/>
            </c:ext>
          </c:extLst>
        </c:ser>
        <c:ser>
          <c:idx val="2"/>
          <c:order val="2"/>
          <c:tx>
            <c:strRef>
              <c:f>'Power metre characterisation'!$U$3</c:f>
              <c:strCache>
                <c:ptCount val="1"/>
                <c:pt idx="0">
                  <c:v>Costheta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'Power metre characterisation'!$J$4:$J$12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xVal>
          <c:yVal>
            <c:numRef>
              <c:f>'Power metre characterisation'!$U$4:$U$12</c:f>
              <c:numCache>
                <c:formatCode>0.0</c:formatCode>
                <c:ptCount val="9"/>
                <c:pt idx="0">
                  <c:v>100</c:v>
                </c:pt>
                <c:pt idx="1">
                  <c:v>99.619469809174561</c:v>
                </c:pt>
                <c:pt idx="2">
                  <c:v>98.480775301220802</c:v>
                </c:pt>
                <c:pt idx="3">
                  <c:v>96.592582628906825</c:v>
                </c:pt>
                <c:pt idx="4">
                  <c:v>93.969262078590845</c:v>
                </c:pt>
                <c:pt idx="5">
                  <c:v>90.630778703664987</c:v>
                </c:pt>
                <c:pt idx="6">
                  <c:v>86.602540378443877</c:v>
                </c:pt>
                <c:pt idx="7">
                  <c:v>81.915204428899173</c:v>
                </c:pt>
                <c:pt idx="8">
                  <c:v>76.604444311897808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1F-4789-BC95-B2CDCD18A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85392"/>
        <c:axId val="188483728"/>
      </c:scatterChart>
      <c:valAx>
        <c:axId val="18848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Angle (deg)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83728"/>
        <c:crosses val="autoZero"/>
        <c:crossBetween val="midCat"/>
      </c:valAx>
      <c:valAx>
        <c:axId val="1884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Relative</a:t>
                </a:r>
                <a:r>
                  <a:rPr lang="en-GB" baseline="0"/>
                  <a:t> recieved power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85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318246</xdr:colOff>
      <xdr:row>8</xdr:row>
      <xdr:rowOff>6723</xdr:rowOff>
    </xdr:from>
    <xdr:to>
      <xdr:col>16</xdr:col>
      <xdr:colOff>622300</xdr:colOff>
      <xdr:row>17</xdr:row>
      <xdr:rowOff>148638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E2E65C-0EA7-7B44-BC03-6AAE872E9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23</xdr:row>
      <xdr:rowOff>15875</xdr:rowOff>
    </xdr:from>
    <xdr:to>
      <xdr:col>12</xdr:col>
      <xdr:colOff>266700</xdr:colOff>
      <xdr:row>37</xdr:row>
      <xdr:rowOff>91228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B04F960-C002-9E48-924A-4C78ACEE5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65668</xdr:colOff>
      <xdr:row>12</xdr:row>
      <xdr:rowOff>144677</xdr:rowOff>
    </xdr:from>
    <xdr:to>
      <xdr:col>15</xdr:col>
      <xdr:colOff>190500</xdr:colOff>
      <xdr:row>24</xdr:row>
      <xdr:rowOff>231321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2FE90F-8BED-4032-B911-66529DD6B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port%20818sl%20angular%20respon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N3" t="str">
            <v>No filter mean</v>
          </cell>
        </row>
        <row r="4">
          <cell r="O4">
            <v>0</v>
          </cell>
          <cell r="T4">
            <v>0</v>
          </cell>
        </row>
        <row r="5">
          <cell r="O5">
            <v>8.8433049398953634E-2</v>
          </cell>
          <cell r="T5">
            <v>0.19514714498921237</v>
          </cell>
        </row>
        <row r="6">
          <cell r="O6">
            <v>0.19677210243273896</v>
          </cell>
          <cell r="T6">
            <v>0.13625627337546681</v>
          </cell>
        </row>
        <row r="7">
          <cell r="O7">
            <v>0.33929587369775166</v>
          </cell>
          <cell r="T7">
            <v>0.4702830723934629</v>
          </cell>
        </row>
        <row r="8">
          <cell r="O8">
            <v>6.7282836575657368E-2</v>
          </cell>
          <cell r="T8">
            <v>0.8619251273070323</v>
          </cell>
        </row>
        <row r="9">
          <cell r="O9">
            <v>0.38258427010593909</v>
          </cell>
          <cell r="T9">
            <v>1.2673169462367579</v>
          </cell>
        </row>
        <row r="10">
          <cell r="O10">
            <v>0.2169540109382127</v>
          </cell>
          <cell r="T10">
            <v>0.38021378236652104</v>
          </cell>
        </row>
        <row r="11">
          <cell r="O11">
            <v>1.0129732566297966</v>
          </cell>
          <cell r="T11">
            <v>1.17795587412087</v>
          </cell>
        </row>
        <row r="12">
          <cell r="O12">
            <v>1.2105901756772652</v>
          </cell>
          <cell r="T12">
            <v>0.27882869484713618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6744-3384-B94B-9365-D05FED8A9A02}">
  <dimension ref="A1:I69"/>
  <sheetViews>
    <sheetView workbookViewId="0">
      <selection activeCell="G40" sqref="G40"/>
    </sheetView>
  </sheetViews>
  <sheetFormatPr defaultColWidth="7.59765625" defaultRowHeight="18.75" x14ac:dyDescent="0.3"/>
  <cols>
    <col min="1" max="1" width="12.69921875" style="8" bestFit="1" customWidth="1"/>
    <col min="2" max="2" width="19" bestFit="1" customWidth="1"/>
    <col min="3" max="3" width="8.69921875" bestFit="1" customWidth="1"/>
    <col min="4" max="4" width="15.09765625" bestFit="1" customWidth="1"/>
    <col min="5" max="5" width="16.09765625" bestFit="1" customWidth="1"/>
    <col min="6" max="6" width="16.59765625" bestFit="1" customWidth="1"/>
    <col min="7" max="7" width="17.296875" bestFit="1" customWidth="1"/>
    <col min="8" max="8" width="12.296875" customWidth="1"/>
    <col min="9" max="9" width="8.59765625" bestFit="1" customWidth="1"/>
  </cols>
  <sheetData>
    <row r="1" spans="1:9" ht="19.5" thickBot="1" x14ac:dyDescent="0.35">
      <c r="A1" s="8" t="s">
        <v>130</v>
      </c>
    </row>
    <row r="2" spans="1:9" x14ac:dyDescent="0.3">
      <c r="A2" s="1"/>
      <c r="B2" s="2" t="s">
        <v>0</v>
      </c>
      <c r="C2" s="3"/>
      <c r="D2" s="3"/>
      <c r="E2" s="3"/>
      <c r="F2" s="4"/>
      <c r="G2" s="5"/>
      <c r="H2" s="5"/>
      <c r="I2" s="6"/>
    </row>
    <row r="3" spans="1:9" x14ac:dyDescent="0.3">
      <c r="A3" s="7" t="s">
        <v>27</v>
      </c>
      <c r="B3" s="8" t="s">
        <v>1</v>
      </c>
      <c r="C3" s="9" t="s">
        <v>2</v>
      </c>
      <c r="D3" s="9" t="s">
        <v>3</v>
      </c>
      <c r="E3" s="9"/>
      <c r="F3" s="10"/>
      <c r="I3" s="11"/>
    </row>
    <row r="4" spans="1:9" ht="60" x14ac:dyDescent="0.3">
      <c r="A4" s="12" t="s">
        <v>4</v>
      </c>
      <c r="B4" s="13" t="s">
        <v>5</v>
      </c>
      <c r="C4" s="14" t="s">
        <v>6</v>
      </c>
      <c r="D4" s="15" t="s">
        <v>7</v>
      </c>
      <c r="E4" s="13" t="s">
        <v>8</v>
      </c>
      <c r="F4" s="16" t="s">
        <v>9</v>
      </c>
      <c r="G4" s="13" t="s">
        <v>10</v>
      </c>
      <c r="H4" s="17" t="s">
        <v>26</v>
      </c>
      <c r="I4" s="18" t="s">
        <v>12</v>
      </c>
    </row>
    <row r="5" spans="1:9" x14ac:dyDescent="0.3">
      <c r="A5" s="7">
        <v>1</v>
      </c>
      <c r="B5">
        <v>13.4</v>
      </c>
      <c r="C5" s="9">
        <v>2.5400000000000002E-3</v>
      </c>
      <c r="D5" s="9">
        <v>1.695E-2</v>
      </c>
      <c r="E5" s="9">
        <f>D5-C5</f>
        <v>1.4409999999999999E-2</v>
      </c>
      <c r="F5" s="10">
        <f>10*LOG10(E5/1)</f>
        <v>-18.413360191860107</v>
      </c>
      <c r="G5" s="19"/>
      <c r="H5">
        <v>13.5</v>
      </c>
      <c r="I5" s="20">
        <f>10*LOG10(E5/$E$6)</f>
        <v>-15.629075830411026</v>
      </c>
    </row>
    <row r="6" spans="1:9" x14ac:dyDescent="0.3">
      <c r="A6" s="7">
        <v>2</v>
      </c>
      <c r="B6">
        <v>5.4</v>
      </c>
      <c r="C6" s="9">
        <v>5.5900000000000004E-3</v>
      </c>
      <c r="D6" s="9">
        <v>0.5323</v>
      </c>
      <c r="E6" s="9">
        <f t="shared" ref="E6:E7" si="0">D6-C6</f>
        <v>0.52671000000000001</v>
      </c>
      <c r="F6" s="10">
        <f t="shared" ref="F6:F7" si="1">10*LOG10(E6/1)</f>
        <v>-2.7842843614490818</v>
      </c>
      <c r="G6" s="19">
        <f>(F5-F6)/(B5-B6)</f>
        <v>-1.9536344788013782</v>
      </c>
      <c r="H6" s="10">
        <v>0</v>
      </c>
      <c r="I6" s="20">
        <f>10*LOG10(E6/$E$6)</f>
        <v>0</v>
      </c>
    </row>
    <row r="7" spans="1:9" x14ac:dyDescent="0.3">
      <c r="A7" s="7">
        <v>3</v>
      </c>
      <c r="B7">
        <v>0</v>
      </c>
      <c r="C7" s="9">
        <v>2E-3</v>
      </c>
      <c r="D7" s="9">
        <f>13.45/0.87</f>
        <v>15.459770114942527</v>
      </c>
      <c r="E7" s="9">
        <f t="shared" si="0"/>
        <v>15.457770114942527</v>
      </c>
      <c r="F7" s="10">
        <f t="shared" si="1"/>
        <v>11.891468442638489</v>
      </c>
      <c r="G7" s="19">
        <f>(F6-F7)/(B6-B7)</f>
        <v>-2.7177320007569574</v>
      </c>
      <c r="I7" s="11"/>
    </row>
    <row r="8" spans="1:9" x14ac:dyDescent="0.3">
      <c r="A8" s="7"/>
      <c r="C8" s="9"/>
      <c r="D8" s="9"/>
      <c r="E8" s="9"/>
      <c r="F8" s="10"/>
      <c r="G8" s="19"/>
      <c r="I8" s="11"/>
    </row>
    <row r="9" spans="1:9" x14ac:dyDescent="0.3">
      <c r="A9" s="7"/>
      <c r="C9" s="9"/>
      <c r="D9" s="9"/>
      <c r="E9" s="9"/>
      <c r="F9" s="10"/>
      <c r="G9" s="19"/>
      <c r="I9" s="11"/>
    </row>
    <row r="10" spans="1:9" x14ac:dyDescent="0.3">
      <c r="A10" s="7"/>
      <c r="B10" s="8"/>
      <c r="C10" s="9"/>
      <c r="D10" s="9"/>
      <c r="E10" s="19"/>
      <c r="F10" s="21" t="s">
        <v>25</v>
      </c>
      <c r="G10" s="19">
        <f>AVERAGE(G6)</f>
        <v>-1.9536344788013782</v>
      </c>
      <c r="H10" s="19"/>
      <c r="I10" s="11"/>
    </row>
    <row r="11" spans="1:9" x14ac:dyDescent="0.3">
      <c r="A11" s="7"/>
      <c r="F11" s="8" t="s">
        <v>13</v>
      </c>
      <c r="G11" s="19">
        <f>F5-F7-B5*G10</f>
        <v>-4.1261266185601286</v>
      </c>
      <c r="H11" s="19"/>
      <c r="I11" s="11"/>
    </row>
    <row r="12" spans="1:9" x14ac:dyDescent="0.3">
      <c r="A12" s="7"/>
      <c r="F12" s="8"/>
      <c r="G12" s="19"/>
      <c r="H12" s="19"/>
      <c r="I12" s="11"/>
    </row>
    <row r="13" spans="1:9" x14ac:dyDescent="0.3">
      <c r="A13" s="7" t="s">
        <v>28</v>
      </c>
      <c r="B13" s="8" t="s">
        <v>1</v>
      </c>
      <c r="C13" s="9" t="s">
        <v>2</v>
      </c>
      <c r="D13" s="9" t="s">
        <v>3</v>
      </c>
      <c r="E13" s="9"/>
      <c r="F13" s="10"/>
      <c r="I13" s="11"/>
    </row>
    <row r="14" spans="1:9" ht="60" x14ac:dyDescent="0.3">
      <c r="A14" s="12" t="s">
        <v>4</v>
      </c>
      <c r="B14" s="13" t="s">
        <v>5</v>
      </c>
      <c r="C14" s="14" t="s">
        <v>6</v>
      </c>
      <c r="D14" s="15" t="s">
        <v>7</v>
      </c>
      <c r="E14" s="13" t="s">
        <v>8</v>
      </c>
      <c r="F14" s="16" t="s">
        <v>9</v>
      </c>
      <c r="G14" s="13" t="s">
        <v>10</v>
      </c>
      <c r="H14" s="17" t="s">
        <v>26</v>
      </c>
      <c r="I14" s="18" t="s">
        <v>12</v>
      </c>
    </row>
    <row r="15" spans="1:9" x14ac:dyDescent="0.3">
      <c r="A15" s="7">
        <v>1</v>
      </c>
      <c r="B15">
        <v>25.2</v>
      </c>
      <c r="C15" s="9">
        <v>1E-3</v>
      </c>
      <c r="D15" s="9">
        <v>1.695E-2</v>
      </c>
      <c r="E15" s="9">
        <v>3.5999999999999999E-3</v>
      </c>
      <c r="F15" s="10">
        <f>10*LOG10(E15/1)</f>
        <v>-24.436974992327126</v>
      </c>
      <c r="G15" s="19"/>
      <c r="H15">
        <v>15.2</v>
      </c>
      <c r="I15" s="20">
        <f>10*LOG10(E15/$E$16)</f>
        <v>-16.505233752645626</v>
      </c>
    </row>
    <row r="16" spans="1:9" x14ac:dyDescent="0.3">
      <c r="A16" s="7">
        <v>2</v>
      </c>
      <c r="B16">
        <v>10</v>
      </c>
      <c r="C16" s="9">
        <v>1E-3</v>
      </c>
      <c r="D16" s="9">
        <v>0.5323</v>
      </c>
      <c r="E16" s="9">
        <v>0.161</v>
      </c>
      <c r="F16" s="10">
        <f t="shared" ref="F16" si="2">10*LOG10(E16/1)</f>
        <v>-7.9317412396815019</v>
      </c>
      <c r="G16" s="19">
        <f>(F15-F16)/(B15-B16)</f>
        <v>-1.0858706416214225</v>
      </c>
      <c r="H16" s="10">
        <v>0</v>
      </c>
      <c r="I16" s="20">
        <f>10*LOG10(E16/$E$16)</f>
        <v>0</v>
      </c>
    </row>
    <row r="17" spans="1:9" x14ac:dyDescent="0.3">
      <c r="A17" s="7"/>
      <c r="C17" s="9"/>
      <c r="D17" s="9"/>
      <c r="E17" s="9"/>
      <c r="F17" s="10"/>
      <c r="G17" s="19"/>
      <c r="H17" s="10"/>
      <c r="I17" s="20"/>
    </row>
    <row r="18" spans="1:9" x14ac:dyDescent="0.3">
      <c r="A18" s="7"/>
      <c r="C18" s="9"/>
      <c r="D18" s="9"/>
      <c r="E18" s="9"/>
      <c r="F18" s="10"/>
      <c r="G18" s="19"/>
      <c r="I18" s="11"/>
    </row>
    <row r="19" spans="1:9" x14ac:dyDescent="0.3">
      <c r="A19" s="7"/>
      <c r="C19" s="9"/>
      <c r="D19" s="9"/>
      <c r="E19" s="9"/>
      <c r="F19" s="10"/>
      <c r="G19" s="19"/>
      <c r="I19" s="11"/>
    </row>
    <row r="20" spans="1:9" x14ac:dyDescent="0.3">
      <c r="A20" s="7"/>
      <c r="B20" s="8"/>
      <c r="C20" s="9"/>
      <c r="D20" s="9"/>
      <c r="E20" s="19"/>
      <c r="F20" s="21" t="s">
        <v>25</v>
      </c>
      <c r="G20" s="19">
        <f>AVERAGE(G16)</f>
        <v>-1.0858706416214225</v>
      </c>
      <c r="H20" s="19"/>
      <c r="I20" s="11"/>
    </row>
    <row r="21" spans="1:9" x14ac:dyDescent="0.3">
      <c r="A21" s="7"/>
      <c r="F21" s="8" t="s">
        <v>13</v>
      </c>
      <c r="G21" s="19"/>
      <c r="H21" s="19"/>
      <c r="I21" s="11"/>
    </row>
    <row r="22" spans="1:9" x14ac:dyDescent="0.3">
      <c r="A22" s="7"/>
      <c r="G22" s="19"/>
      <c r="I22" s="11"/>
    </row>
    <row r="23" spans="1:9" x14ac:dyDescent="0.3">
      <c r="A23" s="7" t="s">
        <v>22</v>
      </c>
      <c r="B23" s="8" t="s">
        <v>1</v>
      </c>
      <c r="C23" s="9" t="s">
        <v>14</v>
      </c>
      <c r="D23" s="9" t="s">
        <v>15</v>
      </c>
      <c r="E23" s="9"/>
      <c r="F23" s="10"/>
      <c r="G23" s="19"/>
      <c r="I23" s="11"/>
    </row>
    <row r="24" spans="1:9" ht="45.75" x14ac:dyDescent="0.3">
      <c r="A24" s="12" t="s">
        <v>4</v>
      </c>
      <c r="B24" s="13" t="s">
        <v>5</v>
      </c>
      <c r="C24" s="14" t="s">
        <v>6</v>
      </c>
      <c r="D24" s="15" t="s">
        <v>7</v>
      </c>
      <c r="E24" s="13" t="s">
        <v>8</v>
      </c>
      <c r="F24" s="16" t="s">
        <v>9</v>
      </c>
      <c r="G24" s="22" t="s">
        <v>10</v>
      </c>
      <c r="H24" s="17" t="s">
        <v>11</v>
      </c>
      <c r="I24" s="18" t="s">
        <v>12</v>
      </c>
    </row>
    <row r="25" spans="1:9" x14ac:dyDescent="0.3">
      <c r="A25" s="7">
        <v>1</v>
      </c>
      <c r="B25">
        <v>27.4</v>
      </c>
      <c r="C25" s="9">
        <v>2E-3</v>
      </c>
      <c r="D25" s="9">
        <v>7.7000000000000002E-3</v>
      </c>
      <c r="E25" s="9">
        <f>D25-C25</f>
        <v>5.7000000000000002E-3</v>
      </c>
      <c r="F25" s="10">
        <f>10*LOG10(E25/1)</f>
        <v>-22.441251443275085</v>
      </c>
      <c r="G25" s="19"/>
      <c r="H25">
        <v>16</v>
      </c>
      <c r="I25" s="20">
        <f t="shared" ref="I25:I26" si="3">10*LOG10(E25/$E$27)</f>
        <v>-17.487319149694624</v>
      </c>
    </row>
    <row r="26" spans="1:9" x14ac:dyDescent="0.3">
      <c r="A26" s="7">
        <v>2</v>
      </c>
      <c r="B26">
        <v>19.399999999999999</v>
      </c>
      <c r="C26" s="9">
        <v>2E-3</v>
      </c>
      <c r="D26" s="9">
        <v>3.4500000000000003E-2</v>
      </c>
      <c r="E26" s="9">
        <f t="shared" ref="E26:E29" si="4">D26-C26</f>
        <v>3.2500000000000001E-2</v>
      </c>
      <c r="F26" s="10">
        <f t="shared" ref="F26:F29" si="5">10*LOG10(E26/1)</f>
        <v>-14.881166390211256</v>
      </c>
      <c r="G26" s="19">
        <f>(F25-F26)/(B25-B26)</f>
        <v>-0.94501063163297871</v>
      </c>
      <c r="H26" s="10">
        <v>8</v>
      </c>
      <c r="I26" s="20">
        <f t="shared" si="3"/>
        <v>-9.9272340966307944</v>
      </c>
    </row>
    <row r="27" spans="1:9" x14ac:dyDescent="0.3">
      <c r="A27" s="7">
        <v>3</v>
      </c>
      <c r="B27">
        <v>11.4</v>
      </c>
      <c r="C27" s="9">
        <v>3.0000000000000001E-3</v>
      </c>
      <c r="D27" s="9">
        <v>0.3226</v>
      </c>
      <c r="E27" s="9">
        <f t="shared" si="4"/>
        <v>0.3196</v>
      </c>
      <c r="F27" s="10">
        <f t="shared" si="5"/>
        <v>-4.9539322935804622</v>
      </c>
      <c r="G27" s="19">
        <f>(F26-F27)/(B26-B27)</f>
        <v>-1.2409042620788495</v>
      </c>
      <c r="H27" s="10">
        <v>0</v>
      </c>
      <c r="I27" s="20">
        <f>10*LOG10(E27/$E$27)</f>
        <v>0</v>
      </c>
    </row>
    <row r="28" spans="1:9" x14ac:dyDescent="0.3">
      <c r="A28" s="7">
        <v>4</v>
      </c>
      <c r="B28">
        <v>3.4</v>
      </c>
      <c r="C28" s="9">
        <v>3.0000000000000001E-3</v>
      </c>
      <c r="D28" s="9">
        <f>3.165/0.87</f>
        <v>3.6379310344827589</v>
      </c>
      <c r="E28" s="9">
        <f t="shared" si="4"/>
        <v>3.6349310344827588</v>
      </c>
      <c r="F28" s="10">
        <f t="shared" si="5"/>
        <v>5.6049617540751582</v>
      </c>
      <c r="G28" s="19">
        <f>(F27-F28)/(B27-B28)</f>
        <v>-1.3198617559569525</v>
      </c>
      <c r="I28" s="11"/>
    </row>
    <row r="29" spans="1:9" x14ac:dyDescent="0.3">
      <c r="A29" s="7">
        <v>5</v>
      </c>
      <c r="B29">
        <v>0</v>
      </c>
      <c r="C29" s="9">
        <v>3.0000000000000001E-3</v>
      </c>
      <c r="D29" s="9">
        <f>21.17/0.87</f>
        <v>24.333333333333336</v>
      </c>
      <c r="E29" s="9">
        <f t="shared" si="4"/>
        <v>24.330333333333336</v>
      </c>
      <c r="F29" s="10">
        <f t="shared" si="5"/>
        <v>13.861480589446135</v>
      </c>
      <c r="G29" s="19"/>
      <c r="I29" s="11"/>
    </row>
    <row r="30" spans="1:9" x14ac:dyDescent="0.3">
      <c r="A30" s="7"/>
      <c r="B30" s="8"/>
      <c r="C30" s="9"/>
      <c r="D30" s="9"/>
      <c r="E30" s="19"/>
      <c r="F30" s="21" t="s">
        <v>24</v>
      </c>
      <c r="G30" s="19">
        <f>AVERAGE(G26:G27)</f>
        <v>-1.0929574468559142</v>
      </c>
      <c r="I30" s="11"/>
    </row>
    <row r="31" spans="1:9" x14ac:dyDescent="0.3">
      <c r="A31" s="7"/>
      <c r="F31" s="8" t="s">
        <v>13</v>
      </c>
      <c r="G31" s="19">
        <f>F25-B25*G30-F29</f>
        <v>-6.3556979888691707</v>
      </c>
      <c r="I31" s="11"/>
    </row>
    <row r="32" spans="1:9" x14ac:dyDescent="0.3">
      <c r="A32" s="7"/>
      <c r="G32" s="19"/>
      <c r="I32" s="11"/>
    </row>
    <row r="33" spans="1:9" x14ac:dyDescent="0.3">
      <c r="A33" s="7" t="s">
        <v>23</v>
      </c>
      <c r="B33" s="8" t="s">
        <v>16</v>
      </c>
      <c r="C33" s="9" t="s">
        <v>14</v>
      </c>
      <c r="D33" s="9" t="s">
        <v>17</v>
      </c>
      <c r="E33" s="9"/>
      <c r="F33" s="10"/>
      <c r="G33" s="19"/>
      <c r="I33" s="11"/>
    </row>
    <row r="34" spans="1:9" ht="45.75" x14ac:dyDescent="0.3">
      <c r="A34" s="12" t="s">
        <v>4</v>
      </c>
      <c r="B34" s="13" t="s">
        <v>5</v>
      </c>
      <c r="C34" s="14" t="s">
        <v>6</v>
      </c>
      <c r="D34" s="15" t="s">
        <v>7</v>
      </c>
      <c r="E34" s="13" t="s">
        <v>8</v>
      </c>
      <c r="F34" s="16" t="s">
        <v>9</v>
      </c>
      <c r="G34" s="22" t="s">
        <v>10</v>
      </c>
      <c r="H34" s="17" t="s">
        <v>11</v>
      </c>
      <c r="I34" s="18" t="s">
        <v>12</v>
      </c>
    </row>
    <row r="35" spans="1:9" x14ac:dyDescent="0.3">
      <c r="A35" s="7">
        <v>1</v>
      </c>
      <c r="B35">
        <v>24.8</v>
      </c>
      <c r="C35" s="9">
        <v>1E-3</v>
      </c>
      <c r="D35" s="9">
        <v>1.2200000000000001E-2</v>
      </c>
      <c r="E35" s="9">
        <f>D35-C35</f>
        <v>1.1200000000000002E-2</v>
      </c>
      <c r="F35" s="10">
        <f>10*LOG10(E35/1)</f>
        <v>-19.507819773298184</v>
      </c>
      <c r="G35" s="19"/>
      <c r="H35">
        <v>16</v>
      </c>
      <c r="I35" s="20">
        <f t="shared" ref="I35:I36" si="6">10*LOG10(E35/$E$37)</f>
        <v>-15.852592474905498</v>
      </c>
    </row>
    <row r="36" spans="1:9" x14ac:dyDescent="0.3">
      <c r="A36" s="7">
        <v>2</v>
      </c>
      <c r="B36">
        <v>16.8</v>
      </c>
      <c r="C36" s="9">
        <v>1E-3</v>
      </c>
      <c r="D36" s="9">
        <v>6.5159999999999996E-2</v>
      </c>
      <c r="E36" s="9">
        <f t="shared" ref="E36:E39" si="7">D36-C36</f>
        <v>6.4159999999999995E-2</v>
      </c>
      <c r="F36" s="10">
        <f t="shared" ref="F36:F39" si="8">10*LOG10(E36/1)</f>
        <v>-11.92735644723893</v>
      </c>
      <c r="G36" s="19">
        <f>(F35-F36)/(B35-B36)</f>
        <v>-0.94755791575740678</v>
      </c>
      <c r="H36" s="10">
        <v>8</v>
      </c>
      <c r="I36" s="20">
        <f t="shared" si="6"/>
        <v>-8.2721291488462452</v>
      </c>
    </row>
    <row r="37" spans="1:9" x14ac:dyDescent="0.3">
      <c r="A37" s="7">
        <v>3</v>
      </c>
      <c r="B37">
        <v>8.8000000000000007</v>
      </c>
      <c r="C37" s="9">
        <v>2E-3</v>
      </c>
      <c r="D37" s="9">
        <v>0.433</v>
      </c>
      <c r="E37" s="9">
        <f t="shared" si="7"/>
        <v>0.43099999999999999</v>
      </c>
      <c r="F37" s="10">
        <f t="shared" si="8"/>
        <v>-3.6552272983926843</v>
      </c>
      <c r="G37" s="19">
        <f>(F36-F37)/(B36-B37)</f>
        <v>-1.0340161436057806</v>
      </c>
      <c r="H37" s="10">
        <v>0</v>
      </c>
      <c r="I37" s="20">
        <f>10*LOG10(E37/$E$37)</f>
        <v>0</v>
      </c>
    </row>
    <row r="38" spans="1:9" x14ac:dyDescent="0.3">
      <c r="A38" s="7">
        <v>4</v>
      </c>
      <c r="B38">
        <v>0.8</v>
      </c>
      <c r="C38" s="9">
        <v>3.0000000000000001E-3</v>
      </c>
      <c r="D38" s="9">
        <v>3.31</v>
      </c>
      <c r="E38" s="9">
        <f t="shared" si="7"/>
        <v>3.3069999999999999</v>
      </c>
      <c r="F38" s="10">
        <f t="shared" si="8"/>
        <v>5.1943419491370282</v>
      </c>
      <c r="G38" s="19">
        <f>(F37-F38)/(B37-B38)</f>
        <v>-1.1061961559412141</v>
      </c>
      <c r="I38" s="11"/>
    </row>
    <row r="39" spans="1:9" x14ac:dyDescent="0.3">
      <c r="A39" s="7">
        <v>5</v>
      </c>
      <c r="B39">
        <v>0</v>
      </c>
      <c r="C39" s="9">
        <v>3.0000000000000001E-3</v>
      </c>
      <c r="D39" s="9">
        <v>4.7910000000000004</v>
      </c>
      <c r="E39" s="9">
        <f t="shared" si="7"/>
        <v>4.7880000000000003</v>
      </c>
      <c r="F39" s="10">
        <f t="shared" si="8"/>
        <v>6.8015414173437305</v>
      </c>
      <c r="G39" s="19"/>
      <c r="I39" s="11"/>
    </row>
    <row r="40" spans="1:9" x14ac:dyDescent="0.3">
      <c r="A40" s="7"/>
      <c r="B40" s="8"/>
      <c r="C40" s="9"/>
      <c r="D40" s="9"/>
      <c r="E40" s="19"/>
      <c r="F40" s="21" t="s">
        <v>24</v>
      </c>
      <c r="G40" s="19">
        <f>AVERAGE(G36:G37)</f>
        <v>-0.99078702968159371</v>
      </c>
      <c r="I40" s="11"/>
    </row>
    <row r="41" spans="1:9" x14ac:dyDescent="0.3">
      <c r="A41" s="7"/>
      <c r="F41" s="8" t="s">
        <v>13</v>
      </c>
      <c r="G41" s="19">
        <f>F35-F39-B35*G40</f>
        <v>-1.7378428545383926</v>
      </c>
      <c r="I41" s="11"/>
    </row>
    <row r="42" spans="1:9" x14ac:dyDescent="0.3">
      <c r="A42" s="7"/>
      <c r="I42" s="11"/>
    </row>
    <row r="43" spans="1:9" x14ac:dyDescent="0.3">
      <c r="A43" s="7"/>
      <c r="F43" s="8" t="s">
        <v>163</v>
      </c>
      <c r="G43" s="23" t="s">
        <v>18</v>
      </c>
      <c r="H43" s="23"/>
      <c r="I43" s="24" t="s">
        <v>19</v>
      </c>
    </row>
    <row r="44" spans="1:9" ht="19.5" thickBot="1" x14ac:dyDescent="0.35">
      <c r="A44" s="25"/>
      <c r="B44" s="26"/>
      <c r="C44" s="26"/>
      <c r="D44" s="26"/>
      <c r="E44" s="26"/>
      <c r="F44" s="27" t="s">
        <v>20</v>
      </c>
      <c r="G44" s="28">
        <f>AVERAGE(G10,G30,G40,G20)</f>
        <v>-1.2808123992400771</v>
      </c>
      <c r="H44" s="28"/>
      <c r="I44" s="29">
        <f>_xlfn.STDEV.P(G10,G20,G30,G40)</f>
        <v>0.39054322351419574</v>
      </c>
    </row>
    <row r="45" spans="1:9" x14ac:dyDescent="0.3">
      <c r="F45" s="8"/>
      <c r="G45" s="19"/>
      <c r="H45" s="19"/>
      <c r="I45" s="19"/>
    </row>
    <row r="48" spans="1:9" x14ac:dyDescent="0.3">
      <c r="A48" s="30"/>
    </row>
    <row r="49" spans="1:8" x14ac:dyDescent="0.3">
      <c r="B49" s="8"/>
      <c r="C49" s="8"/>
      <c r="D49" s="8"/>
      <c r="E49" s="8"/>
    </row>
    <row r="50" spans="1:8" x14ac:dyDescent="0.3">
      <c r="B50" s="8"/>
      <c r="C50" s="8"/>
      <c r="D50" s="8"/>
      <c r="E50" s="8"/>
      <c r="F50" s="8"/>
      <c r="G50" s="8"/>
      <c r="H50" s="8"/>
    </row>
    <row r="51" spans="1:8" x14ac:dyDescent="0.3">
      <c r="E51" s="19"/>
      <c r="F51" s="19"/>
      <c r="G51" s="19"/>
      <c r="H51" s="19"/>
    </row>
    <row r="52" spans="1:8" x14ac:dyDescent="0.3">
      <c r="E52" s="19"/>
      <c r="F52" s="19"/>
      <c r="H52" s="19"/>
    </row>
    <row r="53" spans="1:8" x14ac:dyDescent="0.3">
      <c r="E53" s="19"/>
      <c r="F53" s="19"/>
      <c r="H53" s="19"/>
    </row>
    <row r="54" spans="1:8" x14ac:dyDescent="0.3">
      <c r="E54" s="19"/>
      <c r="F54" s="19"/>
      <c r="G54" s="19"/>
      <c r="H54" s="19"/>
    </row>
    <row r="55" spans="1:8" x14ac:dyDescent="0.3">
      <c r="E55" s="19"/>
      <c r="F55" s="19"/>
      <c r="H55" s="19"/>
    </row>
    <row r="56" spans="1:8" x14ac:dyDescent="0.3">
      <c r="E56" s="19"/>
      <c r="F56" s="19"/>
      <c r="G56" s="19"/>
      <c r="H56" s="19"/>
    </row>
    <row r="59" spans="1:8" x14ac:dyDescent="0.3">
      <c r="A59" s="31"/>
      <c r="B59" s="19"/>
    </row>
    <row r="60" spans="1:8" x14ac:dyDescent="0.3">
      <c r="A60" s="31"/>
      <c r="B60" s="19"/>
    </row>
    <row r="61" spans="1:8" x14ac:dyDescent="0.3">
      <c r="A61" s="31"/>
      <c r="B61" s="19"/>
    </row>
    <row r="62" spans="1:8" x14ac:dyDescent="0.3">
      <c r="A62" s="31"/>
      <c r="B62" s="19"/>
    </row>
    <row r="63" spans="1:8" x14ac:dyDescent="0.3">
      <c r="A63" s="31"/>
      <c r="B63" s="19"/>
    </row>
    <row r="64" spans="1:8" x14ac:dyDescent="0.3">
      <c r="A64" s="31"/>
      <c r="B64" s="19"/>
    </row>
    <row r="65" spans="2:2" x14ac:dyDescent="0.3">
      <c r="B65" s="19"/>
    </row>
    <row r="66" spans="2:2" x14ac:dyDescent="0.3">
      <c r="B66" s="19"/>
    </row>
    <row r="67" spans="2:2" x14ac:dyDescent="0.3">
      <c r="B67" s="19"/>
    </row>
    <row r="68" spans="2:2" x14ac:dyDescent="0.3">
      <c r="B68" s="19"/>
    </row>
    <row r="69" spans="2:2" x14ac:dyDescent="0.3">
      <c r="B69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2449-E553-2648-8DC4-FDA49CCB9EF8}">
  <dimension ref="A1:X24"/>
  <sheetViews>
    <sheetView tabSelected="1" workbookViewId="0">
      <selection activeCell="S6" sqref="S6"/>
    </sheetView>
  </sheetViews>
  <sheetFormatPr defaultColWidth="7.59765625" defaultRowHeight="18.75" x14ac:dyDescent="0.3"/>
  <cols>
    <col min="2" max="2" width="2" bestFit="1" customWidth="1"/>
    <col min="3" max="3" width="8.59765625" bestFit="1" customWidth="1"/>
    <col min="6" max="6" width="5.3984375" bestFit="1" customWidth="1"/>
    <col min="7" max="7" width="6.296875" bestFit="1" customWidth="1"/>
    <col min="8" max="9" width="7.59765625" customWidth="1"/>
    <col min="10" max="10" width="30.69921875" customWidth="1"/>
    <col min="13" max="13" width="12.19921875" bestFit="1" customWidth="1"/>
  </cols>
  <sheetData>
    <row r="1" spans="1:24" ht="19.5" thickBot="1" x14ac:dyDescent="0.35">
      <c r="A1" s="203" t="s">
        <v>131</v>
      </c>
    </row>
    <row r="2" spans="1:24" x14ac:dyDescent="0.3">
      <c r="A2" s="43"/>
      <c r="B2" s="45"/>
      <c r="C2" s="255" t="s">
        <v>76</v>
      </c>
      <c r="D2" s="256"/>
      <c r="E2" s="256"/>
      <c r="F2" s="257"/>
      <c r="G2" s="255" t="s">
        <v>164</v>
      </c>
      <c r="H2" s="256"/>
      <c r="I2" s="256"/>
      <c r="J2" s="256"/>
      <c r="K2" s="127"/>
      <c r="L2" s="128"/>
      <c r="M2" s="123"/>
      <c r="N2" s="255" t="s">
        <v>165</v>
      </c>
      <c r="O2" s="256"/>
      <c r="P2" s="256"/>
      <c r="Q2" s="257"/>
      <c r="R2" s="271"/>
      <c r="S2" s="272"/>
      <c r="T2" s="136"/>
      <c r="U2" s="32"/>
      <c r="V2" s="32"/>
    </row>
    <row r="3" spans="1:24" x14ac:dyDescent="0.3">
      <c r="A3" s="100"/>
      <c r="B3" s="11"/>
      <c r="C3" s="252" t="s">
        <v>21</v>
      </c>
      <c r="D3" s="253"/>
      <c r="E3" s="253"/>
      <c r="F3" s="254"/>
      <c r="G3" s="252" t="s">
        <v>21</v>
      </c>
      <c r="H3" s="253"/>
      <c r="I3" s="253"/>
      <c r="J3" s="253"/>
      <c r="K3" s="129"/>
      <c r="L3" s="32"/>
      <c r="M3" s="124"/>
      <c r="N3" s="252" t="s">
        <v>21</v>
      </c>
      <c r="O3" s="253"/>
      <c r="P3" s="253"/>
      <c r="Q3" s="254"/>
      <c r="R3" s="273"/>
      <c r="S3" s="274"/>
      <c r="T3" s="136"/>
      <c r="U3" s="32"/>
      <c r="V3" s="32"/>
    </row>
    <row r="4" spans="1:24" x14ac:dyDescent="0.3">
      <c r="A4" s="100"/>
      <c r="B4" s="11"/>
      <c r="C4" s="113">
        <v>1</v>
      </c>
      <c r="D4" s="114">
        <v>2</v>
      </c>
      <c r="E4" s="114">
        <v>3</v>
      </c>
      <c r="F4" s="115">
        <v>4</v>
      </c>
      <c r="G4" s="113">
        <v>1</v>
      </c>
      <c r="H4" s="114">
        <v>2</v>
      </c>
      <c r="I4" s="114">
        <v>3</v>
      </c>
      <c r="J4" s="114">
        <v>4</v>
      </c>
      <c r="K4" s="129"/>
      <c r="L4" s="32"/>
      <c r="M4" s="124"/>
      <c r="N4" s="113">
        <v>1</v>
      </c>
      <c r="O4" s="114">
        <v>2</v>
      </c>
      <c r="P4" s="114">
        <v>3</v>
      </c>
      <c r="Q4" s="115">
        <v>4</v>
      </c>
      <c r="R4" s="113"/>
      <c r="S4" s="115"/>
      <c r="T4" s="114"/>
      <c r="U4" s="32"/>
      <c r="V4" s="32"/>
    </row>
    <row r="5" spans="1:24" ht="19.5" thickBot="1" x14ac:dyDescent="0.35">
      <c r="A5" s="48"/>
      <c r="B5" s="109"/>
      <c r="C5" s="48"/>
      <c r="D5" s="26"/>
      <c r="E5" s="26"/>
      <c r="F5" s="49"/>
      <c r="G5" s="48"/>
      <c r="H5" s="26"/>
      <c r="I5" s="26"/>
      <c r="J5" s="26"/>
      <c r="K5" s="133" t="s">
        <v>33</v>
      </c>
      <c r="L5" s="134" t="s">
        <v>77</v>
      </c>
      <c r="M5" s="135" t="s">
        <v>79</v>
      </c>
      <c r="N5" s="48"/>
      <c r="O5" s="26"/>
      <c r="P5" s="26"/>
      <c r="Q5" s="49"/>
      <c r="R5" s="275" t="s">
        <v>33</v>
      </c>
      <c r="S5" s="276" t="s">
        <v>77</v>
      </c>
      <c r="T5" s="32"/>
      <c r="U5" s="32"/>
      <c r="V5" s="32"/>
    </row>
    <row r="6" spans="1:24" x14ac:dyDescent="0.3">
      <c r="A6" s="250" t="s">
        <v>78</v>
      </c>
      <c r="B6" s="115">
        <v>0</v>
      </c>
      <c r="C6" s="116">
        <v>4.2879691432323011</v>
      </c>
      <c r="D6" s="117">
        <v>3.4331983805668025</v>
      </c>
      <c r="E6" s="117">
        <v>5.1806646856142784</v>
      </c>
      <c r="F6" s="118">
        <v>8.7362368770222769</v>
      </c>
      <c r="G6" s="116">
        <f>13.47*C6</f>
        <v>57.758944359339097</v>
      </c>
      <c r="H6" s="117">
        <f t="shared" ref="H6:H14" si="0">13.47*D6</f>
        <v>46.245182186234828</v>
      </c>
      <c r="I6" s="117">
        <f t="shared" ref="I6:I14" si="1">13.47*E6</f>
        <v>69.783553315224339</v>
      </c>
      <c r="J6" s="117">
        <f t="shared" ref="J6:J14" si="2">13.47*F6</f>
        <v>117.67711073349008</v>
      </c>
      <c r="K6" s="130">
        <f>AVERAGE(G6:J6)</f>
        <v>72.866197648572097</v>
      </c>
      <c r="L6" s="122">
        <f>STDEV(G6:J6)</f>
        <v>31.38167296252719</v>
      </c>
      <c r="M6" s="125">
        <f>AVERAGE(K$6:K6)</f>
        <v>72.866197648572097</v>
      </c>
      <c r="N6" s="116">
        <f>G6/MAX(G$6:G$14)</f>
        <v>1</v>
      </c>
      <c r="O6" s="116">
        <f t="shared" ref="O6:Q14" si="3">H6/MAX(H$6:H$14)</f>
        <v>1</v>
      </c>
      <c r="P6" s="116">
        <f t="shared" si="3"/>
        <v>1</v>
      </c>
      <c r="Q6" s="99">
        <f t="shared" si="3"/>
        <v>1</v>
      </c>
      <c r="R6" s="116">
        <f>AVERAGE(N6:Q6)</f>
        <v>1</v>
      </c>
      <c r="S6" s="277">
        <f>STDEV(N6:Q6)</f>
        <v>0</v>
      </c>
      <c r="T6" s="32"/>
      <c r="U6" s="117"/>
      <c r="V6" s="117"/>
      <c r="W6" s="9"/>
      <c r="X6" s="9"/>
    </row>
    <row r="7" spans="1:24" x14ac:dyDescent="0.3">
      <c r="A7" s="250"/>
      <c r="B7" s="115">
        <v>1</v>
      </c>
      <c r="C7" s="116">
        <v>2.2455581847029213</v>
      </c>
      <c r="D7" s="117">
        <v>1.903826307851076</v>
      </c>
      <c r="E7" s="117">
        <v>2.3708821759976666</v>
      </c>
      <c r="F7" s="118">
        <v>2.9696920319374289</v>
      </c>
      <c r="G7" s="116">
        <f t="shared" ref="G7:G14" si="4">13.47*C7</f>
        <v>30.247668747948353</v>
      </c>
      <c r="H7" s="117">
        <f t="shared" si="0"/>
        <v>25.644540366753994</v>
      </c>
      <c r="I7" s="117">
        <f t="shared" si="1"/>
        <v>31.93578291068857</v>
      </c>
      <c r="J7" s="117">
        <f t="shared" si="2"/>
        <v>40.001751670197173</v>
      </c>
      <c r="K7" s="130">
        <f t="shared" ref="K7:K14" si="5">AVERAGE(G7:J7)</f>
        <v>31.957435923897023</v>
      </c>
      <c r="L7" s="122">
        <f t="shared" ref="L7:L14" si="6">STDEV(G7:J7)</f>
        <v>5.9857452554799186</v>
      </c>
      <c r="M7" s="125">
        <f>AVERAGE(K$6:K7)</f>
        <v>52.41181678623456</v>
      </c>
      <c r="N7" s="116">
        <f t="shared" ref="N7:N14" si="7">G7/MAX(G$6:G$14)</f>
        <v>0.52368804664723034</v>
      </c>
      <c r="O7" s="116">
        <f t="shared" si="3"/>
        <v>0.55453431372549011</v>
      </c>
      <c r="P7" s="116">
        <f t="shared" si="3"/>
        <v>0.45764053840063335</v>
      </c>
      <c r="Q7" s="99">
        <f t="shared" si="3"/>
        <v>0.33992805755395689</v>
      </c>
      <c r="R7" s="116">
        <f t="shared" ref="R7:R14" si="8">AVERAGE(N7:Q7)</f>
        <v>0.46894773908182769</v>
      </c>
      <c r="S7" s="277">
        <f t="shared" ref="S7:S14" si="9">STDEV(N7:Q7)</f>
        <v>9.5035947655589814E-2</v>
      </c>
      <c r="T7" s="32"/>
      <c r="U7" s="117"/>
      <c r="V7" s="117"/>
      <c r="W7" s="9"/>
      <c r="X7" s="9"/>
    </row>
    <row r="8" spans="1:24" x14ac:dyDescent="0.3">
      <c r="A8" s="250"/>
      <c r="B8" s="115">
        <v>2</v>
      </c>
      <c r="C8" s="116">
        <v>0.60131578947368425</v>
      </c>
      <c r="D8" s="117">
        <v>0.69736842105263164</v>
      </c>
      <c r="E8" s="117">
        <v>0.59210526315789469</v>
      </c>
      <c r="F8" s="118">
        <v>0.59210526315789469</v>
      </c>
      <c r="G8" s="116">
        <f t="shared" si="4"/>
        <v>8.0997236842105274</v>
      </c>
      <c r="H8" s="117">
        <f t="shared" si="0"/>
        <v>9.3935526315789488</v>
      </c>
      <c r="I8" s="117">
        <f t="shared" si="1"/>
        <v>7.9756578947368419</v>
      </c>
      <c r="J8" s="117">
        <f t="shared" si="2"/>
        <v>7.9756578947368419</v>
      </c>
      <c r="K8" s="130">
        <f t="shared" si="5"/>
        <v>8.3611480263157905</v>
      </c>
      <c r="L8" s="122">
        <f t="shared" si="6"/>
        <v>0.69075013299630939</v>
      </c>
      <c r="M8" s="125">
        <f>AVERAGE(K$6:K8)</f>
        <v>37.728260532928303</v>
      </c>
      <c r="N8" s="116">
        <f t="shared" si="7"/>
        <v>0.14023323615160352</v>
      </c>
      <c r="O8" s="116">
        <f t="shared" si="3"/>
        <v>0.20312499999999997</v>
      </c>
      <c r="P8" s="116">
        <f t="shared" si="3"/>
        <v>0.11429136975455263</v>
      </c>
      <c r="Q8" s="99">
        <f t="shared" si="3"/>
        <v>6.7775779376498799E-2</v>
      </c>
      <c r="R8" s="116">
        <f t="shared" si="8"/>
        <v>0.13135634632066373</v>
      </c>
      <c r="S8" s="277">
        <f t="shared" si="9"/>
        <v>5.6460135618441744E-2</v>
      </c>
      <c r="T8" s="32"/>
      <c r="U8" s="117"/>
      <c r="V8" s="117"/>
      <c r="W8" s="117"/>
      <c r="X8" s="118"/>
    </row>
    <row r="9" spans="1:24" x14ac:dyDescent="0.3">
      <c r="A9" s="250"/>
      <c r="B9" s="115">
        <v>3</v>
      </c>
      <c r="C9" s="116">
        <v>0.18267623645913122</v>
      </c>
      <c r="D9" s="117">
        <v>0.25917281892514094</v>
      </c>
      <c r="E9" s="117">
        <v>0.20453986108325894</v>
      </c>
      <c r="F9" s="118">
        <v>0.184623710980237</v>
      </c>
      <c r="G9" s="116">
        <f t="shared" si="4"/>
        <v>2.4606489051044975</v>
      </c>
      <c r="H9" s="117">
        <f t="shared" si="0"/>
        <v>3.4910578709216487</v>
      </c>
      <c r="I9" s="117">
        <f t="shared" si="1"/>
        <v>2.7551519287914981</v>
      </c>
      <c r="J9" s="117">
        <f t="shared" si="2"/>
        <v>2.4868813869037925</v>
      </c>
      <c r="K9" s="130">
        <f t="shared" si="5"/>
        <v>2.7984350229303594</v>
      </c>
      <c r="L9" s="122">
        <f t="shared" si="6"/>
        <v>0.48054308350553937</v>
      </c>
      <c r="M9" s="125">
        <f>AVERAGE(K$6:K9)</f>
        <v>28.995804155428818</v>
      </c>
      <c r="N9" s="116">
        <f t="shared" si="7"/>
        <v>4.2602040816326535E-2</v>
      </c>
      <c r="O9" s="116">
        <f t="shared" si="3"/>
        <v>7.5490196078431368E-2</v>
      </c>
      <c r="P9" s="116">
        <f t="shared" si="3"/>
        <v>3.9481393507521778E-2</v>
      </c>
      <c r="Q9" s="99">
        <f t="shared" si="3"/>
        <v>2.113309352517986E-2</v>
      </c>
      <c r="R9" s="116">
        <f t="shared" si="8"/>
        <v>4.4676680981864884E-2</v>
      </c>
      <c r="S9" s="277">
        <f t="shared" si="9"/>
        <v>2.2620553829754326E-2</v>
      </c>
      <c r="T9" s="32"/>
      <c r="U9" s="117"/>
      <c r="V9" s="117"/>
      <c r="W9" s="9"/>
      <c r="X9" s="9"/>
    </row>
    <row r="10" spans="1:24" x14ac:dyDescent="0.3">
      <c r="A10" s="250"/>
      <c r="B10" s="115">
        <v>4</v>
      </c>
      <c r="C10" s="116">
        <v>7.0476460772513419E-2</v>
      </c>
      <c r="D10" s="117">
        <v>0.12821902040168295</v>
      </c>
      <c r="E10" s="117">
        <v>8.999507775326783E-2</v>
      </c>
      <c r="F10" s="118">
        <v>9.3189145464279907E-2</v>
      </c>
      <c r="G10" s="116">
        <f t="shared" si="4"/>
        <v>0.94931792660575576</v>
      </c>
      <c r="H10" s="117">
        <f t="shared" si="0"/>
        <v>1.7271102048106695</v>
      </c>
      <c r="I10" s="117">
        <f t="shared" si="1"/>
        <v>1.2122336973365178</v>
      </c>
      <c r="J10" s="117">
        <f t="shared" si="2"/>
        <v>1.2552577894038504</v>
      </c>
      <c r="K10" s="130">
        <f t="shared" si="5"/>
        <v>1.2859799045391984</v>
      </c>
      <c r="L10" s="122">
        <f t="shared" si="6"/>
        <v>0.32368687577082128</v>
      </c>
      <c r="M10" s="125">
        <f>AVERAGE(K$6:K10)</f>
        <v>23.453839305250895</v>
      </c>
      <c r="N10" s="116">
        <f t="shared" si="7"/>
        <v>1.6435860058309042E-2</v>
      </c>
      <c r="O10" s="116">
        <f t="shared" si="3"/>
        <v>3.7346813725490195E-2</v>
      </c>
      <c r="P10" s="116">
        <f t="shared" si="3"/>
        <v>1.7371338083927157E-2</v>
      </c>
      <c r="Q10" s="99">
        <f t="shared" si="3"/>
        <v>1.0666966426858514E-2</v>
      </c>
      <c r="R10" s="116">
        <f t="shared" si="8"/>
        <v>2.0455244573646225E-2</v>
      </c>
      <c r="S10" s="277">
        <f t="shared" si="9"/>
        <v>1.164476174952888E-2</v>
      </c>
      <c r="T10" s="32"/>
      <c r="U10" s="117"/>
      <c r="V10" s="117"/>
      <c r="W10" s="9"/>
      <c r="X10" s="9"/>
    </row>
    <row r="11" spans="1:24" x14ac:dyDescent="0.3">
      <c r="A11" s="250"/>
      <c r="B11" s="115">
        <v>5</v>
      </c>
      <c r="C11" s="116">
        <v>3.797290458474669E-2</v>
      </c>
      <c r="D11" s="117">
        <v>7.1546003016591253E-2</v>
      </c>
      <c r="E11" s="117">
        <v>4.8114961807011469E-2</v>
      </c>
      <c r="F11" s="118">
        <v>5.1589888032775442E-2</v>
      </c>
      <c r="G11" s="116">
        <f t="shared" si="4"/>
        <v>0.51149502475653796</v>
      </c>
      <c r="H11" s="117">
        <f t="shared" si="0"/>
        <v>0.96372466063348428</v>
      </c>
      <c r="I11" s="117">
        <f t="shared" si="1"/>
        <v>0.64810853554044456</v>
      </c>
      <c r="J11" s="117">
        <f t="shared" si="2"/>
        <v>0.69491579180148522</v>
      </c>
      <c r="K11" s="130">
        <f t="shared" si="5"/>
        <v>0.70456100318298798</v>
      </c>
      <c r="L11" s="122">
        <f t="shared" si="6"/>
        <v>0.18949070740136301</v>
      </c>
      <c r="M11" s="125">
        <f>AVERAGE(K$6:K11)</f>
        <v>19.662292921572909</v>
      </c>
      <c r="N11" s="116">
        <f t="shared" si="7"/>
        <v>8.8556851311953361E-3</v>
      </c>
      <c r="O11" s="116">
        <f t="shared" si="3"/>
        <v>2.0839460784313722E-2</v>
      </c>
      <c r="P11" s="116">
        <f t="shared" si="3"/>
        <v>9.287410926365796E-3</v>
      </c>
      <c r="Q11" s="99">
        <f t="shared" si="3"/>
        <v>5.9052757793764989E-3</v>
      </c>
      <c r="R11" s="116">
        <f t="shared" si="8"/>
        <v>1.1221958155312836E-2</v>
      </c>
      <c r="S11" s="277">
        <f t="shared" si="9"/>
        <v>6.5854685814330126E-3</v>
      </c>
      <c r="T11" s="32"/>
      <c r="U11" s="117"/>
      <c r="V11" s="117"/>
      <c r="W11" s="9"/>
      <c r="X11" s="9"/>
    </row>
    <row r="12" spans="1:24" x14ac:dyDescent="0.3">
      <c r="A12" s="250"/>
      <c r="B12" s="115">
        <v>6</v>
      </c>
      <c r="C12" s="116">
        <v>2.2174301072327391E-2</v>
      </c>
      <c r="D12" s="117">
        <v>4.4576883384932924E-2</v>
      </c>
      <c r="E12" s="117">
        <v>2.6190454487448275E-2</v>
      </c>
      <c r="F12" s="118">
        <v>2.6331793105053659E-2</v>
      </c>
      <c r="G12" s="116">
        <f t="shared" si="4"/>
        <v>0.29868783544424998</v>
      </c>
      <c r="H12" s="117">
        <f t="shared" si="0"/>
        <v>0.6004506191950465</v>
      </c>
      <c r="I12" s="117">
        <f t="shared" si="1"/>
        <v>0.35278542194592827</v>
      </c>
      <c r="J12" s="117">
        <f t="shared" si="2"/>
        <v>0.35468925312507282</v>
      </c>
      <c r="K12" s="130">
        <f t="shared" si="5"/>
        <v>0.40165328242757437</v>
      </c>
      <c r="L12" s="122">
        <f t="shared" si="6"/>
        <v>0.13505054882610359</v>
      </c>
      <c r="M12" s="125">
        <f>AVERAGE(K$6:K12)</f>
        <v>16.910772973123578</v>
      </c>
      <c r="N12" s="116">
        <f t="shared" si="7"/>
        <v>5.1712827988338204E-3</v>
      </c>
      <c r="O12" s="116">
        <f t="shared" si="3"/>
        <v>1.2984068627450978E-2</v>
      </c>
      <c r="P12" s="116">
        <f t="shared" si="3"/>
        <v>5.0554235946159935E-3</v>
      </c>
      <c r="Q12" s="99">
        <f t="shared" si="3"/>
        <v>3.0140887290167869E-3</v>
      </c>
      <c r="R12" s="116">
        <f t="shared" si="8"/>
        <v>6.5562159374793942E-3</v>
      </c>
      <c r="S12" s="277">
        <f t="shared" si="9"/>
        <v>4.3982713581520545E-3</v>
      </c>
      <c r="T12" s="32"/>
      <c r="U12" s="117"/>
      <c r="V12" s="117"/>
      <c r="W12" s="9"/>
      <c r="X12" s="9"/>
    </row>
    <row r="13" spans="1:24" x14ac:dyDescent="0.3">
      <c r="A13" s="250"/>
      <c r="B13" s="115">
        <v>7</v>
      </c>
      <c r="C13" s="116">
        <v>1.3456159727541307E-2</v>
      </c>
      <c r="D13" s="117">
        <v>2.6748233706438047E-2</v>
      </c>
      <c r="E13" s="117">
        <v>1.7660611087816531E-2</v>
      </c>
      <c r="F13" s="118">
        <v>1.5293652086873531E-2</v>
      </c>
      <c r="G13" s="116">
        <f t="shared" si="4"/>
        <v>0.18125447152998142</v>
      </c>
      <c r="H13" s="117">
        <f t="shared" si="0"/>
        <v>0.3602987080257205</v>
      </c>
      <c r="I13" s="117">
        <f t="shared" si="1"/>
        <v>0.2378884313528887</v>
      </c>
      <c r="J13" s="117">
        <f t="shared" si="2"/>
        <v>0.20600549361018647</v>
      </c>
      <c r="K13" s="130">
        <f t="shared" si="5"/>
        <v>0.24636177612969429</v>
      </c>
      <c r="L13" s="122">
        <f t="shared" si="6"/>
        <v>7.9416649540299838E-2</v>
      </c>
      <c r="M13" s="125">
        <f>AVERAGE(K$6:K13)</f>
        <v>14.827721573499341</v>
      </c>
      <c r="N13" s="116">
        <f t="shared" si="7"/>
        <v>3.1381195335276973E-3</v>
      </c>
      <c r="O13" s="116">
        <f t="shared" si="3"/>
        <v>7.7910539215686279E-3</v>
      </c>
      <c r="P13" s="116">
        <f t="shared" si="3"/>
        <v>3.4089469517022968E-3</v>
      </c>
      <c r="Q13" s="99">
        <f t="shared" si="3"/>
        <v>1.750599520383693E-3</v>
      </c>
      <c r="R13" s="116">
        <f t="shared" si="8"/>
        <v>4.0221799817955787E-3</v>
      </c>
      <c r="S13" s="277">
        <f t="shared" si="9"/>
        <v>2.6154735831175756E-3</v>
      </c>
      <c r="T13" s="32"/>
      <c r="U13" s="117"/>
      <c r="V13" s="117"/>
      <c r="W13" s="9"/>
      <c r="X13" s="9"/>
    </row>
    <row r="14" spans="1:24" ht="19.5" thickBot="1" x14ac:dyDescent="0.35">
      <c r="A14" s="251"/>
      <c r="B14" s="109">
        <v>8</v>
      </c>
      <c r="C14" s="119">
        <v>8.6290690994638378E-3</v>
      </c>
      <c r="D14" s="120">
        <v>1.7334285941097091E-2</v>
      </c>
      <c r="E14" s="120">
        <v>1.0550015495961936E-2</v>
      </c>
      <c r="F14" s="121">
        <v>1.0319286994576222E-2</v>
      </c>
      <c r="G14" s="119">
        <f t="shared" si="4"/>
        <v>0.11623356076977791</v>
      </c>
      <c r="H14" s="120">
        <f t="shared" si="0"/>
        <v>0.23349283162657783</v>
      </c>
      <c r="I14" s="120">
        <f t="shared" si="1"/>
        <v>0.14210870873060727</v>
      </c>
      <c r="J14" s="120">
        <f t="shared" si="2"/>
        <v>0.13900079581694172</v>
      </c>
      <c r="K14" s="131">
        <f t="shared" si="5"/>
        <v>0.15770897423597618</v>
      </c>
      <c r="L14" s="132">
        <f t="shared" si="6"/>
        <v>5.1822669385728583E-2</v>
      </c>
      <c r="M14" s="126">
        <f>AVERAGE(K$6:K14)</f>
        <v>13.197720173581189</v>
      </c>
      <c r="N14" s="119">
        <f t="shared" si="7"/>
        <v>2.0123906705539363E-3</v>
      </c>
      <c r="O14" s="119">
        <f t="shared" si="3"/>
        <v>5.0490196078431379E-3</v>
      </c>
      <c r="P14" s="119">
        <f t="shared" si="3"/>
        <v>2.0364212193190812E-3</v>
      </c>
      <c r="Q14" s="270">
        <f t="shared" si="3"/>
        <v>1.1812050359712228E-3</v>
      </c>
      <c r="R14" s="119">
        <f t="shared" si="8"/>
        <v>2.5697591334218443E-3</v>
      </c>
      <c r="S14" s="278">
        <f t="shared" si="9"/>
        <v>1.6999925407281289E-3</v>
      </c>
      <c r="T14" s="32"/>
      <c r="U14" s="117"/>
      <c r="V14" s="117"/>
      <c r="W14" s="9"/>
      <c r="X14" s="9"/>
    </row>
    <row r="15" spans="1:24" x14ac:dyDescent="0.3">
      <c r="P15" s="32"/>
      <c r="Q15" s="32"/>
      <c r="R15" s="32"/>
      <c r="S15" s="32"/>
      <c r="T15" s="32"/>
      <c r="U15" s="32"/>
      <c r="V15" s="32"/>
    </row>
    <row r="16" spans="1:24" x14ac:dyDescent="0.3">
      <c r="P16" s="32"/>
      <c r="Q16" s="32"/>
      <c r="R16" s="32"/>
      <c r="S16" s="32"/>
      <c r="T16" s="32"/>
      <c r="U16" s="117"/>
      <c r="V16" s="117"/>
      <c r="W16" s="9"/>
      <c r="X16" s="9"/>
    </row>
    <row r="17" spans="21:24" x14ac:dyDescent="0.3">
      <c r="U17" s="9"/>
      <c r="V17" s="9"/>
      <c r="W17" s="9"/>
      <c r="X17" s="9"/>
    </row>
    <row r="18" spans="21:24" x14ac:dyDescent="0.3">
      <c r="U18" s="9"/>
      <c r="V18" s="9"/>
      <c r="W18" s="9"/>
      <c r="X18" s="9"/>
    </row>
    <row r="19" spans="21:24" x14ac:dyDescent="0.3">
      <c r="U19" s="9"/>
      <c r="V19" s="9"/>
      <c r="W19" s="9"/>
      <c r="X19" s="9"/>
    </row>
    <row r="20" spans="21:24" x14ac:dyDescent="0.3">
      <c r="U20" s="9"/>
      <c r="V20" s="9"/>
      <c r="W20" s="9"/>
      <c r="X20" s="9"/>
    </row>
    <row r="21" spans="21:24" x14ac:dyDescent="0.3">
      <c r="U21" s="9"/>
      <c r="V21" s="9"/>
      <c r="W21" s="9"/>
      <c r="X21" s="9"/>
    </row>
    <row r="22" spans="21:24" x14ac:dyDescent="0.3">
      <c r="U22" s="9"/>
      <c r="V22" s="9"/>
      <c r="W22" s="9"/>
      <c r="X22" s="9"/>
    </row>
    <row r="23" spans="21:24" x14ac:dyDescent="0.3">
      <c r="U23" s="9"/>
      <c r="V23" s="9"/>
      <c r="W23" s="9"/>
      <c r="X23" s="9"/>
    </row>
    <row r="24" spans="21:24" x14ac:dyDescent="0.3">
      <c r="U24" s="9"/>
      <c r="V24" s="9"/>
      <c r="W24" s="9"/>
      <c r="X24" s="9"/>
    </row>
  </sheetData>
  <mergeCells count="7">
    <mergeCell ref="N2:Q2"/>
    <mergeCell ref="N3:Q3"/>
    <mergeCell ref="A6:A14"/>
    <mergeCell ref="C3:F3"/>
    <mergeCell ref="C2:F2"/>
    <mergeCell ref="G2:J2"/>
    <mergeCell ref="G3:J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4A94-1323-6941-87DA-6C7172DBDEA7}">
  <dimension ref="A1:I14"/>
  <sheetViews>
    <sheetView workbookViewId="0">
      <selection activeCell="C15" sqref="C15"/>
    </sheetView>
  </sheetViews>
  <sheetFormatPr defaultColWidth="10.8984375" defaultRowHeight="18.75" x14ac:dyDescent="0.3"/>
  <cols>
    <col min="1" max="1" width="16.09765625" bestFit="1" customWidth="1"/>
    <col min="2" max="2" width="12.296875" bestFit="1" customWidth="1"/>
    <col min="3" max="3" width="7.5" bestFit="1" customWidth="1"/>
    <col min="6" max="6" width="27.296875" bestFit="1" customWidth="1"/>
    <col min="7" max="7" width="9.59765625" bestFit="1" customWidth="1"/>
    <col min="8" max="8" width="13.796875" bestFit="1" customWidth="1"/>
    <col min="9" max="9" width="16.09765625" bestFit="1" customWidth="1"/>
  </cols>
  <sheetData>
    <row r="1" spans="1:9" x14ac:dyDescent="0.3">
      <c r="A1" s="203" t="s">
        <v>132</v>
      </c>
      <c r="F1" s="203" t="s">
        <v>133</v>
      </c>
    </row>
    <row r="2" spans="1:9" x14ac:dyDescent="0.3">
      <c r="A2" s="188"/>
      <c r="B2" s="258" t="s">
        <v>115</v>
      </c>
      <c r="C2" s="259"/>
      <c r="D2" s="239"/>
      <c r="E2" s="187"/>
      <c r="F2" s="195"/>
      <c r="G2" s="258" t="s">
        <v>13</v>
      </c>
      <c r="H2" s="258"/>
      <c r="I2" s="259"/>
    </row>
    <row r="3" spans="1:9" x14ac:dyDescent="0.3">
      <c r="A3" s="192"/>
      <c r="B3" s="242" t="s">
        <v>29</v>
      </c>
      <c r="C3" s="243" t="s">
        <v>111</v>
      </c>
      <c r="D3" s="244" t="s">
        <v>162</v>
      </c>
      <c r="E3" s="8"/>
      <c r="F3" s="192"/>
      <c r="G3" s="242" t="s">
        <v>117</v>
      </c>
      <c r="H3" s="242" t="s">
        <v>116</v>
      </c>
      <c r="I3" s="243" t="s">
        <v>121</v>
      </c>
    </row>
    <row r="4" spans="1:9" x14ac:dyDescent="0.3">
      <c r="A4" s="189" t="s">
        <v>112</v>
      </c>
      <c r="B4" s="190">
        <v>675</v>
      </c>
      <c r="C4" s="191">
        <f>71/0.87</f>
        <v>81.609195402298852</v>
      </c>
      <c r="D4" s="240">
        <f>10*LOG10(C4/B4)</f>
        <v>-9.1756467673056807</v>
      </c>
      <c r="E4" s="196"/>
      <c r="F4" s="189" t="s">
        <v>119</v>
      </c>
      <c r="G4" s="196">
        <f>10*LOG10(C4/B4)</f>
        <v>-9.1756467673056807</v>
      </c>
      <c r="H4" s="196">
        <v>-3.6</v>
      </c>
      <c r="I4" s="191"/>
    </row>
    <row r="5" spans="1:9" x14ac:dyDescent="0.3">
      <c r="A5" s="189" t="s">
        <v>113</v>
      </c>
      <c r="B5" s="190">
        <v>675</v>
      </c>
      <c r="C5" s="191">
        <f>59/0.87</f>
        <v>67.816091954022994</v>
      </c>
      <c r="D5" s="240">
        <f t="shared" ref="D5:D6" si="0">10*LOG10(C5/B5)</f>
        <v>-9.9797101380749922</v>
      </c>
      <c r="E5" s="196"/>
      <c r="F5" s="189" t="s">
        <v>118</v>
      </c>
      <c r="G5" s="196">
        <f>10*LOG10(C5/B5)</f>
        <v>-9.9797101380749922</v>
      </c>
      <c r="H5" s="196">
        <v>-5.8</v>
      </c>
      <c r="I5" s="191"/>
    </row>
    <row r="6" spans="1:9" x14ac:dyDescent="0.3">
      <c r="A6" s="192"/>
      <c r="B6" s="193">
        <v>675</v>
      </c>
      <c r="C6" s="194">
        <f>65/0.97</f>
        <v>67.010309278350519</v>
      </c>
      <c r="D6" s="241">
        <f t="shared" si="0"/>
        <v>-10.031621504544141</v>
      </c>
      <c r="E6" s="196"/>
      <c r="F6" s="189" t="s">
        <v>120</v>
      </c>
      <c r="G6" s="196">
        <f>10*LOG10(C7/B6)</f>
        <v>-9.7109633788761531</v>
      </c>
      <c r="H6" s="196">
        <v>-4.7</v>
      </c>
      <c r="I6" s="197"/>
    </row>
    <row r="7" spans="1:9" x14ac:dyDescent="0.3">
      <c r="A7" s="8"/>
      <c r="B7" s="127" t="s">
        <v>33</v>
      </c>
      <c r="C7" s="128">
        <f>AVERAGE(C4:C6)</f>
        <v>72.145198878224122</v>
      </c>
      <c r="D7" s="245">
        <f>AVERAGE(D4:D6)</f>
        <v>-9.7289928033082713</v>
      </c>
      <c r="F7" s="189" t="s">
        <v>124</v>
      </c>
      <c r="G7" s="196">
        <f>G6</f>
        <v>-9.7109633788761531</v>
      </c>
      <c r="H7" s="196">
        <f>SUM(G6:H6)</f>
        <v>-14.410963378876154</v>
      </c>
      <c r="I7" s="191"/>
    </row>
    <row r="8" spans="1:9" x14ac:dyDescent="0.3">
      <c r="A8" s="8"/>
      <c r="B8" s="214" t="s">
        <v>160</v>
      </c>
      <c r="C8" s="215">
        <f>STDEV(C4:C6)</f>
        <v>8.2059578408542535</v>
      </c>
      <c r="D8" s="219">
        <f>STDEV(D4:D6)</f>
        <v>0.47991413207157047</v>
      </c>
      <c r="F8" s="189" t="s">
        <v>123</v>
      </c>
      <c r="G8" s="198">
        <f>100*10^(G7/10)</f>
        <v>10.688177611588754</v>
      </c>
      <c r="H8" s="198">
        <f>100*10^(H7/10)</f>
        <v>3.6216265234647089</v>
      </c>
      <c r="I8" s="191"/>
    </row>
    <row r="9" spans="1:9" x14ac:dyDescent="0.3">
      <c r="A9" s="8"/>
      <c r="F9" s="189" t="s">
        <v>122</v>
      </c>
      <c r="G9" s="198">
        <f>B6*G8/100</f>
        <v>72.145198878224093</v>
      </c>
      <c r="H9" s="198">
        <f>C6*H8/100</f>
        <v>2.4268631342804752</v>
      </c>
      <c r="I9" s="197">
        <f>G9-H9</f>
        <v>69.718335743943612</v>
      </c>
    </row>
    <row r="10" spans="1:9" x14ac:dyDescent="0.3">
      <c r="A10" s="8"/>
      <c r="F10" s="192" t="s">
        <v>114</v>
      </c>
      <c r="G10" s="193"/>
      <c r="H10" s="199">
        <f>H9/(4*0.3)</f>
        <v>2.0223859452337294</v>
      </c>
      <c r="I10" s="200">
        <f>I9/(4*0.3)</f>
        <v>58.098613119953015</v>
      </c>
    </row>
    <row r="11" spans="1:9" x14ac:dyDescent="0.3">
      <c r="G11" s="196"/>
    </row>
    <row r="13" spans="1:9" x14ac:dyDescent="0.3">
      <c r="B13" s="190">
        <v>675</v>
      </c>
      <c r="C13" s="191">
        <f>C7-C8</f>
        <v>63.939241037369868</v>
      </c>
      <c r="D13" s="240">
        <f>10*LOG10(C13/B13)</f>
        <v>-10.235362959663362</v>
      </c>
    </row>
    <row r="14" spans="1:9" x14ac:dyDescent="0.3">
      <c r="B14" s="190">
        <v>675</v>
      </c>
      <c r="C14" s="191">
        <f>C7+C8</f>
        <v>80.351156719078375</v>
      </c>
      <c r="D14" s="240">
        <f t="shared" ref="D14" si="1">10*LOG10(C14/B14)</f>
        <v>-9.2431163967071672</v>
      </c>
    </row>
  </sheetData>
  <mergeCells count="2">
    <mergeCell ref="G2:I2"/>
    <mergeCell ref="B2:C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E506B-DDC2-4AFC-84DB-59D3CF86351D}">
  <dimension ref="A1:AE18"/>
  <sheetViews>
    <sheetView zoomScale="70" zoomScaleNormal="70" workbookViewId="0">
      <selection activeCell="C30" sqref="C30"/>
    </sheetView>
  </sheetViews>
  <sheetFormatPr defaultRowHeight="18.75" x14ac:dyDescent="0.3"/>
  <cols>
    <col min="1" max="1" width="32.3984375" bestFit="1" customWidth="1"/>
    <col min="2" max="2" width="9.3984375" bestFit="1" customWidth="1"/>
    <col min="3" max="3" width="16.3984375" customWidth="1"/>
    <col min="4" max="4" width="16.8984375" customWidth="1"/>
    <col min="5" max="5" width="6.69921875" bestFit="1" customWidth="1"/>
    <col min="6" max="6" width="12.09765625" bestFit="1" customWidth="1"/>
    <col min="7" max="7" width="12.59765625" bestFit="1" customWidth="1"/>
    <col min="8" max="8" width="8.59765625" bestFit="1" customWidth="1"/>
    <col min="9" max="9" width="19" bestFit="1" customWidth="1"/>
    <col min="10" max="10" width="9" bestFit="1" customWidth="1"/>
    <col min="11" max="11" width="19" bestFit="1" customWidth="1"/>
    <col min="12" max="12" width="8.59765625" bestFit="1" customWidth="1"/>
    <col min="13" max="13" width="23.59765625" bestFit="1" customWidth="1"/>
    <col min="16" max="16" width="18.09765625" bestFit="1" customWidth="1"/>
    <col min="17" max="17" width="10.59765625" bestFit="1" customWidth="1"/>
    <col min="18" max="18" width="9.8984375" bestFit="1" customWidth="1"/>
    <col min="19" max="19" width="9.09765625" bestFit="1" customWidth="1"/>
    <col min="23" max="23" width="8.296875" bestFit="1" customWidth="1"/>
    <col min="24" max="24" width="10.09765625" bestFit="1" customWidth="1"/>
    <col min="25" max="25" width="9.796875" bestFit="1" customWidth="1"/>
    <col min="27" max="27" width="11" bestFit="1" customWidth="1"/>
    <col min="28" max="28" width="6" bestFit="1" customWidth="1"/>
    <col min="29" max="29" width="14.19921875" bestFit="1" customWidth="1"/>
    <col min="30" max="30" width="12.19921875" bestFit="1" customWidth="1"/>
  </cols>
  <sheetData>
    <row r="1" spans="1:31" ht="19.5" thickBot="1" x14ac:dyDescent="0.35">
      <c r="A1" s="203" t="s">
        <v>134</v>
      </c>
    </row>
    <row r="2" spans="1:31" ht="19.5" thickBot="1" x14ac:dyDescent="0.35">
      <c r="A2" s="137"/>
      <c r="B2" s="262" t="s">
        <v>80</v>
      </c>
      <c r="C2" s="263"/>
      <c r="D2" s="260" t="s">
        <v>81</v>
      </c>
      <c r="E2" s="263"/>
      <c r="F2" s="260" t="s">
        <v>82</v>
      </c>
      <c r="G2" s="261"/>
      <c r="H2" s="262" t="s">
        <v>83</v>
      </c>
      <c r="I2" s="263"/>
      <c r="J2" s="260" t="s">
        <v>84</v>
      </c>
      <c r="K2" s="263"/>
      <c r="L2" s="260" t="s">
        <v>85</v>
      </c>
      <c r="M2" s="261"/>
      <c r="P2" s="167" t="s">
        <v>75</v>
      </c>
      <c r="AA2" s="8"/>
      <c r="AB2" s="8" t="s">
        <v>102</v>
      </c>
      <c r="AC2" s="8" t="s">
        <v>103</v>
      </c>
      <c r="AD2" s="8"/>
      <c r="AE2" s="8"/>
    </row>
    <row r="3" spans="1:31" ht="76.5" thickBot="1" x14ac:dyDescent="0.35">
      <c r="A3" s="25" t="s">
        <v>86</v>
      </c>
      <c r="B3" s="25" t="s">
        <v>87</v>
      </c>
      <c r="C3" s="138" t="s">
        <v>88</v>
      </c>
      <c r="D3" s="139" t="s">
        <v>87</v>
      </c>
      <c r="E3" s="138" t="s">
        <v>88</v>
      </c>
      <c r="F3" s="139" t="s">
        <v>87</v>
      </c>
      <c r="G3" s="140" t="s">
        <v>88</v>
      </c>
      <c r="H3" s="141" t="s">
        <v>87</v>
      </c>
      <c r="I3" s="142" t="s">
        <v>88</v>
      </c>
      <c r="J3" s="143" t="s">
        <v>87</v>
      </c>
      <c r="K3" s="142" t="s">
        <v>88</v>
      </c>
      <c r="L3" s="143" t="s">
        <v>87</v>
      </c>
      <c r="M3" s="144" t="s">
        <v>88</v>
      </c>
      <c r="P3" s="168"/>
      <c r="Q3" s="169" t="s">
        <v>62</v>
      </c>
      <c r="R3" s="169" t="s">
        <v>61</v>
      </c>
      <c r="S3" s="170" t="s">
        <v>58</v>
      </c>
      <c r="T3" s="171" t="s">
        <v>56</v>
      </c>
      <c r="U3" s="172" t="s">
        <v>57</v>
      </c>
      <c r="V3" s="173" t="s">
        <v>63</v>
      </c>
      <c r="W3" s="174" t="s">
        <v>60</v>
      </c>
      <c r="X3" s="175" t="s">
        <v>71</v>
      </c>
      <c r="Y3" s="176" t="s">
        <v>72</v>
      </c>
      <c r="AA3" s="165" t="s">
        <v>104</v>
      </c>
      <c r="AB3" s="51">
        <v>103.8</v>
      </c>
      <c r="AC3" s="51">
        <v>74.599999999999994</v>
      </c>
      <c r="AD3" s="51">
        <f>AB3*AC3</f>
        <v>7743.48</v>
      </c>
      <c r="AE3" s="177" t="s">
        <v>105</v>
      </c>
    </row>
    <row r="4" spans="1:31" ht="19.5" thickBot="1" x14ac:dyDescent="0.35">
      <c r="A4" s="7">
        <v>1</v>
      </c>
      <c r="B4" s="100">
        <v>177</v>
      </c>
      <c r="C4" s="145"/>
      <c r="D4" s="129">
        <v>82</v>
      </c>
      <c r="E4" s="145"/>
      <c r="F4" s="129">
        <v>498</v>
      </c>
      <c r="G4" s="178" t="s">
        <v>106</v>
      </c>
      <c r="H4" s="100">
        <v>427</v>
      </c>
      <c r="I4" s="145" t="s">
        <v>90</v>
      </c>
      <c r="J4" s="129">
        <v>1208</v>
      </c>
      <c r="K4" s="145" t="s">
        <v>91</v>
      </c>
      <c r="L4" s="129">
        <v>1340</v>
      </c>
      <c r="M4" s="11" t="s">
        <v>91</v>
      </c>
      <c r="P4" s="179" t="s">
        <v>55</v>
      </c>
      <c r="Q4" s="33">
        <v>12613534.266666666</v>
      </c>
      <c r="R4" s="180">
        <v>2995761.0222222223</v>
      </c>
      <c r="S4" s="33">
        <f>R4-Q4</f>
        <v>-9617773.2444444429</v>
      </c>
      <c r="T4" s="20">
        <f>S4/SQRT((Q5^2/(Q8))+(R5^2/(R8)))</f>
        <v>-8.6136295725534886</v>
      </c>
      <c r="U4" s="99">
        <f>(Q5^2/Q8+R5^2/R8)^2/(Q5^4/(Q8^2*(Q8-1))+R5^4/(R8^2*(R8-1)))</f>
        <v>2.6427890537687948</v>
      </c>
      <c r="V4" s="100" t="s">
        <v>59</v>
      </c>
      <c r="W4" s="11" t="s">
        <v>74</v>
      </c>
      <c r="X4" s="55">
        <f>S4-W8*S6</f>
        <v>-14422400.367337525</v>
      </c>
      <c r="Y4" s="56">
        <f>S4+W8*S6</f>
        <v>-4813146.12155136</v>
      </c>
      <c r="AA4" s="100"/>
      <c r="AD4" s="33">
        <f>AD3/100000000</f>
        <v>7.7434799999999993E-5</v>
      </c>
      <c r="AE4" s="24" t="s">
        <v>107</v>
      </c>
    </row>
    <row r="5" spans="1:31" ht="19.5" thickBot="1" x14ac:dyDescent="0.35">
      <c r="A5" s="7">
        <v>2</v>
      </c>
      <c r="B5" s="100">
        <v>157</v>
      </c>
      <c r="C5" s="145"/>
      <c r="D5" s="129">
        <v>135</v>
      </c>
      <c r="E5" s="145"/>
      <c r="F5" s="129">
        <v>17</v>
      </c>
      <c r="G5" s="11" t="s">
        <v>92</v>
      </c>
      <c r="H5" s="100">
        <v>991</v>
      </c>
      <c r="I5" s="145" t="s">
        <v>91</v>
      </c>
      <c r="J5" s="129">
        <v>1060</v>
      </c>
      <c r="K5" s="145" t="s">
        <v>91</v>
      </c>
      <c r="L5" s="129">
        <v>1290</v>
      </c>
      <c r="M5" s="11" t="s">
        <v>91</v>
      </c>
      <c r="P5" s="179" t="s">
        <v>54</v>
      </c>
      <c r="Q5" s="33">
        <v>1791726.789457659</v>
      </c>
      <c r="R5" s="33">
        <v>727971.10483369266</v>
      </c>
      <c r="S5" s="33"/>
      <c r="T5" s="11"/>
      <c r="U5" s="181"/>
      <c r="V5" s="100"/>
      <c r="W5" s="50" t="s">
        <v>73</v>
      </c>
      <c r="X5" s="50" t="s">
        <v>70</v>
      </c>
      <c r="Y5" s="110">
        <f>Q4/(Q4+Y4)</f>
        <v>1.6170393103534737</v>
      </c>
      <c r="AA5" s="48"/>
      <c r="AB5" s="26"/>
      <c r="AC5" s="27" t="s">
        <v>129</v>
      </c>
      <c r="AD5" s="38">
        <f>1/AD4</f>
        <v>12914.09030565069</v>
      </c>
      <c r="AE5" s="49"/>
    </row>
    <row r="6" spans="1:31" x14ac:dyDescent="0.3">
      <c r="A6" s="7">
        <v>3</v>
      </c>
      <c r="B6" s="100">
        <v>283</v>
      </c>
      <c r="C6" s="145"/>
      <c r="D6" s="129">
        <v>234</v>
      </c>
      <c r="E6" s="145" t="s">
        <v>89</v>
      </c>
      <c r="F6" s="129">
        <v>261</v>
      </c>
      <c r="G6" s="11"/>
      <c r="H6" s="100">
        <v>710</v>
      </c>
      <c r="I6" s="145" t="s">
        <v>93</v>
      </c>
      <c r="J6" s="129">
        <v>866</v>
      </c>
      <c r="K6" s="145" t="s">
        <v>91</v>
      </c>
      <c r="L6" s="129">
        <v>1196</v>
      </c>
      <c r="M6" s="178" t="s">
        <v>108</v>
      </c>
      <c r="P6" s="179" t="s">
        <v>41</v>
      </c>
      <c r="Q6" s="33">
        <f>Q5/SQRT(Q8)</f>
        <v>1034453.9442076434</v>
      </c>
      <c r="R6" s="33">
        <f>R5/SQRT(R8)</f>
        <v>420294.31333800178</v>
      </c>
      <c r="S6" s="33">
        <f>SQRT((Q5^2/Q8)+(R5^2/R8))</f>
        <v>1116576.1382507745</v>
      </c>
      <c r="T6" s="11"/>
      <c r="U6" s="181"/>
      <c r="V6" s="100"/>
      <c r="W6" s="11"/>
      <c r="X6" s="100"/>
      <c r="Y6" s="11"/>
    </row>
    <row r="7" spans="1:31" x14ac:dyDescent="0.3">
      <c r="A7" s="7">
        <v>4</v>
      </c>
      <c r="B7" s="100">
        <v>311</v>
      </c>
      <c r="C7" s="145"/>
      <c r="D7" s="129">
        <v>131</v>
      </c>
      <c r="E7" s="182" t="s">
        <v>109</v>
      </c>
      <c r="F7" s="129">
        <v>439</v>
      </c>
      <c r="G7" s="11" t="s">
        <v>89</v>
      </c>
      <c r="H7" s="100">
        <v>1128</v>
      </c>
      <c r="I7" s="182" t="s">
        <v>110</v>
      </c>
      <c r="J7" s="129">
        <v>1416</v>
      </c>
      <c r="K7" s="145" t="s">
        <v>91</v>
      </c>
      <c r="L7" s="129">
        <v>91</v>
      </c>
      <c r="M7" s="11" t="s">
        <v>94</v>
      </c>
      <c r="P7" s="179" t="s">
        <v>52</v>
      </c>
      <c r="Q7">
        <v>5</v>
      </c>
      <c r="R7">
        <v>5</v>
      </c>
      <c r="S7" s="183"/>
      <c r="T7" s="11"/>
      <c r="U7" s="85"/>
      <c r="V7" s="184"/>
      <c r="W7" s="11"/>
      <c r="X7" s="103"/>
      <c r="Y7" s="11"/>
    </row>
    <row r="8" spans="1:31" ht="31.5" thickBot="1" x14ac:dyDescent="0.35">
      <c r="A8" s="7">
        <v>5</v>
      </c>
      <c r="B8" s="100">
        <v>145</v>
      </c>
      <c r="C8" s="145"/>
      <c r="D8" s="129">
        <v>255</v>
      </c>
      <c r="E8" s="145"/>
      <c r="F8" s="129">
        <v>71</v>
      </c>
      <c r="G8" s="11" t="s">
        <v>92</v>
      </c>
      <c r="H8" s="100">
        <v>828</v>
      </c>
      <c r="I8" s="145" t="s">
        <v>91</v>
      </c>
      <c r="J8" s="129">
        <v>774</v>
      </c>
      <c r="K8" s="145" t="s">
        <v>91</v>
      </c>
      <c r="L8" s="129">
        <v>1326</v>
      </c>
      <c r="M8" s="11" t="s">
        <v>91</v>
      </c>
      <c r="P8" s="185" t="s">
        <v>53</v>
      </c>
      <c r="Q8" s="26">
        <v>3</v>
      </c>
      <c r="R8" s="26">
        <v>3</v>
      </c>
      <c r="S8" s="26"/>
      <c r="T8" s="49"/>
      <c r="U8" s="186" t="s">
        <v>69</v>
      </c>
      <c r="V8" s="25">
        <v>2.92</v>
      </c>
      <c r="W8" s="140">
        <v>4.3029999999999999</v>
      </c>
      <c r="X8" s="48"/>
      <c r="Y8" s="49"/>
    </row>
    <row r="9" spans="1:31" ht="19.5" thickBot="1" x14ac:dyDescent="0.35">
      <c r="A9" s="7">
        <v>6</v>
      </c>
      <c r="B9" s="100">
        <v>555</v>
      </c>
      <c r="C9" s="145" t="s">
        <v>95</v>
      </c>
      <c r="D9" s="129"/>
      <c r="E9" s="145"/>
      <c r="F9" s="129"/>
      <c r="G9" s="11"/>
      <c r="H9" s="100"/>
      <c r="I9" s="145"/>
      <c r="J9" s="129"/>
      <c r="K9" s="145"/>
      <c r="L9" s="129"/>
      <c r="M9" s="11"/>
      <c r="R9" s="19">
        <f>R4/Q4</f>
        <v>0.23750369713102634</v>
      </c>
      <c r="V9" s="50" t="s">
        <v>127</v>
      </c>
      <c r="W9" s="52" t="s">
        <v>128</v>
      </c>
    </row>
    <row r="10" spans="1:31" x14ac:dyDescent="0.3">
      <c r="A10" s="146" t="s">
        <v>96</v>
      </c>
      <c r="B10" s="147">
        <f>AVERAGE(B4:B9)</f>
        <v>271.33333333333331</v>
      </c>
      <c r="C10" s="148"/>
      <c r="D10" s="149">
        <f t="shared" ref="D10:J10" si="0">AVERAGE(D4:D9)</f>
        <v>167.4</v>
      </c>
      <c r="E10" s="148"/>
      <c r="F10" s="149">
        <f t="shared" si="0"/>
        <v>257.2</v>
      </c>
      <c r="G10" s="150"/>
      <c r="H10" s="147">
        <f t="shared" si="0"/>
        <v>816.8</v>
      </c>
      <c r="I10" s="148"/>
      <c r="J10" s="149">
        <f t="shared" si="0"/>
        <v>1064.8</v>
      </c>
      <c r="K10" s="148"/>
      <c r="L10" s="149">
        <f>AVERAGE(L4:L9)</f>
        <v>1048.5999999999999</v>
      </c>
      <c r="M10" s="150"/>
    </row>
    <row r="11" spans="1:31" x14ac:dyDescent="0.3">
      <c r="A11" s="141" t="s">
        <v>97</v>
      </c>
      <c r="B11" s="151">
        <f>STDEV(B4:B9)</f>
        <v>154.98860173143916</v>
      </c>
      <c r="C11" s="152"/>
      <c r="D11" s="153">
        <f t="shared" ref="D11:L11" si="1">STDEV(D4:D9)</f>
        <v>73.785499930541931</v>
      </c>
      <c r="E11" s="152"/>
      <c r="F11" s="153">
        <f t="shared" si="1"/>
        <v>214.13593813276648</v>
      </c>
      <c r="G11" s="154"/>
      <c r="H11" s="151">
        <f t="shared" si="1"/>
        <v>269.56761674949007</v>
      </c>
      <c r="I11" s="152"/>
      <c r="J11" s="153">
        <f t="shared" si="1"/>
        <v>258.82271925006881</v>
      </c>
      <c r="K11" s="152"/>
      <c r="L11" s="153">
        <f t="shared" si="1"/>
        <v>538.25254295729997</v>
      </c>
      <c r="M11" s="154"/>
    </row>
    <row r="12" spans="1:31" x14ac:dyDescent="0.3">
      <c r="A12" s="100"/>
      <c r="B12" s="100"/>
      <c r="F12" s="155" t="s">
        <v>33</v>
      </c>
      <c r="G12" s="156">
        <f>AVERAGE(B10,D10,F10)</f>
        <v>231.97777777777779</v>
      </c>
      <c r="H12" s="100"/>
      <c r="L12" s="155" t="s">
        <v>33</v>
      </c>
      <c r="M12" s="156">
        <f>AVERAGE(H10,J10,L10)</f>
        <v>976.73333333333323</v>
      </c>
    </row>
    <row r="13" spans="1:31" ht="19.5" thickBot="1" x14ac:dyDescent="0.35">
      <c r="A13" s="48"/>
      <c r="B13" s="100"/>
      <c r="F13" s="157" t="s">
        <v>98</v>
      </c>
      <c r="G13" s="158">
        <f>STDEV(B10,D10,F10)</f>
        <v>56.37069109754465</v>
      </c>
      <c r="H13" s="100"/>
      <c r="L13" s="157" t="s">
        <v>98</v>
      </c>
      <c r="M13" s="158">
        <f>STDEV(H10,J10,L10)</f>
        <v>138.74297579817528</v>
      </c>
    </row>
    <row r="14" spans="1:31" x14ac:dyDescent="0.3">
      <c r="A14" s="1" t="s">
        <v>99</v>
      </c>
      <c r="B14" s="55">
        <f>B10*12914</f>
        <v>3503998.6666666665</v>
      </c>
      <c r="C14" s="47"/>
      <c r="D14" s="47">
        <f>D10*12914</f>
        <v>2161803.6</v>
      </c>
      <c r="E14" s="47"/>
      <c r="F14" s="47">
        <f>F10*12914</f>
        <v>3321480.8</v>
      </c>
      <c r="G14" s="47"/>
      <c r="H14" s="55">
        <f>H10*12914</f>
        <v>10548155.199999999</v>
      </c>
      <c r="I14" s="47"/>
      <c r="J14" s="47">
        <f>J10*12914</f>
        <v>13750827.199999999</v>
      </c>
      <c r="K14" s="47"/>
      <c r="L14" s="47">
        <f>L10*12914</f>
        <v>13541620.399999999</v>
      </c>
      <c r="M14" s="56"/>
    </row>
    <row r="15" spans="1:31" ht="19.5" thickBot="1" x14ac:dyDescent="0.35">
      <c r="A15" s="25" t="s">
        <v>100</v>
      </c>
      <c r="B15" s="37">
        <f>B11*12914</f>
        <v>2001522.8027598052</v>
      </c>
      <c r="C15" s="38"/>
      <c r="D15" s="38">
        <f>D11*12914</f>
        <v>952865.94610301848</v>
      </c>
      <c r="E15" s="38"/>
      <c r="F15" s="38">
        <f>F11*12914</f>
        <v>2765351.5050465465</v>
      </c>
      <c r="G15" s="38"/>
      <c r="H15" s="37">
        <f>H11*12914</f>
        <v>3481196.2027029148</v>
      </c>
      <c r="I15" s="38"/>
      <c r="J15" s="38">
        <f>J11*12914</f>
        <v>3342436.5963953887</v>
      </c>
      <c r="K15" s="38"/>
      <c r="L15" s="38">
        <f>L11*12914</f>
        <v>6950993.3397505721</v>
      </c>
      <c r="M15" s="39"/>
    </row>
    <row r="16" spans="1:31" x14ac:dyDescent="0.3">
      <c r="A16" s="43"/>
      <c r="B16" s="47"/>
      <c r="C16" s="47"/>
      <c r="D16" s="47"/>
      <c r="E16" s="44"/>
      <c r="F16" s="159" t="s">
        <v>33</v>
      </c>
      <c r="G16" s="160">
        <f>AVERAGE(B14,D14,F14)</f>
        <v>2995761.0222222223</v>
      </c>
      <c r="H16" s="47"/>
      <c r="I16" s="47"/>
      <c r="J16" s="47"/>
      <c r="K16" s="44"/>
      <c r="L16" s="159" t="s">
        <v>33</v>
      </c>
      <c r="M16" s="161">
        <f>AVERAGE(H14,J14,L14)</f>
        <v>12613534.266666666</v>
      </c>
    </row>
    <row r="17" spans="1:13" ht="19.5" thickBot="1" x14ac:dyDescent="0.35">
      <c r="A17" s="48"/>
      <c r="B17" s="38"/>
      <c r="C17" s="38"/>
      <c r="D17" s="38"/>
      <c r="E17" s="26"/>
      <c r="F17" s="162" t="s">
        <v>98</v>
      </c>
      <c r="G17" s="163">
        <f>STDEV(B14,D14,F14)</f>
        <v>727971.10483369266</v>
      </c>
      <c r="H17" s="38"/>
      <c r="I17" s="38"/>
      <c r="J17" s="38"/>
      <c r="K17" s="26"/>
      <c r="L17" s="162" t="s">
        <v>98</v>
      </c>
      <c r="M17" s="164">
        <f>STDEV(H14,J14,L14)</f>
        <v>1791726.789457659</v>
      </c>
    </row>
    <row r="18" spans="1:13" ht="19.5" thickBot="1" x14ac:dyDescent="0.35">
      <c r="F18" s="165" t="s">
        <v>101</v>
      </c>
      <c r="G18" s="166">
        <f>G16/M16</f>
        <v>0.23750369713102634</v>
      </c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CDBE-33E3-9740-A5A3-28270A2CE6EF}">
  <dimension ref="A1:AD32"/>
  <sheetViews>
    <sheetView zoomScale="85" zoomScaleNormal="85" workbookViewId="0">
      <selection activeCell="M27" sqref="M27"/>
    </sheetView>
  </sheetViews>
  <sheetFormatPr defaultColWidth="10.8984375" defaultRowHeight="18.75" x14ac:dyDescent="0.3"/>
  <cols>
    <col min="1" max="1" width="17.69921875" bestFit="1" customWidth="1"/>
    <col min="2" max="2" width="13.59765625" bestFit="1" customWidth="1"/>
    <col min="4" max="4" width="13.59765625" bestFit="1" customWidth="1"/>
    <col min="5" max="5" width="13.8984375" bestFit="1" customWidth="1"/>
    <col min="6" max="6" width="10.09765625" bestFit="1" customWidth="1"/>
    <col min="21" max="21" width="10.8984375" bestFit="1" customWidth="1"/>
    <col min="22" max="22" width="12" bestFit="1" customWidth="1"/>
    <col min="23" max="23" width="13.09765625" bestFit="1" customWidth="1"/>
  </cols>
  <sheetData>
    <row r="1" spans="1:23" ht="19.5" thickBot="1" x14ac:dyDescent="0.35">
      <c r="A1" s="203" t="s">
        <v>135</v>
      </c>
    </row>
    <row r="2" spans="1:23" ht="19.5" thickBot="1" x14ac:dyDescent="0.35">
      <c r="A2" s="50"/>
      <c r="B2" s="50"/>
      <c r="C2" s="51"/>
      <c r="D2" s="264" t="s">
        <v>65</v>
      </c>
      <c r="E2" s="264"/>
      <c r="F2" s="264"/>
      <c r="G2" s="264"/>
      <c r="H2" s="264"/>
      <c r="I2" s="264"/>
      <c r="J2" s="264"/>
      <c r="K2" s="264"/>
      <c r="L2" s="264"/>
      <c r="M2" s="265"/>
      <c r="N2" s="266" t="s">
        <v>64</v>
      </c>
      <c r="O2" s="264"/>
      <c r="P2" s="264"/>
      <c r="Q2" s="264"/>
      <c r="R2" s="264"/>
      <c r="S2" s="264"/>
      <c r="T2" s="52"/>
      <c r="U2" s="45"/>
    </row>
    <row r="3" spans="1:23" ht="19.5" thickBot="1" x14ac:dyDescent="0.35">
      <c r="A3" s="53" t="s">
        <v>37</v>
      </c>
      <c r="B3" s="53" t="s">
        <v>30</v>
      </c>
      <c r="C3" s="46" t="s">
        <v>31</v>
      </c>
      <c r="D3" s="46" t="s">
        <v>32</v>
      </c>
      <c r="E3" s="46" t="s">
        <v>40</v>
      </c>
      <c r="F3" s="46" t="s">
        <v>66</v>
      </c>
      <c r="G3" s="46" t="s">
        <v>67</v>
      </c>
      <c r="H3" s="46" t="s">
        <v>68</v>
      </c>
      <c r="I3" s="46" t="s">
        <v>33</v>
      </c>
      <c r="J3" s="46" t="s">
        <v>19</v>
      </c>
      <c r="K3" s="46" t="s">
        <v>34</v>
      </c>
      <c r="L3" s="46" t="s">
        <v>35</v>
      </c>
      <c r="M3" s="54" t="s">
        <v>36</v>
      </c>
      <c r="N3" s="53" t="s">
        <v>66</v>
      </c>
      <c r="O3" s="46" t="s">
        <v>67</v>
      </c>
      <c r="P3" s="54" t="s">
        <v>68</v>
      </c>
      <c r="Q3" s="53" t="s">
        <v>33</v>
      </c>
      <c r="R3" s="46" t="s">
        <v>19</v>
      </c>
      <c r="S3" s="46" t="s">
        <v>36</v>
      </c>
      <c r="T3" s="54" t="s">
        <v>41</v>
      </c>
      <c r="U3" s="40" t="s">
        <v>42</v>
      </c>
      <c r="V3" s="42" t="s">
        <v>19</v>
      </c>
      <c r="W3" s="42" t="s">
        <v>43</v>
      </c>
    </row>
    <row r="4" spans="1:23" x14ac:dyDescent="0.3">
      <c r="A4" s="43" t="s">
        <v>38</v>
      </c>
      <c r="B4" s="53">
        <v>1</v>
      </c>
      <c r="C4" s="44">
        <v>1</v>
      </c>
      <c r="D4" s="44">
        <v>0</v>
      </c>
      <c r="E4" s="5">
        <v>100</v>
      </c>
      <c r="F4" s="44">
        <v>8</v>
      </c>
      <c r="G4" s="44">
        <v>10</v>
      </c>
      <c r="H4" s="44">
        <v>11</v>
      </c>
      <c r="I4" s="5">
        <f>AVERAGE(F4:H4)</f>
        <v>9.6666666666666661</v>
      </c>
      <c r="J4" s="5">
        <f>_xlfn.STDEV.S(F4:H4)</f>
        <v>1.5275252316519499</v>
      </c>
      <c r="K4" s="47">
        <f>I4*10000/50*E4</f>
        <v>193333.33333333331</v>
      </c>
      <c r="L4" s="47">
        <f>J4*10000/50*E4</f>
        <v>30550.504633038996</v>
      </c>
      <c r="M4" s="90">
        <f>100*L4/K4</f>
        <v>15.801985155020171</v>
      </c>
      <c r="N4" s="55"/>
      <c r="O4" s="47"/>
      <c r="P4" s="56"/>
      <c r="Q4" s="55"/>
      <c r="R4" s="47"/>
      <c r="S4" s="44"/>
      <c r="T4" s="45"/>
    </row>
    <row r="5" spans="1:23" ht="19.5" thickBot="1" x14ac:dyDescent="0.35">
      <c r="A5" s="48" t="s">
        <v>38</v>
      </c>
      <c r="B5" s="91">
        <v>1</v>
      </c>
      <c r="C5" s="26">
        <v>2</v>
      </c>
      <c r="D5" s="26">
        <v>0</v>
      </c>
      <c r="E5" s="28">
        <v>100</v>
      </c>
      <c r="F5" s="26">
        <v>21</v>
      </c>
      <c r="G5" s="26">
        <v>20</v>
      </c>
      <c r="H5" s="26">
        <v>23</v>
      </c>
      <c r="I5" s="28">
        <f t="shared" ref="I5:I19" si="0">AVERAGE(F5:H5)</f>
        <v>21.333333333333332</v>
      </c>
      <c r="J5" s="28">
        <f t="shared" ref="J5:J19" si="1">_xlfn.STDEV.S(F5:H5)</f>
        <v>1.5275252316519465</v>
      </c>
      <c r="K5" s="38">
        <f t="shared" ref="K5:K19" si="2">I5*10000/50*E5</f>
        <v>426666.66666666663</v>
      </c>
      <c r="L5" s="38">
        <f t="shared" ref="L5:L19" si="3">J5*10000/50*E5</f>
        <v>30550.50463303893</v>
      </c>
      <c r="M5" s="92">
        <f t="shared" ref="M5:M19" si="4">100*L5/K5</f>
        <v>7.1602745233684999</v>
      </c>
      <c r="N5" s="37">
        <f>SUM(F4:F5)*10000/50*$E5</f>
        <v>580000</v>
      </c>
      <c r="O5" s="38">
        <f t="shared" ref="O5:P5" si="5">SUM(G4:G5)*10000/50*$E5</f>
        <v>600000</v>
      </c>
      <c r="P5" s="39">
        <f t="shared" si="5"/>
        <v>680000</v>
      </c>
      <c r="Q5" s="37">
        <f t="shared" ref="Q5" si="6">AVERAGE(N5:P5)</f>
        <v>620000</v>
      </c>
      <c r="R5" s="38">
        <f t="shared" ref="R5" si="7">_xlfn.STDEV.S(N5:P5)</f>
        <v>52915.02622129181</v>
      </c>
      <c r="S5" s="41">
        <f>100*R5/Q5</f>
        <v>8.5346816485954538</v>
      </c>
      <c r="T5" s="39">
        <f>R5/SQRT(3)</f>
        <v>30550.504633038934</v>
      </c>
    </row>
    <row r="6" spans="1:23" x14ac:dyDescent="0.3">
      <c r="A6" s="43" t="s">
        <v>38</v>
      </c>
      <c r="B6" s="53">
        <v>2</v>
      </c>
      <c r="C6" s="44">
        <v>1</v>
      </c>
      <c r="D6" s="44">
        <v>0</v>
      </c>
      <c r="E6" s="5">
        <v>100</v>
      </c>
      <c r="F6" s="44">
        <v>5</v>
      </c>
      <c r="G6" s="44">
        <v>4</v>
      </c>
      <c r="H6" s="44">
        <v>10</v>
      </c>
      <c r="I6" s="5">
        <f t="shared" si="0"/>
        <v>6.333333333333333</v>
      </c>
      <c r="J6" s="5">
        <f t="shared" si="1"/>
        <v>3.2145502536643189</v>
      </c>
      <c r="K6" s="47">
        <f t="shared" si="2"/>
        <v>126666.66666666666</v>
      </c>
      <c r="L6" s="47">
        <f t="shared" si="3"/>
        <v>64291.005073286375</v>
      </c>
      <c r="M6" s="90">
        <f t="shared" si="4"/>
        <v>50.756056636805042</v>
      </c>
      <c r="N6" s="55"/>
      <c r="O6" s="47"/>
      <c r="P6" s="56"/>
      <c r="Q6" s="55"/>
      <c r="R6" s="47"/>
      <c r="S6" s="44"/>
      <c r="T6" s="45"/>
    </row>
    <row r="7" spans="1:23" ht="19.5" thickBot="1" x14ac:dyDescent="0.35">
      <c r="A7" s="48" t="s">
        <v>38</v>
      </c>
      <c r="B7" s="91">
        <v>2</v>
      </c>
      <c r="C7" s="26">
        <v>2</v>
      </c>
      <c r="D7" s="26">
        <v>0</v>
      </c>
      <c r="E7" s="28">
        <v>100</v>
      </c>
      <c r="F7" s="26">
        <v>24</v>
      </c>
      <c r="G7" s="26">
        <v>26</v>
      </c>
      <c r="H7" s="26">
        <v>18</v>
      </c>
      <c r="I7" s="28">
        <f t="shared" si="0"/>
        <v>22.666666666666668</v>
      </c>
      <c r="J7" s="28">
        <f t="shared" si="1"/>
        <v>4.1633319989322697</v>
      </c>
      <c r="K7" s="38">
        <f t="shared" si="2"/>
        <v>453333.33333333337</v>
      </c>
      <c r="L7" s="38">
        <f t="shared" si="3"/>
        <v>83266.639978645399</v>
      </c>
      <c r="M7" s="92">
        <f t="shared" si="4"/>
        <v>18.367641171760013</v>
      </c>
      <c r="N7" s="37">
        <f>SUM(F6:F7)*10000/50*$E7</f>
        <v>580000</v>
      </c>
      <c r="O7" s="38">
        <f t="shared" ref="O7" si="8">SUM(G6:G7)*10000/50*$E7</f>
        <v>600000</v>
      </c>
      <c r="P7" s="39">
        <f t="shared" ref="P7" si="9">SUM(H6:H7)*10000/50*$E7</f>
        <v>560000</v>
      </c>
      <c r="Q7" s="37">
        <f t="shared" ref="Q7" si="10">AVERAGE(N7:P7)</f>
        <v>580000</v>
      </c>
      <c r="R7" s="38">
        <f t="shared" ref="R7" si="11">_xlfn.STDEV.S(N7:P7)</f>
        <v>20000</v>
      </c>
      <c r="S7" s="41">
        <f>100*R7/Q7</f>
        <v>3.4482758620689653</v>
      </c>
      <c r="T7" s="39">
        <f>R7/SQRT(3)</f>
        <v>11547.005383792515</v>
      </c>
    </row>
    <row r="8" spans="1:23" x14ac:dyDescent="0.3">
      <c r="A8" s="43" t="s">
        <v>38</v>
      </c>
      <c r="B8" s="53">
        <v>3</v>
      </c>
      <c r="C8" s="44">
        <v>1</v>
      </c>
      <c r="D8" s="44">
        <v>0</v>
      </c>
      <c r="E8" s="5">
        <v>100</v>
      </c>
      <c r="F8" s="44">
        <v>22</v>
      </c>
      <c r="G8" s="44">
        <v>16</v>
      </c>
      <c r="H8" s="44">
        <v>11</v>
      </c>
      <c r="I8" s="5">
        <f t="shared" si="0"/>
        <v>16.333333333333332</v>
      </c>
      <c r="J8" s="5">
        <f t="shared" si="1"/>
        <v>5.5075705472861003</v>
      </c>
      <c r="K8" s="47">
        <f t="shared" si="2"/>
        <v>326666.66666666663</v>
      </c>
      <c r="L8" s="47">
        <f t="shared" si="3"/>
        <v>110151.410945722</v>
      </c>
      <c r="M8" s="90">
        <f t="shared" si="4"/>
        <v>33.719819677261839</v>
      </c>
      <c r="N8" s="55"/>
      <c r="O8" s="47"/>
      <c r="P8" s="56"/>
      <c r="Q8" s="55"/>
      <c r="R8" s="47"/>
      <c r="S8" s="44"/>
      <c r="T8" s="45"/>
    </row>
    <row r="9" spans="1:23" ht="19.5" thickBot="1" x14ac:dyDescent="0.35">
      <c r="A9" s="48" t="s">
        <v>38</v>
      </c>
      <c r="B9" s="91">
        <v>3</v>
      </c>
      <c r="C9" s="26">
        <v>2</v>
      </c>
      <c r="D9" s="26">
        <v>0</v>
      </c>
      <c r="E9" s="28">
        <v>100</v>
      </c>
      <c r="F9" s="26">
        <v>3</v>
      </c>
      <c r="G9" s="26">
        <v>3</v>
      </c>
      <c r="H9" s="26">
        <v>1</v>
      </c>
      <c r="I9" s="28">
        <f t="shared" si="0"/>
        <v>2.3333333333333335</v>
      </c>
      <c r="J9" s="28">
        <f t="shared" si="1"/>
        <v>1.1547005383792517</v>
      </c>
      <c r="K9" s="38">
        <f t="shared" si="2"/>
        <v>46666.666666666672</v>
      </c>
      <c r="L9" s="38">
        <f t="shared" si="3"/>
        <v>23094.010767585034</v>
      </c>
      <c r="M9" s="92">
        <f t="shared" si="4"/>
        <v>49.487165930539355</v>
      </c>
      <c r="N9" s="37">
        <f>SUM(F8:F9)*10000/50*$E9</f>
        <v>500000</v>
      </c>
      <c r="O9" s="38">
        <f t="shared" ref="O9" si="12">SUM(G8:G9)*10000/50*$E9</f>
        <v>380000</v>
      </c>
      <c r="P9" s="39">
        <f t="shared" ref="P9" si="13">SUM(H8:H9)*10000/50*$E9</f>
        <v>240000</v>
      </c>
      <c r="Q9" s="37">
        <f t="shared" ref="Q9" si="14">AVERAGE(N9:P9)</f>
        <v>373333.33333333331</v>
      </c>
      <c r="R9" s="38">
        <f t="shared" ref="R9" si="15">_xlfn.STDEV.S(N9:P9)</f>
        <v>130128.14197295427</v>
      </c>
      <c r="S9" s="41">
        <f>100*R9/Q9</f>
        <v>34.85575231418418</v>
      </c>
      <c r="T9" s="39">
        <f>R9/SQRT(3)</f>
        <v>75129.51779723099</v>
      </c>
    </row>
    <row r="10" spans="1:23" x14ac:dyDescent="0.3">
      <c r="A10" s="43" t="s">
        <v>38</v>
      </c>
      <c r="B10" s="53">
        <v>4</v>
      </c>
      <c r="C10" s="44">
        <v>1</v>
      </c>
      <c r="D10" s="44">
        <v>0</v>
      </c>
      <c r="E10" s="5">
        <v>100</v>
      </c>
      <c r="F10" s="44">
        <v>25</v>
      </c>
      <c r="G10" s="44">
        <v>20</v>
      </c>
      <c r="H10" s="44">
        <v>25</v>
      </c>
      <c r="I10" s="5">
        <f t="shared" si="0"/>
        <v>23.333333333333332</v>
      </c>
      <c r="J10" s="5">
        <f t="shared" si="1"/>
        <v>2.8867513459481353</v>
      </c>
      <c r="K10" s="47">
        <f t="shared" si="2"/>
        <v>466666.66666666663</v>
      </c>
      <c r="L10" s="47">
        <f t="shared" si="3"/>
        <v>57735.026918962707</v>
      </c>
      <c r="M10" s="90">
        <f t="shared" si="4"/>
        <v>12.371791482634867</v>
      </c>
      <c r="N10" s="55"/>
      <c r="O10" s="47"/>
      <c r="P10" s="56"/>
      <c r="Q10" s="55"/>
      <c r="R10" s="47"/>
      <c r="S10" s="44"/>
      <c r="T10" s="45"/>
    </row>
    <row r="11" spans="1:23" ht="19.5" thickBot="1" x14ac:dyDescent="0.35">
      <c r="A11" s="48" t="s">
        <v>38</v>
      </c>
      <c r="B11" s="91">
        <v>4</v>
      </c>
      <c r="C11" s="26">
        <v>2</v>
      </c>
      <c r="D11" s="26">
        <v>0</v>
      </c>
      <c r="E11" s="28">
        <v>100</v>
      </c>
      <c r="F11" s="26">
        <v>24</v>
      </c>
      <c r="G11" s="26">
        <v>16</v>
      </c>
      <c r="H11" s="26">
        <v>24</v>
      </c>
      <c r="I11" s="28">
        <f t="shared" si="0"/>
        <v>21.333333333333332</v>
      </c>
      <c r="J11" s="28">
        <f t="shared" si="1"/>
        <v>4.6188021535170103</v>
      </c>
      <c r="K11" s="38">
        <f t="shared" si="2"/>
        <v>426666.66666666663</v>
      </c>
      <c r="L11" s="38">
        <f t="shared" si="3"/>
        <v>92376.043070340209</v>
      </c>
      <c r="M11" s="92">
        <f t="shared" si="4"/>
        <v>21.65063509461099</v>
      </c>
      <c r="N11" s="37">
        <f>SUM(F10:F11)*10000/50*$E11</f>
        <v>980000</v>
      </c>
      <c r="O11" s="38">
        <f t="shared" ref="O11" si="16">SUM(G10:G11)*10000/50*$E11</f>
        <v>720000</v>
      </c>
      <c r="P11" s="39">
        <f t="shared" ref="P11" si="17">SUM(H10:H11)*10000/50*$E11</f>
        <v>980000</v>
      </c>
      <c r="Q11" s="37">
        <f t="shared" ref="Q11" si="18">AVERAGE(N11:P11)</f>
        <v>893333.33333333337</v>
      </c>
      <c r="R11" s="38">
        <f t="shared" ref="R11" si="19">_xlfn.STDEV.S(N11:P11)</f>
        <v>150111.06998930243</v>
      </c>
      <c r="S11" s="41">
        <f>100*R11/Q11</f>
        <v>16.803477983877137</v>
      </c>
      <c r="T11" s="39">
        <f>R11/SQRT(3)</f>
        <v>86666.666666666511</v>
      </c>
    </row>
    <row r="12" spans="1:23" x14ac:dyDescent="0.3">
      <c r="A12" s="43" t="s">
        <v>38</v>
      </c>
      <c r="B12" s="53">
        <v>5</v>
      </c>
      <c r="C12" s="44">
        <v>1</v>
      </c>
      <c r="D12" s="57">
        <v>0</v>
      </c>
      <c r="E12" s="5">
        <v>100</v>
      </c>
      <c r="F12" s="44">
        <v>6</v>
      </c>
      <c r="G12" s="44">
        <v>12</v>
      </c>
      <c r="H12" s="44">
        <v>12</v>
      </c>
      <c r="I12" s="5">
        <f t="shared" si="0"/>
        <v>10</v>
      </c>
      <c r="J12" s="5">
        <f t="shared" si="1"/>
        <v>3.4641016151377544</v>
      </c>
      <c r="K12" s="47">
        <f t="shared" si="2"/>
        <v>200000</v>
      </c>
      <c r="L12" s="47">
        <f t="shared" si="3"/>
        <v>69282.032302755091</v>
      </c>
      <c r="M12" s="90">
        <f t="shared" si="4"/>
        <v>34.641016151377542</v>
      </c>
      <c r="N12" s="55"/>
      <c r="O12" s="47"/>
      <c r="P12" s="56"/>
      <c r="Q12" s="55"/>
      <c r="R12" s="47"/>
      <c r="S12" s="44"/>
      <c r="T12" s="45"/>
      <c r="U12" t="s">
        <v>46</v>
      </c>
      <c r="V12" t="s">
        <v>47</v>
      </c>
    </row>
    <row r="13" spans="1:23" ht="19.5" thickBot="1" x14ac:dyDescent="0.35">
      <c r="A13" s="48" t="s">
        <v>38</v>
      </c>
      <c r="B13" s="91">
        <v>5</v>
      </c>
      <c r="C13" s="26">
        <v>2</v>
      </c>
      <c r="D13" s="58">
        <v>0</v>
      </c>
      <c r="E13" s="28">
        <v>100</v>
      </c>
      <c r="F13" s="26">
        <v>8</v>
      </c>
      <c r="G13" s="26">
        <v>7</v>
      </c>
      <c r="H13" s="26">
        <v>4</v>
      </c>
      <c r="I13" s="28">
        <f t="shared" si="0"/>
        <v>6.333333333333333</v>
      </c>
      <c r="J13" s="28">
        <f t="shared" si="1"/>
        <v>2.0816659994661335</v>
      </c>
      <c r="K13" s="38">
        <f t="shared" si="2"/>
        <v>126666.66666666666</v>
      </c>
      <c r="L13" s="38">
        <f t="shared" si="3"/>
        <v>41633.31998932267</v>
      </c>
      <c r="M13" s="92">
        <f t="shared" si="4"/>
        <v>32.868410517886325</v>
      </c>
      <c r="N13" s="37">
        <f>SUM(F12:F13)*10000/50*$E13</f>
        <v>280000</v>
      </c>
      <c r="O13" s="38">
        <f t="shared" ref="O13" si="20">SUM(G12:G13)*10000/50*$E13</f>
        <v>380000</v>
      </c>
      <c r="P13" s="39">
        <f t="shared" ref="P13" si="21">SUM(H12:H13)*10000/50*$E13</f>
        <v>320000</v>
      </c>
      <c r="Q13" s="37">
        <f t="shared" ref="Q13" si="22">AVERAGE(N13:P13)</f>
        <v>326666.66666666669</v>
      </c>
      <c r="R13" s="38">
        <f t="shared" ref="R13" si="23">_xlfn.STDEV.S(N13:P13)</f>
        <v>50332.229568471768</v>
      </c>
      <c r="S13" s="41">
        <f>100*R13/Q13</f>
        <v>15.407825378103603</v>
      </c>
      <c r="T13" s="39">
        <f>R13/SQRT(3)</f>
        <v>29059.326290271219</v>
      </c>
      <c r="U13" s="33">
        <f>AVERAGE(Q5:Q13)</f>
        <v>558666.66666666663</v>
      </c>
      <c r="V13" s="33">
        <f>_xlfn.STDEV.S(Q5:Q13)</f>
        <v>226048.1757895379</v>
      </c>
    </row>
    <row r="14" spans="1:23" x14ac:dyDescent="0.3">
      <c r="A14" s="59" t="s">
        <v>39</v>
      </c>
      <c r="B14" s="93">
        <v>1</v>
      </c>
      <c r="C14" s="62">
        <v>1</v>
      </c>
      <c r="D14" s="63">
        <v>17.057303953976849</v>
      </c>
      <c r="E14" s="63">
        <v>1</v>
      </c>
      <c r="F14" s="62">
        <v>11</v>
      </c>
      <c r="G14" s="62">
        <v>18</v>
      </c>
      <c r="H14" s="62">
        <v>14</v>
      </c>
      <c r="I14" s="63">
        <f t="shared" si="0"/>
        <v>14.333333333333334</v>
      </c>
      <c r="J14" s="63">
        <f t="shared" si="1"/>
        <v>3.5118845842842434</v>
      </c>
      <c r="K14" s="64">
        <f t="shared" si="2"/>
        <v>2866.666666666667</v>
      </c>
      <c r="L14" s="64">
        <f t="shared" si="3"/>
        <v>702.37691685684865</v>
      </c>
      <c r="M14" s="94">
        <f t="shared" si="4"/>
        <v>24.501520355471463</v>
      </c>
      <c r="N14" s="65"/>
      <c r="O14" s="64"/>
      <c r="P14" s="66"/>
      <c r="Q14" s="65"/>
      <c r="R14" s="64"/>
      <c r="S14" s="62"/>
      <c r="T14" s="67"/>
      <c r="U14" s="33"/>
      <c r="V14" s="33"/>
    </row>
    <row r="15" spans="1:23" ht="19.5" thickBot="1" x14ac:dyDescent="0.35">
      <c r="A15" s="60" t="s">
        <v>39</v>
      </c>
      <c r="B15" s="95">
        <v>1</v>
      </c>
      <c r="C15" s="68">
        <v>2</v>
      </c>
      <c r="D15" s="69">
        <v>3.0603417573533624</v>
      </c>
      <c r="E15" s="69">
        <v>1</v>
      </c>
      <c r="F15" s="68">
        <v>9</v>
      </c>
      <c r="G15" s="68">
        <v>7</v>
      </c>
      <c r="H15" s="68">
        <v>8</v>
      </c>
      <c r="I15" s="69">
        <f t="shared" si="0"/>
        <v>8</v>
      </c>
      <c r="J15" s="69">
        <f t="shared" si="1"/>
        <v>1</v>
      </c>
      <c r="K15" s="70">
        <f t="shared" si="2"/>
        <v>1600</v>
      </c>
      <c r="L15" s="70">
        <f t="shared" si="3"/>
        <v>200</v>
      </c>
      <c r="M15" s="96">
        <f t="shared" si="4"/>
        <v>12.5</v>
      </c>
      <c r="N15" s="72">
        <f>SUM(F14:F15)*10000/50*$E15</f>
        <v>4000</v>
      </c>
      <c r="O15" s="70">
        <f t="shared" ref="O15" si="24">SUM(G14:G15)*10000/50*$E15</f>
        <v>5000</v>
      </c>
      <c r="P15" s="73">
        <f t="shared" ref="P15" si="25">SUM(H14:H15)*10000/50*$E15</f>
        <v>4400</v>
      </c>
      <c r="Q15" s="72">
        <f t="shared" ref="Q15" si="26">AVERAGE(N15:P15)</f>
        <v>4466.666666666667</v>
      </c>
      <c r="R15" s="70">
        <f t="shared" ref="R15" si="27">_xlfn.STDEV.S(N15:P15)</f>
        <v>503.32229568471666</v>
      </c>
      <c r="S15" s="71">
        <f>100*R15/Q15</f>
        <v>11.268409604881716</v>
      </c>
      <c r="T15" s="73">
        <f>R15/SQRT(3)</f>
        <v>290.59326290271161</v>
      </c>
    </row>
    <row r="16" spans="1:23" x14ac:dyDescent="0.3">
      <c r="A16" s="59" t="s">
        <v>39</v>
      </c>
      <c r="B16" s="93">
        <v>2</v>
      </c>
      <c r="C16" s="62">
        <v>1</v>
      </c>
      <c r="D16" s="63">
        <v>19.781993644655863</v>
      </c>
      <c r="E16" s="63">
        <v>1</v>
      </c>
      <c r="F16" s="62">
        <v>0</v>
      </c>
      <c r="G16" s="62">
        <v>4</v>
      </c>
      <c r="H16" s="62">
        <v>3</v>
      </c>
      <c r="I16" s="63">
        <f t="shared" si="0"/>
        <v>2.3333333333333335</v>
      </c>
      <c r="J16" s="63">
        <f t="shared" si="1"/>
        <v>2.0816659994661331</v>
      </c>
      <c r="K16" s="64">
        <f t="shared" si="2"/>
        <v>466.66666666666674</v>
      </c>
      <c r="L16" s="64">
        <f t="shared" si="3"/>
        <v>416.33319989322661</v>
      </c>
      <c r="M16" s="94">
        <f t="shared" si="4"/>
        <v>89.21425711997712</v>
      </c>
      <c r="N16" s="65"/>
      <c r="O16" s="64"/>
      <c r="P16" s="66"/>
      <c r="Q16" s="65"/>
      <c r="R16" s="64"/>
      <c r="S16" s="62"/>
      <c r="T16" s="67"/>
    </row>
    <row r="17" spans="1:30" ht="19.5" thickBot="1" x14ac:dyDescent="0.35">
      <c r="A17" s="60" t="s">
        <v>39</v>
      </c>
      <c r="B17" s="95">
        <v>2</v>
      </c>
      <c r="C17" s="68">
        <v>2</v>
      </c>
      <c r="D17" s="69">
        <v>3.5491928476964603</v>
      </c>
      <c r="E17" s="69">
        <v>1</v>
      </c>
      <c r="F17" s="68">
        <v>18</v>
      </c>
      <c r="G17" s="68">
        <v>22</v>
      </c>
      <c r="H17" s="68">
        <v>10</v>
      </c>
      <c r="I17" s="69">
        <f t="shared" si="0"/>
        <v>16.666666666666668</v>
      </c>
      <c r="J17" s="69">
        <f t="shared" si="1"/>
        <v>6.1101009266077853</v>
      </c>
      <c r="K17" s="70">
        <f t="shared" si="2"/>
        <v>3333.3333333333339</v>
      </c>
      <c r="L17" s="70">
        <f t="shared" si="3"/>
        <v>1222.0201853215572</v>
      </c>
      <c r="M17" s="96">
        <f t="shared" si="4"/>
        <v>36.660605559646712</v>
      </c>
      <c r="N17" s="72">
        <f>SUM(F16:F17)*10000/50*$E17</f>
        <v>3600</v>
      </c>
      <c r="O17" s="70">
        <f t="shared" ref="O17" si="28">SUM(G16:G17)*10000/50*$E17</f>
        <v>5200</v>
      </c>
      <c r="P17" s="73">
        <f t="shared" ref="P17" si="29">SUM(H16:H17)*10000/50*$E17</f>
        <v>2600</v>
      </c>
      <c r="Q17" s="72">
        <f t="shared" ref="Q17" si="30">AVERAGE(N17:P17)</f>
        <v>3800</v>
      </c>
      <c r="R17" s="70">
        <f t="shared" ref="R17" si="31">_xlfn.STDEV.S(N17:P17)</f>
        <v>1311.4877048604001</v>
      </c>
      <c r="S17" s="71">
        <f>100*R17/Q17</f>
        <v>34.512834338431581</v>
      </c>
      <c r="T17" s="73">
        <f>R17/SQRT(3)</f>
        <v>757.18777944003648</v>
      </c>
    </row>
    <row r="18" spans="1:30" x14ac:dyDescent="0.3">
      <c r="A18" s="61" t="s">
        <v>39</v>
      </c>
      <c r="B18" s="97">
        <v>3</v>
      </c>
      <c r="C18" s="74">
        <v>1</v>
      </c>
      <c r="D18" s="75">
        <v>16.796032339802146</v>
      </c>
      <c r="E18" s="75">
        <v>1</v>
      </c>
      <c r="F18" s="74">
        <v>10</v>
      </c>
      <c r="G18" s="74">
        <v>44</v>
      </c>
      <c r="H18" s="74">
        <v>50</v>
      </c>
      <c r="I18" s="75">
        <f t="shared" si="0"/>
        <v>34.666666666666664</v>
      </c>
      <c r="J18" s="75">
        <f t="shared" si="1"/>
        <v>21.571586249817912</v>
      </c>
      <c r="K18" s="76">
        <f t="shared" si="2"/>
        <v>6933.3333333333321</v>
      </c>
      <c r="L18" s="76">
        <f t="shared" si="3"/>
        <v>4314.3172499635821</v>
      </c>
      <c r="M18" s="98">
        <f t="shared" si="4"/>
        <v>62.225729566782448</v>
      </c>
      <c r="N18" s="77"/>
      <c r="O18" s="76"/>
      <c r="P18" s="78"/>
      <c r="Q18" s="77"/>
      <c r="R18" s="76"/>
      <c r="S18" s="74"/>
      <c r="T18" s="79"/>
      <c r="U18" t="s">
        <v>45</v>
      </c>
      <c r="V18" t="s">
        <v>48</v>
      </c>
      <c r="W18" t="s">
        <v>49</v>
      </c>
      <c r="X18" t="s">
        <v>44</v>
      </c>
      <c r="Y18" t="s">
        <v>43</v>
      </c>
      <c r="Z18">
        <v>1</v>
      </c>
      <c r="AA18">
        <v>2</v>
      </c>
      <c r="AB18">
        <v>3</v>
      </c>
      <c r="AC18" t="s">
        <v>50</v>
      </c>
      <c r="AD18" t="s">
        <v>51</v>
      </c>
    </row>
    <row r="19" spans="1:30" ht="19.5" thickBot="1" x14ac:dyDescent="0.35">
      <c r="A19" s="60" t="s">
        <v>39</v>
      </c>
      <c r="B19" s="95">
        <v>3</v>
      </c>
      <c r="C19" s="68">
        <v>2</v>
      </c>
      <c r="D19" s="69">
        <v>1.1124106673945959</v>
      </c>
      <c r="E19" s="69">
        <v>1</v>
      </c>
      <c r="F19" s="68">
        <v>100</v>
      </c>
      <c r="G19" s="68">
        <v>108</v>
      </c>
      <c r="H19" s="68">
        <v>100</v>
      </c>
      <c r="I19" s="69">
        <f t="shared" si="0"/>
        <v>102.66666666666667</v>
      </c>
      <c r="J19" s="69">
        <f t="shared" si="1"/>
        <v>4.6188021535170058</v>
      </c>
      <c r="K19" s="70">
        <f t="shared" si="2"/>
        <v>20533.333333333336</v>
      </c>
      <c r="L19" s="70">
        <f t="shared" si="3"/>
        <v>923.7604307034012</v>
      </c>
      <c r="M19" s="96">
        <f t="shared" si="4"/>
        <v>4.4988332664126673</v>
      </c>
      <c r="N19" s="72">
        <f>SUM(F18:F19)*10000/50*$E19</f>
        <v>22000</v>
      </c>
      <c r="O19" s="70">
        <f t="shared" ref="O19" si="32">SUM(G18:G19)*10000/50*$E19</f>
        <v>30400</v>
      </c>
      <c r="P19" s="73">
        <f t="shared" ref="P19" si="33">SUM(H18:H19)*10000/50*$E19</f>
        <v>30000</v>
      </c>
      <c r="Q19" s="72">
        <f t="shared" ref="Q19" si="34">AVERAGE(N19:P19)</f>
        <v>27466.666666666668</v>
      </c>
      <c r="R19" s="70">
        <f t="shared" ref="R19" si="35">_xlfn.STDEV.S(N19:P19)</f>
        <v>4738.494838377821</v>
      </c>
      <c r="S19" s="71">
        <f>100*R19/Q19</f>
        <v>17.251801596035754</v>
      </c>
      <c r="T19" s="73">
        <f>R19/SQRT(3)</f>
        <v>2735.7712704910873</v>
      </c>
      <c r="U19" s="33">
        <f>AVERAGE(Q15:Q19)</f>
        <v>11911.111111111111</v>
      </c>
      <c r="V19" s="33">
        <f>_xlfn.STDEV.S(Q15:Q19)</f>
        <v>13475.629580564782</v>
      </c>
      <c r="W19" s="33">
        <f>SQRT((V19^2/3)+(V13^2/5))</f>
        <v>101390.76101772339</v>
      </c>
      <c r="X19" s="33">
        <f>U19-U13</f>
        <v>-546755.5555555555</v>
      </c>
      <c r="Y19" s="9">
        <f>X19/W19</f>
        <v>-5.3925579615679293</v>
      </c>
      <c r="Z19" s="33">
        <f>(V19^2/3+V13^2/5)^2</f>
        <v>1.0568017679759203E+20</v>
      </c>
      <c r="AA19" s="33">
        <f>(V19^2/3)^2/2</f>
        <v>1831992760249961.5</v>
      </c>
      <c r="AB19" s="33">
        <f>(V13^2/5)^2/4</f>
        <v>2.6109828938271654E+19</v>
      </c>
      <c r="AC19" s="9">
        <f>Z19/(AA19+AB19)</f>
        <v>4.0472406974310253</v>
      </c>
    </row>
    <row r="20" spans="1:30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U20" s="33"/>
      <c r="V20" s="33"/>
      <c r="W20" s="33"/>
    </row>
    <row r="21" spans="1:30" ht="19.5" thickBot="1" x14ac:dyDescent="0.35">
      <c r="A21" s="74" t="s">
        <v>75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V21" s="19"/>
    </row>
    <row r="22" spans="1:30" ht="94.5" thickBot="1" x14ac:dyDescent="0.35">
      <c r="A22" s="86"/>
      <c r="B22" s="81" t="s">
        <v>62</v>
      </c>
      <c r="C22" s="81" t="s">
        <v>61</v>
      </c>
      <c r="D22" s="82" t="s">
        <v>58</v>
      </c>
      <c r="E22" s="83" t="s">
        <v>56</v>
      </c>
      <c r="F22" s="89" t="s">
        <v>57</v>
      </c>
      <c r="G22" s="101" t="s">
        <v>63</v>
      </c>
      <c r="H22" s="102" t="s">
        <v>60</v>
      </c>
      <c r="I22" s="104" t="s">
        <v>71</v>
      </c>
      <c r="J22" s="105" t="s">
        <v>72</v>
      </c>
      <c r="K22" s="32"/>
      <c r="L22" s="32"/>
      <c r="M22" s="32"/>
      <c r="P22" s="19"/>
      <c r="R22" s="33"/>
    </row>
    <row r="23" spans="1:30" ht="19.5" thickBot="1" x14ac:dyDescent="0.35">
      <c r="A23" s="87" t="s">
        <v>55</v>
      </c>
      <c r="B23" s="80">
        <f>AVERAGE(Q4:Q13)</f>
        <v>558666.66666666663</v>
      </c>
      <c r="C23" s="80">
        <f>AVERAGE(Q14:Q19)</f>
        <v>11911.111111111111</v>
      </c>
      <c r="D23" s="35">
        <f>C23-B23</f>
        <v>-546755.5555555555</v>
      </c>
      <c r="E23" s="36">
        <f>D23/SQRT((B24^2/(B27))+(C24^2/(C27)))</f>
        <v>-5.3925579615679293</v>
      </c>
      <c r="F23" s="99">
        <f>(B24^2/B27+C24^2/C27)^2/(B24^4/(B27^2*(B27-1))+C24^4/(C27^2*(C27-1)))</f>
        <v>4.0472406974310253</v>
      </c>
      <c r="G23" s="100" t="s">
        <v>59</v>
      </c>
      <c r="H23" s="11" t="s">
        <v>74</v>
      </c>
      <c r="I23" s="55">
        <f>D23-H27*D25</f>
        <v>-828216.30814075563</v>
      </c>
      <c r="J23" s="56">
        <f>D23+H27*D25</f>
        <v>-265294.80297035538</v>
      </c>
      <c r="K23" s="35"/>
      <c r="L23" s="35"/>
      <c r="M23" s="32"/>
      <c r="P23" s="19"/>
      <c r="R23" s="33"/>
    </row>
    <row r="24" spans="1:30" ht="19.5" thickBot="1" x14ac:dyDescent="0.35">
      <c r="A24" s="87" t="s">
        <v>54</v>
      </c>
      <c r="B24" s="80">
        <f>_xlfn.STDEV.S(Q4:Q13)</f>
        <v>226048.1757895379</v>
      </c>
      <c r="C24" s="80">
        <f>_xlfn.STDEV.S(Q14:Q19)</f>
        <v>13475.629580564782</v>
      </c>
      <c r="E24" s="11"/>
      <c r="F24" s="84"/>
      <c r="G24" s="100"/>
      <c r="H24" s="50" t="s">
        <v>73</v>
      </c>
      <c r="I24" s="112" t="s">
        <v>70</v>
      </c>
      <c r="J24" s="110">
        <f>B23/(B23+J23)</f>
        <v>1.904295318670981</v>
      </c>
      <c r="P24" s="19"/>
      <c r="R24" s="33"/>
    </row>
    <row r="25" spans="1:30" x14ac:dyDescent="0.3">
      <c r="A25" s="87" t="s">
        <v>41</v>
      </c>
      <c r="B25" s="80">
        <f>B24/SQRT(B27)</f>
        <v>101091.81745104578</v>
      </c>
      <c r="C25" s="80">
        <f>C24/SQRT(C27)</f>
        <v>7780.1583658387617</v>
      </c>
      <c r="D25" s="108">
        <f>SQRT((B24^2/B27)+(C24^2/C27))</f>
        <v>101390.76101772339</v>
      </c>
      <c r="E25" s="11"/>
      <c r="F25" s="84"/>
      <c r="G25" s="100"/>
      <c r="H25" s="11"/>
      <c r="I25" s="100"/>
      <c r="J25" s="11"/>
      <c r="P25" s="19"/>
      <c r="R25" s="33"/>
    </row>
    <row r="26" spans="1:30" x14ac:dyDescent="0.3">
      <c r="A26" s="87" t="s">
        <v>52</v>
      </c>
      <c r="B26" s="34">
        <v>3</v>
      </c>
      <c r="C26" s="34">
        <v>3</v>
      </c>
      <c r="D26" s="106"/>
      <c r="E26" s="11"/>
      <c r="F26" s="85"/>
      <c r="G26" s="107"/>
      <c r="H26" s="11"/>
      <c r="I26" s="103"/>
      <c r="J26" s="11"/>
      <c r="P26" s="19"/>
      <c r="R26" s="33"/>
    </row>
    <row r="27" spans="1:30" ht="38.25" thickBot="1" x14ac:dyDescent="0.35">
      <c r="A27" s="88" t="s">
        <v>53</v>
      </c>
      <c r="B27" s="58">
        <v>5</v>
      </c>
      <c r="C27" s="58">
        <v>3</v>
      </c>
      <c r="D27" s="26"/>
      <c r="E27" s="49"/>
      <c r="F27" s="111" t="s">
        <v>69</v>
      </c>
      <c r="G27" s="91">
        <v>2.1320000000000001</v>
      </c>
      <c r="H27" s="109">
        <v>2.7759999999999998</v>
      </c>
      <c r="I27" s="48"/>
      <c r="J27" s="49"/>
      <c r="P27" s="19"/>
      <c r="R27" s="33"/>
    </row>
    <row r="28" spans="1:30" ht="19.5" thickBot="1" x14ac:dyDescent="0.35">
      <c r="G28" s="201" t="s">
        <v>126</v>
      </c>
      <c r="H28" s="202" t="s">
        <v>125</v>
      </c>
      <c r="P28" s="19"/>
      <c r="R28" s="33"/>
    </row>
    <row r="29" spans="1:30" x14ac:dyDescent="0.3">
      <c r="E29" s="33"/>
      <c r="P29" s="19"/>
      <c r="R29" s="33"/>
    </row>
    <row r="30" spans="1:30" x14ac:dyDescent="0.3">
      <c r="P30" s="19"/>
      <c r="R30" s="33"/>
    </row>
    <row r="31" spans="1:30" x14ac:dyDescent="0.3">
      <c r="P31" s="19"/>
      <c r="R31" s="33"/>
    </row>
    <row r="32" spans="1:30" x14ac:dyDescent="0.3">
      <c r="P32" s="19"/>
      <c r="R32" s="33"/>
    </row>
  </sheetData>
  <mergeCells count="2">
    <mergeCell ref="D2:M2"/>
    <mergeCell ref="N2:S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7A98-6A64-4D52-9C2B-E4F1845AF556}">
  <dimension ref="A1:W49"/>
  <sheetViews>
    <sheetView topLeftCell="D1" zoomScale="115" zoomScaleNormal="115" workbookViewId="0">
      <selection activeCell="G21" sqref="G21"/>
    </sheetView>
  </sheetViews>
  <sheetFormatPr defaultRowHeight="18.75" x14ac:dyDescent="0.3"/>
  <cols>
    <col min="1" max="2" width="12.19921875" bestFit="1" customWidth="1"/>
    <col min="3" max="3" width="8.19921875" bestFit="1" customWidth="1"/>
    <col min="4" max="5" width="8.19921875" customWidth="1"/>
    <col min="11" max="11" width="6.8984375" bestFit="1" customWidth="1"/>
    <col min="14" max="14" width="9.796875" bestFit="1" customWidth="1"/>
    <col min="15" max="15" width="9.796875" customWidth="1"/>
    <col min="20" max="20" width="8.59765625" bestFit="1" customWidth="1"/>
    <col min="22" max="22" width="13.69921875" bestFit="1" customWidth="1"/>
    <col min="23" max="23" width="11.5" bestFit="1" customWidth="1"/>
  </cols>
  <sheetData>
    <row r="1" spans="1:23" x14ac:dyDescent="0.3">
      <c r="A1" s="8" t="s">
        <v>136</v>
      </c>
      <c r="B1">
        <f>2.54*8</f>
        <v>20.32</v>
      </c>
    </row>
    <row r="2" spans="1:23" x14ac:dyDescent="0.3">
      <c r="A2" s="204"/>
      <c r="B2" s="267" t="s">
        <v>137</v>
      </c>
      <c r="C2" s="267"/>
      <c r="D2" s="267"/>
      <c r="E2" s="267"/>
      <c r="F2" s="267"/>
      <c r="G2" s="267"/>
      <c r="H2" s="268"/>
      <c r="J2" s="127"/>
      <c r="K2" s="269" t="s">
        <v>138</v>
      </c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128"/>
      <c r="W2" s="205"/>
    </row>
    <row r="3" spans="1:23" x14ac:dyDescent="0.3">
      <c r="A3" s="155" t="s">
        <v>139</v>
      </c>
      <c r="B3" s="155" t="s">
        <v>140</v>
      </c>
      <c r="C3" s="206" t="s">
        <v>141</v>
      </c>
      <c r="D3" s="207" t="s">
        <v>142</v>
      </c>
      <c r="E3" s="208" t="s">
        <v>143</v>
      </c>
      <c r="F3" s="206" t="s">
        <v>149</v>
      </c>
      <c r="G3" s="207" t="s">
        <v>150</v>
      </c>
      <c r="H3" s="208" t="s">
        <v>151</v>
      </c>
      <c r="I3" s="8"/>
      <c r="J3" s="155" t="s">
        <v>139</v>
      </c>
      <c r="K3" s="206" t="s">
        <v>141</v>
      </c>
      <c r="L3" s="207" t="s">
        <v>142</v>
      </c>
      <c r="M3" s="207" t="s">
        <v>143</v>
      </c>
      <c r="N3" s="207" t="s">
        <v>144</v>
      </c>
      <c r="O3" s="208" t="s">
        <v>145</v>
      </c>
      <c r="P3" s="206" t="s">
        <v>149</v>
      </c>
      <c r="Q3" s="207" t="s">
        <v>150</v>
      </c>
      <c r="R3" s="207" t="s">
        <v>151</v>
      </c>
      <c r="S3" s="207" t="s">
        <v>152</v>
      </c>
      <c r="T3" s="208" t="s">
        <v>153</v>
      </c>
      <c r="U3" s="206" t="s">
        <v>146</v>
      </c>
      <c r="V3" s="207" t="s">
        <v>147</v>
      </c>
      <c r="W3" s="208" t="s">
        <v>148</v>
      </c>
    </row>
    <row r="4" spans="1:23" x14ac:dyDescent="0.3">
      <c r="A4" s="124">
        <v>0</v>
      </c>
      <c r="B4" s="209">
        <f>B$1*PI()/180*A4</f>
        <v>0</v>
      </c>
      <c r="C4" s="129">
        <v>437.5</v>
      </c>
      <c r="D4">
        <v>1202</v>
      </c>
      <c r="E4" s="145">
        <v>491.1</v>
      </c>
      <c r="F4" s="129">
        <v>291.10000000000002</v>
      </c>
      <c r="G4">
        <v>293.7</v>
      </c>
      <c r="H4" s="145">
        <v>294.60000000000002</v>
      </c>
      <c r="J4" s="124">
        <v>0</v>
      </c>
      <c r="K4" s="210">
        <f t="shared" ref="K4:M12" si="0">100*C4/C$4</f>
        <v>100</v>
      </c>
      <c r="L4" s="10">
        <f t="shared" si="0"/>
        <v>100</v>
      </c>
      <c r="M4" s="10">
        <f t="shared" si="0"/>
        <v>100</v>
      </c>
      <c r="N4" s="10">
        <f>AVERAGE(K4:M4)</f>
        <v>100</v>
      </c>
      <c r="O4" s="211">
        <f>STDEV(K4:M4)</f>
        <v>0</v>
      </c>
      <c r="P4" s="210">
        <f>100*F4/F$4</f>
        <v>100</v>
      </c>
      <c r="Q4" s="10">
        <f t="shared" ref="Q4:R12" si="1">100*G4/G$4</f>
        <v>100</v>
      </c>
      <c r="R4" s="10">
        <f t="shared" si="1"/>
        <v>100</v>
      </c>
      <c r="S4" s="10">
        <f>AVERAGE(P4:R4)</f>
        <v>100</v>
      </c>
      <c r="T4" s="211">
        <f>STDEV(P4:R4)</f>
        <v>0</v>
      </c>
      <c r="U4" s="210">
        <f>100*COS(PI()/180*J4)</f>
        <v>100</v>
      </c>
      <c r="V4" s="10">
        <f>1.41/COS(PI()/180*J4)</f>
        <v>1.41</v>
      </c>
      <c r="W4" s="211">
        <f>100*V$4/V4</f>
        <v>100</v>
      </c>
    </row>
    <row r="5" spans="1:23" x14ac:dyDescent="0.3">
      <c r="A5" s="124">
        <v>5</v>
      </c>
      <c r="B5" s="209">
        <f t="shared" ref="B5:B12" si="2">B$1*PI()/180*A5</f>
        <v>1.7732545200262391</v>
      </c>
      <c r="C5" s="129">
        <v>436</v>
      </c>
      <c r="D5">
        <v>1200</v>
      </c>
      <c r="E5" s="145">
        <v>489.9</v>
      </c>
      <c r="F5" s="129">
        <v>292</v>
      </c>
      <c r="G5">
        <v>293.5</v>
      </c>
      <c r="H5" s="145">
        <v>294.7</v>
      </c>
      <c r="J5" s="124">
        <v>5</v>
      </c>
      <c r="K5" s="210">
        <f t="shared" si="0"/>
        <v>99.657142857142858</v>
      </c>
      <c r="L5" s="10">
        <f t="shared" si="0"/>
        <v>99.833610648918466</v>
      </c>
      <c r="M5" s="10">
        <f t="shared" si="0"/>
        <v>99.755650580329871</v>
      </c>
      <c r="N5" s="10">
        <f t="shared" ref="N5:N12" si="3">AVERAGE(K5:M5)</f>
        <v>99.748801362130393</v>
      </c>
      <c r="O5" s="211">
        <f t="shared" ref="O5:O12" si="4">STDEV(K5:M5)</f>
        <v>8.8433049398953634E-2</v>
      </c>
      <c r="P5" s="210">
        <f t="shared" ref="P5:P12" si="5">100*F5/F$4</f>
        <v>100.30917210580556</v>
      </c>
      <c r="Q5" s="10">
        <f t="shared" si="1"/>
        <v>99.931903302689818</v>
      </c>
      <c r="R5" s="10">
        <f t="shared" si="1"/>
        <v>100.03394433129667</v>
      </c>
      <c r="S5" s="10">
        <f t="shared" ref="S5:S12" si="6">AVERAGE(P5:R5)</f>
        <v>100.09167324659734</v>
      </c>
      <c r="T5" s="211">
        <f t="shared" ref="T5:T12" si="7">STDEV(P5:R5)</f>
        <v>0.19514714498921237</v>
      </c>
      <c r="U5" s="210">
        <f>100*COS(PI()/180*J5)</f>
        <v>99.619469809174561</v>
      </c>
      <c r="V5" s="10">
        <f t="shared" ref="V5:V12" si="8">1.41/COS(PI()/180*J5)</f>
        <v>1.4153859709361196</v>
      </c>
      <c r="W5" s="211">
        <f t="shared" ref="W5:W12" si="9">100*V$4/V5</f>
        <v>99.619469809174561</v>
      </c>
    </row>
    <row r="6" spans="1:23" x14ac:dyDescent="0.3">
      <c r="A6" s="124">
        <v>10</v>
      </c>
      <c r="B6" s="209">
        <f t="shared" si="2"/>
        <v>3.5465090400524781</v>
      </c>
      <c r="C6" s="129">
        <v>438.4</v>
      </c>
      <c r="D6">
        <v>1203</v>
      </c>
      <c r="E6" s="145">
        <v>493.4</v>
      </c>
      <c r="F6" s="129">
        <v>288.60000000000002</v>
      </c>
      <c r="G6">
        <v>290.5</v>
      </c>
      <c r="H6" s="145">
        <v>292.10000000000002</v>
      </c>
      <c r="J6" s="124">
        <v>10</v>
      </c>
      <c r="K6" s="210">
        <f t="shared" si="0"/>
        <v>100.20571428571428</v>
      </c>
      <c r="L6" s="10">
        <f t="shared" si="0"/>
        <v>100.08319467554077</v>
      </c>
      <c r="M6" s="10">
        <f t="shared" si="0"/>
        <v>100.46833638770107</v>
      </c>
      <c r="N6" s="10">
        <f t="shared" si="3"/>
        <v>100.25241511631872</v>
      </c>
      <c r="O6" s="211">
        <f t="shared" si="4"/>
        <v>0.19677210243273896</v>
      </c>
      <c r="P6" s="210">
        <f t="shared" si="5"/>
        <v>99.141188594984541</v>
      </c>
      <c r="Q6" s="10">
        <f t="shared" si="1"/>
        <v>98.91045284303712</v>
      </c>
      <c r="R6" s="10">
        <f t="shared" si="1"/>
        <v>99.151391717583166</v>
      </c>
      <c r="S6" s="10">
        <f t="shared" si="6"/>
        <v>99.067677718534938</v>
      </c>
      <c r="T6" s="211">
        <f t="shared" si="7"/>
        <v>0.13625627337546681</v>
      </c>
      <c r="U6" s="210">
        <f t="shared" ref="U6:U12" si="10">100*COS(PI()/180*J6)</f>
        <v>98.480775301220802</v>
      </c>
      <c r="V6" s="10">
        <f t="shared" si="8"/>
        <v>1.4317515227589004</v>
      </c>
      <c r="W6" s="211">
        <f t="shared" si="9"/>
        <v>98.480775301220802</v>
      </c>
    </row>
    <row r="7" spans="1:23" x14ac:dyDescent="0.3">
      <c r="A7" s="124">
        <v>15</v>
      </c>
      <c r="B7" s="209">
        <f t="shared" si="2"/>
        <v>5.3197635600787168</v>
      </c>
      <c r="C7" s="129">
        <v>437.4</v>
      </c>
      <c r="D7">
        <v>1205</v>
      </c>
      <c r="E7" s="145">
        <v>494.3</v>
      </c>
      <c r="F7" s="129">
        <v>283.3</v>
      </c>
      <c r="G7">
        <v>283.3</v>
      </c>
      <c r="H7" s="145">
        <v>286.39999999999998</v>
      </c>
      <c r="J7" s="124">
        <v>15</v>
      </c>
      <c r="K7" s="210">
        <f t="shared" si="0"/>
        <v>99.977142857142852</v>
      </c>
      <c r="L7" s="10">
        <f t="shared" si="0"/>
        <v>100.2495840266223</v>
      </c>
      <c r="M7" s="10">
        <f t="shared" si="0"/>
        <v>100.65159845245367</v>
      </c>
      <c r="N7" s="10">
        <f t="shared" si="3"/>
        <v>100.29277511207295</v>
      </c>
      <c r="O7" s="211">
        <f t="shared" si="4"/>
        <v>0.33929587369775166</v>
      </c>
      <c r="P7" s="210">
        <f t="shared" si="5"/>
        <v>97.320508416351757</v>
      </c>
      <c r="Q7" s="10">
        <f t="shared" si="1"/>
        <v>96.45897173987062</v>
      </c>
      <c r="R7" s="10">
        <f t="shared" si="1"/>
        <v>97.216564833672763</v>
      </c>
      <c r="S7" s="10">
        <f t="shared" si="6"/>
        <v>96.998681663298385</v>
      </c>
      <c r="T7" s="211">
        <f t="shared" si="7"/>
        <v>0.4702830723934629</v>
      </c>
      <c r="U7" s="210">
        <f t="shared" si="10"/>
        <v>96.592582628906825</v>
      </c>
      <c r="V7" s="10">
        <f t="shared" si="8"/>
        <v>1.459739414378217</v>
      </c>
      <c r="W7" s="211">
        <f t="shared" si="9"/>
        <v>96.59258262890684</v>
      </c>
    </row>
    <row r="8" spans="1:23" x14ac:dyDescent="0.3">
      <c r="A8" s="124">
        <v>20</v>
      </c>
      <c r="B8" s="209">
        <f t="shared" si="2"/>
        <v>7.0930180801049563</v>
      </c>
      <c r="C8" s="129">
        <v>439.1</v>
      </c>
      <c r="D8">
        <v>1205</v>
      </c>
      <c r="E8" s="145">
        <v>492.9</v>
      </c>
      <c r="F8" s="129">
        <v>274.2</v>
      </c>
      <c r="G8">
        <v>271.8</v>
      </c>
      <c r="H8" s="145">
        <v>273.8</v>
      </c>
      <c r="J8" s="124">
        <v>20</v>
      </c>
      <c r="K8" s="210">
        <f t="shared" si="0"/>
        <v>100.36571428571429</v>
      </c>
      <c r="L8" s="10">
        <f t="shared" si="0"/>
        <v>100.2495840266223</v>
      </c>
      <c r="M8" s="10">
        <f t="shared" si="0"/>
        <v>100.36652412950519</v>
      </c>
      <c r="N8" s="10">
        <f t="shared" si="3"/>
        <v>100.3272741472806</v>
      </c>
      <c r="O8" s="211">
        <f t="shared" si="4"/>
        <v>6.7282836575657368E-2</v>
      </c>
      <c r="P8" s="210">
        <f t="shared" si="5"/>
        <v>94.194434902095495</v>
      </c>
      <c r="Q8" s="10">
        <f t="shared" si="1"/>
        <v>92.54341164453524</v>
      </c>
      <c r="R8" s="10">
        <f t="shared" si="1"/>
        <v>92.939579090291915</v>
      </c>
      <c r="S8" s="10">
        <f t="shared" si="6"/>
        <v>93.225808545640874</v>
      </c>
      <c r="T8" s="211">
        <f t="shared" si="7"/>
        <v>0.8619251273070323</v>
      </c>
      <c r="U8" s="210">
        <f t="shared" si="10"/>
        <v>93.969262078590845</v>
      </c>
      <c r="V8" s="10">
        <f t="shared" si="8"/>
        <v>1.5004906591910359</v>
      </c>
      <c r="W8" s="211">
        <f t="shared" si="9"/>
        <v>93.969262078590859</v>
      </c>
    </row>
    <row r="9" spans="1:23" x14ac:dyDescent="0.3">
      <c r="A9" s="124">
        <v>25</v>
      </c>
      <c r="B9" s="209">
        <f t="shared" si="2"/>
        <v>8.8662726001311949</v>
      </c>
      <c r="C9" s="129">
        <v>437</v>
      </c>
      <c r="D9">
        <v>1208</v>
      </c>
      <c r="E9" s="145">
        <v>490.1</v>
      </c>
      <c r="F9" s="129">
        <v>266.60000000000002</v>
      </c>
      <c r="G9">
        <v>261.8</v>
      </c>
      <c r="H9" s="145">
        <v>264.5</v>
      </c>
      <c r="J9" s="124">
        <v>25</v>
      </c>
      <c r="K9" s="210">
        <f t="shared" si="0"/>
        <v>99.885714285714286</v>
      </c>
      <c r="L9" s="10">
        <f t="shared" si="0"/>
        <v>100.49916805324459</v>
      </c>
      <c r="M9" s="10">
        <f t="shared" si="0"/>
        <v>99.796375483608216</v>
      </c>
      <c r="N9" s="10">
        <f t="shared" si="3"/>
        <v>100.06041927418903</v>
      </c>
      <c r="O9" s="211">
        <f t="shared" si="4"/>
        <v>0.38258427010593909</v>
      </c>
      <c r="P9" s="210">
        <f t="shared" si="5"/>
        <v>91.58364823084851</v>
      </c>
      <c r="Q9" s="10">
        <f t="shared" si="1"/>
        <v>89.138576779026224</v>
      </c>
      <c r="R9" s="10">
        <f t="shared" si="1"/>
        <v>89.782756279701289</v>
      </c>
      <c r="S9" s="10">
        <f t="shared" si="6"/>
        <v>90.168327096525331</v>
      </c>
      <c r="T9" s="211">
        <f t="shared" si="7"/>
        <v>1.2673169462367579</v>
      </c>
      <c r="U9" s="210">
        <f t="shared" si="10"/>
        <v>90.630778703664987</v>
      </c>
      <c r="V9" s="10">
        <f t="shared" si="8"/>
        <v>1.5557628657371134</v>
      </c>
      <c r="W9" s="211">
        <f t="shared" si="9"/>
        <v>90.630778703664987</v>
      </c>
    </row>
    <row r="10" spans="1:23" x14ac:dyDescent="0.3">
      <c r="A10" s="124">
        <v>30</v>
      </c>
      <c r="B10" s="209">
        <f t="shared" si="2"/>
        <v>10.639527120157434</v>
      </c>
      <c r="C10" s="129">
        <v>438.2</v>
      </c>
      <c r="D10">
        <v>1209</v>
      </c>
      <c r="E10" s="145">
        <v>492.5</v>
      </c>
      <c r="F10" s="129">
        <v>246.1</v>
      </c>
      <c r="G10">
        <v>248.3</v>
      </c>
      <c r="H10" s="145">
        <v>251</v>
      </c>
      <c r="J10" s="124">
        <v>30</v>
      </c>
      <c r="K10" s="210">
        <f t="shared" si="0"/>
        <v>100.16</v>
      </c>
      <c r="L10" s="10">
        <f t="shared" si="0"/>
        <v>100.58236272878536</v>
      </c>
      <c r="M10" s="10">
        <f t="shared" si="0"/>
        <v>100.28507432294847</v>
      </c>
      <c r="N10" s="10">
        <f t="shared" si="3"/>
        <v>100.34247901724461</v>
      </c>
      <c r="O10" s="211">
        <f t="shared" si="4"/>
        <v>0.2169540109382127</v>
      </c>
      <c r="P10" s="210">
        <f t="shared" si="5"/>
        <v>84.541394709721743</v>
      </c>
      <c r="Q10" s="10">
        <f t="shared" si="1"/>
        <v>84.542049710589041</v>
      </c>
      <c r="R10" s="10">
        <f t="shared" si="1"/>
        <v>85.200271554650371</v>
      </c>
      <c r="S10" s="10">
        <f t="shared" si="6"/>
        <v>84.761238658320394</v>
      </c>
      <c r="T10" s="211">
        <f t="shared" si="7"/>
        <v>0.38021378236652104</v>
      </c>
      <c r="U10" s="210">
        <f t="shared" si="10"/>
        <v>86.602540378443877</v>
      </c>
      <c r="V10" s="10">
        <f t="shared" si="8"/>
        <v>1.6281277591147445</v>
      </c>
      <c r="W10" s="211">
        <f t="shared" si="9"/>
        <v>86.602540378443877</v>
      </c>
    </row>
    <row r="11" spans="1:23" x14ac:dyDescent="0.3">
      <c r="A11" s="124">
        <v>35</v>
      </c>
      <c r="B11" s="209">
        <f t="shared" si="2"/>
        <v>12.412781640183672</v>
      </c>
      <c r="C11" s="129">
        <v>433.7</v>
      </c>
      <c r="D11">
        <v>1213</v>
      </c>
      <c r="E11" s="145">
        <v>495.3</v>
      </c>
      <c r="F11" s="129">
        <v>230.6</v>
      </c>
      <c r="G11">
        <v>239.1</v>
      </c>
      <c r="H11" s="145">
        <v>238.8</v>
      </c>
      <c r="J11" s="124">
        <v>35</v>
      </c>
      <c r="K11" s="210">
        <f t="shared" si="0"/>
        <v>99.131428571428572</v>
      </c>
      <c r="L11" s="10">
        <f t="shared" si="0"/>
        <v>100.91514143094842</v>
      </c>
      <c r="M11" s="10">
        <f t="shared" si="0"/>
        <v>100.85522296884544</v>
      </c>
      <c r="N11" s="10">
        <f t="shared" si="3"/>
        <v>100.30059765707415</v>
      </c>
      <c r="O11" s="211">
        <f t="shared" si="4"/>
        <v>1.0129732566297966</v>
      </c>
      <c r="P11" s="210">
        <f t="shared" si="5"/>
        <v>79.216763998625893</v>
      </c>
      <c r="Q11" s="10">
        <f t="shared" si="1"/>
        <v>81.409601634320737</v>
      </c>
      <c r="R11" s="10">
        <f t="shared" si="1"/>
        <v>81.059063136456203</v>
      </c>
      <c r="S11" s="10">
        <f t="shared" si="6"/>
        <v>80.561809589800944</v>
      </c>
      <c r="T11" s="211">
        <f t="shared" si="7"/>
        <v>1.17795587412087</v>
      </c>
      <c r="U11" s="210">
        <f t="shared" si="10"/>
        <v>81.915204428899173</v>
      </c>
      <c r="V11" s="10">
        <f t="shared" si="8"/>
        <v>1.721292170153653</v>
      </c>
      <c r="W11" s="211">
        <f t="shared" si="9"/>
        <v>81.915204428899187</v>
      </c>
    </row>
    <row r="12" spans="1:23" x14ac:dyDescent="0.3">
      <c r="A12" s="212">
        <v>40</v>
      </c>
      <c r="B12" s="213">
        <f t="shared" si="2"/>
        <v>14.186036160209913</v>
      </c>
      <c r="C12" s="214">
        <v>434.2</v>
      </c>
      <c r="D12" s="215">
        <v>1219</v>
      </c>
      <c r="E12" s="216">
        <v>497.3</v>
      </c>
      <c r="F12" s="214">
        <v>221</v>
      </c>
      <c r="G12" s="215">
        <v>223.8</v>
      </c>
      <c r="H12" s="216">
        <v>225.3</v>
      </c>
      <c r="J12" s="212">
        <v>40</v>
      </c>
      <c r="K12" s="217">
        <f t="shared" si="0"/>
        <v>99.245714285714286</v>
      </c>
      <c r="L12" s="218">
        <f t="shared" si="0"/>
        <v>101.41430948419301</v>
      </c>
      <c r="M12" s="218">
        <f t="shared" si="0"/>
        <v>101.26247200162899</v>
      </c>
      <c r="N12" s="218">
        <f t="shared" si="3"/>
        <v>100.64083192384544</v>
      </c>
      <c r="O12" s="219">
        <f t="shared" si="4"/>
        <v>1.2105901756772652</v>
      </c>
      <c r="P12" s="217">
        <f t="shared" si="5"/>
        <v>75.918928203366534</v>
      </c>
      <c r="Q12" s="218">
        <f t="shared" si="1"/>
        <v>76.200204290091932</v>
      </c>
      <c r="R12" s="218">
        <f t="shared" si="1"/>
        <v>76.476578411405285</v>
      </c>
      <c r="S12" s="218">
        <f t="shared" si="6"/>
        <v>76.198570301621245</v>
      </c>
      <c r="T12" s="219">
        <f t="shared" si="7"/>
        <v>0.27882869484713618</v>
      </c>
      <c r="U12" s="217">
        <f t="shared" si="10"/>
        <v>76.604444311897808</v>
      </c>
      <c r="V12" s="218">
        <f t="shared" si="8"/>
        <v>1.8406242779585127</v>
      </c>
      <c r="W12" s="219">
        <f t="shared" si="9"/>
        <v>76.604444311897808</v>
      </c>
    </row>
    <row r="26" spans="4:12" x14ac:dyDescent="0.3">
      <c r="D26" s="32"/>
      <c r="E26" s="32"/>
      <c r="F26" s="32"/>
      <c r="G26" s="32"/>
      <c r="H26" s="32"/>
      <c r="I26" s="32"/>
      <c r="J26" s="32"/>
      <c r="K26" s="32"/>
      <c r="L26" s="32"/>
    </row>
    <row r="27" spans="4:12" x14ac:dyDescent="0.3">
      <c r="D27" s="246"/>
      <c r="E27" s="32"/>
      <c r="F27" s="32"/>
      <c r="G27" s="32"/>
      <c r="H27" s="32"/>
      <c r="I27" s="35"/>
      <c r="J27" s="247"/>
      <c r="K27" s="32"/>
      <c r="L27" s="32"/>
    </row>
    <row r="28" spans="4:12" x14ac:dyDescent="0.3">
      <c r="D28" s="32"/>
      <c r="E28" s="248"/>
      <c r="F28" s="248"/>
      <c r="G28" s="248"/>
      <c r="H28" s="246"/>
      <c r="I28" s="248"/>
      <c r="J28" s="35"/>
      <c r="K28" s="32"/>
      <c r="L28" s="32"/>
    </row>
    <row r="29" spans="4:12" x14ac:dyDescent="0.3">
      <c r="D29" s="246"/>
      <c r="E29" s="249"/>
      <c r="F29" s="32"/>
      <c r="G29" s="247"/>
      <c r="H29" s="247"/>
      <c r="I29" s="32"/>
      <c r="J29" s="32"/>
      <c r="K29" s="32"/>
      <c r="L29" s="32"/>
    </row>
    <row r="30" spans="4:12" x14ac:dyDescent="0.3">
      <c r="D30" s="246"/>
      <c r="E30" s="249"/>
      <c r="F30" s="32"/>
      <c r="G30" s="247"/>
      <c r="H30" s="247"/>
      <c r="I30" s="32"/>
      <c r="J30" s="32"/>
      <c r="K30" s="32"/>
      <c r="L30" s="32"/>
    </row>
    <row r="31" spans="4:12" x14ac:dyDescent="0.3">
      <c r="D31" s="246"/>
      <c r="E31" s="249"/>
      <c r="F31" s="32"/>
      <c r="G31" s="247"/>
      <c r="H31" s="247"/>
      <c r="I31" s="32"/>
      <c r="J31" s="32"/>
      <c r="K31" s="32"/>
      <c r="L31" s="32"/>
    </row>
    <row r="32" spans="4:12" x14ac:dyDescent="0.3">
      <c r="D32" s="246"/>
      <c r="E32" s="249"/>
      <c r="F32" s="32"/>
      <c r="G32" s="247"/>
      <c r="H32" s="247"/>
      <c r="I32" s="32"/>
      <c r="J32" s="32"/>
      <c r="K32" s="32"/>
      <c r="L32" s="32"/>
    </row>
    <row r="33" spans="4:12" x14ac:dyDescent="0.3">
      <c r="D33" s="246"/>
      <c r="E33" s="249"/>
      <c r="F33" s="32"/>
      <c r="G33" s="247"/>
      <c r="H33" s="247"/>
      <c r="I33" s="32"/>
      <c r="J33" s="32"/>
      <c r="K33" s="32"/>
      <c r="L33" s="32"/>
    </row>
    <row r="34" spans="4:12" x14ac:dyDescent="0.3">
      <c r="D34" s="246"/>
      <c r="E34" s="247"/>
      <c r="F34" s="247"/>
      <c r="G34" s="247"/>
      <c r="H34" s="247"/>
      <c r="I34" s="32"/>
      <c r="J34" s="32"/>
      <c r="K34" s="32"/>
      <c r="L34" s="32"/>
    </row>
    <row r="35" spans="4:12" x14ac:dyDescent="0.3">
      <c r="D35" s="246"/>
      <c r="E35" s="247"/>
      <c r="F35" s="247"/>
      <c r="G35" s="247"/>
      <c r="H35" s="247"/>
      <c r="I35" s="32"/>
      <c r="J35" s="32"/>
      <c r="K35" s="32"/>
      <c r="L35" s="32"/>
    </row>
    <row r="36" spans="4:12" x14ac:dyDescent="0.3">
      <c r="D36" s="32"/>
      <c r="E36" s="32"/>
      <c r="F36" s="32"/>
      <c r="G36" s="32"/>
      <c r="H36" s="32"/>
      <c r="I36" s="32"/>
      <c r="J36" s="32"/>
      <c r="K36" s="32"/>
      <c r="L36" s="32"/>
    </row>
    <row r="37" spans="4:12" x14ac:dyDescent="0.3">
      <c r="D37" s="32"/>
      <c r="E37" s="32"/>
      <c r="F37" s="32"/>
      <c r="G37" s="32"/>
      <c r="H37" s="32"/>
      <c r="I37" s="32"/>
      <c r="J37" s="32"/>
      <c r="K37" s="32"/>
      <c r="L37" s="32"/>
    </row>
    <row r="38" spans="4:12" x14ac:dyDescent="0.3">
      <c r="D38" s="32"/>
      <c r="E38" s="32"/>
      <c r="F38" s="32"/>
      <c r="G38" s="32"/>
      <c r="H38" s="32"/>
      <c r="I38" s="32"/>
      <c r="J38" s="32"/>
      <c r="K38" s="32"/>
      <c r="L38" s="32"/>
    </row>
    <row r="39" spans="4:12" x14ac:dyDescent="0.3">
      <c r="D39" s="32"/>
      <c r="E39" s="32"/>
      <c r="F39" s="32"/>
      <c r="G39" s="32"/>
      <c r="H39" s="32"/>
      <c r="I39" s="32"/>
      <c r="J39" s="32"/>
      <c r="K39" s="32"/>
      <c r="L39" s="32"/>
    </row>
    <row r="40" spans="4:12" x14ac:dyDescent="0.3">
      <c r="D40" s="32"/>
      <c r="E40" s="32"/>
      <c r="F40" s="32"/>
      <c r="G40" s="32"/>
      <c r="H40" s="32"/>
      <c r="I40" s="32"/>
      <c r="J40" s="32"/>
      <c r="K40" s="32"/>
      <c r="L40" s="32"/>
    </row>
    <row r="41" spans="4:12" x14ac:dyDescent="0.3">
      <c r="D41" s="32"/>
      <c r="E41" s="32"/>
      <c r="F41" s="32"/>
      <c r="G41" s="32"/>
      <c r="H41" s="32"/>
      <c r="I41" s="32"/>
      <c r="J41" s="32"/>
      <c r="K41" s="32"/>
      <c r="L41" s="32"/>
    </row>
    <row r="42" spans="4:12" x14ac:dyDescent="0.3">
      <c r="D42" s="32"/>
      <c r="E42" s="32"/>
      <c r="F42" s="32"/>
      <c r="G42" s="32"/>
      <c r="H42" s="32"/>
      <c r="I42" s="32"/>
      <c r="J42" s="32"/>
      <c r="K42" s="32"/>
      <c r="L42" s="32"/>
    </row>
    <row r="43" spans="4:12" x14ac:dyDescent="0.3">
      <c r="D43" s="32"/>
      <c r="E43" s="32"/>
      <c r="F43" s="32"/>
      <c r="G43" s="32"/>
      <c r="H43" s="32"/>
      <c r="I43" s="32"/>
      <c r="J43" s="32"/>
      <c r="K43" s="32"/>
      <c r="L43" s="32"/>
    </row>
    <row r="44" spans="4:12" x14ac:dyDescent="0.3">
      <c r="D44" s="32"/>
      <c r="E44" s="32"/>
      <c r="F44" s="32"/>
      <c r="G44" s="32"/>
      <c r="H44" s="32"/>
      <c r="I44" s="32"/>
      <c r="J44" s="32"/>
      <c r="K44" s="32"/>
      <c r="L44" s="32"/>
    </row>
    <row r="45" spans="4:12" x14ac:dyDescent="0.3">
      <c r="D45" s="32"/>
      <c r="E45" s="32"/>
      <c r="F45" s="32"/>
      <c r="G45" s="32"/>
      <c r="H45" s="32"/>
      <c r="I45" s="32"/>
      <c r="J45" s="32"/>
      <c r="K45" s="32"/>
      <c r="L45" s="32"/>
    </row>
    <row r="46" spans="4:12" x14ac:dyDescent="0.3">
      <c r="D46" s="32"/>
      <c r="E46" s="32"/>
      <c r="F46" s="32"/>
      <c r="G46" s="32"/>
      <c r="H46" s="32"/>
      <c r="I46" s="32"/>
      <c r="J46" s="32"/>
      <c r="K46" s="32"/>
      <c r="L46" s="32"/>
    </row>
    <row r="47" spans="4:12" x14ac:dyDescent="0.3">
      <c r="D47" s="32"/>
      <c r="E47" s="32"/>
      <c r="F47" s="32"/>
      <c r="G47" s="32"/>
      <c r="H47" s="32"/>
      <c r="I47" s="32"/>
      <c r="J47" s="32"/>
      <c r="K47" s="32"/>
      <c r="L47" s="32"/>
    </row>
    <row r="48" spans="4:12" x14ac:dyDescent="0.3">
      <c r="D48" s="32"/>
      <c r="E48" s="32"/>
      <c r="F48" s="32"/>
      <c r="G48" s="32"/>
      <c r="H48" s="32"/>
      <c r="I48" s="32"/>
      <c r="J48" s="32"/>
      <c r="K48" s="32"/>
      <c r="L48" s="32"/>
    </row>
    <row r="49" spans="4:12" x14ac:dyDescent="0.3">
      <c r="D49" s="32"/>
      <c r="E49" s="32"/>
      <c r="F49" s="32"/>
      <c r="G49" s="32"/>
      <c r="H49" s="32"/>
      <c r="I49" s="32"/>
      <c r="J49" s="32"/>
      <c r="K49" s="32"/>
      <c r="L49" s="32"/>
    </row>
  </sheetData>
  <mergeCells count="2">
    <mergeCell ref="B2:H2"/>
    <mergeCell ref="K2:U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55AA-B9CA-45D5-8FC3-5A7A29AE96FE}">
  <dimension ref="A1:G10"/>
  <sheetViews>
    <sheetView workbookViewId="0">
      <selection activeCell="A2" sqref="A2:E9"/>
    </sheetView>
  </sheetViews>
  <sheetFormatPr defaultRowHeight="18.75" x14ac:dyDescent="0.3"/>
  <cols>
    <col min="1" max="1" width="25.19921875" customWidth="1"/>
    <col min="5" max="5" width="14.796875" bestFit="1" customWidth="1"/>
  </cols>
  <sheetData>
    <row r="1" spans="1:7" ht="19.5" thickBot="1" x14ac:dyDescent="0.35">
      <c r="A1" s="203" t="s">
        <v>161</v>
      </c>
      <c r="B1" s="220"/>
      <c r="C1" s="220"/>
      <c r="D1" s="220"/>
      <c r="E1" s="220"/>
      <c r="F1" s="221"/>
      <c r="G1" s="222"/>
    </row>
    <row r="2" spans="1:7" ht="132" thickBot="1" x14ac:dyDescent="0.35">
      <c r="A2" s="223"/>
      <c r="B2" s="104" t="s">
        <v>154</v>
      </c>
      <c r="C2" s="104" t="s">
        <v>155</v>
      </c>
      <c r="D2" s="104" t="s">
        <v>156</v>
      </c>
      <c r="E2" s="40" t="s">
        <v>157</v>
      </c>
      <c r="F2" s="224" t="s">
        <v>158</v>
      </c>
      <c r="G2" s="238">
        <v>53.48</v>
      </c>
    </row>
    <row r="3" spans="1:7" x14ac:dyDescent="0.3">
      <c r="A3" s="225">
        <v>1</v>
      </c>
      <c r="B3" s="226">
        <v>29.22</v>
      </c>
      <c r="C3" s="227">
        <v>668.3</v>
      </c>
      <c r="D3" s="228">
        <v>35.742259922230879</v>
      </c>
      <c r="E3" s="229">
        <v>0.81751965498482149</v>
      </c>
      <c r="F3" s="220"/>
      <c r="G3" s="220"/>
    </row>
    <row r="4" spans="1:7" x14ac:dyDescent="0.3">
      <c r="A4" s="225">
        <v>2</v>
      </c>
      <c r="B4" s="230">
        <v>31.62</v>
      </c>
      <c r="C4" s="220">
        <v>668.8</v>
      </c>
      <c r="D4" s="222">
        <v>35.769001101283877</v>
      </c>
      <c r="E4" s="231">
        <v>0.88400567604514535</v>
      </c>
      <c r="F4" s="220"/>
      <c r="G4" s="222"/>
    </row>
    <row r="5" spans="1:7" x14ac:dyDescent="0.3">
      <c r="A5" s="225">
        <v>3</v>
      </c>
      <c r="B5" s="230">
        <v>30.32</v>
      </c>
      <c r="C5" s="220">
        <v>649.20000000000005</v>
      </c>
      <c r="D5" s="222">
        <v>34.720746882406537</v>
      </c>
      <c r="E5" s="231">
        <v>0.87325310433813119</v>
      </c>
      <c r="F5" s="220"/>
      <c r="G5" s="220"/>
    </row>
    <row r="6" spans="1:7" x14ac:dyDescent="0.3">
      <c r="A6" s="225">
        <v>4</v>
      </c>
      <c r="B6" s="230">
        <v>31.3</v>
      </c>
      <c r="C6" s="220">
        <v>646.20000000000005</v>
      </c>
      <c r="D6" s="222">
        <v>34.560299808088573</v>
      </c>
      <c r="E6" s="231">
        <v>0.90566343966363616</v>
      </c>
      <c r="F6" s="220"/>
      <c r="G6" s="220"/>
    </row>
    <row r="7" spans="1:7" ht="19.5" thickBot="1" x14ac:dyDescent="0.35">
      <c r="A7" s="225">
        <v>5</v>
      </c>
      <c r="B7" s="230">
        <v>31.01</v>
      </c>
      <c r="C7" s="220">
        <v>654</v>
      </c>
      <c r="D7" s="222">
        <v>34.977462201315269</v>
      </c>
      <c r="E7" s="231">
        <v>0.88657089589632732</v>
      </c>
      <c r="F7" s="220"/>
      <c r="G7" s="220"/>
    </row>
    <row r="8" spans="1:7" x14ac:dyDescent="0.3">
      <c r="A8" s="232" t="s">
        <v>159</v>
      </c>
      <c r="B8" s="233">
        <v>30.693999999999999</v>
      </c>
      <c r="C8" s="228"/>
      <c r="D8" s="228">
        <v>35.153953983065023</v>
      </c>
      <c r="E8" s="229">
        <v>0.8734025541856123</v>
      </c>
      <c r="F8" s="220"/>
      <c r="G8" s="220"/>
    </row>
    <row r="9" spans="1:7" ht="19.5" thickBot="1" x14ac:dyDescent="0.35">
      <c r="A9" s="234" t="s">
        <v>160</v>
      </c>
      <c r="B9" s="235">
        <v>0.95356174419908524</v>
      </c>
      <c r="C9" s="236"/>
      <c r="D9" s="236">
        <v>0.56912868848799048</v>
      </c>
      <c r="E9" s="237">
        <v>3.3352349642667957E-2</v>
      </c>
      <c r="F9" s="220"/>
      <c r="G9" s="220"/>
    </row>
    <row r="10" spans="1:7" x14ac:dyDescent="0.3">
      <c r="A10" s="220"/>
      <c r="B10" s="220"/>
      <c r="C10" s="220"/>
      <c r="D10" s="220"/>
      <c r="E10" s="220"/>
      <c r="F10" s="220"/>
      <c r="G10" s="2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Propagation loss</vt:lpstr>
      <vt:lpstr>Side emission</vt:lpstr>
      <vt:lpstr>Power budget</vt:lpstr>
      <vt:lpstr>SEM statistics</vt:lpstr>
      <vt:lpstr>MB evaluation of catheters</vt:lpstr>
      <vt:lpstr>Power metre characterisation</vt:lpstr>
      <vt:lpstr>Correction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Jonathan Butement</cp:lastModifiedBy>
  <dcterms:created xsi:type="dcterms:W3CDTF">2020-10-20T11:39:04Z</dcterms:created>
  <dcterms:modified xsi:type="dcterms:W3CDTF">2022-08-25T15:48:23Z</dcterms:modified>
</cp:coreProperties>
</file>