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4.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5.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6.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7.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8.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9.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0.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11.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12.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13.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4.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15.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16.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17.xml" ContentType="application/vnd.openxmlformats-officedocument.drawing+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18.xml" ContentType="application/vnd.openxmlformats-officedocument.drawing+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19.xml" ContentType="application/vnd.openxmlformats-officedocument.drawing+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20.xml" ContentType="application/vnd.openxmlformats-officedocument.drawing+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21.xml" ContentType="application/vnd.openxmlformats-officedocument.drawing+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22.xml" ContentType="application/vnd.openxmlformats-officedocument.drawing+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drawings/drawing23.xml" ContentType="application/vnd.openxmlformats-officedocument.drawing+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24.xml" ContentType="application/vnd.openxmlformats-officedocument.drawing+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drawings/drawing25.xml" ContentType="application/vnd.openxmlformats-officedocument.drawing+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drawings/drawing26.xml" ContentType="application/vnd.openxmlformats-officedocument.drawing+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drawings/drawing27.xml" ContentType="application/vnd.openxmlformats-officedocument.drawing+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drawings/drawing28.xml" ContentType="application/vnd.openxmlformats-officedocument.drawing+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drawings/drawing29.xml" ContentType="application/vnd.openxmlformats-officedocument.drawing+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drawings/drawing30.xml" ContentType="application/vnd.openxmlformats-officedocument.drawing+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charts/chart97.xml" ContentType="application/vnd.openxmlformats-officedocument.drawingml.chart+xml"/>
  <Override PartName="/xl/charts/style97.xml" ContentType="application/vnd.ms-office.chartstyle+xml"/>
  <Override PartName="/xl/charts/colors97.xml" ContentType="application/vnd.ms-office.chartcolorstyle+xml"/>
  <Override PartName="/xl/drawings/drawing31.xml" ContentType="application/vnd.openxmlformats-officedocument.drawing+xml"/>
  <Override PartName="/xl/charts/chart98.xml" ContentType="application/vnd.openxmlformats-officedocument.drawingml.chart+xml"/>
  <Override PartName="/xl/charts/style98.xml" ContentType="application/vnd.ms-office.chartstyle+xml"/>
  <Override PartName="/xl/charts/colors98.xml" ContentType="application/vnd.ms-office.chartcolorstyle+xml"/>
  <Override PartName="/xl/charts/chart99.xml" ContentType="application/vnd.openxmlformats-officedocument.drawingml.chart+xml"/>
  <Override PartName="/xl/charts/style99.xml" ContentType="application/vnd.ms-office.chartstyle+xml"/>
  <Override PartName="/xl/charts/colors99.xml" ContentType="application/vnd.ms-office.chartcolorstyle+xml"/>
  <Override PartName="/xl/drawings/drawing32.xml" ContentType="application/vnd.openxmlformats-officedocument.drawing+xml"/>
  <Override PartName="/xl/charts/chart100.xml" ContentType="application/vnd.openxmlformats-officedocument.drawingml.chart+xml"/>
  <Override PartName="/xl/charts/style100.xml" ContentType="application/vnd.ms-office.chartstyle+xml"/>
  <Override PartName="/xl/charts/colors100.xml" ContentType="application/vnd.ms-office.chartcolorstyle+xml"/>
  <Override PartName="/xl/drawings/drawing33.xml" ContentType="application/vnd.openxmlformats-officedocument.drawing+xml"/>
  <Override PartName="/xl/charts/chart101.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2.xml" ContentType="application/vnd.openxmlformats-officedocument.drawingml.chart+xml"/>
  <Override PartName="/xl/charts/style102.xml" ContentType="application/vnd.ms-office.chartstyle+xml"/>
  <Override PartName="/xl/charts/colors102.xml" ContentType="application/vnd.ms-office.chartcolorstyle+xml"/>
  <Override PartName="/xl/drawings/drawing34.xml" ContentType="application/vnd.openxmlformats-officedocument.drawing+xml"/>
  <Override PartName="/xl/charts/chart103.xml" ContentType="application/vnd.openxmlformats-officedocument.drawingml.chart+xml"/>
  <Override PartName="/xl/charts/style103.xml" ContentType="application/vnd.ms-office.chartstyle+xml"/>
  <Override PartName="/xl/charts/colors103.xml" ContentType="application/vnd.ms-office.chartcolorstyle+xml"/>
  <Override PartName="/xl/charts/chart104.xml" ContentType="application/vnd.openxmlformats-officedocument.drawingml.chart+xml"/>
  <Override PartName="/xl/charts/style104.xml" ContentType="application/vnd.ms-office.chartstyle+xml"/>
  <Override PartName="/xl/charts/colors104.xml" ContentType="application/vnd.ms-office.chartcolorstyle+xml"/>
  <Override PartName="/xl/drawings/drawing35.xml" ContentType="application/vnd.openxmlformats-officedocument.drawing+xml"/>
  <Override PartName="/xl/charts/chart105.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06.xml" ContentType="application/vnd.openxmlformats-officedocument.drawingml.chart+xml"/>
  <Override PartName="/xl/charts/style106.xml" ContentType="application/vnd.ms-office.chartstyle+xml"/>
  <Override PartName="/xl/charts/colors106.xml" ContentType="application/vnd.ms-office.chartcolorstyle+xml"/>
  <Override PartName="/xl/drawings/drawing36.xml" ContentType="application/vnd.openxmlformats-officedocument.drawing+xml"/>
  <Override PartName="/xl/charts/chart107.xml" ContentType="application/vnd.openxmlformats-officedocument.drawingml.chart+xml"/>
  <Override PartName="/xl/charts/style107.xml" ContentType="application/vnd.ms-office.chartstyle+xml"/>
  <Override PartName="/xl/charts/colors107.xml" ContentType="application/vnd.ms-office.chartcolorstyle+xml"/>
  <Override PartName="/xl/charts/chart108.xml" ContentType="application/vnd.openxmlformats-officedocument.drawingml.chart+xml"/>
  <Override PartName="/xl/charts/style108.xml" ContentType="application/vnd.ms-office.chartstyle+xml"/>
  <Override PartName="/xl/charts/colors108.xml" ContentType="application/vnd.ms-office.chartcolorstyle+xml"/>
  <Override PartName="/xl/drawings/drawing37.xml" ContentType="application/vnd.openxmlformats-officedocument.drawing+xml"/>
  <Override PartName="/xl/charts/chart109.xml" ContentType="application/vnd.openxmlformats-officedocument.drawingml.chart+xml"/>
  <Override PartName="/xl/charts/style109.xml" ContentType="application/vnd.ms-office.chartstyle+xml"/>
  <Override PartName="/xl/charts/colors109.xml" ContentType="application/vnd.ms-office.chartcolorstyle+xml"/>
  <Override PartName="/xl/charts/chart110.xml" ContentType="application/vnd.openxmlformats-officedocument.drawingml.chart+xml"/>
  <Override PartName="/xl/charts/style110.xml" ContentType="application/vnd.ms-office.chartstyle+xml"/>
  <Override PartName="/xl/charts/colors110.xml" ContentType="application/vnd.ms-office.chartcolorstyle+xml"/>
  <Override PartName="/xl/drawings/drawing38.xml" ContentType="application/vnd.openxmlformats-officedocument.drawing+xml"/>
  <Override PartName="/xl/charts/chart111.xml" ContentType="application/vnd.openxmlformats-officedocument.drawingml.chart+xml"/>
  <Override PartName="/xl/charts/style111.xml" ContentType="application/vnd.ms-office.chartstyle+xml"/>
  <Override PartName="/xl/charts/colors111.xml" ContentType="application/vnd.ms-office.chartcolorstyle+xml"/>
  <Override PartName="/xl/charts/chart112.xml" ContentType="application/vnd.openxmlformats-officedocument.drawingml.chart+xml"/>
  <Override PartName="/xl/charts/style112.xml" ContentType="application/vnd.ms-office.chartstyle+xml"/>
  <Override PartName="/xl/charts/colors112.xml" ContentType="application/vnd.ms-office.chartcolorstyle+xml"/>
  <Override PartName="/xl/drawings/drawing39.xml" ContentType="application/vnd.openxmlformats-officedocument.drawing+xml"/>
  <Override PartName="/xl/charts/chart113.xml" ContentType="application/vnd.openxmlformats-officedocument.drawingml.chart+xml"/>
  <Override PartName="/xl/charts/style113.xml" ContentType="application/vnd.ms-office.chartstyle+xml"/>
  <Override PartName="/xl/charts/colors113.xml" ContentType="application/vnd.ms-office.chartcolorstyle+xml"/>
  <Override PartName="/xl/charts/chart114.xml" ContentType="application/vnd.openxmlformats-officedocument.drawingml.chart+xml"/>
  <Override PartName="/xl/charts/style114.xml" ContentType="application/vnd.ms-office.chartstyle+xml"/>
  <Override PartName="/xl/charts/colors114.xml" ContentType="application/vnd.ms-office.chartcolorstyle+xml"/>
  <Override PartName="/xl/drawings/drawing40.xml" ContentType="application/vnd.openxmlformats-officedocument.drawing+xml"/>
  <Override PartName="/xl/charts/chart115.xml" ContentType="application/vnd.openxmlformats-officedocument.drawingml.chart+xml"/>
  <Override PartName="/xl/charts/style115.xml" ContentType="application/vnd.ms-office.chartstyle+xml"/>
  <Override PartName="/xl/charts/colors115.xml" ContentType="application/vnd.ms-office.chartcolorstyle+xml"/>
  <Override PartName="/xl/charts/chart116.xml" ContentType="application/vnd.openxmlformats-officedocument.drawingml.chart+xml"/>
  <Override PartName="/xl/charts/style116.xml" ContentType="application/vnd.ms-office.chartstyle+xml"/>
  <Override PartName="/xl/charts/colors116.xml" ContentType="application/vnd.ms-office.chartcolorstyle+xml"/>
  <Override PartName="/xl/drawings/drawing41.xml" ContentType="application/vnd.openxmlformats-officedocument.drawing+xml"/>
  <Override PartName="/xl/charts/chart117.xml" ContentType="application/vnd.openxmlformats-officedocument.drawingml.chart+xml"/>
  <Override PartName="/xl/charts/style117.xml" ContentType="application/vnd.ms-office.chartstyle+xml"/>
  <Override PartName="/xl/charts/colors117.xml" ContentType="application/vnd.ms-office.chartcolorstyle+xml"/>
  <Override PartName="/xl/charts/chart118.xml" ContentType="application/vnd.openxmlformats-officedocument.drawingml.chart+xml"/>
  <Override PartName="/xl/charts/style118.xml" ContentType="application/vnd.ms-office.chartstyle+xml"/>
  <Override PartName="/xl/charts/colors118.xml" ContentType="application/vnd.ms-office.chartcolorstyle+xml"/>
  <Override PartName="/xl/drawings/drawing42.xml" ContentType="application/vnd.openxmlformats-officedocument.drawing+xml"/>
  <Override PartName="/xl/charts/chart119.xml" ContentType="application/vnd.openxmlformats-officedocument.drawingml.chart+xml"/>
  <Override PartName="/xl/charts/style119.xml" ContentType="application/vnd.ms-office.chartstyle+xml"/>
  <Override PartName="/xl/charts/colors119.xml" ContentType="application/vnd.ms-office.chartcolorstyle+xml"/>
  <Override PartName="/xl/charts/chart120.xml" ContentType="application/vnd.openxmlformats-officedocument.drawingml.chart+xml"/>
  <Override PartName="/xl/charts/style120.xml" ContentType="application/vnd.ms-office.chartstyle+xml"/>
  <Override PartName="/xl/charts/colors120.xml" ContentType="application/vnd.ms-office.chartcolorstyle+xml"/>
  <Override PartName="/xl/drawings/drawing43.xml" ContentType="application/vnd.openxmlformats-officedocument.drawing+xml"/>
  <Override PartName="/xl/charts/chart121.xml" ContentType="application/vnd.openxmlformats-officedocument.drawingml.chart+xml"/>
  <Override PartName="/xl/charts/style121.xml" ContentType="application/vnd.ms-office.chartstyle+xml"/>
  <Override PartName="/xl/charts/colors121.xml" ContentType="application/vnd.ms-office.chartcolorstyle+xml"/>
  <Override PartName="/xl/drawings/drawing44.xml" ContentType="application/vnd.openxmlformats-officedocument.drawing+xml"/>
  <Override PartName="/xl/charts/chart122.xml" ContentType="application/vnd.openxmlformats-officedocument.drawingml.chart+xml"/>
  <Override PartName="/xl/charts/style122.xml" ContentType="application/vnd.ms-office.chartstyle+xml"/>
  <Override PartName="/xl/charts/colors122.xml" ContentType="application/vnd.ms-office.chartcolorstyle+xml"/>
  <Override PartName="/xl/charts/chart123.xml" ContentType="application/vnd.openxmlformats-officedocument.drawingml.chart+xml"/>
  <Override PartName="/xl/charts/style123.xml" ContentType="application/vnd.ms-office.chartstyle+xml"/>
  <Override PartName="/xl/charts/colors123.xml" ContentType="application/vnd.ms-office.chartcolorstyle+xml"/>
  <Override PartName="/xl/drawings/drawing45.xml" ContentType="application/vnd.openxmlformats-officedocument.drawing+xml"/>
  <Override PartName="/xl/charts/chart124.xml" ContentType="application/vnd.openxmlformats-officedocument.drawingml.chart+xml"/>
  <Override PartName="/xl/charts/style124.xml" ContentType="application/vnd.ms-office.chartstyle+xml"/>
  <Override PartName="/xl/charts/colors124.xml" ContentType="application/vnd.ms-office.chartcolorstyle+xml"/>
  <Override PartName="/xl/charts/chart125.xml" ContentType="application/vnd.openxmlformats-officedocument.drawingml.chart+xml"/>
  <Override PartName="/xl/charts/style125.xml" ContentType="application/vnd.ms-office.chartstyle+xml"/>
  <Override PartName="/xl/charts/colors125.xml" ContentType="application/vnd.ms-office.chartcolorstyle+xml"/>
  <Override PartName="/xl/drawings/drawing46.xml" ContentType="application/vnd.openxmlformats-officedocument.drawing+xml"/>
  <Override PartName="/xl/charts/chart126.xml" ContentType="application/vnd.openxmlformats-officedocument.drawingml.chart+xml"/>
  <Override PartName="/xl/charts/style126.xml" ContentType="application/vnd.ms-office.chartstyle+xml"/>
  <Override PartName="/xl/charts/colors126.xml" ContentType="application/vnd.ms-office.chartcolorstyle+xml"/>
  <Override PartName="/xl/charts/chart127.xml" ContentType="application/vnd.openxmlformats-officedocument.drawingml.chart+xml"/>
  <Override PartName="/xl/charts/style127.xml" ContentType="application/vnd.ms-office.chartstyle+xml"/>
  <Override PartName="/xl/charts/colors127.xml" ContentType="application/vnd.ms-office.chartcolorstyle+xml"/>
  <Override PartName="/xl/drawings/drawing47.xml" ContentType="application/vnd.openxmlformats-officedocument.drawing+xml"/>
  <Override PartName="/xl/charts/chart128.xml" ContentType="application/vnd.openxmlformats-officedocument.drawingml.chart+xml"/>
  <Override PartName="/xl/charts/style128.xml" ContentType="application/vnd.ms-office.chartstyle+xml"/>
  <Override PartName="/xl/charts/colors128.xml" ContentType="application/vnd.ms-office.chartcolorstyle+xml"/>
  <Override PartName="/xl/charts/chart129.xml" ContentType="application/vnd.openxmlformats-officedocument.drawingml.chart+xml"/>
  <Override PartName="/xl/charts/style129.xml" ContentType="application/vnd.ms-office.chartstyle+xml"/>
  <Override PartName="/xl/charts/colors129.xml" ContentType="application/vnd.ms-office.chartcolorstyle+xml"/>
  <Override PartName="/xl/drawings/drawing48.xml" ContentType="application/vnd.openxmlformats-officedocument.drawing+xml"/>
  <Override PartName="/xl/charts/chart130.xml" ContentType="application/vnd.openxmlformats-officedocument.drawingml.chart+xml"/>
  <Override PartName="/xl/charts/style130.xml" ContentType="application/vnd.ms-office.chartstyle+xml"/>
  <Override PartName="/xl/charts/colors130.xml" ContentType="application/vnd.ms-office.chartcolorstyle+xml"/>
  <Override PartName="/xl/drawings/drawing49.xml" ContentType="application/vnd.openxmlformats-officedocument.drawing+xml"/>
  <Override PartName="/xl/charts/chart131.xml" ContentType="application/vnd.openxmlformats-officedocument.drawingml.chart+xml"/>
  <Override PartName="/xl/charts/style131.xml" ContentType="application/vnd.ms-office.chartstyle+xml"/>
  <Override PartName="/xl/charts/colors131.xml" ContentType="application/vnd.ms-office.chartcolorstyle+xml"/>
  <Override PartName="/xl/charts/chart132.xml" ContentType="application/vnd.openxmlformats-officedocument.drawingml.chart+xml"/>
  <Override PartName="/xl/charts/style132.xml" ContentType="application/vnd.ms-office.chartstyle+xml"/>
  <Override PartName="/xl/charts/colors132.xml" ContentType="application/vnd.ms-office.chartcolorstyle+xml"/>
  <Override PartName="/xl/drawings/drawing50.xml" ContentType="application/vnd.openxmlformats-officedocument.drawing+xml"/>
  <Override PartName="/xl/charts/chart133.xml" ContentType="application/vnd.openxmlformats-officedocument.drawingml.chart+xml"/>
  <Override PartName="/xl/charts/style133.xml" ContentType="application/vnd.ms-office.chartstyle+xml"/>
  <Override PartName="/xl/charts/colors133.xml" ContentType="application/vnd.ms-office.chartcolorstyle+xml"/>
  <Override PartName="/xl/charts/chart134.xml" ContentType="application/vnd.openxmlformats-officedocument.drawingml.chart+xml"/>
  <Override PartName="/xl/charts/style134.xml" ContentType="application/vnd.ms-office.chartstyle+xml"/>
  <Override PartName="/xl/charts/colors134.xml" ContentType="application/vnd.ms-office.chartcolorstyle+xml"/>
  <Override PartName="/xl/drawings/drawing51.xml" ContentType="application/vnd.openxmlformats-officedocument.drawing+xml"/>
  <Override PartName="/xl/charts/chart135.xml" ContentType="application/vnd.openxmlformats-officedocument.drawingml.chart+xml"/>
  <Override PartName="/xl/charts/style135.xml" ContentType="application/vnd.ms-office.chartstyle+xml"/>
  <Override PartName="/xl/charts/colors135.xml" ContentType="application/vnd.ms-office.chartcolorstyle+xml"/>
  <Override PartName="/xl/charts/chart136.xml" ContentType="application/vnd.openxmlformats-officedocument.drawingml.chart+xml"/>
  <Override PartName="/xl/charts/style136.xml" ContentType="application/vnd.ms-office.chartstyle+xml"/>
  <Override PartName="/xl/charts/colors136.xml" ContentType="application/vnd.ms-office.chartcolorstyle+xml"/>
  <Override PartName="/xl/drawings/drawing52.xml" ContentType="application/vnd.openxmlformats-officedocument.drawing+xml"/>
  <Override PartName="/xl/charts/chart137.xml" ContentType="application/vnd.openxmlformats-officedocument.drawingml.chart+xml"/>
  <Override PartName="/xl/charts/style137.xml" ContentType="application/vnd.ms-office.chartstyle+xml"/>
  <Override PartName="/xl/charts/colors137.xml" ContentType="application/vnd.ms-office.chartcolorstyle+xml"/>
  <Override PartName="/xl/drawings/drawing53.xml" ContentType="application/vnd.openxmlformats-officedocument.drawing+xml"/>
  <Override PartName="/xl/charts/chart138.xml" ContentType="application/vnd.openxmlformats-officedocument.drawingml.chart+xml"/>
  <Override PartName="/xl/charts/style138.xml" ContentType="application/vnd.ms-office.chartstyle+xml"/>
  <Override PartName="/xl/charts/colors138.xml" ContentType="application/vnd.ms-office.chartcolorstyle+xml"/>
  <Override PartName="/xl/charts/chart139.xml" ContentType="application/vnd.openxmlformats-officedocument.drawingml.chart+xml"/>
  <Override PartName="/xl/charts/style139.xml" ContentType="application/vnd.ms-office.chartstyle+xml"/>
  <Override PartName="/xl/charts/colors139.xml" ContentType="application/vnd.ms-office.chartcolorstyle+xml"/>
  <Override PartName="/xl/drawings/drawing54.xml" ContentType="application/vnd.openxmlformats-officedocument.drawing+xml"/>
  <Override PartName="/xl/charts/chart140.xml" ContentType="application/vnd.openxmlformats-officedocument.drawingml.chart+xml"/>
  <Override PartName="/xl/charts/style140.xml" ContentType="application/vnd.ms-office.chartstyle+xml"/>
  <Override PartName="/xl/charts/colors140.xml" ContentType="application/vnd.ms-office.chartcolorstyle+xml"/>
  <Override PartName="/xl/charts/chart141.xml" ContentType="application/vnd.openxmlformats-officedocument.drawingml.chart+xml"/>
  <Override PartName="/xl/charts/style141.xml" ContentType="application/vnd.ms-office.chartstyle+xml"/>
  <Override PartName="/xl/charts/colors141.xml" ContentType="application/vnd.ms-office.chartcolorstyle+xml"/>
  <Override PartName="/xl/drawings/drawing55.xml" ContentType="application/vnd.openxmlformats-officedocument.drawing+xml"/>
  <Override PartName="/xl/charts/chart142.xml" ContentType="application/vnd.openxmlformats-officedocument.drawingml.chart+xml"/>
  <Override PartName="/xl/charts/style142.xml" ContentType="application/vnd.ms-office.chartstyle+xml"/>
  <Override PartName="/xl/charts/colors142.xml" ContentType="application/vnd.ms-office.chartcolorstyle+xml"/>
  <Override PartName="/xl/charts/chart143.xml" ContentType="application/vnd.openxmlformats-officedocument.drawingml.chart+xml"/>
  <Override PartName="/xl/charts/style143.xml" ContentType="application/vnd.ms-office.chartstyle+xml"/>
  <Override PartName="/xl/charts/colors143.xml" ContentType="application/vnd.ms-office.chartcolorstyle+xml"/>
  <Override PartName="/xl/drawings/drawing56.xml" ContentType="application/vnd.openxmlformats-officedocument.drawing+xml"/>
  <Override PartName="/xl/charts/chart144.xml" ContentType="application/vnd.openxmlformats-officedocument.drawingml.chart+xml"/>
  <Override PartName="/xl/charts/style144.xml" ContentType="application/vnd.ms-office.chartstyle+xml"/>
  <Override PartName="/xl/charts/colors144.xml" ContentType="application/vnd.ms-office.chartcolorstyle+xml"/>
  <Override PartName="/xl/charts/chart145.xml" ContentType="application/vnd.openxmlformats-officedocument.drawingml.chart+xml"/>
  <Override PartName="/xl/charts/style145.xml" ContentType="application/vnd.ms-office.chartstyle+xml"/>
  <Override PartName="/xl/charts/colors145.xml" ContentType="application/vnd.ms-office.chartcolorstyle+xml"/>
  <Override PartName="/xl/drawings/drawing57.xml" ContentType="application/vnd.openxmlformats-officedocument.drawing+xml"/>
  <Override PartName="/xl/charts/chart146.xml" ContentType="application/vnd.openxmlformats-officedocument.drawingml.chart+xml"/>
  <Override PartName="/xl/charts/style146.xml" ContentType="application/vnd.ms-office.chartstyle+xml"/>
  <Override PartName="/xl/charts/colors146.xml" ContentType="application/vnd.ms-office.chartcolorstyle+xml"/>
  <Override PartName="/xl/drawings/drawing58.xml" ContentType="application/vnd.openxmlformats-officedocument.drawing+xml"/>
  <Override PartName="/xl/charts/chart147.xml" ContentType="application/vnd.openxmlformats-officedocument.drawingml.chart+xml"/>
  <Override PartName="/xl/charts/style147.xml" ContentType="application/vnd.ms-office.chartstyle+xml"/>
  <Override PartName="/xl/charts/colors14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sotonac-my.sharepoint.com/personal/aj1g19_soton_ac_uk/Documents/PhD/Written Work/Year 2/NBIC_PhD_SandpaperReplicas_OEpaper/DOI/"/>
    </mc:Choice>
  </mc:AlternateContent>
  <xr:revisionPtr revIDLastSave="1498" documentId="13_ncr:1_{1A0CAEBF-9EF7-4074-BD9F-0C24E6F8ACEE}" xr6:coauthVersionLast="47" xr6:coauthVersionMax="47" xr10:uidLastSave="{D0398CB9-CA0B-4142-AF9F-4B28ADC445D6}"/>
  <bookViews>
    <workbookView xWindow="28680" yWindow="-120" windowWidth="29040" windowHeight="15840" tabRatio="905" activeTab="2" xr2:uid="{0E0915A4-3517-4DC3-BED3-26FD889BAF26}"/>
  </bookViews>
  <sheets>
    <sheet name="ReadMe" sheetId="11" r:id="rId1"/>
    <sheet name="SW" sheetId="108" r:id="rId2"/>
    <sheet name="Cf vs Re curve" sheetId="19" r:id="rId3"/>
    <sheet name="Shape" sheetId="94" r:id="rId4"/>
    <sheet name="P80 sandpaper " sheetId="58" r:id="rId5"/>
    <sheet name="2 P80 sandpaper" sheetId="59" r:id="rId6"/>
    <sheet name="3 P80 sandpaper" sheetId="81" r:id="rId7"/>
    <sheet name="P80 sandpaper AVGS" sheetId="67" r:id="rId8"/>
    <sheet name="P80 sandpaper SUMMARY" sheetId="82" r:id="rId9"/>
    <sheet name="P240 sandpaper" sheetId="52" r:id="rId10"/>
    <sheet name="2 P240 sandpaper" sheetId="68" r:id="rId11"/>
    <sheet name="3 P240 sandpaper" sheetId="87" r:id="rId12"/>
    <sheet name="P240 sandpaper AVGS" sheetId="71" r:id="rId13"/>
    <sheet name="P240 sandpaper SUMMARY" sheetId="88" r:id="rId14"/>
    <sheet name="1 EF25 P40" sheetId="102" r:id="rId15"/>
    <sheet name="2 EF25 P40" sheetId="103" r:id="rId16"/>
    <sheet name="3 EF25 P40" sheetId="104" r:id="rId17"/>
    <sheet name="4 EF25 P40" sheetId="105" r:id="rId18"/>
    <sheet name="EF25 P40 AVGS" sheetId="107" r:id="rId19"/>
    <sheet name="EF25 P40 SUMMARY" sheetId="106" r:id="rId20"/>
    <sheet name="1 EF25 P80" sheetId="3" r:id="rId21"/>
    <sheet name="2 EF25 P80" sheetId="21" r:id="rId22"/>
    <sheet name="3 EF25 P80" sheetId="23" r:id="rId23"/>
    <sheet name="EF25 P80 AVGS" sheetId="24" r:id="rId24"/>
    <sheet name="EF25 P80 SUMMARY" sheetId="91" r:id="rId25"/>
    <sheet name="1 EF25 P240" sheetId="6" r:id="rId26"/>
    <sheet name="2 EF25 P240" sheetId="27" r:id="rId27"/>
    <sheet name="3 EF25 P240" sheetId="28" r:id="rId28"/>
    <sheet name="EF25 P240 AVGS" sheetId="31" r:id="rId29"/>
    <sheet name="EF25 P240 SUMMARY" sheetId="51" r:id="rId30"/>
    <sheet name="1 EF25 flat" sheetId="48" r:id="rId31"/>
    <sheet name="2 EF25 flat" sheetId="49" r:id="rId32"/>
    <sheet name="EF25 flat AVGS" sheetId="50" r:id="rId33"/>
    <sheet name="EF25 flat SUMMARY" sheetId="29" r:id="rId34"/>
    <sheet name=" 1 MMSHE P40" sheetId="130" r:id="rId35"/>
    <sheet name=" 2 MMSHE P40" sheetId="131" r:id="rId36"/>
    <sheet name=" 3 MMSHE P40" sheetId="132" r:id="rId37"/>
    <sheet name=" 4 MMSHE P40" sheetId="133" r:id="rId38"/>
    <sheet name="MMHSE P40 AVGS" sheetId="134" r:id="rId39"/>
    <sheet name="MMHSE P40 SUMMARY" sheetId="135" r:id="rId40"/>
    <sheet name=" 1 MMSHE P80" sheetId="1" r:id="rId41"/>
    <sheet name=" 2 MMSHE P80" sheetId="38" r:id="rId42"/>
    <sheet name=" 3 MMSHE P80" sheetId="40" r:id="rId43"/>
    <sheet name="MMHSE P80 AVGS" sheetId="41" r:id="rId44"/>
    <sheet name="MMHSE P80 SUMMARY" sheetId="39" r:id="rId45"/>
    <sheet name="1MMHSE P240" sheetId="45" r:id="rId46"/>
    <sheet name="2 MMHSE P240" sheetId="75" r:id="rId47"/>
    <sheet name="3 MMHSE P240" sheetId="76" r:id="rId48"/>
    <sheet name="MMHSE P240 AVG" sheetId="77" r:id="rId49"/>
    <sheet name="MMHSE P240 SUMMARY" sheetId="46" r:id="rId50"/>
    <sheet name="1MMHSE flat" sheetId="32" r:id="rId51"/>
    <sheet name="2 MMHSE flat" sheetId="34" r:id="rId52"/>
    <sheet name="MMHSE flat AVG" sheetId="37" r:id="rId53"/>
    <sheet name="MMHSE flat SUMMARY" sheetId="33" r:id="rId54"/>
    <sheet name="1 Plain Panel" sheetId="35" r:id="rId55"/>
    <sheet name="2 Plain Panel" sheetId="42" r:id="rId56"/>
    <sheet name="3 Plain Panel" sheetId="78" r:id="rId57"/>
    <sheet name="PLAIN PANEL AVGS" sheetId="43" r:id="rId58"/>
    <sheet name="Plain Panel Summary" sheetId="36" r:id="rId59"/>
    <sheet name="Rigid data" sheetId="136" r:id="rId60"/>
  </sheets>
  <externalReferences>
    <externalReference r:id="rId6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67" l="1"/>
  <c r="B8" i="67"/>
  <c r="B9" i="67"/>
  <c r="B10" i="67"/>
  <c r="B11" i="67"/>
  <c r="B12" i="67"/>
  <c r="I12" i="67"/>
  <c r="I14" i="107"/>
  <c r="I15" i="107"/>
  <c r="I16" i="107"/>
  <c r="I17" i="107"/>
  <c r="I18" i="107"/>
  <c r="I19" i="107"/>
  <c r="I13" i="107"/>
  <c r="B14" i="107"/>
  <c r="B15" i="107"/>
  <c r="B16" i="107"/>
  <c r="B17" i="107"/>
  <c r="B18" i="107"/>
  <c r="B19" i="107"/>
  <c r="B13" i="107"/>
  <c r="I12" i="107"/>
  <c r="B12" i="107"/>
  <c r="B8" i="107"/>
  <c r="B9" i="107"/>
  <c r="B10" i="107"/>
  <c r="B11" i="107"/>
  <c r="I8" i="107"/>
  <c r="I9" i="107"/>
  <c r="I10" i="107"/>
  <c r="I11" i="107"/>
  <c r="G25" i="136"/>
  <c r="F25" i="136"/>
  <c r="G24" i="136"/>
  <c r="F24" i="136"/>
  <c r="G23" i="136"/>
  <c r="F23" i="136"/>
  <c r="G22" i="136"/>
  <c r="F22" i="136"/>
  <c r="G21" i="136"/>
  <c r="F21" i="136"/>
  <c r="G20" i="136"/>
  <c r="F20" i="136"/>
  <c r="G17" i="136"/>
  <c r="F17" i="136"/>
  <c r="G16" i="136"/>
  <c r="F16" i="136"/>
  <c r="G15" i="136"/>
  <c r="F15" i="136"/>
  <c r="G14" i="136"/>
  <c r="F14" i="136"/>
  <c r="G13" i="136"/>
  <c r="F13" i="136"/>
  <c r="G12" i="136"/>
  <c r="F12" i="136"/>
  <c r="G9" i="136"/>
  <c r="F9" i="136"/>
  <c r="G8" i="136"/>
  <c r="F8" i="136"/>
  <c r="G7" i="136"/>
  <c r="F7" i="136"/>
  <c r="G6" i="136"/>
  <c r="F6" i="136"/>
  <c r="G5" i="136"/>
  <c r="F5" i="136"/>
  <c r="G4" i="136"/>
  <c r="F4" i="136"/>
  <c r="C10" i="38" l="1"/>
  <c r="D10" i="38"/>
  <c r="E10" i="38" s="1"/>
  <c r="C26" i="135"/>
  <c r="C25" i="135"/>
  <c r="C24" i="135"/>
  <c r="C23" i="135"/>
  <c r="AA27" i="134"/>
  <c r="AA26" i="134"/>
  <c r="X23" i="134"/>
  <c r="X21" i="134"/>
  <c r="I18" i="134"/>
  <c r="J18" i="134" s="1"/>
  <c r="K18" i="134" s="1"/>
  <c r="B18" i="134"/>
  <c r="D18" i="134" s="1"/>
  <c r="E18" i="134" s="1"/>
  <c r="I17" i="134"/>
  <c r="J17" i="134" s="1"/>
  <c r="K17" i="134" s="1"/>
  <c r="B17" i="134"/>
  <c r="D17" i="134" s="1"/>
  <c r="E17" i="134" s="1"/>
  <c r="F17" i="134" s="1"/>
  <c r="I16" i="134"/>
  <c r="J16" i="134" s="1"/>
  <c r="K16" i="134" s="1"/>
  <c r="B16" i="134"/>
  <c r="C16" i="134" s="1"/>
  <c r="X15" i="134"/>
  <c r="I15" i="134"/>
  <c r="J15" i="134" s="1"/>
  <c r="K15" i="134" s="1"/>
  <c r="B15" i="134"/>
  <c r="C15" i="134" s="1"/>
  <c r="I14" i="134"/>
  <c r="C14" i="134" s="1"/>
  <c r="B14" i="134"/>
  <c r="D14" i="134" s="1"/>
  <c r="E14" i="134" s="1"/>
  <c r="I13" i="134"/>
  <c r="C13" i="134" s="1"/>
  <c r="B13" i="134"/>
  <c r="D13" i="134" s="1"/>
  <c r="E13" i="134" s="1"/>
  <c r="F13" i="134" s="1"/>
  <c r="I12" i="134"/>
  <c r="C12" i="134" s="1"/>
  <c r="B12" i="134"/>
  <c r="D12" i="134" s="1"/>
  <c r="E12" i="134" s="1"/>
  <c r="X11" i="134"/>
  <c r="X8" i="134" s="1"/>
  <c r="I11" i="134"/>
  <c r="J11" i="134" s="1"/>
  <c r="K11" i="134" s="1"/>
  <c r="C11" i="134"/>
  <c r="B11" i="134"/>
  <c r="D11" i="134" s="1"/>
  <c r="E11" i="134" s="1"/>
  <c r="F11" i="134" s="1"/>
  <c r="I10" i="134"/>
  <c r="C10" i="134" s="1"/>
  <c r="B10" i="134"/>
  <c r="D10" i="134" s="1"/>
  <c r="E10" i="134" s="1"/>
  <c r="I9" i="134"/>
  <c r="C9" i="134" s="1"/>
  <c r="B9" i="134"/>
  <c r="D9" i="134" s="1"/>
  <c r="E9" i="134" s="1"/>
  <c r="F9" i="134" s="1"/>
  <c r="I8" i="134"/>
  <c r="J8" i="134" s="1"/>
  <c r="K8" i="134" s="1"/>
  <c r="B8" i="134"/>
  <c r="D8" i="134" s="1"/>
  <c r="E8" i="134" s="1"/>
  <c r="J7" i="134"/>
  <c r="K7" i="134" s="1"/>
  <c r="D7" i="134"/>
  <c r="E7" i="134" s="1"/>
  <c r="F7" i="134" s="1"/>
  <c r="C7" i="134"/>
  <c r="AA25" i="133"/>
  <c r="AA24" i="133"/>
  <c r="X21" i="133"/>
  <c r="X22" i="133" s="1"/>
  <c r="X17" i="133"/>
  <c r="X16" i="133"/>
  <c r="J16" i="133"/>
  <c r="K16" i="133" s="1"/>
  <c r="D16" i="133"/>
  <c r="E16" i="133" s="1"/>
  <c r="F16" i="133" s="1"/>
  <c r="C16" i="133"/>
  <c r="J15" i="133"/>
  <c r="K15" i="133" s="1"/>
  <c r="D15" i="133"/>
  <c r="E15" i="133" s="1"/>
  <c r="F15" i="133" s="1"/>
  <c r="C15" i="133"/>
  <c r="J14" i="133"/>
  <c r="K14" i="133" s="1"/>
  <c r="D14" i="133"/>
  <c r="E14" i="133" s="1"/>
  <c r="F14" i="133" s="1"/>
  <c r="C14" i="133"/>
  <c r="K13" i="133"/>
  <c r="J13" i="133"/>
  <c r="D13" i="133"/>
  <c r="E13" i="133" s="1"/>
  <c r="F13" i="133" s="1"/>
  <c r="C13" i="133"/>
  <c r="Y12" i="133"/>
  <c r="X12" i="133"/>
  <c r="K12" i="133"/>
  <c r="J12" i="133"/>
  <c r="D12" i="133"/>
  <c r="E12" i="133" s="1"/>
  <c r="F12" i="133" s="1"/>
  <c r="C12" i="133"/>
  <c r="K11" i="133"/>
  <c r="J11" i="133"/>
  <c r="D11" i="133"/>
  <c r="E11" i="133" s="1"/>
  <c r="F11" i="133" s="1"/>
  <c r="C11" i="133"/>
  <c r="K10" i="133"/>
  <c r="J10" i="133"/>
  <c r="D10" i="133"/>
  <c r="E10" i="133" s="1"/>
  <c r="F10" i="133" s="1"/>
  <c r="C10" i="133"/>
  <c r="K9" i="133"/>
  <c r="J9" i="133"/>
  <c r="D9" i="133"/>
  <c r="E9" i="133" s="1"/>
  <c r="F9" i="133" s="1"/>
  <c r="C9" i="133"/>
  <c r="X8" i="133"/>
  <c r="K8" i="133"/>
  <c r="J8" i="133"/>
  <c r="E8" i="133"/>
  <c r="F8" i="133" s="1"/>
  <c r="D8" i="133"/>
  <c r="C8" i="133"/>
  <c r="J7" i="133"/>
  <c r="K7" i="133" s="1"/>
  <c r="E7" i="133"/>
  <c r="F7" i="133" s="1"/>
  <c r="D7" i="133"/>
  <c r="C7" i="133"/>
  <c r="AA25" i="132"/>
  <c r="AA24" i="132"/>
  <c r="X21" i="132"/>
  <c r="X17" i="132"/>
  <c r="X13" i="132" s="1"/>
  <c r="X16" i="132"/>
  <c r="J16" i="132"/>
  <c r="K16" i="132" s="1"/>
  <c r="D16" i="132"/>
  <c r="E16" i="132" s="1"/>
  <c r="F16" i="132" s="1"/>
  <c r="C16" i="132"/>
  <c r="J15" i="132"/>
  <c r="K15" i="132" s="1"/>
  <c r="D15" i="132"/>
  <c r="E15" i="132" s="1"/>
  <c r="F15" i="132" s="1"/>
  <c r="C15" i="132"/>
  <c r="J14" i="132"/>
  <c r="K14" i="132" s="1"/>
  <c r="D14" i="132"/>
  <c r="E14" i="132" s="1"/>
  <c r="F14" i="132" s="1"/>
  <c r="C14" i="132"/>
  <c r="J13" i="132"/>
  <c r="K13" i="132" s="1"/>
  <c r="D13" i="132"/>
  <c r="E13" i="132" s="1"/>
  <c r="F13" i="132" s="1"/>
  <c r="C13" i="132"/>
  <c r="X12" i="132"/>
  <c r="J12" i="132"/>
  <c r="K12" i="132" s="1"/>
  <c r="D12" i="132"/>
  <c r="E12" i="132" s="1"/>
  <c r="F12" i="132" s="1"/>
  <c r="C12" i="132"/>
  <c r="J11" i="132"/>
  <c r="K11" i="132" s="1"/>
  <c r="D11" i="132"/>
  <c r="E11" i="132" s="1"/>
  <c r="F11" i="132" s="1"/>
  <c r="C11" i="132"/>
  <c r="J10" i="132"/>
  <c r="K10" i="132" s="1"/>
  <c r="D10" i="132"/>
  <c r="E10" i="132" s="1"/>
  <c r="F10" i="132" s="1"/>
  <c r="C10" i="132"/>
  <c r="J9" i="132"/>
  <c r="K9" i="132" s="1"/>
  <c r="D9" i="132"/>
  <c r="E9" i="132" s="1"/>
  <c r="F9" i="132" s="1"/>
  <c r="C9" i="132"/>
  <c r="X8" i="132"/>
  <c r="K8" i="132"/>
  <c r="J8" i="132"/>
  <c r="D8" i="132"/>
  <c r="E8" i="132" s="1"/>
  <c r="F8" i="132" s="1"/>
  <c r="C8" i="132"/>
  <c r="J7" i="132"/>
  <c r="K7" i="132" s="1"/>
  <c r="D7" i="132"/>
  <c r="E7" i="132" s="1"/>
  <c r="F7" i="132" s="1"/>
  <c r="C7" i="132"/>
  <c r="AA25" i="131"/>
  <c r="AA24" i="131"/>
  <c r="X21" i="131"/>
  <c r="X22" i="131" s="1"/>
  <c r="X17" i="131"/>
  <c r="X16" i="131"/>
  <c r="J16" i="131"/>
  <c r="K16" i="131" s="1"/>
  <c r="D16" i="131"/>
  <c r="E16" i="131" s="1"/>
  <c r="F16" i="131" s="1"/>
  <c r="C16" i="131"/>
  <c r="J15" i="131"/>
  <c r="K15" i="131" s="1"/>
  <c r="D15" i="131"/>
  <c r="E15" i="131" s="1"/>
  <c r="F15" i="131" s="1"/>
  <c r="C15" i="131"/>
  <c r="J14" i="131"/>
  <c r="K14" i="131" s="1"/>
  <c r="D14" i="131"/>
  <c r="E14" i="131" s="1"/>
  <c r="F14" i="131" s="1"/>
  <c r="C14" i="131"/>
  <c r="K13" i="131"/>
  <c r="J13" i="131"/>
  <c r="D13" i="131"/>
  <c r="E13" i="131" s="1"/>
  <c r="F13" i="131" s="1"/>
  <c r="C13" i="131"/>
  <c r="Y12" i="131"/>
  <c r="X12" i="131"/>
  <c r="K12" i="131"/>
  <c r="J12" i="131"/>
  <c r="D12" i="131"/>
  <c r="E12" i="131" s="1"/>
  <c r="F12" i="131" s="1"/>
  <c r="C12" i="131"/>
  <c r="K11" i="131"/>
  <c r="J11" i="131"/>
  <c r="D11" i="131"/>
  <c r="E11" i="131" s="1"/>
  <c r="F11" i="131" s="1"/>
  <c r="C11" i="131"/>
  <c r="K10" i="131"/>
  <c r="J10" i="131"/>
  <c r="D10" i="131"/>
  <c r="E10" i="131" s="1"/>
  <c r="F10" i="131" s="1"/>
  <c r="C10" i="131"/>
  <c r="K9" i="131"/>
  <c r="J9" i="131"/>
  <c r="D9" i="131"/>
  <c r="E9" i="131" s="1"/>
  <c r="F9" i="131" s="1"/>
  <c r="C9" i="131"/>
  <c r="X8" i="131"/>
  <c r="K8" i="131"/>
  <c r="J8" i="131"/>
  <c r="E8" i="131"/>
  <c r="F8" i="131" s="1"/>
  <c r="D8" i="131"/>
  <c r="C8" i="131"/>
  <c r="J7" i="131"/>
  <c r="K7" i="131" s="1"/>
  <c r="E7" i="131"/>
  <c r="F7" i="131" s="1"/>
  <c r="D7" i="131"/>
  <c r="C7" i="131"/>
  <c r="AA25" i="130"/>
  <c r="AA24" i="130"/>
  <c r="X21" i="130"/>
  <c r="X22" i="130" s="1"/>
  <c r="K18" i="130"/>
  <c r="J18" i="130"/>
  <c r="D18" i="130"/>
  <c r="E18" i="130" s="1"/>
  <c r="F18" i="130" s="1"/>
  <c r="C18" i="130"/>
  <c r="X17" i="130"/>
  <c r="X13" i="130" s="1"/>
  <c r="J17" i="130"/>
  <c r="K17" i="130" s="1"/>
  <c r="E17" i="130"/>
  <c r="F17" i="130" s="1"/>
  <c r="D17" i="130"/>
  <c r="C17" i="130"/>
  <c r="X16" i="130"/>
  <c r="K16" i="130"/>
  <c r="J16" i="130"/>
  <c r="D16" i="130"/>
  <c r="E16" i="130" s="1"/>
  <c r="F16" i="130" s="1"/>
  <c r="C16" i="130"/>
  <c r="K15" i="130"/>
  <c r="J15" i="130"/>
  <c r="D15" i="130"/>
  <c r="E15" i="130" s="1"/>
  <c r="F15" i="130" s="1"/>
  <c r="C15" i="130"/>
  <c r="K14" i="130"/>
  <c r="J14" i="130"/>
  <c r="D14" i="130"/>
  <c r="E14" i="130" s="1"/>
  <c r="F14" i="130" s="1"/>
  <c r="C14" i="130"/>
  <c r="J13" i="130"/>
  <c r="K13" i="130" s="1"/>
  <c r="D13" i="130"/>
  <c r="E13" i="130" s="1"/>
  <c r="F13" i="130" s="1"/>
  <c r="C13" i="130"/>
  <c r="X12" i="130"/>
  <c r="J12" i="130"/>
  <c r="K12" i="130" s="1"/>
  <c r="E12" i="130"/>
  <c r="F12" i="130" s="1"/>
  <c r="D12" i="130"/>
  <c r="C12" i="130"/>
  <c r="J11" i="130"/>
  <c r="K11" i="130" s="1"/>
  <c r="E11" i="130"/>
  <c r="F11" i="130" s="1"/>
  <c r="D11" i="130"/>
  <c r="C11" i="130"/>
  <c r="J10" i="130"/>
  <c r="K10" i="130" s="1"/>
  <c r="E10" i="130"/>
  <c r="F10" i="130" s="1"/>
  <c r="D10" i="130"/>
  <c r="C10" i="130"/>
  <c r="J9" i="130"/>
  <c r="K9" i="130" s="1"/>
  <c r="E9" i="130"/>
  <c r="F9" i="130" s="1"/>
  <c r="D9" i="130"/>
  <c r="C9" i="130"/>
  <c r="X8" i="130"/>
  <c r="K8" i="130"/>
  <c r="J8" i="130"/>
  <c r="D8" i="130"/>
  <c r="E8" i="130" s="1"/>
  <c r="F8" i="130" s="1"/>
  <c r="C8" i="130"/>
  <c r="J7" i="130"/>
  <c r="K7" i="130" s="1"/>
  <c r="D7" i="130"/>
  <c r="E7" i="130" s="1"/>
  <c r="F7" i="130" s="1"/>
  <c r="C7" i="130"/>
  <c r="C8" i="134" l="1"/>
  <c r="F18" i="134"/>
  <c r="G18" i="134" s="1"/>
  <c r="X13" i="131"/>
  <c r="L16" i="131" s="1"/>
  <c r="S27" i="130"/>
  <c r="T27" i="130" s="1"/>
  <c r="D16" i="134"/>
  <c r="E16" i="134" s="1"/>
  <c r="J13" i="134"/>
  <c r="K13" i="134" s="1"/>
  <c r="S29" i="132"/>
  <c r="T29" i="132" s="1"/>
  <c r="C17" i="134"/>
  <c r="F8" i="134"/>
  <c r="H11" i="134"/>
  <c r="G11" i="134"/>
  <c r="H17" i="134"/>
  <c r="G17" i="134"/>
  <c r="H9" i="134"/>
  <c r="G9" i="134"/>
  <c r="F14" i="134"/>
  <c r="F16" i="134"/>
  <c r="H8" i="134"/>
  <c r="G8" i="134"/>
  <c r="F12" i="134"/>
  <c r="H7" i="134"/>
  <c r="G7" i="134"/>
  <c r="F10" i="134"/>
  <c r="G13" i="134"/>
  <c r="H13" i="134"/>
  <c r="C18" i="134"/>
  <c r="J9" i="134"/>
  <c r="K9" i="134" s="1"/>
  <c r="X12" i="134"/>
  <c r="L13" i="134" s="1"/>
  <c r="J14" i="134"/>
  <c r="K14" i="134" s="1"/>
  <c r="D15" i="134"/>
  <c r="E15" i="134" s="1"/>
  <c r="F15" i="134" s="1"/>
  <c r="J12" i="134"/>
  <c r="K12" i="134" s="1"/>
  <c r="J10" i="134"/>
  <c r="K10" i="134" s="1"/>
  <c r="H10" i="133"/>
  <c r="G10" i="133"/>
  <c r="H12" i="133"/>
  <c r="G12" i="133"/>
  <c r="N13" i="133"/>
  <c r="H16" i="133"/>
  <c r="G16" i="133"/>
  <c r="N16" i="133"/>
  <c r="M16" i="133" s="1"/>
  <c r="H8" i="133"/>
  <c r="G8" i="133"/>
  <c r="N8" i="133" s="1"/>
  <c r="H14" i="133"/>
  <c r="G14" i="133"/>
  <c r="G7" i="133"/>
  <c r="H7" i="133"/>
  <c r="S30" i="133"/>
  <c r="N14" i="133"/>
  <c r="H9" i="133"/>
  <c r="G9" i="133"/>
  <c r="H11" i="133"/>
  <c r="G11" i="133"/>
  <c r="H15" i="133"/>
  <c r="G15" i="133"/>
  <c r="H13" i="133"/>
  <c r="G13" i="133"/>
  <c r="N9" i="133"/>
  <c r="N10" i="133"/>
  <c r="N11" i="133"/>
  <c r="N12" i="133"/>
  <c r="X13" i="133"/>
  <c r="L16" i="133" s="1"/>
  <c r="S11" i="133"/>
  <c r="S22" i="133"/>
  <c r="S20" i="133"/>
  <c r="S32" i="133"/>
  <c r="S27" i="133"/>
  <c r="S15" i="133"/>
  <c r="S16" i="133"/>
  <c r="H10" i="132"/>
  <c r="G10" i="132"/>
  <c r="N10" i="132" s="1"/>
  <c r="L10" i="132"/>
  <c r="G15" i="132"/>
  <c r="L15" i="132"/>
  <c r="H15" i="132"/>
  <c r="N8" i="132"/>
  <c r="H11" i="132"/>
  <c r="G11" i="132"/>
  <c r="L11" i="132"/>
  <c r="L16" i="132"/>
  <c r="H16" i="132"/>
  <c r="G16" i="132"/>
  <c r="N12" i="132"/>
  <c r="H8" i="132"/>
  <c r="G8" i="132"/>
  <c r="L8" i="132"/>
  <c r="N15" i="132"/>
  <c r="G13" i="132"/>
  <c r="H13" i="132"/>
  <c r="L13" i="132"/>
  <c r="N11" i="132"/>
  <c r="M11" i="132" s="1"/>
  <c r="N16" i="132"/>
  <c r="M16" i="132" s="1"/>
  <c r="L7" i="132"/>
  <c r="H7" i="132"/>
  <c r="G7" i="132"/>
  <c r="H9" i="132"/>
  <c r="G9" i="132"/>
  <c r="N9" i="132" s="1"/>
  <c r="L9" i="132"/>
  <c r="L14" i="132"/>
  <c r="H14" i="132"/>
  <c r="G14" i="132"/>
  <c r="H12" i="132"/>
  <c r="G12" i="132"/>
  <c r="L12" i="132"/>
  <c r="N14" i="132"/>
  <c r="S32" i="132"/>
  <c r="S20" i="132"/>
  <c r="S7" i="132"/>
  <c r="S27" i="132"/>
  <c r="S13" i="132"/>
  <c r="S14" i="132"/>
  <c r="S15" i="132"/>
  <c r="S16" i="132"/>
  <c r="S18" i="132"/>
  <c r="X22" i="132"/>
  <c r="S25" i="132"/>
  <c r="S30" i="132"/>
  <c r="Y12" i="132"/>
  <c r="S21" i="132"/>
  <c r="S23" i="132"/>
  <c r="S28" i="132"/>
  <c r="S19" i="132"/>
  <c r="S31" i="132"/>
  <c r="S8" i="132"/>
  <c r="M14" i="132"/>
  <c r="S17" i="132"/>
  <c r="S24" i="132"/>
  <c r="S26" i="132"/>
  <c r="S9" i="132"/>
  <c r="S10" i="132"/>
  <c r="S11" i="132"/>
  <c r="S12" i="132"/>
  <c r="S22" i="132"/>
  <c r="G7" i="131"/>
  <c r="H7" i="131"/>
  <c r="H14" i="131"/>
  <c r="G14" i="131"/>
  <c r="N14" i="131" s="1"/>
  <c r="H11" i="131"/>
  <c r="G11" i="131"/>
  <c r="H13" i="131"/>
  <c r="L13" i="131"/>
  <c r="G13" i="131"/>
  <c r="N13" i="131" s="1"/>
  <c r="H15" i="131"/>
  <c r="G15" i="131"/>
  <c r="H9" i="131"/>
  <c r="G9" i="131"/>
  <c r="L8" i="131"/>
  <c r="G8" i="131"/>
  <c r="N8" i="131" s="1"/>
  <c r="H8" i="131"/>
  <c r="N15" i="131"/>
  <c r="M15" i="131" s="1"/>
  <c r="H10" i="131"/>
  <c r="G10" i="131"/>
  <c r="L12" i="131"/>
  <c r="H12" i="131"/>
  <c r="G12" i="131"/>
  <c r="H16" i="131"/>
  <c r="G16" i="131"/>
  <c r="N16" i="131" s="1"/>
  <c r="S31" i="131"/>
  <c r="S28" i="131"/>
  <c r="S19" i="131"/>
  <c r="S22" i="131"/>
  <c r="S7" i="131"/>
  <c r="S20" i="131"/>
  <c r="S25" i="131"/>
  <c r="L9" i="130"/>
  <c r="H9" i="130"/>
  <c r="G9" i="130"/>
  <c r="N9" i="130" s="1"/>
  <c r="G8" i="130"/>
  <c r="N8" i="130" s="1"/>
  <c r="L8" i="130"/>
  <c r="H8" i="130"/>
  <c r="L14" i="130"/>
  <c r="H14" i="130"/>
  <c r="G14" i="130"/>
  <c r="H16" i="130"/>
  <c r="L16" i="130"/>
  <c r="G16" i="130"/>
  <c r="S30" i="130"/>
  <c r="S25" i="130"/>
  <c r="S7" i="130"/>
  <c r="S8" i="130"/>
  <c r="S18" i="130"/>
  <c r="L10" i="130"/>
  <c r="H10" i="130"/>
  <c r="G10" i="130"/>
  <c r="N10" i="130" s="1"/>
  <c r="L12" i="130"/>
  <c r="H12" i="130"/>
  <c r="G12" i="130"/>
  <c r="N12" i="130" s="1"/>
  <c r="L11" i="130"/>
  <c r="H11" i="130"/>
  <c r="G11" i="130"/>
  <c r="N11" i="130" s="1"/>
  <c r="N16" i="130"/>
  <c r="H18" i="130"/>
  <c r="G18" i="130"/>
  <c r="N18" i="130" s="1"/>
  <c r="L18" i="130"/>
  <c r="G13" i="130"/>
  <c r="H13" i="130"/>
  <c r="L13" i="130"/>
  <c r="N13" i="130"/>
  <c r="H17" i="130"/>
  <c r="G17" i="130"/>
  <c r="N17" i="130" s="1"/>
  <c r="L17" i="130"/>
  <c r="N14" i="130"/>
  <c r="M14" i="130" s="1"/>
  <c r="U27" i="130"/>
  <c r="G7" i="130"/>
  <c r="H7" i="130"/>
  <c r="L7" i="130"/>
  <c r="L15" i="130"/>
  <c r="H15" i="130"/>
  <c r="G15" i="130"/>
  <c r="S21" i="130"/>
  <c r="S23" i="130"/>
  <c r="S28" i="130"/>
  <c r="S9" i="130"/>
  <c r="S10" i="130"/>
  <c r="S11" i="130"/>
  <c r="S12" i="130"/>
  <c r="S19" i="130"/>
  <c r="S31" i="130"/>
  <c r="S24" i="130"/>
  <c r="S26" i="130"/>
  <c r="S13" i="130"/>
  <c r="S22" i="130"/>
  <c r="S29" i="130"/>
  <c r="M13" i="130"/>
  <c r="S14" i="130"/>
  <c r="S15" i="130"/>
  <c r="S16" i="130"/>
  <c r="S20" i="130"/>
  <c r="S32" i="130"/>
  <c r="Y12" i="130"/>
  <c r="S17" i="130"/>
  <c r="S26" i="131" l="1"/>
  <c r="S15" i="131"/>
  <c r="S12" i="131"/>
  <c r="S24" i="131"/>
  <c r="L10" i="131"/>
  <c r="L15" i="131"/>
  <c r="L11" i="131"/>
  <c r="S30" i="131"/>
  <c r="S16" i="131"/>
  <c r="L9" i="131"/>
  <c r="S14" i="131"/>
  <c r="S11" i="131"/>
  <c r="S17" i="131"/>
  <c r="L14" i="131"/>
  <c r="S23" i="131"/>
  <c r="L7" i="131"/>
  <c r="H18" i="134"/>
  <c r="S27" i="131"/>
  <c r="S10" i="131"/>
  <c r="S18" i="133"/>
  <c r="S21" i="131"/>
  <c r="S32" i="131"/>
  <c r="S9" i="131"/>
  <c r="S8" i="131"/>
  <c r="S13" i="131"/>
  <c r="L17" i="134"/>
  <c r="S18" i="131"/>
  <c r="S29" i="131"/>
  <c r="S12" i="133"/>
  <c r="M12" i="132"/>
  <c r="S14" i="133"/>
  <c r="S10" i="133"/>
  <c r="T10" i="133" s="1"/>
  <c r="L13" i="133"/>
  <c r="P13" i="133" s="1"/>
  <c r="L11" i="133"/>
  <c r="P11" i="133" s="1"/>
  <c r="L7" i="133"/>
  <c r="U29" i="132"/>
  <c r="S9" i="133"/>
  <c r="L14" i="133"/>
  <c r="N18" i="134"/>
  <c r="O18" i="134" s="1"/>
  <c r="L9" i="134"/>
  <c r="L15" i="133"/>
  <c r="L9" i="133"/>
  <c r="X24" i="134"/>
  <c r="S25" i="133"/>
  <c r="T25" i="133" s="1"/>
  <c r="S29" i="133"/>
  <c r="U29" i="133" s="1"/>
  <c r="G15" i="134"/>
  <c r="H15" i="134"/>
  <c r="L15" i="134"/>
  <c r="M13" i="134"/>
  <c r="N17" i="134"/>
  <c r="L18" i="134"/>
  <c r="P18" i="134" s="1"/>
  <c r="L10" i="134"/>
  <c r="H10" i="134"/>
  <c r="G10" i="134"/>
  <c r="M18" i="134"/>
  <c r="G12" i="134"/>
  <c r="N12" i="134" s="1"/>
  <c r="L12" i="134"/>
  <c r="H12" i="134"/>
  <c r="S32" i="134"/>
  <c r="S27" i="134"/>
  <c r="S8" i="134"/>
  <c r="S7" i="134"/>
  <c r="S26" i="134"/>
  <c r="S19" i="134"/>
  <c r="S30" i="134"/>
  <c r="S18" i="134"/>
  <c r="S29" i="134"/>
  <c r="S20" i="134"/>
  <c r="S17" i="134"/>
  <c r="S11" i="134"/>
  <c r="S12" i="134"/>
  <c r="S34" i="134"/>
  <c r="S22" i="134"/>
  <c r="Y12" i="134"/>
  <c r="S28" i="134"/>
  <c r="S9" i="134"/>
  <c r="S21" i="134"/>
  <c r="S15" i="134"/>
  <c r="S23" i="134"/>
  <c r="S31" i="134"/>
  <c r="S24" i="134"/>
  <c r="S16" i="134"/>
  <c r="S10" i="134"/>
  <c r="S33" i="134"/>
  <c r="S25" i="134"/>
  <c r="N13" i="134"/>
  <c r="N9" i="134"/>
  <c r="L8" i="134"/>
  <c r="N11" i="134"/>
  <c r="M11" i="134" s="1"/>
  <c r="L7" i="134"/>
  <c r="L16" i="134"/>
  <c r="H16" i="134"/>
  <c r="G16" i="134"/>
  <c r="N8" i="134"/>
  <c r="M8" i="134" s="1"/>
  <c r="L14" i="134"/>
  <c r="H14" i="134"/>
  <c r="G14" i="134"/>
  <c r="M17" i="134"/>
  <c r="L11" i="134"/>
  <c r="U15" i="133"/>
  <c r="T15" i="133"/>
  <c r="U11" i="133"/>
  <c r="T11" i="133"/>
  <c r="O11" i="133"/>
  <c r="P14" i="133"/>
  <c r="O14" i="133"/>
  <c r="O13" i="133"/>
  <c r="U14" i="133"/>
  <c r="T14" i="133"/>
  <c r="U10" i="133"/>
  <c r="O10" i="133"/>
  <c r="U30" i="133"/>
  <c r="T30" i="133"/>
  <c r="O8" i="133"/>
  <c r="M12" i="133"/>
  <c r="O12" i="133"/>
  <c r="T27" i="133"/>
  <c r="U27" i="133"/>
  <c r="U9" i="133"/>
  <c r="T9" i="133"/>
  <c r="O9" i="133"/>
  <c r="P9" i="133"/>
  <c r="M11" i="133"/>
  <c r="L8" i="133"/>
  <c r="P8" i="133" s="1"/>
  <c r="U32" i="133"/>
  <c r="T32" i="133"/>
  <c r="N15" i="133"/>
  <c r="L12" i="133"/>
  <c r="P12" i="133" s="1"/>
  <c r="U20" i="133"/>
  <c r="T20" i="133"/>
  <c r="P16" i="133"/>
  <c r="O16" i="133"/>
  <c r="M10" i="133"/>
  <c r="U12" i="133"/>
  <c r="T12" i="133"/>
  <c r="U25" i="133"/>
  <c r="T29" i="133"/>
  <c r="M14" i="133"/>
  <c r="M13" i="133"/>
  <c r="M9" i="133"/>
  <c r="M8" i="133"/>
  <c r="U16" i="133"/>
  <c r="T16" i="133"/>
  <c r="U18" i="133"/>
  <c r="T18" i="133"/>
  <c r="U22" i="133"/>
  <c r="T22" i="133"/>
  <c r="S13" i="133"/>
  <c r="S7" i="133"/>
  <c r="S8" i="133"/>
  <c r="S26" i="133"/>
  <c r="S24" i="133"/>
  <c r="S17" i="133"/>
  <c r="S31" i="133"/>
  <c r="S19" i="133"/>
  <c r="S28" i="133"/>
  <c r="S23" i="133"/>
  <c r="S21" i="133"/>
  <c r="L10" i="133"/>
  <c r="P10" i="133" s="1"/>
  <c r="P9" i="132"/>
  <c r="O9" i="132"/>
  <c r="P10" i="132"/>
  <c r="O10" i="132"/>
  <c r="M10" i="132"/>
  <c r="U31" i="132"/>
  <c r="T31" i="132"/>
  <c r="P8" i="132"/>
  <c r="O8" i="132"/>
  <c r="T9" i="132"/>
  <c r="U9" i="132"/>
  <c r="U19" i="132"/>
  <c r="T19" i="132"/>
  <c r="M9" i="132"/>
  <c r="U13" i="132"/>
  <c r="T13" i="132"/>
  <c r="M13" i="132"/>
  <c r="U10" i="132"/>
  <c r="T10" i="132"/>
  <c r="U26" i="132"/>
  <c r="T26" i="132"/>
  <c r="U28" i="132"/>
  <c r="T28" i="132"/>
  <c r="U30" i="132"/>
  <c r="T30" i="132"/>
  <c r="U27" i="132"/>
  <c r="T27" i="132"/>
  <c r="O15" i="132"/>
  <c r="P15" i="132"/>
  <c r="U14" i="132"/>
  <c r="T14" i="132"/>
  <c r="U24" i="132"/>
  <c r="T24" i="132"/>
  <c r="U23" i="132"/>
  <c r="T23" i="132"/>
  <c r="U25" i="132"/>
  <c r="T25" i="132"/>
  <c r="U17" i="132"/>
  <c r="T17" i="132"/>
  <c r="U21" i="132"/>
  <c r="T21" i="132"/>
  <c r="U20" i="132"/>
  <c r="T20" i="132"/>
  <c r="N13" i="132"/>
  <c r="P12" i="132"/>
  <c r="O12" i="132"/>
  <c r="T22" i="132"/>
  <c r="U22" i="132"/>
  <c r="M15" i="132"/>
  <c r="U18" i="132"/>
  <c r="T18" i="132"/>
  <c r="T32" i="132"/>
  <c r="U32" i="132"/>
  <c r="O16" i="132"/>
  <c r="P16" i="132"/>
  <c r="T12" i="132"/>
  <c r="U12" i="132"/>
  <c r="U16" i="132"/>
  <c r="T16" i="132"/>
  <c r="P14" i="132"/>
  <c r="O14" i="132"/>
  <c r="P11" i="132"/>
  <c r="O11" i="132"/>
  <c r="M8" i="132"/>
  <c r="U11" i="132"/>
  <c r="T11" i="132"/>
  <c r="T8" i="132"/>
  <c r="U8" i="132"/>
  <c r="U15" i="132"/>
  <c r="T15" i="132"/>
  <c r="P14" i="131"/>
  <c r="O14" i="131"/>
  <c r="P16" i="131"/>
  <c r="O16" i="131"/>
  <c r="P13" i="131"/>
  <c r="O13" i="131"/>
  <c r="M13" i="131"/>
  <c r="T15" i="131"/>
  <c r="U15" i="131"/>
  <c r="U12" i="131"/>
  <c r="T12" i="131"/>
  <c r="U26" i="131"/>
  <c r="T26" i="131"/>
  <c r="U14" i="131"/>
  <c r="T14" i="131"/>
  <c r="U11" i="131"/>
  <c r="T11" i="131"/>
  <c r="U24" i="131"/>
  <c r="T24" i="131"/>
  <c r="N9" i="131"/>
  <c r="U32" i="131"/>
  <c r="T32" i="131"/>
  <c r="U9" i="131"/>
  <c r="T9" i="131"/>
  <c r="M16" i="131"/>
  <c r="U17" i="131"/>
  <c r="T17" i="131"/>
  <c r="N11" i="131"/>
  <c r="M11" i="131" s="1"/>
  <c r="U20" i="131"/>
  <c r="T20" i="131"/>
  <c r="U19" i="131"/>
  <c r="T19" i="131"/>
  <c r="N10" i="131"/>
  <c r="M10" i="131" s="1"/>
  <c r="U25" i="131"/>
  <c r="T25" i="131"/>
  <c r="M14" i="131"/>
  <c r="P15" i="131"/>
  <c r="O15" i="131"/>
  <c r="U10" i="131"/>
  <c r="T10" i="131"/>
  <c r="T18" i="131"/>
  <c r="U18" i="131"/>
  <c r="U29" i="131"/>
  <c r="T29" i="131"/>
  <c r="T28" i="131"/>
  <c r="U28" i="131"/>
  <c r="U8" i="131"/>
  <c r="T8" i="131"/>
  <c r="T27" i="131"/>
  <c r="U27" i="131"/>
  <c r="U16" i="131"/>
  <c r="T16" i="131"/>
  <c r="U22" i="131"/>
  <c r="T22" i="131"/>
  <c r="U31" i="131"/>
  <c r="T31" i="131"/>
  <c r="N12" i="131"/>
  <c r="M12" i="131" s="1"/>
  <c r="P8" i="131"/>
  <c r="O8" i="131"/>
  <c r="M8" i="131"/>
  <c r="P17" i="130"/>
  <c r="O17" i="130"/>
  <c r="M17" i="130"/>
  <c r="O9" i="130"/>
  <c r="P9" i="130"/>
  <c r="M9" i="130"/>
  <c r="O12" i="130"/>
  <c r="P12" i="130"/>
  <c r="O10" i="130"/>
  <c r="P10" i="130"/>
  <c r="M10" i="130"/>
  <c r="O8" i="130"/>
  <c r="P8" i="130"/>
  <c r="M8" i="130"/>
  <c r="O11" i="130"/>
  <c r="P11" i="130"/>
  <c r="P18" i="130"/>
  <c r="O18" i="130"/>
  <c r="U32" i="130"/>
  <c r="T32" i="130"/>
  <c r="T11" i="130"/>
  <c r="U11" i="130"/>
  <c r="M12" i="130"/>
  <c r="P13" i="130"/>
  <c r="O13" i="130"/>
  <c r="U20" i="130"/>
  <c r="T20" i="130"/>
  <c r="M18" i="130"/>
  <c r="T10" i="130"/>
  <c r="U10" i="130"/>
  <c r="O16" i="130"/>
  <c r="P16" i="130"/>
  <c r="T17" i="130"/>
  <c r="U17" i="130"/>
  <c r="T16" i="130"/>
  <c r="U16" i="130"/>
  <c r="U26" i="130"/>
  <c r="T26" i="130"/>
  <c r="U9" i="130"/>
  <c r="T9" i="130"/>
  <c r="U15" i="130"/>
  <c r="T15" i="130"/>
  <c r="U24" i="130"/>
  <c r="T24" i="130"/>
  <c r="M16" i="130"/>
  <c r="P14" i="130"/>
  <c r="O14" i="130"/>
  <c r="N15" i="130"/>
  <c r="M15" i="130" s="1"/>
  <c r="U13" i="130"/>
  <c r="T13" i="130"/>
  <c r="U21" i="130"/>
  <c r="T21" i="130"/>
  <c r="U30" i="130"/>
  <c r="T30" i="130"/>
  <c r="M11" i="130"/>
  <c r="U14" i="130"/>
  <c r="T14" i="130"/>
  <c r="U31" i="130"/>
  <c r="T31" i="130"/>
  <c r="U18" i="130"/>
  <c r="T18" i="130"/>
  <c r="U19" i="130"/>
  <c r="T19" i="130"/>
  <c r="U8" i="130"/>
  <c r="T8" i="130"/>
  <c r="U29" i="130"/>
  <c r="T29" i="130"/>
  <c r="U28" i="130"/>
  <c r="T28" i="130"/>
  <c r="U22" i="130"/>
  <c r="T22" i="130"/>
  <c r="U12" i="130"/>
  <c r="T12" i="130"/>
  <c r="U23" i="130"/>
  <c r="T23" i="130"/>
  <c r="U25" i="130"/>
  <c r="T25" i="130"/>
  <c r="U30" i="131" l="1"/>
  <c r="T30" i="131"/>
  <c r="U23" i="131"/>
  <c r="T23" i="131"/>
  <c r="U21" i="131"/>
  <c r="T21" i="131"/>
  <c r="T13" i="131"/>
  <c r="U13" i="131"/>
  <c r="O13" i="134"/>
  <c r="P13" i="134"/>
  <c r="P8" i="134"/>
  <c r="O8" i="134"/>
  <c r="O9" i="134"/>
  <c r="P9" i="134"/>
  <c r="U31" i="134"/>
  <c r="T31" i="134"/>
  <c r="U34" i="134"/>
  <c r="T34" i="134"/>
  <c r="U19" i="134"/>
  <c r="T19" i="134"/>
  <c r="M12" i="134"/>
  <c r="N16" i="134"/>
  <c r="M16" i="134" s="1"/>
  <c r="O12" i="134"/>
  <c r="P12" i="134"/>
  <c r="T23" i="134"/>
  <c r="U23" i="134"/>
  <c r="U12" i="134"/>
  <c r="T12" i="134"/>
  <c r="U26" i="134"/>
  <c r="T26" i="134"/>
  <c r="P17" i="134"/>
  <c r="O17" i="134"/>
  <c r="T25" i="134"/>
  <c r="U25" i="134"/>
  <c r="U21" i="134"/>
  <c r="T21" i="134"/>
  <c r="T17" i="134"/>
  <c r="U17" i="134"/>
  <c r="U8" i="134"/>
  <c r="T8" i="134"/>
  <c r="U33" i="134"/>
  <c r="T33" i="134"/>
  <c r="T9" i="134"/>
  <c r="U9" i="134"/>
  <c r="T20" i="134"/>
  <c r="U20" i="134"/>
  <c r="T27" i="134"/>
  <c r="U27" i="134"/>
  <c r="U10" i="134"/>
  <c r="T10" i="134"/>
  <c r="U28" i="134"/>
  <c r="T28" i="134"/>
  <c r="T29" i="134"/>
  <c r="U29" i="134"/>
  <c r="T32" i="134"/>
  <c r="U32" i="134"/>
  <c r="N15" i="134"/>
  <c r="M15" i="134" s="1"/>
  <c r="T11" i="134"/>
  <c r="U11" i="134"/>
  <c r="P11" i="134"/>
  <c r="O11" i="134"/>
  <c r="U16" i="134"/>
  <c r="T16" i="134"/>
  <c r="T18" i="134"/>
  <c r="U18" i="134"/>
  <c r="N14" i="134"/>
  <c r="U15" i="134"/>
  <c r="T15" i="134"/>
  <c r="N10" i="134"/>
  <c r="M10" i="134" s="1"/>
  <c r="U24" i="134"/>
  <c r="T24" i="134"/>
  <c r="U22" i="134"/>
  <c r="T22" i="134"/>
  <c r="U30" i="134"/>
  <c r="T30" i="134"/>
  <c r="M9" i="134"/>
  <c r="U17" i="133"/>
  <c r="T17" i="133"/>
  <c r="U24" i="133"/>
  <c r="T24" i="133"/>
  <c r="U26" i="133"/>
  <c r="T26" i="133"/>
  <c r="U21" i="133"/>
  <c r="T21" i="133"/>
  <c r="U8" i="133"/>
  <c r="T8" i="133"/>
  <c r="U31" i="133"/>
  <c r="T31" i="133"/>
  <c r="U23" i="133"/>
  <c r="T23" i="133"/>
  <c r="P15" i="133"/>
  <c r="O15" i="133"/>
  <c r="U28" i="133"/>
  <c r="T28" i="133"/>
  <c r="T13" i="133"/>
  <c r="U13" i="133"/>
  <c r="U19" i="133"/>
  <c r="T19" i="133"/>
  <c r="M15" i="133"/>
  <c r="O13" i="132"/>
  <c r="P13" i="132"/>
  <c r="O11" i="131"/>
  <c r="P11" i="131"/>
  <c r="O9" i="131"/>
  <c r="P9" i="131"/>
  <c r="O12" i="131"/>
  <c r="P12" i="131"/>
  <c r="M9" i="131"/>
  <c r="O10" i="131"/>
  <c r="P10" i="131"/>
  <c r="P15" i="130"/>
  <c r="O15" i="130"/>
  <c r="O14" i="134" l="1"/>
  <c r="P14" i="134"/>
  <c r="P10" i="134"/>
  <c r="O10" i="134"/>
  <c r="P16" i="134"/>
  <c r="O16" i="134"/>
  <c r="O15" i="134"/>
  <c r="P15" i="134"/>
  <c r="M14" i="134"/>
  <c r="P13" i="28" l="1"/>
  <c r="P14" i="28"/>
  <c r="P15" i="28"/>
  <c r="P16" i="28"/>
  <c r="P17" i="28"/>
  <c r="P18" i="28"/>
  <c r="B22" i="106"/>
  <c r="AA12" i="81" l="1"/>
  <c r="AA15" i="81"/>
  <c r="AD16" i="23"/>
  <c r="AD12" i="23" s="1"/>
  <c r="M10" i="23"/>
  <c r="N9" i="23"/>
  <c r="K9" i="23"/>
  <c r="N8" i="23"/>
  <c r="N11" i="28"/>
  <c r="F8" i="28"/>
  <c r="N9" i="28"/>
  <c r="P9" i="28"/>
  <c r="P8" i="28"/>
  <c r="N7" i="28"/>
  <c r="O8" i="28"/>
  <c r="L8" i="28"/>
  <c r="L7" i="28"/>
  <c r="V29" i="24"/>
  <c r="W13" i="24"/>
  <c r="B12" i="41"/>
  <c r="B25" i="106" l="1"/>
  <c r="B24" i="106"/>
  <c r="B23" i="106"/>
  <c r="F7" i="108" l="1"/>
  <c r="AB16" i="37"/>
  <c r="L8" i="105"/>
  <c r="I12" i="31" l="1"/>
  <c r="B12" i="31"/>
  <c r="P7" i="21"/>
  <c r="I12" i="41"/>
  <c r="I11" i="41"/>
  <c r="B11" i="41"/>
  <c r="AB10" i="43" l="1"/>
  <c r="AB18" i="43"/>
  <c r="AB16" i="43"/>
  <c r="AB15" i="43"/>
  <c r="AA16" i="78"/>
  <c r="AA15" i="78"/>
  <c r="AA16" i="35"/>
  <c r="AA15" i="35"/>
  <c r="I8" i="71"/>
  <c r="I9" i="71"/>
  <c r="I10" i="71"/>
  <c r="I11" i="71"/>
  <c r="I12" i="71"/>
  <c r="I13" i="71"/>
  <c r="I14" i="71"/>
  <c r="I15" i="71"/>
  <c r="I16" i="71"/>
  <c r="I17" i="71"/>
  <c r="I18" i="71"/>
  <c r="I7" i="71"/>
  <c r="B8" i="71"/>
  <c r="B9" i="71"/>
  <c r="B10" i="71"/>
  <c r="B11" i="71"/>
  <c r="B12" i="71"/>
  <c r="B13" i="71"/>
  <c r="B14" i="71"/>
  <c r="B15" i="71"/>
  <c r="B16" i="71"/>
  <c r="B17" i="71"/>
  <c r="B18" i="71"/>
  <c r="B7" i="71"/>
  <c r="AB18" i="37"/>
  <c r="AB10" i="37"/>
  <c r="AB15" i="37"/>
  <c r="AB12" i="37" s="1"/>
  <c r="AA16" i="34"/>
  <c r="AA15" i="34"/>
  <c r="AA16" i="32"/>
  <c r="AA15" i="32"/>
  <c r="AB18" i="77"/>
  <c r="AB10" i="77"/>
  <c r="AB16" i="77"/>
  <c r="AB15" i="77"/>
  <c r="AA17" i="76"/>
  <c r="AA16" i="76"/>
  <c r="AA17" i="75"/>
  <c r="AA16" i="75"/>
  <c r="AA16" i="45"/>
  <c r="AA15" i="45"/>
  <c r="AA18" i="41"/>
  <c r="AA16" i="41"/>
  <c r="AA15" i="41"/>
  <c r="AA16" i="40"/>
  <c r="AA15" i="40"/>
  <c r="AA16" i="38"/>
  <c r="AA15" i="38"/>
  <c r="AA16" i="1"/>
  <c r="AA15" i="1"/>
  <c r="AB10" i="50" l="1"/>
  <c r="AB18" i="50"/>
  <c r="AB16" i="50"/>
  <c r="AB15" i="50"/>
  <c r="AA16" i="49"/>
  <c r="AA15" i="49"/>
  <c r="AB16" i="48"/>
  <c r="AB15" i="48"/>
  <c r="AB18" i="31"/>
  <c r="AB10" i="31"/>
  <c r="AB16" i="28"/>
  <c r="AB15" i="28"/>
  <c r="AA16" i="6"/>
  <c r="AA15" i="6"/>
  <c r="AA16" i="27"/>
  <c r="AA15" i="27"/>
  <c r="AC11" i="24"/>
  <c r="AC12" i="24"/>
  <c r="AC18" i="24"/>
  <c r="AC16" i="24"/>
  <c r="AC15" i="24"/>
  <c r="AD15" i="23"/>
  <c r="AE16" i="21"/>
  <c r="AE15" i="21"/>
  <c r="AA15" i="3"/>
  <c r="AA16" i="3"/>
  <c r="AA7" i="3"/>
  <c r="AA11" i="3"/>
  <c r="AA20" i="3"/>
  <c r="AA21" i="3" s="1"/>
  <c r="AA12" i="3" l="1"/>
  <c r="X19" i="107"/>
  <c r="X11" i="107"/>
  <c r="X12" i="107" s="1"/>
  <c r="X17" i="107"/>
  <c r="X13" i="107" s="1"/>
  <c r="X16" i="107"/>
  <c r="X21" i="107"/>
  <c r="X13" i="104"/>
  <c r="X13" i="103"/>
  <c r="X13" i="102"/>
  <c r="X17" i="105"/>
  <c r="X13" i="105" s="1"/>
  <c r="X16" i="105"/>
  <c r="X12" i="103"/>
  <c r="X12" i="102"/>
  <c r="X17" i="104"/>
  <c r="X16" i="104"/>
  <c r="X17" i="103"/>
  <c r="X16" i="103"/>
  <c r="X16" i="102"/>
  <c r="X17" i="102"/>
  <c r="X8" i="107" l="1"/>
  <c r="X22" i="107"/>
  <c r="X15" i="71" l="1"/>
  <c r="X16" i="71"/>
  <c r="X21" i="71"/>
  <c r="X20" i="71"/>
  <c r="X11" i="71"/>
  <c r="X7" i="71"/>
  <c r="AA20" i="87"/>
  <c r="AA21" i="87" s="1"/>
  <c r="AA16" i="87"/>
  <c r="AA12" i="87" s="1"/>
  <c r="AA15" i="87"/>
  <c r="AA11" i="87"/>
  <c r="AA7" i="87"/>
  <c r="AA20" i="68"/>
  <c r="AA21" i="68" s="1"/>
  <c r="AA16" i="68"/>
  <c r="AA12" i="68" s="1"/>
  <c r="AA15" i="68"/>
  <c r="AA11" i="68"/>
  <c r="AA7" i="68"/>
  <c r="AA20" i="52"/>
  <c r="AA21" i="52" s="1"/>
  <c r="AA16" i="52"/>
  <c r="AA12" i="52" s="1"/>
  <c r="AA15" i="52"/>
  <c r="AA11" i="52"/>
  <c r="AA7" i="52"/>
  <c r="AC18" i="67"/>
  <c r="AC15" i="67"/>
  <c r="AC16" i="67"/>
  <c r="AC20" i="67"/>
  <c r="AC21" i="67" s="1"/>
  <c r="AC11" i="67"/>
  <c r="AC7" i="67"/>
  <c r="AA20" i="81"/>
  <c r="AA21" i="81" s="1"/>
  <c r="AA16" i="81"/>
  <c r="AA11" i="81"/>
  <c r="AA7" i="81"/>
  <c r="AA20" i="59"/>
  <c r="AA21" i="59" s="1"/>
  <c r="AA16" i="59"/>
  <c r="AA12" i="59" s="1"/>
  <c r="AA15" i="59"/>
  <c r="AA11" i="59"/>
  <c r="AA7" i="59"/>
  <c r="AA12" i="58"/>
  <c r="AA16" i="58"/>
  <c r="AA15" i="58"/>
  <c r="F34" i="108"/>
  <c r="F33" i="108"/>
  <c r="F32" i="108"/>
  <c r="F31" i="108"/>
  <c r="F30" i="108"/>
  <c r="F29" i="108"/>
  <c r="F28" i="108"/>
  <c r="F27" i="108"/>
  <c r="F26" i="108"/>
  <c r="F25" i="108"/>
  <c r="F24" i="108"/>
  <c r="F23" i="108"/>
  <c r="F22" i="108"/>
  <c r="F21" i="108"/>
  <c r="F20" i="108"/>
  <c r="F19" i="108"/>
  <c r="F18" i="108"/>
  <c r="F17" i="108"/>
  <c r="F16" i="108"/>
  <c r="F15" i="108"/>
  <c r="F14" i="108"/>
  <c r="F13" i="108"/>
  <c r="F12" i="108"/>
  <c r="F11" i="108"/>
  <c r="F10" i="108"/>
  <c r="F9" i="108"/>
  <c r="F8" i="108"/>
  <c r="F6" i="108"/>
  <c r="F5" i="108"/>
  <c r="F4" i="108"/>
  <c r="X12" i="71" l="1"/>
  <c r="AC12" i="67"/>
  <c r="AA10" i="41"/>
  <c r="K9" i="50" l="1"/>
  <c r="K10" i="50"/>
  <c r="K11" i="50"/>
  <c r="K12" i="50"/>
  <c r="K13" i="50"/>
  <c r="K14" i="50"/>
  <c r="K15" i="50"/>
  <c r="K16" i="50"/>
  <c r="K17" i="50"/>
  <c r="K18" i="50"/>
  <c r="J9" i="50"/>
  <c r="J10" i="50"/>
  <c r="J11" i="50"/>
  <c r="J12" i="50"/>
  <c r="J13" i="50"/>
  <c r="J14" i="50"/>
  <c r="J15" i="50"/>
  <c r="J16" i="50"/>
  <c r="J17" i="50"/>
  <c r="J18" i="50"/>
  <c r="I9" i="50"/>
  <c r="I10" i="50"/>
  <c r="I11" i="50"/>
  <c r="I12" i="50"/>
  <c r="I13" i="50"/>
  <c r="I14" i="50"/>
  <c r="I15" i="50"/>
  <c r="I16" i="50"/>
  <c r="I17" i="50"/>
  <c r="I18" i="50"/>
  <c r="D10" i="50"/>
  <c r="E10" i="50" s="1"/>
  <c r="C15" i="50"/>
  <c r="B8" i="50"/>
  <c r="C8" i="50" s="1"/>
  <c r="B9" i="50"/>
  <c r="C9" i="50" s="1"/>
  <c r="B10" i="50"/>
  <c r="C10" i="50" s="1"/>
  <c r="B11" i="50"/>
  <c r="D11" i="50" s="1"/>
  <c r="E11" i="50" s="1"/>
  <c r="B12" i="50"/>
  <c r="D12" i="50" s="1"/>
  <c r="E12" i="50" s="1"/>
  <c r="B13" i="50"/>
  <c r="D13" i="50" s="1"/>
  <c r="E13" i="50" s="1"/>
  <c r="B14" i="50"/>
  <c r="D14" i="50" s="1"/>
  <c r="E14" i="50" s="1"/>
  <c r="B15" i="50"/>
  <c r="D15" i="50" s="1"/>
  <c r="E15" i="50" s="1"/>
  <c r="B16" i="50"/>
  <c r="C16" i="50" s="1"/>
  <c r="B17" i="50"/>
  <c r="C17" i="50" s="1"/>
  <c r="B18" i="50"/>
  <c r="D18" i="50" s="1"/>
  <c r="E18" i="50" s="1"/>
  <c r="C14" i="50" l="1"/>
  <c r="D17" i="50"/>
  <c r="E17" i="50" s="1"/>
  <c r="D9" i="50"/>
  <c r="E9" i="50" s="1"/>
  <c r="C13" i="50"/>
  <c r="D16" i="50"/>
  <c r="E16" i="50" s="1"/>
  <c r="D8" i="50"/>
  <c r="E8" i="50" s="1"/>
  <c r="C12" i="50"/>
  <c r="C11" i="50"/>
  <c r="C18" i="50"/>
  <c r="P26" i="3" l="1"/>
  <c r="B8" i="24" l="1"/>
  <c r="B9" i="24"/>
  <c r="B10" i="24"/>
  <c r="B11" i="24"/>
  <c r="B12" i="24"/>
  <c r="B7" i="24"/>
  <c r="J9" i="107" l="1"/>
  <c r="K9" i="107" s="1"/>
  <c r="J12" i="107"/>
  <c r="K12" i="107" s="1"/>
  <c r="J14" i="107"/>
  <c r="K14" i="107" s="1"/>
  <c r="J15" i="107"/>
  <c r="K15" i="107" s="1"/>
  <c r="J16" i="107"/>
  <c r="K16" i="107" s="1"/>
  <c r="J17" i="107"/>
  <c r="K17" i="107" s="1"/>
  <c r="J8" i="107"/>
  <c r="K8" i="107" s="1"/>
  <c r="J13" i="107"/>
  <c r="K13" i="107" s="1"/>
  <c r="J11" i="107"/>
  <c r="K11" i="107" s="1"/>
  <c r="J19" i="107"/>
  <c r="K19" i="107" s="1"/>
  <c r="C9" i="107"/>
  <c r="D10" i="107"/>
  <c r="E10" i="107" s="1"/>
  <c r="C11" i="107"/>
  <c r="D14" i="107"/>
  <c r="E14" i="107" s="1"/>
  <c r="C17" i="107"/>
  <c r="D18" i="107"/>
  <c r="E18" i="107" s="1"/>
  <c r="C19" i="107"/>
  <c r="D8" i="107"/>
  <c r="E8" i="107" s="1"/>
  <c r="F8" i="107" s="1"/>
  <c r="AA25" i="107"/>
  <c r="AA24" i="107"/>
  <c r="J18" i="107"/>
  <c r="K18" i="107" s="1"/>
  <c r="D17" i="107"/>
  <c r="E17" i="107" s="1"/>
  <c r="D16" i="107"/>
  <c r="E16" i="107" s="1"/>
  <c r="C16" i="107"/>
  <c r="D15" i="107"/>
  <c r="E15" i="107" s="1"/>
  <c r="C15" i="107"/>
  <c r="D13" i="107"/>
  <c r="E13" i="107" s="1"/>
  <c r="C13" i="107"/>
  <c r="S32" i="107"/>
  <c r="D12" i="107"/>
  <c r="E12" i="107" s="1"/>
  <c r="C12" i="107"/>
  <c r="J10" i="107"/>
  <c r="K10" i="107" s="1"/>
  <c r="D9" i="107"/>
  <c r="E9" i="107" s="1"/>
  <c r="F9" i="107" s="1"/>
  <c r="K7" i="107"/>
  <c r="J7" i="107"/>
  <c r="D7" i="107"/>
  <c r="E7" i="107" s="1"/>
  <c r="F7" i="107" s="1"/>
  <c r="C7" i="107"/>
  <c r="F13" i="107" l="1"/>
  <c r="H13" i="107" s="1"/>
  <c r="S11" i="107"/>
  <c r="T11" i="107" s="1"/>
  <c r="F18" i="107"/>
  <c r="L18" i="107" s="1"/>
  <c r="F10" i="107"/>
  <c r="H10" i="107" s="1"/>
  <c r="S7" i="107"/>
  <c r="S10" i="107"/>
  <c r="U10" i="107" s="1"/>
  <c r="S29" i="107"/>
  <c r="T29" i="107" s="1"/>
  <c r="S8" i="107"/>
  <c r="T8" i="107" s="1"/>
  <c r="F12" i="107"/>
  <c r="H12" i="107" s="1"/>
  <c r="F15" i="107"/>
  <c r="S25" i="107"/>
  <c r="U25" i="107" s="1"/>
  <c r="S12" i="107"/>
  <c r="T12" i="107" s="1"/>
  <c r="F16" i="107"/>
  <c r="H16" i="107" s="1"/>
  <c r="S27" i="107"/>
  <c r="T27" i="107" s="1"/>
  <c r="F14" i="107"/>
  <c r="G14" i="107" s="1"/>
  <c r="S9" i="107"/>
  <c r="T9" i="107" s="1"/>
  <c r="Y12" i="107"/>
  <c r="F17" i="107"/>
  <c r="L17" i="107" s="1"/>
  <c r="S30" i="107"/>
  <c r="U30" i="107" s="1"/>
  <c r="C18" i="107"/>
  <c r="C10" i="107"/>
  <c r="C14" i="107"/>
  <c r="D19" i="107"/>
  <c r="E19" i="107" s="1"/>
  <c r="F19" i="107" s="1"/>
  <c r="H19" i="107" s="1"/>
  <c r="D11" i="107"/>
  <c r="E11" i="107" s="1"/>
  <c r="F11" i="107" s="1"/>
  <c r="G11" i="107" s="1"/>
  <c r="C8" i="107"/>
  <c r="H7" i="107"/>
  <c r="G7" i="107"/>
  <c r="L7" i="107"/>
  <c r="G17" i="107"/>
  <c r="U32" i="107"/>
  <c r="T32" i="107"/>
  <c r="G8" i="107"/>
  <c r="N8" i="107" s="1"/>
  <c r="H8" i="107"/>
  <c r="L8" i="107"/>
  <c r="L15" i="107"/>
  <c r="H15" i="107"/>
  <c r="G15" i="107"/>
  <c r="N15" i="107" s="1"/>
  <c r="L16" i="107"/>
  <c r="G9" i="107"/>
  <c r="L9" i="107"/>
  <c r="H9" i="107"/>
  <c r="H18" i="107"/>
  <c r="G18" i="107"/>
  <c r="S21" i="107"/>
  <c r="S23" i="107"/>
  <c r="U12" i="107"/>
  <c r="S13" i="107"/>
  <c r="S28" i="107"/>
  <c r="S14" i="107"/>
  <c r="S15" i="107"/>
  <c r="S16" i="107"/>
  <c r="S17" i="107"/>
  <c r="S18" i="107"/>
  <c r="S19" i="107"/>
  <c r="S31" i="107"/>
  <c r="S24" i="107"/>
  <c r="S26" i="107"/>
  <c r="S22" i="107"/>
  <c r="S20" i="107"/>
  <c r="AA25" i="105"/>
  <c r="AA24" i="105"/>
  <c r="J19" i="105"/>
  <c r="K19" i="105" s="1"/>
  <c r="E19" i="105"/>
  <c r="D19" i="105"/>
  <c r="C19" i="105"/>
  <c r="J18" i="105"/>
  <c r="K18" i="105" s="1"/>
  <c r="E18" i="105"/>
  <c r="D18" i="105"/>
  <c r="C18" i="105"/>
  <c r="J17" i="105"/>
  <c r="K17" i="105" s="1"/>
  <c r="D17" i="105"/>
  <c r="E17" i="105" s="1"/>
  <c r="C17" i="105"/>
  <c r="J16" i="105"/>
  <c r="K16" i="105" s="1"/>
  <c r="D16" i="105"/>
  <c r="E16" i="105" s="1"/>
  <c r="C16" i="105"/>
  <c r="J15" i="105"/>
  <c r="K15" i="105" s="1"/>
  <c r="E15" i="105"/>
  <c r="D15" i="105"/>
  <c r="C15" i="105"/>
  <c r="J14" i="105"/>
  <c r="K14" i="105" s="1"/>
  <c r="E14" i="105"/>
  <c r="D14" i="105"/>
  <c r="C14" i="105"/>
  <c r="J13" i="105"/>
  <c r="K13" i="105" s="1"/>
  <c r="E13" i="105"/>
  <c r="D13" i="105"/>
  <c r="C13" i="105"/>
  <c r="S27" i="105"/>
  <c r="J12" i="105"/>
  <c r="K12" i="105" s="1"/>
  <c r="D12" i="105"/>
  <c r="E12" i="105" s="1"/>
  <c r="C12" i="105"/>
  <c r="J11" i="105"/>
  <c r="K11" i="105" s="1"/>
  <c r="D11" i="105"/>
  <c r="E11" i="105" s="1"/>
  <c r="C11" i="105"/>
  <c r="J10" i="105"/>
  <c r="K10" i="105" s="1"/>
  <c r="D10" i="105"/>
  <c r="E10" i="105" s="1"/>
  <c r="C10" i="105"/>
  <c r="J9" i="105"/>
  <c r="K9" i="105" s="1"/>
  <c r="D9" i="105"/>
  <c r="E9" i="105" s="1"/>
  <c r="C9" i="105"/>
  <c r="J8" i="105"/>
  <c r="K8" i="105" s="1"/>
  <c r="D8" i="105"/>
  <c r="E8" i="105" s="1"/>
  <c r="C8" i="105"/>
  <c r="K7" i="105"/>
  <c r="J7" i="105"/>
  <c r="D7" i="105"/>
  <c r="E7" i="105" s="1"/>
  <c r="C7" i="105"/>
  <c r="G12" i="107" l="1"/>
  <c r="N12" i="107" s="1"/>
  <c r="G10" i="107"/>
  <c r="L10" i="107"/>
  <c r="H17" i="107"/>
  <c r="G13" i="107"/>
  <c r="N13" i="107" s="1"/>
  <c r="M13" i="107" s="1"/>
  <c r="T10" i="107"/>
  <c r="U11" i="107"/>
  <c r="G16" i="107"/>
  <c r="N16" i="107" s="1"/>
  <c r="U9" i="107"/>
  <c r="U8" i="107"/>
  <c r="L12" i="107"/>
  <c r="P12" i="107" s="1"/>
  <c r="L13" i="107"/>
  <c r="H14" i="107"/>
  <c r="U27" i="107"/>
  <c r="F9" i="105"/>
  <c r="S7" i="105"/>
  <c r="S9" i="105"/>
  <c r="F11" i="105"/>
  <c r="F18" i="105"/>
  <c r="L18" i="105" s="1"/>
  <c r="F8" i="105"/>
  <c r="H8" i="105" s="1"/>
  <c r="S11" i="105"/>
  <c r="F14" i="105"/>
  <c r="G14" i="105" s="1"/>
  <c r="F16" i="105"/>
  <c r="H16" i="105" s="1"/>
  <c r="S23" i="105"/>
  <c r="T23" i="105" s="1"/>
  <c r="F10" i="105"/>
  <c r="G10" i="105" s="1"/>
  <c r="S25" i="105"/>
  <c r="F13" i="105"/>
  <c r="H13" i="105" s="1"/>
  <c r="F17" i="105"/>
  <c r="L17" i="105" s="1"/>
  <c r="F19" i="105"/>
  <c r="L19" i="105" s="1"/>
  <c r="F7" i="105"/>
  <c r="S10" i="105"/>
  <c r="F12" i="105"/>
  <c r="H12" i="105" s="1"/>
  <c r="S13" i="105"/>
  <c r="U13" i="105" s="1"/>
  <c r="F15" i="105"/>
  <c r="G15" i="105" s="1"/>
  <c r="S21" i="105"/>
  <c r="U21" i="105" s="1"/>
  <c r="S28" i="105"/>
  <c r="U28" i="105" s="1"/>
  <c r="S12" i="105"/>
  <c r="S30" i="105"/>
  <c r="T30" i="107"/>
  <c r="L14" i="107"/>
  <c r="U29" i="107"/>
  <c r="T25" i="107"/>
  <c r="L19" i="107"/>
  <c r="H11" i="107"/>
  <c r="G19" i="107"/>
  <c r="N19" i="107" s="1"/>
  <c r="L11" i="107"/>
  <c r="U18" i="107"/>
  <c r="T18" i="107"/>
  <c r="N10" i="107"/>
  <c r="U17" i="107"/>
  <c r="T17" i="107"/>
  <c r="U20" i="107"/>
  <c r="T20" i="107"/>
  <c r="U16" i="107"/>
  <c r="T16" i="107"/>
  <c r="T22" i="107"/>
  <c r="U22" i="107"/>
  <c r="U15" i="107"/>
  <c r="T15" i="107"/>
  <c r="P8" i="107"/>
  <c r="O8" i="107"/>
  <c r="N18" i="107"/>
  <c r="O12" i="107"/>
  <c r="U26" i="107"/>
  <c r="T26" i="107"/>
  <c r="U14" i="107"/>
  <c r="T14" i="107"/>
  <c r="O15" i="107"/>
  <c r="P15" i="107"/>
  <c r="M15" i="107"/>
  <c r="M8" i="107"/>
  <c r="N14" i="107"/>
  <c r="M14" i="107" s="1"/>
  <c r="U24" i="107"/>
  <c r="T24" i="107"/>
  <c r="M12" i="107"/>
  <c r="N17" i="107"/>
  <c r="N11" i="107"/>
  <c r="U31" i="107"/>
  <c r="T31" i="107"/>
  <c r="U28" i="107"/>
  <c r="T28" i="107"/>
  <c r="U23" i="107"/>
  <c r="T23" i="107"/>
  <c r="N9" i="107"/>
  <c r="M9" i="107" s="1"/>
  <c r="U19" i="107"/>
  <c r="T19" i="107"/>
  <c r="U13" i="107"/>
  <c r="T13" i="107"/>
  <c r="U21" i="107"/>
  <c r="T21" i="107"/>
  <c r="H9" i="105"/>
  <c r="G9" i="105"/>
  <c r="N9" i="105" s="1"/>
  <c r="L9" i="105"/>
  <c r="N15" i="105"/>
  <c r="M15" i="105" s="1"/>
  <c r="N14" i="105"/>
  <c r="M14" i="105" s="1"/>
  <c r="H11" i="105"/>
  <c r="G11" i="105"/>
  <c r="L11" i="105"/>
  <c r="G12" i="105"/>
  <c r="L7" i="105"/>
  <c r="H7" i="105"/>
  <c r="G7" i="105"/>
  <c r="H10" i="105"/>
  <c r="L10" i="105"/>
  <c r="T27" i="105"/>
  <c r="U27" i="105"/>
  <c r="G16" i="105"/>
  <c r="G18" i="105"/>
  <c r="T13" i="105"/>
  <c r="H15" i="105"/>
  <c r="S16" i="105"/>
  <c r="S17" i="105"/>
  <c r="S18" i="105"/>
  <c r="S19" i="105"/>
  <c r="S31" i="105"/>
  <c r="Y12" i="105"/>
  <c r="S24" i="105"/>
  <c r="S26" i="105"/>
  <c r="H14" i="105"/>
  <c r="S14" i="105"/>
  <c r="S15" i="105"/>
  <c r="H18" i="105"/>
  <c r="U23" i="105"/>
  <c r="S22" i="105"/>
  <c r="S29" i="105"/>
  <c r="L14" i="105"/>
  <c r="L15" i="105"/>
  <c r="L16" i="105"/>
  <c r="S20" i="105"/>
  <c r="S32" i="105"/>
  <c r="S8" i="105"/>
  <c r="K18" i="104"/>
  <c r="AA25" i="104"/>
  <c r="AA24" i="104"/>
  <c r="J19" i="104"/>
  <c r="K19" i="104" s="1"/>
  <c r="D19" i="104"/>
  <c r="E19" i="104" s="1"/>
  <c r="C19" i="104"/>
  <c r="J18" i="104"/>
  <c r="D18" i="104"/>
  <c r="E18" i="104" s="1"/>
  <c r="C18" i="104"/>
  <c r="J17" i="104"/>
  <c r="K17" i="104" s="1"/>
  <c r="D17" i="104"/>
  <c r="E17" i="104" s="1"/>
  <c r="F17" i="104" s="1"/>
  <c r="C17" i="104"/>
  <c r="J16" i="104"/>
  <c r="K16" i="104" s="1"/>
  <c r="D16" i="104"/>
  <c r="E16" i="104" s="1"/>
  <c r="F16" i="104" s="1"/>
  <c r="C16" i="104"/>
  <c r="J15" i="104"/>
  <c r="K15" i="104" s="1"/>
  <c r="D15" i="104"/>
  <c r="E15" i="104" s="1"/>
  <c r="C15" i="104"/>
  <c r="J14" i="104"/>
  <c r="K14" i="104" s="1"/>
  <c r="D14" i="104"/>
  <c r="E14" i="104" s="1"/>
  <c r="C14" i="104"/>
  <c r="J13" i="104"/>
  <c r="K13" i="104" s="1"/>
  <c r="D13" i="104"/>
  <c r="E13" i="104" s="1"/>
  <c r="C13" i="104"/>
  <c r="S14" i="104"/>
  <c r="J12" i="104"/>
  <c r="K12" i="104" s="1"/>
  <c r="D12" i="104"/>
  <c r="E12" i="104" s="1"/>
  <c r="C12" i="104"/>
  <c r="J11" i="104"/>
  <c r="K11" i="104" s="1"/>
  <c r="D11" i="104"/>
  <c r="E11" i="104" s="1"/>
  <c r="C11" i="104"/>
  <c r="J10" i="104"/>
  <c r="K10" i="104" s="1"/>
  <c r="D10" i="104"/>
  <c r="E10" i="104" s="1"/>
  <c r="F10" i="104" s="1"/>
  <c r="C10" i="104"/>
  <c r="J9" i="104"/>
  <c r="K9" i="104" s="1"/>
  <c r="D9" i="104"/>
  <c r="E9" i="104" s="1"/>
  <c r="C9" i="104"/>
  <c r="J8" i="104"/>
  <c r="K8" i="104" s="1"/>
  <c r="D8" i="104"/>
  <c r="E8" i="104" s="1"/>
  <c r="C8" i="104"/>
  <c r="J7" i="104"/>
  <c r="K7" i="104" s="1"/>
  <c r="D7" i="104"/>
  <c r="E7" i="104" s="1"/>
  <c r="C7" i="104"/>
  <c r="G19" i="105" l="1"/>
  <c r="G13" i="105"/>
  <c r="N13" i="105" s="1"/>
  <c r="O13" i="105" s="1"/>
  <c r="U12" i="105"/>
  <c r="T12" i="105"/>
  <c r="G17" i="105"/>
  <c r="U25" i="105"/>
  <c r="T25" i="105"/>
  <c r="U11" i="105"/>
  <c r="T11" i="105"/>
  <c r="L13" i="105"/>
  <c r="P13" i="105" s="1"/>
  <c r="L12" i="105"/>
  <c r="G8" i="105"/>
  <c r="N8" i="105" s="1"/>
  <c r="U9" i="105"/>
  <c r="T9" i="105"/>
  <c r="U10" i="105"/>
  <c r="T10" i="105"/>
  <c r="H19" i="105"/>
  <c r="H17" i="105"/>
  <c r="T28" i="105"/>
  <c r="T21" i="105"/>
  <c r="U30" i="105"/>
  <c r="T30" i="105"/>
  <c r="F9" i="104"/>
  <c r="H9" i="104" s="1"/>
  <c r="F19" i="104"/>
  <c r="H19" i="104" s="1"/>
  <c r="F7" i="104"/>
  <c r="G7" i="104" s="1"/>
  <c r="F12" i="104"/>
  <c r="F14" i="104"/>
  <c r="H14" i="104" s="1"/>
  <c r="F8" i="104"/>
  <c r="L8" i="104" s="1"/>
  <c r="F15" i="104"/>
  <c r="G15" i="104" s="1"/>
  <c r="N15" i="104" s="1"/>
  <c r="F13" i="104"/>
  <c r="H13" i="104" s="1"/>
  <c r="F18" i="104"/>
  <c r="G18" i="104" s="1"/>
  <c r="F11" i="104"/>
  <c r="L11" i="104" s="1"/>
  <c r="O9" i="107"/>
  <c r="P9" i="107"/>
  <c r="O11" i="107"/>
  <c r="P11" i="107"/>
  <c r="P18" i="107"/>
  <c r="O18" i="107"/>
  <c r="P17" i="107"/>
  <c r="O17" i="107"/>
  <c r="O10" i="107"/>
  <c r="P10" i="107"/>
  <c r="M11" i="107"/>
  <c r="P19" i="107"/>
  <c r="O19" i="107"/>
  <c r="P16" i="107"/>
  <c r="O16" i="107"/>
  <c r="M17" i="107"/>
  <c r="M19" i="107"/>
  <c r="M10" i="107"/>
  <c r="O13" i="107"/>
  <c r="P13" i="107"/>
  <c r="M16" i="107"/>
  <c r="P14" i="107"/>
  <c r="O14" i="107"/>
  <c r="M18" i="107"/>
  <c r="M13" i="105"/>
  <c r="U17" i="105"/>
  <c r="T17" i="105"/>
  <c r="U24" i="105"/>
  <c r="T24" i="105"/>
  <c r="P9" i="105"/>
  <c r="O9" i="105"/>
  <c r="O15" i="105"/>
  <c r="P15" i="105"/>
  <c r="U22" i="105"/>
  <c r="T22" i="105"/>
  <c r="N16" i="105"/>
  <c r="M16" i="105" s="1"/>
  <c r="U32" i="105"/>
  <c r="T32" i="105"/>
  <c r="U20" i="105"/>
  <c r="T20" i="105"/>
  <c r="U31" i="105"/>
  <c r="T31" i="105"/>
  <c r="N12" i="105"/>
  <c r="U15" i="105"/>
  <c r="T15" i="105"/>
  <c r="U19" i="105"/>
  <c r="T19" i="105"/>
  <c r="N19" i="105"/>
  <c r="M19" i="105" s="1"/>
  <c r="O14" i="105"/>
  <c r="P14" i="105"/>
  <c r="M9" i="105"/>
  <c r="U26" i="105"/>
  <c r="T26" i="105"/>
  <c r="T8" i="105"/>
  <c r="U8" i="105"/>
  <c r="U16" i="105"/>
  <c r="T16" i="105"/>
  <c r="P8" i="105"/>
  <c r="O8" i="105"/>
  <c r="U14" i="105"/>
  <c r="T14" i="105"/>
  <c r="N18" i="105"/>
  <c r="M18" i="105" s="1"/>
  <c r="N11" i="105"/>
  <c r="U29" i="105"/>
  <c r="T29" i="105"/>
  <c r="U18" i="105"/>
  <c r="T18" i="105"/>
  <c r="N17" i="105"/>
  <c r="M17" i="105" s="1"/>
  <c r="M8" i="105"/>
  <c r="N10" i="105"/>
  <c r="M10" i="105" s="1"/>
  <c r="U14" i="104"/>
  <c r="T14" i="104"/>
  <c r="L7" i="104"/>
  <c r="H7" i="104"/>
  <c r="L16" i="104"/>
  <c r="G16" i="104"/>
  <c r="N16" i="104" s="1"/>
  <c r="H16" i="104"/>
  <c r="L19" i="104"/>
  <c r="S30" i="104"/>
  <c r="S25" i="104"/>
  <c r="S12" i="104"/>
  <c r="S11" i="104"/>
  <c r="S10" i="104"/>
  <c r="S9" i="104"/>
  <c r="S27" i="104"/>
  <c r="S29" i="104"/>
  <c r="S24" i="104"/>
  <c r="S22" i="104"/>
  <c r="S32" i="104"/>
  <c r="S16" i="104"/>
  <c r="S31" i="104"/>
  <c r="S28" i="104"/>
  <c r="S13" i="104"/>
  <c r="S23" i="104"/>
  <c r="S21" i="104"/>
  <c r="S7" i="104"/>
  <c r="S8" i="104"/>
  <c r="S20" i="104"/>
  <c r="S26" i="104"/>
  <c r="S18" i="104"/>
  <c r="S17" i="104"/>
  <c r="Y12" i="104"/>
  <c r="S19" i="104"/>
  <c r="H10" i="104"/>
  <c r="G10" i="104"/>
  <c r="N10" i="104" s="1"/>
  <c r="L17" i="104"/>
  <c r="H17" i="104"/>
  <c r="G17" i="104"/>
  <c r="N17" i="104" s="1"/>
  <c r="L15" i="104"/>
  <c r="H12" i="104"/>
  <c r="G12" i="104"/>
  <c r="L10" i="104"/>
  <c r="L12" i="104"/>
  <c r="S15" i="104"/>
  <c r="L13" i="104" l="1"/>
  <c r="L14" i="104"/>
  <c r="H18" i="104"/>
  <c r="L18" i="104"/>
  <c r="G9" i="104"/>
  <c r="N9" i="104" s="1"/>
  <c r="O9" i="104" s="1"/>
  <c r="L9" i="104"/>
  <c r="G13" i="104"/>
  <c r="N13" i="104" s="1"/>
  <c r="O13" i="104" s="1"/>
  <c r="H15" i="104"/>
  <c r="G11" i="104"/>
  <c r="N11" i="104" s="1"/>
  <c r="P11" i="104" s="1"/>
  <c r="G14" i="104"/>
  <c r="N14" i="104" s="1"/>
  <c r="P14" i="104" s="1"/>
  <c r="H11" i="104"/>
  <c r="G19" i="104"/>
  <c r="N19" i="104" s="1"/>
  <c r="P19" i="104" s="1"/>
  <c r="H8" i="104"/>
  <c r="G8" i="104"/>
  <c r="P17" i="105"/>
  <c r="O17" i="105"/>
  <c r="P12" i="105"/>
  <c r="O12" i="105"/>
  <c r="M12" i="105"/>
  <c r="P16" i="105"/>
  <c r="O16" i="105"/>
  <c r="P10" i="105"/>
  <c r="O10" i="105"/>
  <c r="P11" i="105"/>
  <c r="O11" i="105"/>
  <c r="P19" i="105"/>
  <c r="O19" i="105"/>
  <c r="M11" i="105"/>
  <c r="P18" i="105"/>
  <c r="O18" i="105"/>
  <c r="P17" i="104"/>
  <c r="O17" i="104"/>
  <c r="M10" i="104"/>
  <c r="U17" i="104"/>
  <c r="T17" i="104"/>
  <c r="U13" i="104"/>
  <c r="T13" i="104"/>
  <c r="T27" i="104"/>
  <c r="U27" i="104"/>
  <c r="M19" i="104"/>
  <c r="U18" i="104"/>
  <c r="T18" i="104"/>
  <c r="T28" i="104"/>
  <c r="U28" i="104"/>
  <c r="U9" i="104"/>
  <c r="T9" i="104"/>
  <c r="M13" i="104"/>
  <c r="U15" i="104"/>
  <c r="T15" i="104"/>
  <c r="U26" i="104"/>
  <c r="T26" i="104"/>
  <c r="P16" i="104"/>
  <c r="O16" i="104"/>
  <c r="U20" i="104"/>
  <c r="T20" i="104"/>
  <c r="U16" i="104"/>
  <c r="T16" i="104"/>
  <c r="U11" i="104"/>
  <c r="T11" i="104"/>
  <c r="U31" i="104"/>
  <c r="T31" i="104"/>
  <c r="U10" i="104"/>
  <c r="T10" i="104"/>
  <c r="P15" i="104"/>
  <c r="O15" i="104"/>
  <c r="N8" i="104"/>
  <c r="N12" i="104"/>
  <c r="T8" i="104"/>
  <c r="U8" i="104"/>
  <c r="U32" i="104"/>
  <c r="T32" i="104"/>
  <c r="U12" i="104"/>
  <c r="T12" i="104"/>
  <c r="M17" i="104"/>
  <c r="O19" i="104"/>
  <c r="U22" i="104"/>
  <c r="T22" i="104"/>
  <c r="U25" i="104"/>
  <c r="T25" i="104"/>
  <c r="P9" i="104"/>
  <c r="M15" i="104"/>
  <c r="U19" i="104"/>
  <c r="T19" i="104"/>
  <c r="T21" i="104"/>
  <c r="U21" i="104"/>
  <c r="U24" i="104"/>
  <c r="T24" i="104"/>
  <c r="U30" i="104"/>
  <c r="T30" i="104"/>
  <c r="N18" i="104"/>
  <c r="M18" i="104" s="1"/>
  <c r="P10" i="104"/>
  <c r="O10" i="104"/>
  <c r="U23" i="104"/>
  <c r="T23" i="104"/>
  <c r="U29" i="104"/>
  <c r="T29" i="104"/>
  <c r="M16" i="104"/>
  <c r="P13" i="104" l="1"/>
  <c r="M9" i="104"/>
  <c r="O11" i="104"/>
  <c r="M11" i="104"/>
  <c r="O14" i="104"/>
  <c r="M14" i="104"/>
  <c r="P12" i="104"/>
  <c r="O12" i="104"/>
  <c r="P8" i="104"/>
  <c r="O8" i="104"/>
  <c r="M12" i="104"/>
  <c r="M8" i="104"/>
  <c r="P18" i="104"/>
  <c r="O18" i="104"/>
  <c r="AA25" i="103" l="1"/>
  <c r="AA24" i="103"/>
  <c r="J19" i="103"/>
  <c r="K19" i="103" s="1"/>
  <c r="D19" i="103"/>
  <c r="E19" i="103" s="1"/>
  <c r="C19" i="103"/>
  <c r="J18" i="103"/>
  <c r="K18" i="103" s="1"/>
  <c r="D18" i="103"/>
  <c r="E18" i="103" s="1"/>
  <c r="C18" i="103"/>
  <c r="J17" i="103"/>
  <c r="K17" i="103" s="1"/>
  <c r="D17" i="103"/>
  <c r="E17" i="103" s="1"/>
  <c r="C17" i="103"/>
  <c r="J16" i="103"/>
  <c r="K16" i="103" s="1"/>
  <c r="D16" i="103"/>
  <c r="E16" i="103" s="1"/>
  <c r="C16" i="103"/>
  <c r="J15" i="103"/>
  <c r="K15" i="103" s="1"/>
  <c r="D15" i="103"/>
  <c r="E15" i="103" s="1"/>
  <c r="C15" i="103"/>
  <c r="J14" i="103"/>
  <c r="K14" i="103" s="1"/>
  <c r="D14" i="103"/>
  <c r="E14" i="103" s="1"/>
  <c r="C14" i="103"/>
  <c r="J13" i="103"/>
  <c r="K13" i="103" s="1"/>
  <c r="D13" i="103"/>
  <c r="E13" i="103" s="1"/>
  <c r="C13" i="103"/>
  <c r="S20" i="103"/>
  <c r="T20" i="103" s="1"/>
  <c r="J12" i="103"/>
  <c r="K12" i="103" s="1"/>
  <c r="D12" i="103"/>
  <c r="E12" i="103" s="1"/>
  <c r="C12" i="103"/>
  <c r="J11" i="103"/>
  <c r="K11" i="103" s="1"/>
  <c r="D11" i="103"/>
  <c r="E11" i="103" s="1"/>
  <c r="C11" i="103"/>
  <c r="J10" i="103"/>
  <c r="K10" i="103" s="1"/>
  <c r="D10" i="103"/>
  <c r="E10" i="103" s="1"/>
  <c r="C10" i="103"/>
  <c r="J9" i="103"/>
  <c r="K9" i="103" s="1"/>
  <c r="D9" i="103"/>
  <c r="E9" i="103" s="1"/>
  <c r="C9" i="103"/>
  <c r="J8" i="103"/>
  <c r="K8" i="103" s="1"/>
  <c r="D8" i="103"/>
  <c r="E8" i="103" s="1"/>
  <c r="C8" i="103"/>
  <c r="J7" i="103"/>
  <c r="K7" i="103" s="1"/>
  <c r="D7" i="103"/>
  <c r="E7" i="103" s="1"/>
  <c r="C7" i="103"/>
  <c r="F11" i="103" l="1"/>
  <c r="G11" i="103" s="1"/>
  <c r="S32" i="103"/>
  <c r="U32" i="103" s="1"/>
  <c r="F14" i="103"/>
  <c r="G14" i="103" s="1"/>
  <c r="N14" i="103" s="1"/>
  <c r="F9" i="103"/>
  <c r="G9" i="103" s="1"/>
  <c r="N9" i="103" s="1"/>
  <c r="M9" i="103" s="1"/>
  <c r="S29" i="103"/>
  <c r="T29" i="103" s="1"/>
  <c r="F16" i="103"/>
  <c r="H16" i="103" s="1"/>
  <c r="F19" i="103"/>
  <c r="H19" i="103" s="1"/>
  <c r="F17" i="103"/>
  <c r="L17" i="103" s="1"/>
  <c r="F7" i="103"/>
  <c r="F12" i="103"/>
  <c r="L12" i="103" s="1"/>
  <c r="F10" i="103"/>
  <c r="G10" i="103" s="1"/>
  <c r="N10" i="103" s="1"/>
  <c r="F8" i="103"/>
  <c r="L8" i="103" s="1"/>
  <c r="Y12" i="103"/>
  <c r="F15" i="103"/>
  <c r="L15" i="103" s="1"/>
  <c r="S27" i="103"/>
  <c r="U27" i="103" s="1"/>
  <c r="S26" i="103"/>
  <c r="T26" i="103" s="1"/>
  <c r="F18" i="103"/>
  <c r="L18" i="103" s="1"/>
  <c r="S8" i="103"/>
  <c r="T8" i="103" s="1"/>
  <c r="N11" i="103"/>
  <c r="M11" i="103" s="1"/>
  <c r="F13" i="103"/>
  <c r="L13" i="103" s="1"/>
  <c r="L14" i="103"/>
  <c r="G16" i="103"/>
  <c r="N16" i="103" s="1"/>
  <c r="H7" i="103"/>
  <c r="G7" i="103"/>
  <c r="L7" i="103"/>
  <c r="G12" i="103"/>
  <c r="T32" i="103"/>
  <c r="H9" i="103"/>
  <c r="S10" i="103"/>
  <c r="S11" i="103"/>
  <c r="S12" i="103"/>
  <c r="S7" i="103"/>
  <c r="S21" i="103"/>
  <c r="S23" i="103"/>
  <c r="S13" i="103"/>
  <c r="S28" i="103"/>
  <c r="S9" i="103"/>
  <c r="H11" i="103"/>
  <c r="H12" i="103"/>
  <c r="U20" i="103"/>
  <c r="S25" i="103"/>
  <c r="S30" i="103"/>
  <c r="L9" i="103"/>
  <c r="L11" i="103"/>
  <c r="P11" i="103" s="1"/>
  <c r="S14" i="103"/>
  <c r="S15" i="103"/>
  <c r="S16" i="103"/>
  <c r="S17" i="103"/>
  <c r="S18" i="103"/>
  <c r="S19" i="103"/>
  <c r="S31" i="103"/>
  <c r="S24" i="103"/>
  <c r="S22" i="103"/>
  <c r="AA25" i="102"/>
  <c r="AA24" i="102"/>
  <c r="J19" i="102"/>
  <c r="K19" i="102" s="1"/>
  <c r="D19" i="102"/>
  <c r="E19" i="102" s="1"/>
  <c r="C19" i="102"/>
  <c r="J18" i="102"/>
  <c r="K18" i="102" s="1"/>
  <c r="D18" i="102"/>
  <c r="E18" i="102" s="1"/>
  <c r="C18" i="102"/>
  <c r="J17" i="102"/>
  <c r="K17" i="102" s="1"/>
  <c r="D17" i="102"/>
  <c r="E17" i="102" s="1"/>
  <c r="C17" i="102"/>
  <c r="J16" i="102"/>
  <c r="K16" i="102" s="1"/>
  <c r="D16" i="102"/>
  <c r="E16" i="102" s="1"/>
  <c r="C16" i="102"/>
  <c r="J15" i="102"/>
  <c r="K15" i="102" s="1"/>
  <c r="D15" i="102"/>
  <c r="E15" i="102" s="1"/>
  <c r="C15" i="102"/>
  <c r="J14" i="102"/>
  <c r="K14" i="102" s="1"/>
  <c r="D14" i="102"/>
  <c r="E14" i="102" s="1"/>
  <c r="C14" i="102"/>
  <c r="J13" i="102"/>
  <c r="K13" i="102" s="1"/>
  <c r="D13" i="102"/>
  <c r="E13" i="102" s="1"/>
  <c r="C13" i="102"/>
  <c r="S30" i="102"/>
  <c r="J12" i="102"/>
  <c r="K12" i="102" s="1"/>
  <c r="D12" i="102"/>
  <c r="E12" i="102" s="1"/>
  <c r="C12" i="102"/>
  <c r="J11" i="102"/>
  <c r="K11" i="102" s="1"/>
  <c r="D11" i="102"/>
  <c r="E11" i="102" s="1"/>
  <c r="C11" i="102"/>
  <c r="J10" i="102"/>
  <c r="K10" i="102" s="1"/>
  <c r="D10" i="102"/>
  <c r="E10" i="102" s="1"/>
  <c r="C10" i="102"/>
  <c r="J9" i="102"/>
  <c r="K9" i="102" s="1"/>
  <c r="D9" i="102"/>
  <c r="E9" i="102" s="1"/>
  <c r="C9" i="102"/>
  <c r="J8" i="102"/>
  <c r="K8" i="102" s="1"/>
  <c r="D8" i="102"/>
  <c r="E8" i="102" s="1"/>
  <c r="C8" i="102"/>
  <c r="J7" i="102"/>
  <c r="K7" i="102" s="1"/>
  <c r="D7" i="102"/>
  <c r="E7" i="102" s="1"/>
  <c r="C7" i="102"/>
  <c r="G15" i="103" l="1"/>
  <c r="H17" i="103"/>
  <c r="H15" i="103"/>
  <c r="H10" i="103"/>
  <c r="H14" i="103"/>
  <c r="U26" i="103"/>
  <c r="G17" i="103"/>
  <c r="N17" i="103" s="1"/>
  <c r="P17" i="103" s="1"/>
  <c r="F8" i="102"/>
  <c r="G8" i="102" s="1"/>
  <c r="N8" i="102" s="1"/>
  <c r="F12" i="102"/>
  <c r="L12" i="102" s="1"/>
  <c r="F10" i="102"/>
  <c r="G10" i="102" s="1"/>
  <c r="N10" i="102" s="1"/>
  <c r="F7" i="102"/>
  <c r="L7" i="102" s="1"/>
  <c r="F14" i="102"/>
  <c r="G14" i="102" s="1"/>
  <c r="N14" i="102" s="1"/>
  <c r="F11" i="102"/>
  <c r="G11" i="102" s="1"/>
  <c r="N11" i="102" s="1"/>
  <c r="L16" i="103"/>
  <c r="P16" i="103" s="1"/>
  <c r="G8" i="103"/>
  <c r="N8" i="103" s="1"/>
  <c r="P8" i="103" s="1"/>
  <c r="H8" i="103"/>
  <c r="H18" i="103"/>
  <c r="G19" i="103"/>
  <c r="N19" i="103" s="1"/>
  <c r="O19" i="103" s="1"/>
  <c r="L19" i="103"/>
  <c r="T27" i="103"/>
  <c r="U29" i="103"/>
  <c r="L10" i="103"/>
  <c r="P10" i="103" s="1"/>
  <c r="G13" i="103"/>
  <c r="N13" i="103" s="1"/>
  <c r="H13" i="103"/>
  <c r="O11" i="103"/>
  <c r="U8" i="103"/>
  <c r="G18" i="103"/>
  <c r="N18" i="103" s="1"/>
  <c r="O18" i="103" s="1"/>
  <c r="S23" i="102"/>
  <c r="U23" i="102" s="1"/>
  <c r="F15" i="102"/>
  <c r="G15" i="102" s="1"/>
  <c r="N15" i="102" s="1"/>
  <c r="F13" i="102"/>
  <c r="H13" i="102" s="1"/>
  <c r="F16" i="102"/>
  <c r="H16" i="102" s="1"/>
  <c r="F9" i="102"/>
  <c r="G9" i="102" s="1"/>
  <c r="N9" i="102" s="1"/>
  <c r="O14" i="103"/>
  <c r="P14" i="103"/>
  <c r="U17" i="103"/>
  <c r="T17" i="103"/>
  <c r="U21" i="103"/>
  <c r="T21" i="103"/>
  <c r="O10" i="103"/>
  <c r="U16" i="103"/>
  <c r="T16" i="103"/>
  <c r="U30" i="103"/>
  <c r="T30" i="103"/>
  <c r="U23" i="103"/>
  <c r="T23" i="103"/>
  <c r="U25" i="103"/>
  <c r="T25" i="103"/>
  <c r="O16" i="103"/>
  <c r="M16" i="103"/>
  <c r="U15" i="103"/>
  <c r="T15" i="103"/>
  <c r="U22" i="103"/>
  <c r="T22" i="103"/>
  <c r="U31" i="103"/>
  <c r="T31" i="103"/>
  <c r="U28" i="103"/>
  <c r="T28" i="103"/>
  <c r="U11" i="103"/>
  <c r="T11" i="103"/>
  <c r="N15" i="103"/>
  <c r="O9" i="103"/>
  <c r="P9" i="103"/>
  <c r="U18" i="103"/>
  <c r="T18" i="103"/>
  <c r="U14" i="103"/>
  <c r="T14" i="103"/>
  <c r="M14" i="103"/>
  <c r="T24" i="103"/>
  <c r="U24" i="103"/>
  <c r="T9" i="103"/>
  <c r="U9" i="103"/>
  <c r="U12" i="103"/>
  <c r="T12" i="103"/>
  <c r="M10" i="103"/>
  <c r="U19" i="103"/>
  <c r="T19" i="103"/>
  <c r="U13" i="103"/>
  <c r="T13" i="103"/>
  <c r="T10" i="103"/>
  <c r="U10" i="103"/>
  <c r="N12" i="103"/>
  <c r="F19" i="102"/>
  <c r="G19" i="102" s="1"/>
  <c r="L8" i="102"/>
  <c r="T30" i="102"/>
  <c r="U30" i="102"/>
  <c r="S15" i="102"/>
  <c r="S18" i="102"/>
  <c r="Y12" i="102"/>
  <c r="S31" i="102"/>
  <c r="S8" i="102"/>
  <c r="S22" i="102"/>
  <c r="S29" i="102"/>
  <c r="S20" i="102"/>
  <c r="S24" i="102"/>
  <c r="S9" i="102"/>
  <c r="S10" i="102"/>
  <c r="S11" i="102"/>
  <c r="S12" i="102"/>
  <c r="S32" i="102"/>
  <c r="S14" i="102"/>
  <c r="S16" i="102"/>
  <c r="S26" i="102"/>
  <c r="S7" i="102"/>
  <c r="F17" i="102"/>
  <c r="F18" i="102"/>
  <c r="S21" i="102"/>
  <c r="S27" i="102"/>
  <c r="S17" i="102"/>
  <c r="S19" i="102"/>
  <c r="S28" i="102"/>
  <c r="S13" i="102"/>
  <c r="S25" i="102"/>
  <c r="M17" i="103" l="1"/>
  <c r="O17" i="103"/>
  <c r="H11" i="102"/>
  <c r="H19" i="102"/>
  <c r="H9" i="102"/>
  <c r="H10" i="102"/>
  <c r="P19" i="103"/>
  <c r="L14" i="102"/>
  <c r="P14" i="102" s="1"/>
  <c r="H14" i="102"/>
  <c r="L15" i="102"/>
  <c r="P15" i="102" s="1"/>
  <c r="T23" i="102"/>
  <c r="H15" i="102"/>
  <c r="L11" i="102"/>
  <c r="P11" i="102" s="1"/>
  <c r="L10" i="102"/>
  <c r="P10" i="102" s="1"/>
  <c r="H8" i="102"/>
  <c r="L16" i="102"/>
  <c r="H7" i="102"/>
  <c r="G16" i="102"/>
  <c r="N16" i="102" s="1"/>
  <c r="M16" i="102" s="1"/>
  <c r="G7" i="102"/>
  <c r="G12" i="102"/>
  <c r="N12" i="102" s="1"/>
  <c r="P12" i="102" s="1"/>
  <c r="L9" i="102"/>
  <c r="P9" i="102" s="1"/>
  <c r="H12" i="102"/>
  <c r="M19" i="103"/>
  <c r="O8" i="103"/>
  <c r="M8" i="103"/>
  <c r="M18" i="103"/>
  <c r="P18" i="103"/>
  <c r="L13" i="102"/>
  <c r="G13" i="102"/>
  <c r="N13" i="102" s="1"/>
  <c r="O13" i="102" s="1"/>
  <c r="L19" i="102"/>
  <c r="P15" i="103"/>
  <c r="O15" i="103"/>
  <c r="M15" i="103"/>
  <c r="O12" i="103"/>
  <c r="P12" i="103"/>
  <c r="P13" i="103"/>
  <c r="O13" i="103"/>
  <c r="M13" i="103"/>
  <c r="M12" i="103"/>
  <c r="O15" i="102"/>
  <c r="T28" i="102"/>
  <c r="U28" i="102"/>
  <c r="U8" i="102"/>
  <c r="T8" i="102"/>
  <c r="O11" i="102"/>
  <c r="T17" i="102"/>
  <c r="U17" i="102"/>
  <c r="P8" i="102"/>
  <c r="O8" i="102"/>
  <c r="U24" i="102"/>
  <c r="T24" i="102"/>
  <c r="T15" i="102"/>
  <c r="U15" i="102"/>
  <c r="O14" i="102"/>
  <c r="U19" i="102"/>
  <c r="T19" i="102"/>
  <c r="T27" i="102"/>
  <c r="U27" i="102"/>
  <c r="T16" i="102"/>
  <c r="U16" i="102"/>
  <c r="U20" i="102"/>
  <c r="T20" i="102"/>
  <c r="O9" i="102"/>
  <c r="U11" i="102"/>
  <c r="T11" i="102"/>
  <c r="U26" i="102"/>
  <c r="T26" i="102"/>
  <c r="T31" i="102"/>
  <c r="U31" i="102"/>
  <c r="M14" i="102"/>
  <c r="T21" i="102"/>
  <c r="U21" i="102"/>
  <c r="T14" i="102"/>
  <c r="U14" i="102"/>
  <c r="M9" i="102"/>
  <c r="M11" i="102"/>
  <c r="M8" i="102"/>
  <c r="O10" i="102"/>
  <c r="U22" i="102"/>
  <c r="T22" i="102"/>
  <c r="U10" i="102"/>
  <c r="T10" i="102"/>
  <c r="M15" i="102"/>
  <c r="U9" i="102"/>
  <c r="T9" i="102"/>
  <c r="M10" i="102"/>
  <c r="U25" i="102"/>
  <c r="T25" i="102"/>
  <c r="G18" i="102"/>
  <c r="H18" i="102"/>
  <c r="L18" i="102"/>
  <c r="U32" i="102"/>
  <c r="T32" i="102"/>
  <c r="N19" i="102"/>
  <c r="T13" i="102"/>
  <c r="U13" i="102"/>
  <c r="G17" i="102"/>
  <c r="H17" i="102"/>
  <c r="L17" i="102"/>
  <c r="U12" i="102"/>
  <c r="T12" i="102"/>
  <c r="U29" i="102"/>
  <c r="T29" i="102"/>
  <c r="U18" i="102"/>
  <c r="T18" i="102"/>
  <c r="M12" i="102" l="1"/>
  <c r="O12" i="102"/>
  <c r="O16" i="102"/>
  <c r="P16" i="102"/>
  <c r="M13" i="102"/>
  <c r="P13" i="102"/>
  <c r="N18" i="102"/>
  <c r="P19" i="102"/>
  <c r="O19" i="102"/>
  <c r="M19" i="102"/>
  <c r="N17" i="102"/>
  <c r="P17" i="102" l="1"/>
  <c r="O17" i="102"/>
  <c r="M17" i="102"/>
  <c r="P18" i="102"/>
  <c r="O18" i="102"/>
  <c r="M18" i="102"/>
  <c r="D25" i="82"/>
  <c r="D24" i="82"/>
  <c r="D23" i="82"/>
  <c r="C25" i="82"/>
  <c r="C24" i="82"/>
  <c r="C23" i="82"/>
  <c r="I8" i="43" l="1"/>
  <c r="I9" i="43"/>
  <c r="I10" i="43"/>
  <c r="I11" i="43"/>
  <c r="I12" i="43"/>
  <c r="I13" i="43"/>
  <c r="I14" i="43"/>
  <c r="I15" i="43"/>
  <c r="I16" i="43"/>
  <c r="I17" i="43"/>
  <c r="I18" i="43"/>
  <c r="I7" i="43"/>
  <c r="B8" i="43"/>
  <c r="B9" i="43"/>
  <c r="B10" i="43"/>
  <c r="B11" i="43"/>
  <c r="B12" i="43"/>
  <c r="B13" i="43"/>
  <c r="B14" i="43"/>
  <c r="B15" i="43"/>
  <c r="B16" i="43"/>
  <c r="B17" i="43"/>
  <c r="B18" i="43"/>
  <c r="B7" i="43"/>
  <c r="B21" i="36" l="1"/>
  <c r="B20" i="36"/>
  <c r="B19" i="36"/>
  <c r="G19" i="36" l="1"/>
  <c r="F19" i="36"/>
  <c r="G22" i="33"/>
  <c r="F22" i="33"/>
  <c r="B22" i="33"/>
  <c r="B23" i="33"/>
  <c r="B23" i="46"/>
  <c r="B22" i="46"/>
  <c r="B21" i="46"/>
  <c r="G21" i="46" s="1"/>
  <c r="F21" i="46"/>
  <c r="B26" i="39"/>
  <c r="B25" i="39"/>
  <c r="B24" i="39"/>
  <c r="G26" i="29"/>
  <c r="B27" i="29"/>
  <c r="B26" i="29"/>
  <c r="F26" i="29" s="1"/>
  <c r="B28" i="51"/>
  <c r="B27" i="51"/>
  <c r="B26" i="51"/>
  <c r="G26" i="51" s="1"/>
  <c r="B24" i="91"/>
  <c r="B23" i="91"/>
  <c r="G22" i="91" s="1"/>
  <c r="B22" i="91"/>
  <c r="F22" i="91" s="1"/>
  <c r="B29" i="88"/>
  <c r="B28" i="88"/>
  <c r="B27" i="88"/>
  <c r="G23" i="82"/>
  <c r="F23" i="82"/>
  <c r="B24" i="82"/>
  <c r="B23" i="82"/>
  <c r="B25" i="82"/>
  <c r="G24" i="39" l="1"/>
  <c r="F24" i="39"/>
  <c r="F27" i="88"/>
  <c r="G27" i="88"/>
  <c r="F26" i="51"/>
  <c r="S41" i="68"/>
  <c r="R41" i="68"/>
  <c r="S40" i="68"/>
  <c r="R40" i="68"/>
  <c r="S39" i="68"/>
  <c r="R39" i="68"/>
  <c r="S8" i="67"/>
  <c r="T8" i="67"/>
  <c r="U8" i="67"/>
  <c r="S9" i="67"/>
  <c r="T9" i="67"/>
  <c r="U9" i="67"/>
  <c r="S10" i="67"/>
  <c r="T10" i="67"/>
  <c r="U10" i="67"/>
  <c r="S11" i="67"/>
  <c r="T11" i="67"/>
  <c r="U11" i="67"/>
  <c r="S12" i="67"/>
  <c r="T12" i="67"/>
  <c r="U12" i="67"/>
  <c r="T7" i="67"/>
  <c r="U7" i="67"/>
  <c r="S7" i="67"/>
  <c r="X6" i="67"/>
  <c r="X7" i="67"/>
  <c r="X8" i="67"/>
  <c r="X9" i="67"/>
  <c r="X10" i="67"/>
  <c r="X11" i="67"/>
  <c r="X12" i="67"/>
  <c r="X13" i="67"/>
  <c r="X14" i="67"/>
  <c r="X15" i="67"/>
  <c r="X16" i="67"/>
  <c r="X17" i="67"/>
  <c r="X18" i="67"/>
  <c r="X19" i="67"/>
  <c r="X20" i="67"/>
  <c r="X21" i="67"/>
  <c r="X22" i="67"/>
  <c r="X23" i="67"/>
  <c r="X24" i="67"/>
  <c r="X25" i="67"/>
  <c r="X26" i="67"/>
  <c r="X27" i="67"/>
  <c r="X28" i="67"/>
  <c r="X29" i="67"/>
  <c r="X30" i="67"/>
  <c r="X31" i="67"/>
  <c r="R39" i="81"/>
  <c r="S39" i="81"/>
  <c r="R40" i="81"/>
  <c r="S40" i="81"/>
  <c r="R41" i="81"/>
  <c r="S41" i="81"/>
  <c r="T40" i="59"/>
  <c r="T41" i="59"/>
  <c r="T39" i="59"/>
  <c r="S40" i="59"/>
  <c r="S41" i="59"/>
  <c r="S39" i="59"/>
  <c r="R41" i="59"/>
  <c r="R40" i="59"/>
  <c r="R39" i="59"/>
  <c r="R8" i="77" l="1"/>
  <c r="S8" i="77"/>
  <c r="T8" i="77"/>
  <c r="R9" i="77"/>
  <c r="S9" i="77"/>
  <c r="T9" i="77"/>
  <c r="R10" i="77"/>
  <c r="S10" i="77"/>
  <c r="T10" i="77"/>
  <c r="S7" i="77"/>
  <c r="T7" i="77"/>
  <c r="R7" i="77"/>
  <c r="B10" i="41" l="1"/>
  <c r="B9" i="41"/>
  <c r="B7" i="41"/>
  <c r="B8" i="41"/>
  <c r="AA11" i="41"/>
  <c r="I7" i="41"/>
  <c r="R12" i="41"/>
  <c r="S12" i="41"/>
  <c r="Q12" i="41"/>
  <c r="I9" i="41"/>
  <c r="I10" i="41"/>
  <c r="I8" i="41"/>
  <c r="Q8" i="41"/>
  <c r="R8" i="41"/>
  <c r="S8" i="41"/>
  <c r="Q9" i="41"/>
  <c r="R9" i="41"/>
  <c r="S9" i="41"/>
  <c r="Q10" i="41"/>
  <c r="R10" i="41"/>
  <c r="S10" i="41"/>
  <c r="Q11" i="41"/>
  <c r="R11" i="41"/>
  <c r="S11" i="41"/>
  <c r="R7" i="41"/>
  <c r="S7" i="41"/>
  <c r="Q7" i="41"/>
  <c r="R8" i="43"/>
  <c r="S8" i="43"/>
  <c r="T8" i="43"/>
  <c r="R9" i="43"/>
  <c r="S9" i="43"/>
  <c r="T9" i="43"/>
  <c r="S7" i="43"/>
  <c r="T7" i="43"/>
  <c r="R7" i="43"/>
  <c r="R8" i="37" l="1"/>
  <c r="S8" i="37"/>
  <c r="T8" i="37"/>
  <c r="R9" i="37"/>
  <c r="S9" i="37"/>
  <c r="T9" i="37"/>
  <c r="R10" i="37"/>
  <c r="S10" i="37"/>
  <c r="T10" i="37"/>
  <c r="R11" i="37"/>
  <c r="S11" i="37"/>
  <c r="T11" i="37"/>
  <c r="R12" i="37"/>
  <c r="S12" i="37"/>
  <c r="T12" i="37"/>
  <c r="R13" i="37"/>
  <c r="S13" i="37"/>
  <c r="T13" i="37"/>
  <c r="R14" i="37"/>
  <c r="S14" i="37"/>
  <c r="T14" i="37"/>
  <c r="R15" i="37"/>
  <c r="S15" i="37"/>
  <c r="T15" i="37"/>
  <c r="R16" i="37"/>
  <c r="S16" i="37"/>
  <c r="T16" i="37"/>
  <c r="R17" i="37"/>
  <c r="S17" i="37"/>
  <c r="T17" i="37"/>
  <c r="R18" i="37"/>
  <c r="S18" i="37"/>
  <c r="T18" i="37"/>
  <c r="S7" i="37"/>
  <c r="T7" i="37"/>
  <c r="R7" i="37"/>
  <c r="S7" i="50" l="1"/>
  <c r="T7" i="50"/>
  <c r="S8" i="50"/>
  <c r="T8" i="50"/>
  <c r="S9" i="50"/>
  <c r="T9" i="50"/>
  <c r="S10" i="50"/>
  <c r="T10" i="50"/>
  <c r="S11" i="50"/>
  <c r="T11" i="50"/>
  <c r="S12" i="50"/>
  <c r="T12" i="50"/>
  <c r="R8" i="50"/>
  <c r="R9" i="50"/>
  <c r="R10" i="50"/>
  <c r="R11" i="50"/>
  <c r="R12" i="50"/>
  <c r="R7" i="50"/>
  <c r="AB7" i="48"/>
  <c r="S7" i="31" l="1"/>
  <c r="T7" i="31"/>
  <c r="S8" i="31"/>
  <c r="T8" i="31"/>
  <c r="S9" i="31"/>
  <c r="T9" i="31"/>
  <c r="S10" i="31"/>
  <c r="T10" i="31"/>
  <c r="S11" i="31"/>
  <c r="T11" i="31"/>
  <c r="S12" i="31"/>
  <c r="T12" i="31"/>
  <c r="R8" i="31"/>
  <c r="R9" i="31"/>
  <c r="R10" i="31"/>
  <c r="R11" i="31"/>
  <c r="R12" i="31"/>
  <c r="R7" i="31"/>
  <c r="T40" i="28"/>
  <c r="T41" i="28"/>
  <c r="T39" i="28"/>
  <c r="S40" i="28"/>
  <c r="S41" i="28"/>
  <c r="S39" i="28"/>
  <c r="R40" i="28"/>
  <c r="R41" i="28"/>
  <c r="R39" i="28"/>
  <c r="Y8" i="24" l="1"/>
  <c r="Y9" i="24"/>
  <c r="Y10" i="24"/>
  <c r="Y11" i="24"/>
  <c r="Y12" i="24"/>
  <c r="Y13" i="24"/>
  <c r="Y14" i="24"/>
  <c r="Y15" i="24"/>
  <c r="Y16" i="24"/>
  <c r="Y17" i="24"/>
  <c r="Y18" i="24"/>
  <c r="Y7" i="24"/>
  <c r="X8" i="24"/>
  <c r="X9" i="24"/>
  <c r="X10" i="24"/>
  <c r="X11" i="24"/>
  <c r="X12" i="24"/>
  <c r="X13" i="24"/>
  <c r="X14" i="24"/>
  <c r="X15" i="24"/>
  <c r="X16" i="24"/>
  <c r="X17" i="24"/>
  <c r="X18" i="24"/>
  <c r="X7" i="24"/>
  <c r="Z8" i="24"/>
  <c r="Z9" i="24"/>
  <c r="Z10" i="24"/>
  <c r="Z11" i="24"/>
  <c r="Z12" i="24"/>
  <c r="Z13" i="24"/>
  <c r="Z14" i="24"/>
  <c r="Z15" i="24"/>
  <c r="Z16" i="24"/>
  <c r="Z17" i="24"/>
  <c r="Z18" i="24"/>
  <c r="Z7" i="24"/>
  <c r="S83" i="23" l="1"/>
  <c r="Q82" i="23"/>
  <c r="Q83" i="23"/>
  <c r="Q81" i="23"/>
  <c r="S82" i="23"/>
  <c r="S81" i="23"/>
  <c r="R82" i="23"/>
  <c r="R83" i="23"/>
  <c r="R81" i="23"/>
  <c r="P92" i="21"/>
  <c r="P93" i="21"/>
  <c r="P91" i="21"/>
  <c r="O92" i="21"/>
  <c r="O93" i="21"/>
  <c r="O91" i="21"/>
  <c r="N92" i="21"/>
  <c r="N93" i="21"/>
  <c r="N91" i="21"/>
  <c r="Q88" i="3"/>
  <c r="Q89" i="3"/>
  <c r="Q87" i="3"/>
  <c r="P88" i="3"/>
  <c r="P89" i="3"/>
  <c r="P87" i="3"/>
  <c r="O88" i="3"/>
  <c r="O89" i="3"/>
  <c r="O87" i="3"/>
  <c r="AD24" i="87" l="1"/>
  <c r="AD23" i="87"/>
  <c r="J18" i="87"/>
  <c r="K18" i="87" s="1"/>
  <c r="D18" i="87"/>
  <c r="E18" i="87" s="1"/>
  <c r="C18" i="87"/>
  <c r="J17" i="87"/>
  <c r="K17" i="87" s="1"/>
  <c r="D17" i="87"/>
  <c r="E17" i="87" s="1"/>
  <c r="C17" i="87"/>
  <c r="J16" i="87"/>
  <c r="K16" i="87" s="1"/>
  <c r="D16" i="87"/>
  <c r="E16" i="87" s="1"/>
  <c r="F16" i="87" s="1"/>
  <c r="C16" i="87"/>
  <c r="J15" i="87"/>
  <c r="K15" i="87" s="1"/>
  <c r="D15" i="87"/>
  <c r="E15" i="87" s="1"/>
  <c r="F15" i="87" s="1"/>
  <c r="C15" i="87"/>
  <c r="J14" i="87"/>
  <c r="K14" i="87" s="1"/>
  <c r="D14" i="87"/>
  <c r="E14" i="87" s="1"/>
  <c r="F14" i="87" s="1"/>
  <c r="C14" i="87"/>
  <c r="J13" i="87"/>
  <c r="K13" i="87" s="1"/>
  <c r="D13" i="87"/>
  <c r="E13" i="87" s="1"/>
  <c r="C13" i="87"/>
  <c r="J12" i="87"/>
  <c r="K12" i="87" s="1"/>
  <c r="D12" i="87"/>
  <c r="E12" i="87" s="1"/>
  <c r="C12" i="87"/>
  <c r="V29" i="87"/>
  <c r="J11" i="87"/>
  <c r="K11" i="87" s="1"/>
  <c r="D11" i="87"/>
  <c r="E11" i="87" s="1"/>
  <c r="C11" i="87"/>
  <c r="J10" i="87"/>
  <c r="K10" i="87" s="1"/>
  <c r="D10" i="87"/>
  <c r="E10" i="87" s="1"/>
  <c r="C10" i="87"/>
  <c r="J9" i="87"/>
  <c r="K9" i="87" s="1"/>
  <c r="D9" i="87"/>
  <c r="E9" i="87" s="1"/>
  <c r="F9" i="87" s="1"/>
  <c r="C9" i="87"/>
  <c r="J8" i="87"/>
  <c r="K8" i="87" s="1"/>
  <c r="D8" i="87"/>
  <c r="E8" i="87" s="1"/>
  <c r="C8" i="87"/>
  <c r="J7" i="87"/>
  <c r="K7" i="87" s="1"/>
  <c r="D7" i="87"/>
  <c r="E7" i="87" s="1"/>
  <c r="F7" i="87" s="1"/>
  <c r="C7" i="87"/>
  <c r="J6" i="87"/>
  <c r="K6" i="87" s="1"/>
  <c r="D6" i="87"/>
  <c r="E6" i="87" s="1"/>
  <c r="F6" i="87" s="1"/>
  <c r="C6" i="87"/>
  <c r="F12" i="87" l="1"/>
  <c r="F17" i="87"/>
  <c r="F10" i="87"/>
  <c r="F8" i="87"/>
  <c r="F18" i="87"/>
  <c r="F11" i="87"/>
  <c r="F13" i="87"/>
  <c r="H10" i="87"/>
  <c r="L10" i="87"/>
  <c r="G10" i="87"/>
  <c r="L6" i="87"/>
  <c r="G6" i="87"/>
  <c r="H6" i="87"/>
  <c r="G16" i="87"/>
  <c r="N16" i="87" s="1"/>
  <c r="H16" i="87"/>
  <c r="L16" i="87"/>
  <c r="H11" i="87"/>
  <c r="G11" i="87"/>
  <c r="N11" i="87" s="1"/>
  <c r="L11" i="87"/>
  <c r="H9" i="87"/>
  <c r="G9" i="87"/>
  <c r="N9" i="87" s="1"/>
  <c r="L9" i="87"/>
  <c r="W29" i="87"/>
  <c r="X29" i="87"/>
  <c r="G15" i="87"/>
  <c r="N15" i="87" s="1"/>
  <c r="H15" i="87"/>
  <c r="L15" i="87"/>
  <c r="L8" i="87"/>
  <c r="H8" i="87"/>
  <c r="G8" i="87"/>
  <c r="N8" i="87" s="1"/>
  <c r="G13" i="87"/>
  <c r="N13" i="87" s="1"/>
  <c r="H13" i="87"/>
  <c r="L13" i="87"/>
  <c r="L7" i="87"/>
  <c r="G7" i="87"/>
  <c r="N7" i="87" s="1"/>
  <c r="H7" i="87"/>
  <c r="G14" i="87"/>
  <c r="H14" i="87"/>
  <c r="L14" i="87"/>
  <c r="G18" i="87"/>
  <c r="H18" i="87"/>
  <c r="L18" i="87"/>
  <c r="H12" i="87"/>
  <c r="G12" i="87"/>
  <c r="N12" i="87" s="1"/>
  <c r="L12" i="87"/>
  <c r="G17" i="87"/>
  <c r="H17" i="87"/>
  <c r="L17" i="87"/>
  <c r="V13" i="87"/>
  <c r="V14" i="87"/>
  <c r="V16" i="87"/>
  <c r="V17" i="87"/>
  <c r="V22" i="87"/>
  <c r="V30" i="87"/>
  <c r="V18" i="87"/>
  <c r="V19" i="87"/>
  <c r="V23" i="87"/>
  <c r="V25" i="87"/>
  <c r="V7" i="87"/>
  <c r="V21" i="87"/>
  <c r="V28" i="87"/>
  <c r="V15" i="87"/>
  <c r="V8" i="87"/>
  <c r="V9" i="87"/>
  <c r="V10" i="87"/>
  <c r="V11" i="87"/>
  <c r="V31" i="87"/>
  <c r="AB11" i="87"/>
  <c r="V6" i="87"/>
  <c r="V20" i="87"/>
  <c r="V26" i="87"/>
  <c r="V27" i="87"/>
  <c r="V12" i="87"/>
  <c r="V24" i="87"/>
  <c r="P12" i="87" l="1"/>
  <c r="O12" i="87"/>
  <c r="P13" i="87"/>
  <c r="O13" i="87"/>
  <c r="O8" i="87"/>
  <c r="P8" i="87"/>
  <c r="X31" i="87"/>
  <c r="W31" i="87"/>
  <c r="X11" i="87"/>
  <c r="W11" i="87"/>
  <c r="X27" i="87"/>
  <c r="W27" i="87"/>
  <c r="X9" i="87"/>
  <c r="W9" i="87"/>
  <c r="X19" i="87"/>
  <c r="W19" i="87"/>
  <c r="P9" i="87"/>
  <c r="O9" i="87"/>
  <c r="P16" i="87"/>
  <c r="O16" i="87"/>
  <c r="X12" i="87"/>
  <c r="W12" i="87"/>
  <c r="P15" i="87"/>
  <c r="O15" i="87"/>
  <c r="W26" i="87"/>
  <c r="X26" i="87"/>
  <c r="X8" i="87"/>
  <c r="W8" i="87"/>
  <c r="W18" i="87"/>
  <c r="X18" i="87"/>
  <c r="M9" i="87"/>
  <c r="M16" i="87"/>
  <c r="M12" i="87"/>
  <c r="X25" i="87"/>
  <c r="W25" i="87"/>
  <c r="X10" i="87"/>
  <c r="W10" i="87"/>
  <c r="W13" i="87"/>
  <c r="X13" i="87"/>
  <c r="W20" i="87"/>
  <c r="X20" i="87"/>
  <c r="W15" i="87"/>
  <c r="X15" i="87"/>
  <c r="X30" i="87"/>
  <c r="W30" i="87"/>
  <c r="M7" i="87"/>
  <c r="W16" i="87"/>
  <c r="X16" i="87"/>
  <c r="X24" i="87"/>
  <c r="W24" i="87"/>
  <c r="P7" i="87"/>
  <c r="O7" i="87"/>
  <c r="M8" i="87"/>
  <c r="X28" i="87"/>
  <c r="W28" i="87"/>
  <c r="W22" i="87"/>
  <c r="X22" i="87"/>
  <c r="N14" i="87"/>
  <c r="M14" i="87" s="1"/>
  <c r="O11" i="87"/>
  <c r="P11" i="87"/>
  <c r="N18" i="87"/>
  <c r="M18" i="87" s="1"/>
  <c r="X7" i="87"/>
  <c r="W7" i="87"/>
  <c r="W14" i="87"/>
  <c r="X14" i="87"/>
  <c r="M13" i="87"/>
  <c r="X23" i="87"/>
  <c r="W23" i="87"/>
  <c r="X21" i="87"/>
  <c r="W21" i="87"/>
  <c r="W17" i="87"/>
  <c r="X17" i="87"/>
  <c r="N10" i="87"/>
  <c r="M15" i="87"/>
  <c r="M11" i="87"/>
  <c r="N17" i="87"/>
  <c r="M17" i="87" s="1"/>
  <c r="P10" i="87" l="1"/>
  <c r="O10" i="87"/>
  <c r="P14" i="87"/>
  <c r="O14" i="87"/>
  <c r="M10" i="87"/>
  <c r="P17" i="87"/>
  <c r="O17" i="87"/>
  <c r="P18" i="87"/>
  <c r="O18" i="87"/>
  <c r="I8" i="67" l="1"/>
  <c r="I9" i="67"/>
  <c r="I10" i="67"/>
  <c r="I11" i="67"/>
  <c r="I7" i="67"/>
  <c r="AD24" i="81"/>
  <c r="AD23" i="81"/>
  <c r="J18" i="81"/>
  <c r="K18" i="81" s="1"/>
  <c r="D18" i="81"/>
  <c r="E18" i="81" s="1"/>
  <c r="C18" i="81"/>
  <c r="J17" i="81"/>
  <c r="K17" i="81" s="1"/>
  <c r="D17" i="81"/>
  <c r="E17" i="81" s="1"/>
  <c r="C17" i="81"/>
  <c r="J16" i="81"/>
  <c r="K16" i="81" s="1"/>
  <c r="D16" i="81"/>
  <c r="E16" i="81" s="1"/>
  <c r="C16" i="81"/>
  <c r="J15" i="81"/>
  <c r="K15" i="81" s="1"/>
  <c r="D15" i="81"/>
  <c r="E15" i="81" s="1"/>
  <c r="C15" i="81"/>
  <c r="J14" i="81"/>
  <c r="K14" i="81" s="1"/>
  <c r="D14" i="81"/>
  <c r="E14" i="81" s="1"/>
  <c r="C14" i="81"/>
  <c r="J13" i="81"/>
  <c r="K13" i="81" s="1"/>
  <c r="D13" i="81"/>
  <c r="E13" i="81" s="1"/>
  <c r="C13" i="81"/>
  <c r="J12" i="81"/>
  <c r="K12" i="81" s="1"/>
  <c r="D12" i="81"/>
  <c r="E12" i="81" s="1"/>
  <c r="C12" i="81"/>
  <c r="V29" i="81"/>
  <c r="J11" i="81"/>
  <c r="K11" i="81" s="1"/>
  <c r="D11" i="81"/>
  <c r="E11" i="81" s="1"/>
  <c r="C11" i="81"/>
  <c r="J10" i="81"/>
  <c r="K10" i="81" s="1"/>
  <c r="D10" i="81"/>
  <c r="E10" i="81" s="1"/>
  <c r="C10" i="81"/>
  <c r="J9" i="81"/>
  <c r="K9" i="81" s="1"/>
  <c r="D9" i="81"/>
  <c r="E9" i="81" s="1"/>
  <c r="C9" i="81"/>
  <c r="J8" i="81"/>
  <c r="K8" i="81" s="1"/>
  <c r="D8" i="81"/>
  <c r="E8" i="81" s="1"/>
  <c r="C8" i="81"/>
  <c r="J7" i="81"/>
  <c r="K7" i="81" s="1"/>
  <c r="D7" i="81"/>
  <c r="E7" i="81" s="1"/>
  <c r="F7" i="81" s="1"/>
  <c r="C7" i="81"/>
  <c r="J6" i="81"/>
  <c r="K6" i="81" s="1"/>
  <c r="D6" i="81"/>
  <c r="E6" i="81" s="1"/>
  <c r="F6" i="81" s="1"/>
  <c r="L6" i="81" s="1"/>
  <c r="C6" i="81"/>
  <c r="F10" i="81" l="1"/>
  <c r="F15" i="81"/>
  <c r="H15" i="81" s="1"/>
  <c r="F8" i="81"/>
  <c r="H8" i="81" s="1"/>
  <c r="F18" i="81"/>
  <c r="H18" i="81" s="1"/>
  <c r="F11" i="81"/>
  <c r="G11" i="81" s="1"/>
  <c r="F13" i="81"/>
  <c r="H13" i="81" s="1"/>
  <c r="F16" i="81"/>
  <c r="G16" i="81" s="1"/>
  <c r="N16" i="81" s="1"/>
  <c r="F9" i="81"/>
  <c r="L9" i="81" s="1"/>
  <c r="F14" i="81"/>
  <c r="F12" i="81"/>
  <c r="H12" i="81" s="1"/>
  <c r="F17" i="81"/>
  <c r="L17" i="81" s="1"/>
  <c r="G10" i="81"/>
  <c r="N10" i="81" s="1"/>
  <c r="L10" i="81"/>
  <c r="G9" i="81"/>
  <c r="N9" i="81" s="1"/>
  <c r="O9" i="81" s="1"/>
  <c r="G15" i="81"/>
  <c r="N15" i="81" s="1"/>
  <c r="L7" i="81"/>
  <c r="H7" i="81"/>
  <c r="G7" i="81"/>
  <c r="N7" i="81" s="1"/>
  <c r="N11" i="81"/>
  <c r="X29" i="81"/>
  <c r="W29" i="81"/>
  <c r="G14" i="81"/>
  <c r="N14" i="81" s="1"/>
  <c r="L14" i="81"/>
  <c r="H14" i="81"/>
  <c r="L13" i="81"/>
  <c r="G12" i="81"/>
  <c r="N12" i="81" s="1"/>
  <c r="L12" i="81"/>
  <c r="V15" i="81"/>
  <c r="V16" i="81"/>
  <c r="V18" i="81"/>
  <c r="V22" i="81"/>
  <c r="G6" i="81"/>
  <c r="AB11" i="81"/>
  <c r="V27" i="81"/>
  <c r="V13" i="81"/>
  <c r="V14" i="81"/>
  <c r="V17" i="81"/>
  <c r="H6" i="81"/>
  <c r="V30" i="81"/>
  <c r="V23" i="81"/>
  <c r="V21" i="81"/>
  <c r="V28" i="81"/>
  <c r="V19" i="81"/>
  <c r="G8" i="81"/>
  <c r="V8" i="81"/>
  <c r="H9" i="81"/>
  <c r="V9" i="81"/>
  <c r="H10" i="81"/>
  <c r="V10" i="81"/>
  <c r="H11" i="81"/>
  <c r="V11" i="81"/>
  <c r="V31" i="81"/>
  <c r="V7" i="81"/>
  <c r="V6" i="81"/>
  <c r="V20" i="81"/>
  <c r="V26" i="81"/>
  <c r="V25" i="81"/>
  <c r="V12" i="81"/>
  <c r="V24" i="81"/>
  <c r="L15" i="81" l="1"/>
  <c r="G13" i="81"/>
  <c r="L18" i="81"/>
  <c r="L11" i="81"/>
  <c r="P11" i="81" s="1"/>
  <c r="G17" i="81"/>
  <c r="L16" i="81"/>
  <c r="P16" i="81" s="1"/>
  <c r="L8" i="81"/>
  <c r="G18" i="81"/>
  <c r="N18" i="81" s="1"/>
  <c r="M18" i="81" s="1"/>
  <c r="H17" i="81"/>
  <c r="H16" i="81"/>
  <c r="P9" i="81"/>
  <c r="M9" i="81"/>
  <c r="X18" i="81"/>
  <c r="W18" i="81"/>
  <c r="O16" i="81"/>
  <c r="W26" i="81"/>
  <c r="X26" i="81"/>
  <c r="P14" i="81"/>
  <c r="O14" i="81"/>
  <c r="X7" i="81"/>
  <c r="W7" i="81"/>
  <c r="X17" i="81"/>
  <c r="W17" i="81"/>
  <c r="X16" i="81"/>
  <c r="W16" i="81"/>
  <c r="M12" i="81"/>
  <c r="P15" i="81"/>
  <c r="O15" i="81"/>
  <c r="X9" i="81"/>
  <c r="W9" i="81"/>
  <c r="P12" i="81"/>
  <c r="O12" i="81"/>
  <c r="X8" i="81"/>
  <c r="W8" i="81"/>
  <c r="X31" i="81"/>
  <c r="W31" i="81"/>
  <c r="X14" i="81"/>
  <c r="W14" i="81"/>
  <c r="X15" i="81"/>
  <c r="W15" i="81"/>
  <c r="M14" i="81"/>
  <c r="M16" i="81"/>
  <c r="N8" i="81"/>
  <c r="M8" i="81" s="1"/>
  <c r="W20" i="81"/>
  <c r="X20" i="81"/>
  <c r="W30" i="81"/>
  <c r="X30" i="81"/>
  <c r="W24" i="81"/>
  <c r="X24" i="81"/>
  <c r="X19" i="81"/>
  <c r="W19" i="81"/>
  <c r="O10" i="81"/>
  <c r="P10" i="81"/>
  <c r="N13" i="81"/>
  <c r="W12" i="81"/>
  <c r="X12" i="81"/>
  <c r="X28" i="81"/>
  <c r="W28" i="81"/>
  <c r="X27" i="81"/>
  <c r="W27" i="81"/>
  <c r="P7" i="81"/>
  <c r="O7" i="81"/>
  <c r="O11" i="81"/>
  <c r="X23" i="81"/>
  <c r="W23" i="81"/>
  <c r="X22" i="81"/>
  <c r="W22" i="81"/>
  <c r="X11" i="81"/>
  <c r="W11" i="81"/>
  <c r="X13" i="81"/>
  <c r="W13" i="81"/>
  <c r="M10" i="81"/>
  <c r="X25" i="81"/>
  <c r="W25" i="81"/>
  <c r="X10" i="81"/>
  <c r="W10" i="81"/>
  <c r="X21" i="81"/>
  <c r="W21" i="81"/>
  <c r="M11" i="81"/>
  <c r="M7" i="81"/>
  <c r="N17" i="81"/>
  <c r="M15" i="81"/>
  <c r="P13" i="81" l="1"/>
  <c r="O13" i="81"/>
  <c r="P17" i="81"/>
  <c r="O17" i="81"/>
  <c r="M17" i="81"/>
  <c r="O8" i="81"/>
  <c r="P8" i="81"/>
  <c r="M13" i="81"/>
  <c r="P18" i="81"/>
  <c r="O18" i="81"/>
  <c r="B7" i="77"/>
  <c r="J9" i="75"/>
  <c r="J10" i="75"/>
  <c r="J11" i="75"/>
  <c r="J8" i="75"/>
  <c r="AD24" i="78" l="1"/>
  <c r="AD23" i="78"/>
  <c r="AA20" i="78"/>
  <c r="J18" i="78"/>
  <c r="K18" i="78" s="1"/>
  <c r="D18" i="78"/>
  <c r="E18" i="78" s="1"/>
  <c r="C18" i="78"/>
  <c r="J17" i="78"/>
  <c r="K17" i="78" s="1"/>
  <c r="D17" i="78"/>
  <c r="E17" i="78" s="1"/>
  <c r="C17" i="78"/>
  <c r="J16" i="78"/>
  <c r="K16" i="78" s="1"/>
  <c r="D16" i="78"/>
  <c r="E16" i="78" s="1"/>
  <c r="C16" i="78"/>
  <c r="J15" i="78"/>
  <c r="K15" i="78" s="1"/>
  <c r="D15" i="78"/>
  <c r="E15" i="78" s="1"/>
  <c r="C15" i="78"/>
  <c r="J14" i="78"/>
  <c r="K14" i="78" s="1"/>
  <c r="D14" i="78"/>
  <c r="E14" i="78" s="1"/>
  <c r="C14" i="78"/>
  <c r="J13" i="78"/>
  <c r="K13" i="78" s="1"/>
  <c r="D13" i="78"/>
  <c r="E13" i="78" s="1"/>
  <c r="C13" i="78"/>
  <c r="AA12" i="78"/>
  <c r="J12" i="78"/>
  <c r="K12" i="78" s="1"/>
  <c r="D12" i="78"/>
  <c r="E12" i="78" s="1"/>
  <c r="C12" i="78"/>
  <c r="AA11" i="78"/>
  <c r="J11" i="78"/>
  <c r="K11" i="78" s="1"/>
  <c r="D11" i="78"/>
  <c r="E11" i="78" s="1"/>
  <c r="C11" i="78"/>
  <c r="J10" i="78"/>
  <c r="K10" i="78" s="1"/>
  <c r="D10" i="78"/>
  <c r="E10" i="78" s="1"/>
  <c r="C10" i="78"/>
  <c r="J9" i="78"/>
  <c r="K9" i="78" s="1"/>
  <c r="D9" i="78"/>
  <c r="E9" i="78" s="1"/>
  <c r="C9" i="78"/>
  <c r="J8" i="78"/>
  <c r="K8" i="78" s="1"/>
  <c r="D8" i="78"/>
  <c r="E8" i="78" s="1"/>
  <c r="C8" i="78"/>
  <c r="AA7" i="78"/>
  <c r="J7" i="78"/>
  <c r="K7" i="78" s="1"/>
  <c r="D7" i="78"/>
  <c r="E7" i="78" s="1"/>
  <c r="C7" i="78"/>
  <c r="J6" i="78"/>
  <c r="K6" i="78" s="1"/>
  <c r="D6" i="78"/>
  <c r="E6" i="78" s="1"/>
  <c r="C6" i="78"/>
  <c r="V29" i="78" l="1"/>
  <c r="X29" i="78" s="1"/>
  <c r="F10" i="78"/>
  <c r="F9" i="78"/>
  <c r="F7" i="78"/>
  <c r="F14" i="78"/>
  <c r="G14" i="78" s="1"/>
  <c r="N14" i="78" s="1"/>
  <c r="F12" i="78"/>
  <c r="F17" i="78"/>
  <c r="G17" i="78" s="1"/>
  <c r="N17" i="78" s="1"/>
  <c r="F15" i="78"/>
  <c r="H15" i="78" s="1"/>
  <c r="F18" i="78"/>
  <c r="F6" i="78"/>
  <c r="F11" i="78"/>
  <c r="F13" i="78"/>
  <c r="F8" i="78"/>
  <c r="G8" i="78" s="1"/>
  <c r="N8" i="78" s="1"/>
  <c r="F16" i="78"/>
  <c r="AA21" i="78"/>
  <c r="H14" i="78"/>
  <c r="H12" i="78"/>
  <c r="G12" i="78"/>
  <c r="N12" i="78" s="1"/>
  <c r="L12" i="78"/>
  <c r="L6" i="78"/>
  <c r="G6" i="78"/>
  <c r="H6" i="78"/>
  <c r="H11" i="78"/>
  <c r="G11" i="78"/>
  <c r="L11" i="78"/>
  <c r="G13" i="78"/>
  <c r="N13" i="78" s="1"/>
  <c r="L13" i="78"/>
  <c r="H13" i="78"/>
  <c r="H10" i="78"/>
  <c r="G10" i="78"/>
  <c r="L10" i="78"/>
  <c r="G16" i="78"/>
  <c r="N16" i="78" s="1"/>
  <c r="L16" i="78"/>
  <c r="H16" i="78"/>
  <c r="G18" i="78"/>
  <c r="L18" i="78"/>
  <c r="H18" i="78"/>
  <c r="L7" i="78"/>
  <c r="H7" i="78"/>
  <c r="G7" i="78"/>
  <c r="H9" i="78"/>
  <c r="G9" i="78"/>
  <c r="L9" i="78"/>
  <c r="V14" i="78"/>
  <c r="V16" i="78"/>
  <c r="V17" i="78"/>
  <c r="V30" i="78"/>
  <c r="V18" i="78"/>
  <c r="V27" i="78"/>
  <c r="V19" i="78"/>
  <c r="V23" i="78"/>
  <c r="V25" i="78"/>
  <c r="V7" i="78"/>
  <c r="V21" i="78"/>
  <c r="V28" i="78"/>
  <c r="V15" i="78"/>
  <c r="V22" i="78"/>
  <c r="V8" i="78"/>
  <c r="V9" i="78"/>
  <c r="V10" i="78"/>
  <c r="V11" i="78"/>
  <c r="V31" i="78"/>
  <c r="V13" i="78"/>
  <c r="AB11" i="78"/>
  <c r="V20" i="78"/>
  <c r="V26" i="78"/>
  <c r="V6" i="78"/>
  <c r="V12" i="78"/>
  <c r="V24" i="78"/>
  <c r="I8" i="77"/>
  <c r="J8" i="77" s="1"/>
  <c r="K8" i="77" s="1"/>
  <c r="I9" i="77"/>
  <c r="I10" i="77"/>
  <c r="J10" i="77" s="1"/>
  <c r="K10" i="77" s="1"/>
  <c r="I11" i="77"/>
  <c r="J11" i="77" s="1"/>
  <c r="K11" i="77" s="1"/>
  <c r="I7" i="77"/>
  <c r="J7" i="77" s="1"/>
  <c r="K7" i="77" s="1"/>
  <c r="B8" i="77"/>
  <c r="D8" i="77" s="1"/>
  <c r="E8" i="77" s="1"/>
  <c r="B9" i="77"/>
  <c r="D9" i="77" s="1"/>
  <c r="E9" i="77" s="1"/>
  <c r="B10" i="77"/>
  <c r="C10" i="77" s="1"/>
  <c r="B11" i="77"/>
  <c r="C11" i="77" s="1"/>
  <c r="D7" i="77"/>
  <c r="E7" i="77" s="1"/>
  <c r="AE24" i="77"/>
  <c r="AE23" i="77"/>
  <c r="AB20" i="77"/>
  <c r="AB12" i="77"/>
  <c r="AB11" i="77"/>
  <c r="J9" i="77"/>
  <c r="K9" i="77" s="1"/>
  <c r="C8" i="77"/>
  <c r="AB7" i="77"/>
  <c r="J6" i="77"/>
  <c r="K6" i="77" s="1"/>
  <c r="E6" i="77"/>
  <c r="D6" i="77"/>
  <c r="C6" i="77"/>
  <c r="AD25" i="76"/>
  <c r="AD24" i="76"/>
  <c r="AA21" i="76"/>
  <c r="AA13" i="76"/>
  <c r="AA12" i="76"/>
  <c r="J12" i="76"/>
  <c r="K12" i="76" s="1"/>
  <c r="D12" i="76"/>
  <c r="E12" i="76" s="1"/>
  <c r="C12" i="76"/>
  <c r="J11" i="76"/>
  <c r="K11" i="76" s="1"/>
  <c r="D11" i="76"/>
  <c r="E11" i="76" s="1"/>
  <c r="C11" i="76"/>
  <c r="J10" i="76"/>
  <c r="K10" i="76" s="1"/>
  <c r="D10" i="76"/>
  <c r="E10" i="76" s="1"/>
  <c r="C10" i="76"/>
  <c r="J9" i="76"/>
  <c r="K9" i="76" s="1"/>
  <c r="D9" i="76"/>
  <c r="E9" i="76" s="1"/>
  <c r="C9" i="76"/>
  <c r="AA8" i="76"/>
  <c r="J8" i="76"/>
  <c r="K8" i="76" s="1"/>
  <c r="D8" i="76"/>
  <c r="E8" i="76" s="1"/>
  <c r="C8" i="76"/>
  <c r="J7" i="76"/>
  <c r="K7" i="76" s="1"/>
  <c r="D7" i="76"/>
  <c r="E7" i="76" s="1"/>
  <c r="C7" i="76"/>
  <c r="AD25" i="75"/>
  <c r="AD24" i="75"/>
  <c r="AA21" i="75"/>
  <c r="AA13" i="75"/>
  <c r="AA12" i="75"/>
  <c r="D11" i="75"/>
  <c r="E11" i="75" s="1"/>
  <c r="C11" i="75"/>
  <c r="K11" i="75"/>
  <c r="D10" i="75"/>
  <c r="E10" i="75" s="1"/>
  <c r="C10" i="75"/>
  <c r="K10" i="75"/>
  <c r="D9" i="75"/>
  <c r="E9" i="75" s="1"/>
  <c r="C9" i="75"/>
  <c r="K9" i="75"/>
  <c r="D8" i="75"/>
  <c r="E8" i="75" s="1"/>
  <c r="C8" i="75"/>
  <c r="AA8" i="75"/>
  <c r="K8" i="75"/>
  <c r="J7" i="75"/>
  <c r="K7" i="75" s="1"/>
  <c r="D7" i="75"/>
  <c r="E7" i="75" s="1"/>
  <c r="F7" i="75" s="1"/>
  <c r="C7" i="75"/>
  <c r="G15" i="78" l="1"/>
  <c r="L14" i="78"/>
  <c r="L15" i="78"/>
  <c r="W29" i="78"/>
  <c r="W11" i="77"/>
  <c r="Y11" i="77" s="1"/>
  <c r="V9" i="76"/>
  <c r="V17" i="76"/>
  <c r="V25" i="76"/>
  <c r="V22" i="76"/>
  <c r="V23" i="76"/>
  <c r="V10" i="76"/>
  <c r="V18" i="76"/>
  <c r="V26" i="76"/>
  <c r="V15" i="76"/>
  <c r="V11" i="76"/>
  <c r="V19" i="76"/>
  <c r="V27" i="76"/>
  <c r="X27" i="76" s="1"/>
  <c r="V14" i="76"/>
  <c r="V12" i="76"/>
  <c r="V20" i="76"/>
  <c r="V28" i="76"/>
  <c r="V13" i="76"/>
  <c r="V21" i="76"/>
  <c r="V29" i="76"/>
  <c r="V30" i="76"/>
  <c r="V31" i="76"/>
  <c r="V8" i="76"/>
  <c r="X8" i="76" s="1"/>
  <c r="V16" i="76"/>
  <c r="V24" i="76"/>
  <c r="V32" i="76"/>
  <c r="V7" i="76"/>
  <c r="L9" i="75"/>
  <c r="L8" i="75"/>
  <c r="V7" i="75"/>
  <c r="V15" i="75"/>
  <c r="V23" i="75"/>
  <c r="V8" i="75"/>
  <c r="V16" i="75"/>
  <c r="V24" i="75"/>
  <c r="V32" i="75"/>
  <c r="V26" i="75"/>
  <c r="V21" i="75"/>
  <c r="V9" i="75"/>
  <c r="V17" i="75"/>
  <c r="V25" i="75"/>
  <c r="V10" i="75"/>
  <c r="V18" i="75"/>
  <c r="V27" i="75"/>
  <c r="V11" i="75"/>
  <c r="V19" i="75"/>
  <c r="V29" i="75"/>
  <c r="W29" i="75" s="1"/>
  <c r="V12" i="75"/>
  <c r="V20" i="75"/>
  <c r="W20" i="75" s="1"/>
  <c r="V28" i="75"/>
  <c r="X28" i="75" s="1"/>
  <c r="V13" i="75"/>
  <c r="X13" i="75" s="1"/>
  <c r="V14" i="75"/>
  <c r="V22" i="75"/>
  <c r="V30" i="75"/>
  <c r="V31" i="75"/>
  <c r="F9" i="77"/>
  <c r="L9" i="77" s="1"/>
  <c r="AB21" i="77"/>
  <c r="D10" i="77"/>
  <c r="E10" i="77" s="1"/>
  <c r="F10" i="77" s="1"/>
  <c r="H17" i="78"/>
  <c r="L17" i="78"/>
  <c r="P17" i="78" s="1"/>
  <c r="W6" i="77"/>
  <c r="W29" i="77"/>
  <c r="X29" i="77" s="1"/>
  <c r="H8" i="78"/>
  <c r="F7" i="76"/>
  <c r="H7" i="76" s="1"/>
  <c r="F10" i="76"/>
  <c r="G10" i="76" s="1"/>
  <c r="N10" i="76" s="1"/>
  <c r="F9" i="76"/>
  <c r="G9" i="76" s="1"/>
  <c r="N9" i="76" s="1"/>
  <c r="F11" i="76"/>
  <c r="L11" i="76" s="1"/>
  <c r="F8" i="77"/>
  <c r="G8" i="77" s="1"/>
  <c r="L8" i="78"/>
  <c r="P8" i="78" s="1"/>
  <c r="W9" i="77"/>
  <c r="Y9" i="77" s="1"/>
  <c r="AC11" i="77"/>
  <c r="W7" i="77"/>
  <c r="W16" i="77"/>
  <c r="Y16" i="77" s="1"/>
  <c r="W27" i="77"/>
  <c r="Y27" i="77" s="1"/>
  <c r="W30" i="77"/>
  <c r="Y30" i="77" s="1"/>
  <c r="W10" i="77"/>
  <c r="X10" i="77" s="1"/>
  <c r="F7" i="77"/>
  <c r="L7" i="77" s="1"/>
  <c r="F6" i="77"/>
  <c r="H6" i="77" s="1"/>
  <c r="W8" i="77"/>
  <c r="W19" i="77"/>
  <c r="Y19" i="77" s="1"/>
  <c r="W21" i="77"/>
  <c r="Y21" i="77" s="1"/>
  <c r="W31" i="77"/>
  <c r="Y31" i="77" s="1"/>
  <c r="W12" i="77"/>
  <c r="X12" i="77" s="1"/>
  <c r="F8" i="76"/>
  <c r="G8" i="76" s="1"/>
  <c r="F12" i="76"/>
  <c r="L12" i="76" s="1"/>
  <c r="W13" i="76"/>
  <c r="X28" i="76"/>
  <c r="P13" i="78"/>
  <c r="O13" i="78"/>
  <c r="O8" i="78"/>
  <c r="X31" i="78"/>
  <c r="W31" i="78"/>
  <c r="X28" i="78"/>
  <c r="W28" i="78"/>
  <c r="X30" i="78"/>
  <c r="W30" i="78"/>
  <c r="X24" i="78"/>
  <c r="W24" i="78"/>
  <c r="X11" i="78"/>
  <c r="W11" i="78"/>
  <c r="X21" i="78"/>
  <c r="W21" i="78"/>
  <c r="W17" i="78"/>
  <c r="X17" i="78"/>
  <c r="P14" i="78"/>
  <c r="O14" i="78"/>
  <c r="M12" i="78"/>
  <c r="N10" i="78"/>
  <c r="M10" i="78" s="1"/>
  <c r="O17" i="78"/>
  <c r="X9" i="78"/>
  <c r="W9" i="78"/>
  <c r="P12" i="78"/>
  <c r="O12" i="78"/>
  <c r="W26" i="78"/>
  <c r="X26" i="78"/>
  <c r="X8" i="78"/>
  <c r="W8" i="78"/>
  <c r="X23" i="78"/>
  <c r="W23" i="78"/>
  <c r="P16" i="78"/>
  <c r="O16" i="78"/>
  <c r="M16" i="78"/>
  <c r="X12" i="78"/>
  <c r="W12" i="78"/>
  <c r="W16" i="78"/>
  <c r="X16" i="78"/>
  <c r="W14" i="78"/>
  <c r="X14" i="78"/>
  <c r="W20" i="78"/>
  <c r="X20" i="78"/>
  <c r="N7" i="78"/>
  <c r="X19" i="78"/>
  <c r="W19" i="78"/>
  <c r="M14" i="78"/>
  <c r="X7" i="78"/>
  <c r="W7" i="78"/>
  <c r="M8" i="78"/>
  <c r="W22" i="78"/>
  <c r="X22" i="78"/>
  <c r="X27" i="78"/>
  <c r="W27" i="78"/>
  <c r="N11" i="78"/>
  <c r="M13" i="78"/>
  <c r="M17" i="78"/>
  <c r="X10" i="78"/>
  <c r="W10" i="78"/>
  <c r="X25" i="78"/>
  <c r="W25" i="78"/>
  <c r="N18" i="78"/>
  <c r="M18" i="78" s="1"/>
  <c r="W13" i="78"/>
  <c r="X13" i="78"/>
  <c r="W15" i="78"/>
  <c r="X15" i="78"/>
  <c r="W18" i="78"/>
  <c r="X18" i="78"/>
  <c r="N15" i="78"/>
  <c r="M15" i="78" s="1"/>
  <c r="N9" i="78"/>
  <c r="M9" i="78" s="1"/>
  <c r="G9" i="77"/>
  <c r="D11" i="77"/>
  <c r="E11" i="77" s="1"/>
  <c r="F11" i="77" s="1"/>
  <c r="W15" i="77"/>
  <c r="W22" i="77"/>
  <c r="C9" i="77"/>
  <c r="W23" i="77"/>
  <c r="W25" i="77"/>
  <c r="W13" i="77"/>
  <c r="W17" i="77"/>
  <c r="W20" i="77"/>
  <c r="W28" i="77"/>
  <c r="C7" i="77"/>
  <c r="X11" i="77"/>
  <c r="W14" i="77"/>
  <c r="W18" i="77"/>
  <c r="W26" i="77"/>
  <c r="W24" i="77"/>
  <c r="X32" i="76"/>
  <c r="W32" i="76"/>
  <c r="L9" i="76"/>
  <c r="H8" i="76"/>
  <c r="AA22" i="76"/>
  <c r="AB12" i="76"/>
  <c r="F10" i="75"/>
  <c r="F8" i="75"/>
  <c r="X32" i="75"/>
  <c r="F9" i="75"/>
  <c r="AA22" i="75"/>
  <c r="F11" i="75"/>
  <c r="X29" i="75"/>
  <c r="H7" i="75"/>
  <c r="G7" i="75"/>
  <c r="L7" i="75"/>
  <c r="AB12" i="75"/>
  <c r="J9" i="71"/>
  <c r="K9" i="71" s="1"/>
  <c r="J12" i="71"/>
  <c r="K12" i="71" s="1"/>
  <c r="J15" i="71"/>
  <c r="K15" i="71" s="1"/>
  <c r="J17" i="71"/>
  <c r="K17" i="71" s="1"/>
  <c r="J7" i="71"/>
  <c r="K7" i="71" s="1"/>
  <c r="D8" i="71"/>
  <c r="E8" i="71" s="1"/>
  <c r="D11" i="71"/>
  <c r="E11" i="71" s="1"/>
  <c r="D13" i="71"/>
  <c r="E13" i="71" s="1"/>
  <c r="D14" i="71"/>
  <c r="E14" i="71" s="1"/>
  <c r="D15" i="71"/>
  <c r="E15" i="71" s="1"/>
  <c r="D16" i="71"/>
  <c r="E16" i="71" s="1"/>
  <c r="D7" i="71"/>
  <c r="E7" i="71" s="1"/>
  <c r="AA24" i="71"/>
  <c r="AA23" i="71"/>
  <c r="J18" i="71"/>
  <c r="K18" i="71" s="1"/>
  <c r="D18" i="71"/>
  <c r="E18" i="71" s="1"/>
  <c r="C18" i="71"/>
  <c r="D17" i="71"/>
  <c r="E17" i="71" s="1"/>
  <c r="C17" i="71"/>
  <c r="J16" i="71"/>
  <c r="K16" i="71" s="1"/>
  <c r="J14" i="71"/>
  <c r="K14" i="71" s="1"/>
  <c r="C14" i="71"/>
  <c r="J13" i="71"/>
  <c r="K13" i="71" s="1"/>
  <c r="D12" i="71"/>
  <c r="E12" i="71" s="1"/>
  <c r="C12" i="71"/>
  <c r="J11" i="71"/>
  <c r="K11" i="71" s="1"/>
  <c r="C11" i="71"/>
  <c r="J10" i="71"/>
  <c r="K10" i="71" s="1"/>
  <c r="D10" i="71"/>
  <c r="E10" i="71" s="1"/>
  <c r="C10" i="71"/>
  <c r="D9" i="71"/>
  <c r="E9" i="71" s="1"/>
  <c r="C9" i="71"/>
  <c r="J8" i="71"/>
  <c r="K8" i="71" s="1"/>
  <c r="J6" i="71"/>
  <c r="K6" i="71" s="1"/>
  <c r="D6" i="71"/>
  <c r="E6" i="71" s="1"/>
  <c r="F6" i="71" s="1"/>
  <c r="C6" i="71"/>
  <c r="AD24" i="68"/>
  <c r="AD23" i="68"/>
  <c r="J18" i="68"/>
  <c r="K18" i="68" s="1"/>
  <c r="D18" i="68"/>
  <c r="E18" i="68" s="1"/>
  <c r="C18" i="68"/>
  <c r="J17" i="68"/>
  <c r="K17" i="68" s="1"/>
  <c r="D17" i="68"/>
  <c r="E17" i="68" s="1"/>
  <c r="C17" i="68"/>
  <c r="J16" i="68"/>
  <c r="K16" i="68" s="1"/>
  <c r="D16" i="68"/>
  <c r="E16" i="68" s="1"/>
  <c r="C16" i="68"/>
  <c r="J15" i="68"/>
  <c r="K15" i="68" s="1"/>
  <c r="D15" i="68"/>
  <c r="E15" i="68" s="1"/>
  <c r="C15" i="68"/>
  <c r="J14" i="68"/>
  <c r="K14" i="68" s="1"/>
  <c r="D14" i="68"/>
  <c r="E14" i="68" s="1"/>
  <c r="C14" i="68"/>
  <c r="J13" i="68"/>
  <c r="K13" i="68" s="1"/>
  <c r="D13" i="68"/>
  <c r="E13" i="68" s="1"/>
  <c r="C13" i="68"/>
  <c r="J12" i="68"/>
  <c r="K12" i="68" s="1"/>
  <c r="D12" i="68"/>
  <c r="E12" i="68" s="1"/>
  <c r="C12" i="68"/>
  <c r="V29" i="68"/>
  <c r="W29" i="68" s="1"/>
  <c r="J11" i="68"/>
  <c r="K11" i="68" s="1"/>
  <c r="D11" i="68"/>
  <c r="E11" i="68" s="1"/>
  <c r="C11" i="68"/>
  <c r="J10" i="68"/>
  <c r="K10" i="68" s="1"/>
  <c r="D10" i="68"/>
  <c r="E10" i="68" s="1"/>
  <c r="C10" i="68"/>
  <c r="J9" i="68"/>
  <c r="K9" i="68" s="1"/>
  <c r="D9" i="68"/>
  <c r="E9" i="68" s="1"/>
  <c r="F9" i="68" s="1"/>
  <c r="C9" i="68"/>
  <c r="J8" i="68"/>
  <c r="K8" i="68" s="1"/>
  <c r="D8" i="68"/>
  <c r="E8" i="68" s="1"/>
  <c r="F8" i="68" s="1"/>
  <c r="C8" i="68"/>
  <c r="J7" i="68"/>
  <c r="K7" i="68" s="1"/>
  <c r="D7" i="68"/>
  <c r="E7" i="68" s="1"/>
  <c r="F7" i="68" s="1"/>
  <c r="C7" i="68"/>
  <c r="J6" i="68"/>
  <c r="K6" i="68" s="1"/>
  <c r="D6" i="68"/>
  <c r="E6" i="68" s="1"/>
  <c r="F6" i="68" s="1"/>
  <c r="C6" i="68"/>
  <c r="J9" i="67"/>
  <c r="K9" i="67" s="1"/>
  <c r="J10" i="67"/>
  <c r="K10" i="67" s="1"/>
  <c r="J11" i="67"/>
  <c r="K11" i="67" s="1"/>
  <c r="L11" i="67" s="1"/>
  <c r="J7" i="67"/>
  <c r="K7" i="67" s="1"/>
  <c r="D8" i="67"/>
  <c r="E8" i="67" s="1"/>
  <c r="C9" i="67"/>
  <c r="D10" i="67"/>
  <c r="E10" i="67" s="1"/>
  <c r="D11" i="67"/>
  <c r="E11" i="67" s="1"/>
  <c r="D7" i="67"/>
  <c r="E7" i="67" s="1"/>
  <c r="AF24" i="67"/>
  <c r="AF23" i="67"/>
  <c r="J12" i="67"/>
  <c r="K12" i="67" s="1"/>
  <c r="D12" i="67"/>
  <c r="E12" i="67" s="1"/>
  <c r="C12" i="67"/>
  <c r="AE9" i="67"/>
  <c r="D9" i="67"/>
  <c r="E9" i="67" s="1"/>
  <c r="J8" i="67"/>
  <c r="K8" i="67" s="1"/>
  <c r="J6" i="67"/>
  <c r="K6" i="67" s="1"/>
  <c r="D6" i="67"/>
  <c r="E6" i="67" s="1"/>
  <c r="C6" i="67"/>
  <c r="L8" i="76" l="1"/>
  <c r="X9" i="77"/>
  <c r="X20" i="75"/>
  <c r="X30" i="77"/>
  <c r="L6" i="77"/>
  <c r="G6" i="77"/>
  <c r="X21" i="77"/>
  <c r="X16" i="77"/>
  <c r="H9" i="77"/>
  <c r="Y29" i="77"/>
  <c r="L10" i="77"/>
  <c r="G10" i="77"/>
  <c r="N10" i="77" s="1"/>
  <c r="O10" i="77" s="1"/>
  <c r="L8" i="77"/>
  <c r="H8" i="77"/>
  <c r="G7" i="77"/>
  <c r="N7" i="77" s="1"/>
  <c r="O7" i="77" s="1"/>
  <c r="H7" i="77"/>
  <c r="H10" i="77"/>
  <c r="F12" i="68"/>
  <c r="G12" i="68" s="1"/>
  <c r="N12" i="68" s="1"/>
  <c r="F10" i="71"/>
  <c r="G10" i="71" s="1"/>
  <c r="N10" i="71" s="1"/>
  <c r="F16" i="71"/>
  <c r="L16" i="71" s="1"/>
  <c r="F10" i="68"/>
  <c r="G10" i="68" s="1"/>
  <c r="F15" i="68"/>
  <c r="F13" i="71"/>
  <c r="L13" i="71" s="1"/>
  <c r="F8" i="71"/>
  <c r="H8" i="71" s="1"/>
  <c r="F12" i="71"/>
  <c r="G12" i="71" s="1"/>
  <c r="N12" i="71" s="1"/>
  <c r="F14" i="68"/>
  <c r="H14" i="68" s="1"/>
  <c r="W28" i="75"/>
  <c r="H10" i="76"/>
  <c r="L10" i="76"/>
  <c r="L7" i="76"/>
  <c r="G7" i="76"/>
  <c r="W8" i="76"/>
  <c r="G12" i="76"/>
  <c r="N12" i="76" s="1"/>
  <c r="W27" i="76"/>
  <c r="H9" i="76"/>
  <c r="H12" i="76"/>
  <c r="F17" i="68"/>
  <c r="G17" i="68" s="1"/>
  <c r="F9" i="71"/>
  <c r="L9" i="71" s="1"/>
  <c r="S26" i="71"/>
  <c r="T26" i="71" s="1"/>
  <c r="F17" i="71"/>
  <c r="L17" i="71" s="1"/>
  <c r="F15" i="71"/>
  <c r="L15" i="71" s="1"/>
  <c r="V12" i="68"/>
  <c r="W12" i="68" s="1"/>
  <c r="V24" i="68"/>
  <c r="X24" i="68" s="1"/>
  <c r="S24" i="71"/>
  <c r="U24" i="71" s="1"/>
  <c r="F14" i="71"/>
  <c r="L14" i="71" s="1"/>
  <c r="X31" i="77"/>
  <c r="X27" i="77"/>
  <c r="F18" i="71"/>
  <c r="L18" i="71" s="1"/>
  <c r="F11" i="68"/>
  <c r="G11" i="68" s="1"/>
  <c r="F18" i="68"/>
  <c r="C8" i="71"/>
  <c r="S12" i="71"/>
  <c r="U12" i="71" s="1"/>
  <c r="C16" i="71"/>
  <c r="S29" i="71"/>
  <c r="U29" i="71" s="1"/>
  <c r="F13" i="68"/>
  <c r="L13" i="68" s="1"/>
  <c r="F7" i="71"/>
  <c r="L7" i="71" s="1"/>
  <c r="F11" i="71"/>
  <c r="G11" i="71" s="1"/>
  <c r="N11" i="71" s="1"/>
  <c r="H11" i="76"/>
  <c r="V26" i="68"/>
  <c r="W26" i="68" s="1"/>
  <c r="F16" i="68"/>
  <c r="H16" i="68" s="1"/>
  <c r="C13" i="71"/>
  <c r="G11" i="76"/>
  <c r="N11" i="76" s="1"/>
  <c r="M11" i="76" s="1"/>
  <c r="Y10" i="77"/>
  <c r="Y7" i="77"/>
  <c r="X7" i="77"/>
  <c r="Y12" i="77"/>
  <c r="X19" i="77"/>
  <c r="X8" i="77"/>
  <c r="Y8" i="77"/>
  <c r="X13" i="76"/>
  <c r="W28" i="76"/>
  <c r="W13" i="75"/>
  <c r="H8" i="75"/>
  <c r="G11" i="75"/>
  <c r="L11" i="75"/>
  <c r="H10" i="75"/>
  <c r="L10" i="75"/>
  <c r="P11" i="78"/>
  <c r="O11" i="78"/>
  <c r="P15" i="78"/>
  <c r="O15" i="78"/>
  <c r="M11" i="78"/>
  <c r="P7" i="78"/>
  <c r="O7" i="78"/>
  <c r="M7" i="78"/>
  <c r="P18" i="78"/>
  <c r="O18" i="78"/>
  <c r="P10" i="78"/>
  <c r="O10" i="78"/>
  <c r="P9" i="78"/>
  <c r="O9" i="78"/>
  <c r="Z8" i="67"/>
  <c r="Y9" i="67"/>
  <c r="Z7" i="67"/>
  <c r="Z25" i="67"/>
  <c r="Z11" i="67"/>
  <c r="Z16" i="67"/>
  <c r="F8" i="67"/>
  <c r="M8" i="67" s="1"/>
  <c r="Z23" i="67"/>
  <c r="Y24" i="77"/>
  <c r="X24" i="77"/>
  <c r="Y23" i="77"/>
  <c r="X23" i="77"/>
  <c r="X28" i="77"/>
  <c r="Y28" i="77"/>
  <c r="X22" i="77"/>
  <c r="Y22" i="77"/>
  <c r="X26" i="77"/>
  <c r="Y26" i="77"/>
  <c r="X20" i="77"/>
  <c r="Y20" i="77"/>
  <c r="X15" i="77"/>
  <c r="Y15" i="77"/>
  <c r="X18" i="77"/>
  <c r="Y18" i="77"/>
  <c r="X17" i="77"/>
  <c r="Y17" i="77"/>
  <c r="H11" i="77"/>
  <c r="G11" i="77"/>
  <c r="L11" i="77"/>
  <c r="X25" i="77"/>
  <c r="Y25" i="77"/>
  <c r="Y13" i="77"/>
  <c r="X13" i="77"/>
  <c r="N8" i="77"/>
  <c r="X14" i="77"/>
  <c r="Y14" i="77"/>
  <c r="N9" i="77"/>
  <c r="M9" i="77" s="1"/>
  <c r="G10" i="75"/>
  <c r="N10" i="75" s="1"/>
  <c r="H9" i="75"/>
  <c r="X20" i="76"/>
  <c r="W20" i="76"/>
  <c r="W21" i="76"/>
  <c r="X21" i="76"/>
  <c r="X10" i="76"/>
  <c r="W10" i="76"/>
  <c r="W29" i="76"/>
  <c r="X29" i="76"/>
  <c r="W22" i="76"/>
  <c r="X22" i="76"/>
  <c r="X30" i="76"/>
  <c r="W30" i="76"/>
  <c r="O9" i="76"/>
  <c r="P9" i="76"/>
  <c r="X31" i="76"/>
  <c r="W31" i="76"/>
  <c r="X19" i="76"/>
  <c r="W19" i="76"/>
  <c r="X18" i="76"/>
  <c r="W18" i="76"/>
  <c r="X17" i="76"/>
  <c r="W17" i="76"/>
  <c r="X25" i="76"/>
  <c r="W25" i="76"/>
  <c r="X14" i="76"/>
  <c r="W14" i="76"/>
  <c r="X16" i="76"/>
  <c r="W16" i="76"/>
  <c r="O10" i="76"/>
  <c r="P10" i="76"/>
  <c r="M10" i="76"/>
  <c r="X26" i="76"/>
  <c r="W26" i="76"/>
  <c r="X15" i="76"/>
  <c r="W15" i="76"/>
  <c r="X12" i="76"/>
  <c r="W12" i="76"/>
  <c r="M9" i="76"/>
  <c r="X9" i="76"/>
  <c r="W9" i="76"/>
  <c r="X24" i="76"/>
  <c r="W24" i="76"/>
  <c r="W23" i="76"/>
  <c r="X23" i="76"/>
  <c r="X11" i="76"/>
  <c r="W11" i="76"/>
  <c r="N8" i="76"/>
  <c r="M8" i="76" s="1"/>
  <c r="G9" i="75"/>
  <c r="N9" i="75" s="1"/>
  <c r="G8" i="75"/>
  <c r="W32" i="75"/>
  <c r="H11" i="75"/>
  <c r="W24" i="75"/>
  <c r="X24" i="75"/>
  <c r="X21" i="75"/>
  <c r="W21" i="75"/>
  <c r="X17" i="75"/>
  <c r="W17" i="75"/>
  <c r="W25" i="75"/>
  <c r="X25" i="75"/>
  <c r="X8" i="75"/>
  <c r="W8" i="75"/>
  <c r="X22" i="75"/>
  <c r="W22" i="75"/>
  <c r="X16" i="75"/>
  <c r="W16" i="75"/>
  <c r="W12" i="75"/>
  <c r="X12" i="75"/>
  <c r="X15" i="75"/>
  <c r="W15" i="75"/>
  <c r="W11" i="75"/>
  <c r="X11" i="75"/>
  <c r="X27" i="75"/>
  <c r="W27" i="75"/>
  <c r="X31" i="75"/>
  <c r="W31" i="75"/>
  <c r="X14" i="75"/>
  <c r="W14" i="75"/>
  <c r="W10" i="75"/>
  <c r="X10" i="75"/>
  <c r="X19" i="75"/>
  <c r="W19" i="75"/>
  <c r="X18" i="75"/>
  <c r="W18" i="75"/>
  <c r="W30" i="75"/>
  <c r="X30" i="75"/>
  <c r="W26" i="75"/>
  <c r="X26" i="75"/>
  <c r="X23" i="75"/>
  <c r="W23" i="75"/>
  <c r="W9" i="75"/>
  <c r="X9" i="75"/>
  <c r="C15" i="71"/>
  <c r="C7" i="71"/>
  <c r="H7" i="71"/>
  <c r="G13" i="71"/>
  <c r="G9" i="71"/>
  <c r="L6" i="71"/>
  <c r="H6" i="71"/>
  <c r="G6" i="71"/>
  <c r="G14" i="71"/>
  <c r="S13" i="71"/>
  <c r="S14" i="71"/>
  <c r="S15" i="71"/>
  <c r="S16" i="71"/>
  <c r="S17" i="71"/>
  <c r="S18" i="71"/>
  <c r="S22" i="71"/>
  <c r="T29" i="71"/>
  <c r="Y11" i="71"/>
  <c r="S27" i="71"/>
  <c r="S30" i="71"/>
  <c r="S19" i="71"/>
  <c r="S23" i="71"/>
  <c r="S25" i="71"/>
  <c r="S7" i="71"/>
  <c r="S21" i="71"/>
  <c r="S28" i="71"/>
  <c r="S8" i="71"/>
  <c r="S9" i="71"/>
  <c r="S10" i="71"/>
  <c r="S11" i="71"/>
  <c r="S31" i="71"/>
  <c r="S6" i="71"/>
  <c r="S20" i="71"/>
  <c r="H13" i="68"/>
  <c r="G13" i="68"/>
  <c r="L15" i="68"/>
  <c r="H15" i="68"/>
  <c r="G15" i="68"/>
  <c r="L6" i="68"/>
  <c r="H6" i="68"/>
  <c r="G6" i="68"/>
  <c r="L12" i="68"/>
  <c r="G14" i="68"/>
  <c r="N14" i="68" s="1"/>
  <c r="L14" i="68"/>
  <c r="H8" i="68"/>
  <c r="G8" i="68"/>
  <c r="L8" i="68"/>
  <c r="H10" i="68"/>
  <c r="H9" i="68"/>
  <c r="G9" i="68"/>
  <c r="L9" i="68"/>
  <c r="G18" i="68"/>
  <c r="N18" i="68" s="1"/>
  <c r="L18" i="68"/>
  <c r="H18" i="68"/>
  <c r="G7" i="68"/>
  <c r="H7" i="68"/>
  <c r="L7" i="68"/>
  <c r="V13" i="68"/>
  <c r="V14" i="68"/>
  <c r="V15" i="68"/>
  <c r="V17" i="68"/>
  <c r="V18" i="68"/>
  <c r="AB11" i="68"/>
  <c r="X12" i="68"/>
  <c r="V27" i="68"/>
  <c r="X29" i="68"/>
  <c r="V16" i="68"/>
  <c r="V22" i="68"/>
  <c r="V30" i="68"/>
  <c r="V7" i="68"/>
  <c r="V21" i="68"/>
  <c r="V28" i="68"/>
  <c r="V19" i="68"/>
  <c r="V23" i="68"/>
  <c r="V8" i="68"/>
  <c r="V9" i="68"/>
  <c r="V10" i="68"/>
  <c r="V11" i="68"/>
  <c r="V31" i="68"/>
  <c r="V25" i="68"/>
  <c r="V6" i="68"/>
  <c r="V20" i="68"/>
  <c r="F6" i="67"/>
  <c r="G6" i="67" s="1"/>
  <c r="C8" i="67"/>
  <c r="Z21" i="67"/>
  <c r="Y11" i="67"/>
  <c r="F10" i="67"/>
  <c r="G10" i="67" s="1"/>
  <c r="O10" i="67" s="1"/>
  <c r="Z28" i="67"/>
  <c r="F12" i="67"/>
  <c r="G12" i="67" s="1"/>
  <c r="O12" i="67" s="1"/>
  <c r="Z30" i="67"/>
  <c r="F11" i="67"/>
  <c r="M11" i="67" s="1"/>
  <c r="F9" i="67"/>
  <c r="H9" i="67" s="1"/>
  <c r="Z10" i="67"/>
  <c r="Z18" i="67"/>
  <c r="F7" i="67"/>
  <c r="G7" i="67" s="1"/>
  <c r="O7" i="67" s="1"/>
  <c r="Z13" i="67"/>
  <c r="C11" i="67"/>
  <c r="C7" i="67"/>
  <c r="L7" i="67"/>
  <c r="L10" i="67"/>
  <c r="Z29" i="67"/>
  <c r="Y29" i="67"/>
  <c r="L9" i="67"/>
  <c r="L8" i="67"/>
  <c r="L12" i="67"/>
  <c r="C10" i="67"/>
  <c r="AD11" i="67"/>
  <c r="AD24" i="59"/>
  <c r="AD23" i="59"/>
  <c r="J18" i="59"/>
  <c r="K18" i="59" s="1"/>
  <c r="D18" i="59"/>
  <c r="E18" i="59" s="1"/>
  <c r="C18" i="59"/>
  <c r="J17" i="59"/>
  <c r="K17" i="59" s="1"/>
  <c r="D17" i="59"/>
  <c r="E17" i="59" s="1"/>
  <c r="C17" i="59"/>
  <c r="J16" i="59"/>
  <c r="K16" i="59" s="1"/>
  <c r="D16" i="59"/>
  <c r="E16" i="59" s="1"/>
  <c r="C16" i="59"/>
  <c r="J15" i="59"/>
  <c r="K15" i="59" s="1"/>
  <c r="D15" i="59"/>
  <c r="E15" i="59" s="1"/>
  <c r="C15" i="59"/>
  <c r="J14" i="59"/>
  <c r="K14" i="59" s="1"/>
  <c r="D14" i="59"/>
  <c r="E14" i="59" s="1"/>
  <c r="C14" i="59"/>
  <c r="J13" i="59"/>
  <c r="K13" i="59" s="1"/>
  <c r="D13" i="59"/>
  <c r="E13" i="59" s="1"/>
  <c r="C13" i="59"/>
  <c r="J12" i="59"/>
  <c r="K12" i="59" s="1"/>
  <c r="D12" i="59"/>
  <c r="E12" i="59" s="1"/>
  <c r="C12" i="59"/>
  <c r="J11" i="59"/>
  <c r="K11" i="59" s="1"/>
  <c r="D11" i="59"/>
  <c r="E11" i="59" s="1"/>
  <c r="C11" i="59"/>
  <c r="J10" i="59"/>
  <c r="K10" i="59" s="1"/>
  <c r="D10" i="59"/>
  <c r="E10" i="59" s="1"/>
  <c r="C10" i="59"/>
  <c r="J9" i="59"/>
  <c r="K9" i="59" s="1"/>
  <c r="D9" i="59"/>
  <c r="E9" i="59" s="1"/>
  <c r="F9" i="59" s="1"/>
  <c r="C9" i="59"/>
  <c r="J8" i="59"/>
  <c r="K8" i="59" s="1"/>
  <c r="D8" i="59"/>
  <c r="E8" i="59" s="1"/>
  <c r="C8" i="59"/>
  <c r="J7" i="59"/>
  <c r="K7" i="59" s="1"/>
  <c r="D7" i="59"/>
  <c r="E7" i="59" s="1"/>
  <c r="F7" i="59" s="1"/>
  <c r="C7" i="59"/>
  <c r="J6" i="59"/>
  <c r="K6" i="59" s="1"/>
  <c r="D6" i="59"/>
  <c r="E6" i="59" s="1"/>
  <c r="C6" i="59"/>
  <c r="AD24" i="58"/>
  <c r="AD23" i="58"/>
  <c r="AA20" i="58"/>
  <c r="J18" i="58"/>
  <c r="K18" i="58" s="1"/>
  <c r="D18" i="58"/>
  <c r="E18" i="58" s="1"/>
  <c r="C18" i="58"/>
  <c r="J17" i="58"/>
  <c r="K17" i="58" s="1"/>
  <c r="D17" i="58"/>
  <c r="E17" i="58" s="1"/>
  <c r="C17" i="58"/>
  <c r="J16" i="58"/>
  <c r="K16" i="58" s="1"/>
  <c r="D16" i="58"/>
  <c r="E16" i="58" s="1"/>
  <c r="C16" i="58"/>
  <c r="J15" i="58"/>
  <c r="K15" i="58" s="1"/>
  <c r="D15" i="58"/>
  <c r="E15" i="58" s="1"/>
  <c r="C15" i="58"/>
  <c r="J14" i="58"/>
  <c r="K14" i="58" s="1"/>
  <c r="D14" i="58"/>
  <c r="E14" i="58" s="1"/>
  <c r="C14" i="58"/>
  <c r="J13" i="58"/>
  <c r="K13" i="58" s="1"/>
  <c r="D13" i="58"/>
  <c r="E13" i="58" s="1"/>
  <c r="C13" i="58"/>
  <c r="J12" i="58"/>
  <c r="K12" i="58" s="1"/>
  <c r="D12" i="58"/>
  <c r="E12" i="58" s="1"/>
  <c r="C12" i="58"/>
  <c r="AA11" i="58"/>
  <c r="J11" i="58"/>
  <c r="K11" i="58" s="1"/>
  <c r="D11" i="58"/>
  <c r="E11" i="58" s="1"/>
  <c r="C11" i="58"/>
  <c r="J10" i="58"/>
  <c r="K10" i="58" s="1"/>
  <c r="D10" i="58"/>
  <c r="E10" i="58" s="1"/>
  <c r="C10" i="58"/>
  <c r="J9" i="58"/>
  <c r="K9" i="58" s="1"/>
  <c r="D9" i="58"/>
  <c r="E9" i="58" s="1"/>
  <c r="C9" i="58"/>
  <c r="J8" i="58"/>
  <c r="K8" i="58" s="1"/>
  <c r="D8" i="58"/>
  <c r="E8" i="58" s="1"/>
  <c r="C8" i="58"/>
  <c r="AA7" i="58"/>
  <c r="J7" i="58"/>
  <c r="K7" i="58" s="1"/>
  <c r="D7" i="58"/>
  <c r="E7" i="58" s="1"/>
  <c r="C7" i="58"/>
  <c r="J6" i="58"/>
  <c r="K6" i="58" s="1"/>
  <c r="D6" i="58"/>
  <c r="E6" i="58" s="1"/>
  <c r="C6" i="58"/>
  <c r="O12" i="76" l="1"/>
  <c r="P12" i="76"/>
  <c r="P11" i="76"/>
  <c r="O11" i="76"/>
  <c r="U26" i="71"/>
  <c r="L10" i="68"/>
  <c r="H12" i="68"/>
  <c r="L11" i="68"/>
  <c r="G16" i="68"/>
  <c r="N16" i="68" s="1"/>
  <c r="H17" i="68"/>
  <c r="L16" i="68"/>
  <c r="H11" i="68"/>
  <c r="W24" i="68"/>
  <c r="L17" i="68"/>
  <c r="X26" i="68"/>
  <c r="H9" i="71"/>
  <c r="H13" i="71"/>
  <c r="H14" i="71"/>
  <c r="L10" i="71"/>
  <c r="P10" i="71" s="1"/>
  <c r="H10" i="71"/>
  <c r="G8" i="71"/>
  <c r="G16" i="71"/>
  <c r="N16" i="71" s="1"/>
  <c r="O16" i="71" s="1"/>
  <c r="H16" i="71"/>
  <c r="G15" i="71"/>
  <c r="N15" i="71" s="1"/>
  <c r="O15" i="71" s="1"/>
  <c r="L8" i="71"/>
  <c r="H18" i="71"/>
  <c r="H12" i="71"/>
  <c r="L12" i="71"/>
  <c r="P12" i="71" s="1"/>
  <c r="F8" i="59"/>
  <c r="F6" i="59"/>
  <c r="H6" i="59" s="1"/>
  <c r="F14" i="59"/>
  <c r="G14" i="59" s="1"/>
  <c r="V21" i="59"/>
  <c r="V6" i="59"/>
  <c r="V14" i="59"/>
  <c r="V22" i="59"/>
  <c r="V30" i="59"/>
  <c r="V7" i="59"/>
  <c r="V15" i="59"/>
  <c r="V23" i="59"/>
  <c r="V31" i="59"/>
  <c r="X31" i="59" s="1"/>
  <c r="V8" i="59"/>
  <c r="V16" i="59"/>
  <c r="V24" i="59"/>
  <c r="X24" i="59" s="1"/>
  <c r="V12" i="59"/>
  <c r="V20" i="59"/>
  <c r="V13" i="59"/>
  <c r="V9" i="59"/>
  <c r="X9" i="59" s="1"/>
  <c r="V17" i="59"/>
  <c r="V25" i="59"/>
  <c r="V10" i="59"/>
  <c r="V18" i="59"/>
  <c r="V26" i="59"/>
  <c r="V11" i="59"/>
  <c r="V19" i="59"/>
  <c r="V27" i="59"/>
  <c r="V28" i="59"/>
  <c r="V29" i="59"/>
  <c r="X29" i="59" s="1"/>
  <c r="F16" i="59"/>
  <c r="G16" i="59" s="1"/>
  <c r="F10" i="59"/>
  <c r="H10" i="59" s="1"/>
  <c r="V22" i="58"/>
  <c r="X22" i="58" s="1"/>
  <c r="H10" i="67"/>
  <c r="M10" i="77"/>
  <c r="Q10" i="77"/>
  <c r="Q7" i="77"/>
  <c r="M7" i="77"/>
  <c r="F18" i="59"/>
  <c r="L18" i="59" s="1"/>
  <c r="F11" i="59"/>
  <c r="M12" i="76"/>
  <c r="H11" i="71"/>
  <c r="G17" i="71"/>
  <c r="N17" i="71" s="1"/>
  <c r="O17" i="71" s="1"/>
  <c r="H15" i="71"/>
  <c r="G7" i="71"/>
  <c r="N7" i="71" s="1"/>
  <c r="M7" i="71" s="1"/>
  <c r="F14" i="58"/>
  <c r="H14" i="58" s="1"/>
  <c r="F6" i="58"/>
  <c r="H6" i="58" s="1"/>
  <c r="F10" i="58"/>
  <c r="G10" i="58" s="1"/>
  <c r="F12" i="59"/>
  <c r="G18" i="71"/>
  <c r="N18" i="71" s="1"/>
  <c r="V6" i="58"/>
  <c r="X12" i="59"/>
  <c r="W26" i="59"/>
  <c r="W20" i="59"/>
  <c r="T24" i="71"/>
  <c r="T12" i="71"/>
  <c r="F7" i="58"/>
  <c r="H7" i="58" s="1"/>
  <c r="L11" i="71"/>
  <c r="P11" i="71" s="1"/>
  <c r="H17" i="71"/>
  <c r="F13" i="58"/>
  <c r="L13" i="58" s="1"/>
  <c r="F13" i="59"/>
  <c r="L13" i="59" s="1"/>
  <c r="F15" i="59"/>
  <c r="L15" i="59" s="1"/>
  <c r="F17" i="59"/>
  <c r="G17" i="59" s="1"/>
  <c r="N17" i="59" s="1"/>
  <c r="M17" i="59" s="1"/>
  <c r="N11" i="75"/>
  <c r="P11" i="75" s="1"/>
  <c r="P9" i="75"/>
  <c r="N8" i="75"/>
  <c r="M8" i="75" s="1"/>
  <c r="G11" i="67"/>
  <c r="O11" i="67" s="1"/>
  <c r="H11" i="67"/>
  <c r="M7" i="67"/>
  <c r="R7" i="67" s="1"/>
  <c r="Z9" i="67"/>
  <c r="Y8" i="67"/>
  <c r="M9" i="67"/>
  <c r="H7" i="67"/>
  <c r="Y23" i="67"/>
  <c r="Y16" i="67"/>
  <c r="M10" i="67"/>
  <c r="R10" i="67" s="1"/>
  <c r="G9" i="67"/>
  <c r="O9" i="67" s="1"/>
  <c r="Y13" i="67"/>
  <c r="H8" i="67"/>
  <c r="G8" i="67"/>
  <c r="O8" i="67" s="1"/>
  <c r="P8" i="67" s="1"/>
  <c r="Y10" i="67"/>
  <c r="Y21" i="67"/>
  <c r="H12" i="67"/>
  <c r="Y7" i="67"/>
  <c r="M12" i="67"/>
  <c r="R12" i="67" s="1"/>
  <c r="Y30" i="67"/>
  <c r="Y25" i="67"/>
  <c r="N11" i="77"/>
  <c r="O9" i="77"/>
  <c r="Q9" i="77"/>
  <c r="Q8" i="77"/>
  <c r="O8" i="77"/>
  <c r="M8" i="77"/>
  <c r="P8" i="76"/>
  <c r="O8" i="76"/>
  <c r="M9" i="75"/>
  <c r="O9" i="75"/>
  <c r="P10" i="75"/>
  <c r="O10" i="75"/>
  <c r="M10" i="75"/>
  <c r="O8" i="75"/>
  <c r="O11" i="71"/>
  <c r="U21" i="71"/>
  <c r="T21" i="71"/>
  <c r="U13" i="71"/>
  <c r="T13" i="71"/>
  <c r="U7" i="71"/>
  <c r="T7" i="71"/>
  <c r="M12" i="71"/>
  <c r="U14" i="71"/>
  <c r="T14" i="71"/>
  <c r="U20" i="71"/>
  <c r="T20" i="71"/>
  <c r="O12" i="71"/>
  <c r="T31" i="71"/>
  <c r="U31" i="71"/>
  <c r="U25" i="71"/>
  <c r="T25" i="71"/>
  <c r="U22" i="71"/>
  <c r="T22" i="71"/>
  <c r="T11" i="71"/>
  <c r="U11" i="71"/>
  <c r="M11" i="71"/>
  <c r="T10" i="71"/>
  <c r="U10" i="71"/>
  <c r="U19" i="71"/>
  <c r="T19" i="71"/>
  <c r="U17" i="71"/>
  <c r="T17" i="71"/>
  <c r="N13" i="71"/>
  <c r="M10" i="71"/>
  <c r="U28" i="71"/>
  <c r="T28" i="71"/>
  <c r="U23" i="71"/>
  <c r="T23" i="71"/>
  <c r="U18" i="71"/>
  <c r="T18" i="71"/>
  <c r="T9" i="71"/>
  <c r="U9" i="71"/>
  <c r="U30" i="71"/>
  <c r="T30" i="71"/>
  <c r="U16" i="71"/>
  <c r="T16" i="71"/>
  <c r="N9" i="71"/>
  <c r="O10" i="71"/>
  <c r="T8" i="71"/>
  <c r="U8" i="71"/>
  <c r="T27" i="71"/>
  <c r="U27" i="71"/>
  <c r="U15" i="71"/>
  <c r="T15" i="71"/>
  <c r="N14" i="71"/>
  <c r="N8" i="71"/>
  <c r="O16" i="68"/>
  <c r="P16" i="68"/>
  <c r="O18" i="68"/>
  <c r="P18" i="68"/>
  <c r="X30" i="68"/>
  <c r="W30" i="68"/>
  <c r="W9" i="68"/>
  <c r="X9" i="68"/>
  <c r="X22" i="68"/>
  <c r="W22" i="68"/>
  <c r="X18" i="68"/>
  <c r="W18" i="68"/>
  <c r="W8" i="68"/>
  <c r="X8" i="68"/>
  <c r="X16" i="68"/>
  <c r="W16" i="68"/>
  <c r="X17" i="68"/>
  <c r="W17" i="68"/>
  <c r="M12" i="68"/>
  <c r="W20" i="68"/>
  <c r="X20" i="68"/>
  <c r="X23" i="68"/>
  <c r="W23" i="68"/>
  <c r="X15" i="68"/>
  <c r="W15" i="68"/>
  <c r="P14" i="68"/>
  <c r="O14" i="68"/>
  <c r="X19" i="68"/>
  <c r="W19" i="68"/>
  <c r="X14" i="68"/>
  <c r="W14" i="68"/>
  <c r="P12" i="68"/>
  <c r="O12" i="68"/>
  <c r="X25" i="68"/>
  <c r="W25" i="68"/>
  <c r="X28" i="68"/>
  <c r="W28" i="68"/>
  <c r="X13" i="68"/>
  <c r="W13" i="68"/>
  <c r="N10" i="68"/>
  <c r="M10" i="68" s="1"/>
  <c r="N11" i="68"/>
  <c r="X31" i="68"/>
  <c r="W31" i="68"/>
  <c r="X21" i="68"/>
  <c r="W21" i="68"/>
  <c r="N17" i="68"/>
  <c r="M17" i="68" s="1"/>
  <c r="N8" i="68"/>
  <c r="M8" i="68" s="1"/>
  <c r="N13" i="68"/>
  <c r="N9" i="68"/>
  <c r="W10" i="68"/>
  <c r="X10" i="68"/>
  <c r="X27" i="68"/>
  <c r="W27" i="68"/>
  <c r="M18" i="68"/>
  <c r="M16" i="68"/>
  <c r="W11" i="68"/>
  <c r="X11" i="68"/>
  <c r="X7" i="68"/>
  <c r="W7" i="68"/>
  <c r="N7" i="68"/>
  <c r="M7" i="68" s="1"/>
  <c r="M14" i="68"/>
  <c r="N15" i="68"/>
  <c r="Y28" i="67"/>
  <c r="M6" i="67"/>
  <c r="Y22" i="67"/>
  <c r="Z22" i="67"/>
  <c r="Y20" i="67"/>
  <c r="Z20" i="67"/>
  <c r="H6" i="67"/>
  <c r="Y18" i="67"/>
  <c r="P10" i="67"/>
  <c r="P12" i="67"/>
  <c r="Y12" i="67"/>
  <c r="Z12" i="67"/>
  <c r="Z31" i="67"/>
  <c r="Y31" i="67"/>
  <c r="N12" i="67"/>
  <c r="P7" i="67"/>
  <c r="Z14" i="67"/>
  <c r="Y14" i="67"/>
  <c r="Z24" i="67"/>
  <c r="Y24" i="67"/>
  <c r="Z17" i="67"/>
  <c r="Y17" i="67"/>
  <c r="Z19" i="67"/>
  <c r="Y19" i="67"/>
  <c r="Z27" i="67"/>
  <c r="Y27" i="67"/>
  <c r="N10" i="67"/>
  <c r="Y26" i="67"/>
  <c r="Z26" i="67"/>
  <c r="Z15" i="67"/>
  <c r="Y15" i="67"/>
  <c r="N7" i="67"/>
  <c r="N16" i="59"/>
  <c r="O16" i="59" s="1"/>
  <c r="N14" i="59"/>
  <c r="O14" i="59" s="1"/>
  <c r="H8" i="59"/>
  <c r="G8" i="59"/>
  <c r="N8" i="59" s="1"/>
  <c r="L8" i="59"/>
  <c r="H7" i="59"/>
  <c r="G7" i="59"/>
  <c r="N7" i="59" s="1"/>
  <c r="L7" i="59"/>
  <c r="H9" i="59"/>
  <c r="G9" i="59"/>
  <c r="N9" i="59" s="1"/>
  <c r="L9" i="59"/>
  <c r="H11" i="59"/>
  <c r="G11" i="59"/>
  <c r="N11" i="59" s="1"/>
  <c r="L11" i="59"/>
  <c r="L12" i="59"/>
  <c r="H12" i="59"/>
  <c r="G12" i="59"/>
  <c r="N12" i="59" s="1"/>
  <c r="L10" i="59"/>
  <c r="W31" i="59"/>
  <c r="W12" i="59"/>
  <c r="H13" i="59"/>
  <c r="H16" i="59"/>
  <c r="H18" i="59"/>
  <c r="X20" i="59"/>
  <c r="W29" i="59"/>
  <c r="AB11" i="59"/>
  <c r="L16" i="59"/>
  <c r="L6" i="58"/>
  <c r="V18" i="58"/>
  <c r="V24" i="58"/>
  <c r="F11" i="58"/>
  <c r="F12" i="58"/>
  <c r="G13" i="58"/>
  <c r="N13" i="58" s="1"/>
  <c r="V17" i="58"/>
  <c r="F9" i="58"/>
  <c r="V15" i="58"/>
  <c r="F18" i="58"/>
  <c r="F8" i="58"/>
  <c r="V12" i="58"/>
  <c r="V14" i="58"/>
  <c r="F17" i="58"/>
  <c r="H10" i="58"/>
  <c r="V16" i="58"/>
  <c r="V13" i="58"/>
  <c r="F16" i="58"/>
  <c r="AA21" i="58"/>
  <c r="V29" i="58"/>
  <c r="H13" i="58"/>
  <c r="F15" i="58"/>
  <c r="V26" i="58"/>
  <c r="V20" i="58"/>
  <c r="V31" i="58"/>
  <c r="V11" i="58"/>
  <c r="V10" i="58"/>
  <c r="V9" i="58"/>
  <c r="V8" i="58"/>
  <c r="V28" i="58"/>
  <c r="V21" i="58"/>
  <c r="V7" i="58"/>
  <c r="V25" i="58"/>
  <c r="V23" i="58"/>
  <c r="V30" i="58"/>
  <c r="V19" i="58"/>
  <c r="V27" i="58"/>
  <c r="AB11" i="58"/>
  <c r="L17" i="59" l="1"/>
  <c r="G6" i="59"/>
  <c r="M16" i="71"/>
  <c r="P15" i="71"/>
  <c r="P16" i="71"/>
  <c r="M15" i="71"/>
  <c r="M9" i="71"/>
  <c r="P9" i="71"/>
  <c r="L14" i="59"/>
  <c r="P14" i="59" s="1"/>
  <c r="G18" i="59"/>
  <c r="N18" i="59" s="1"/>
  <c r="M18" i="59" s="1"/>
  <c r="H14" i="59"/>
  <c r="L6" i="59"/>
  <c r="G10" i="59"/>
  <c r="W24" i="59"/>
  <c r="G13" i="59"/>
  <c r="N13" i="59" s="1"/>
  <c r="P13" i="59" s="1"/>
  <c r="H17" i="59"/>
  <c r="L10" i="58"/>
  <c r="W22" i="58"/>
  <c r="L14" i="58"/>
  <c r="L7" i="58"/>
  <c r="G14" i="58"/>
  <c r="G7" i="58"/>
  <c r="N7" i="58" s="1"/>
  <c r="M7" i="58" s="1"/>
  <c r="G6" i="58"/>
  <c r="M14" i="59"/>
  <c r="P17" i="71"/>
  <c r="M17" i="71"/>
  <c r="H15" i="59"/>
  <c r="W9" i="59"/>
  <c r="G15" i="59"/>
  <c r="N15" i="59" s="1"/>
  <c r="M15" i="59" s="1"/>
  <c r="R9" i="67"/>
  <c r="X26" i="59"/>
  <c r="P8" i="75"/>
  <c r="M11" i="75"/>
  <c r="O11" i="75"/>
  <c r="R8" i="67"/>
  <c r="P9" i="67"/>
  <c r="N8" i="67"/>
  <c r="N9" i="67"/>
  <c r="Q11" i="77"/>
  <c r="O11" i="77"/>
  <c r="M11" i="77"/>
  <c r="O7" i="71"/>
  <c r="P7" i="71"/>
  <c r="O14" i="71"/>
  <c r="P14" i="71"/>
  <c r="P8" i="71"/>
  <c r="O8" i="71"/>
  <c r="O13" i="71"/>
  <c r="P13" i="71"/>
  <c r="O18" i="71"/>
  <c r="P18" i="71"/>
  <c r="O9" i="71"/>
  <c r="M14" i="71"/>
  <c r="M18" i="71"/>
  <c r="M13" i="71"/>
  <c r="M8" i="71"/>
  <c r="O9" i="68"/>
  <c r="P9" i="68"/>
  <c r="O13" i="68"/>
  <c r="P13" i="68"/>
  <c r="P11" i="68"/>
  <c r="O11" i="68"/>
  <c r="M13" i="68"/>
  <c r="M11" i="68"/>
  <c r="O15" i="68"/>
  <c r="P15" i="68"/>
  <c r="P8" i="68"/>
  <c r="O8" i="68"/>
  <c r="O10" i="68"/>
  <c r="P10" i="68"/>
  <c r="P7" i="68"/>
  <c r="O7" i="68"/>
  <c r="O17" i="68"/>
  <c r="P17" i="68"/>
  <c r="M9" i="68"/>
  <c r="M15" i="68"/>
  <c r="R11" i="67"/>
  <c r="P11" i="67"/>
  <c r="N11" i="67"/>
  <c r="M16" i="59"/>
  <c r="P16" i="59"/>
  <c r="P11" i="59"/>
  <c r="O11" i="59"/>
  <c r="X22" i="59"/>
  <c r="W22" i="59"/>
  <c r="X30" i="59"/>
  <c r="W30" i="59"/>
  <c r="X18" i="59"/>
  <c r="W18" i="59"/>
  <c r="X14" i="59"/>
  <c r="W14" i="59"/>
  <c r="O12" i="59"/>
  <c r="P12" i="59"/>
  <c r="X11" i="59"/>
  <c r="W11" i="59"/>
  <c r="X23" i="59"/>
  <c r="W23" i="59"/>
  <c r="W27" i="59"/>
  <c r="X27" i="59"/>
  <c r="N10" i="59"/>
  <c r="W7" i="59"/>
  <c r="X7" i="59"/>
  <c r="O13" i="59"/>
  <c r="W10" i="59"/>
  <c r="X10" i="59"/>
  <c r="X13" i="59"/>
  <c r="W13" i="59"/>
  <c r="X8" i="59"/>
  <c r="W8" i="59"/>
  <c r="M7" i="59"/>
  <c r="M8" i="59"/>
  <c r="X25" i="59"/>
  <c r="W25" i="59"/>
  <c r="P9" i="59"/>
  <c r="O9" i="59"/>
  <c r="W28" i="59"/>
  <c r="X28" i="59"/>
  <c r="X16" i="59"/>
  <c r="W16" i="59"/>
  <c r="P8" i="59"/>
  <c r="O8" i="59"/>
  <c r="X15" i="59"/>
  <c r="W15" i="59"/>
  <c r="P7" i="59"/>
  <c r="O7" i="59"/>
  <c r="X19" i="59"/>
  <c r="W19" i="59"/>
  <c r="X17" i="59"/>
  <c r="W17" i="59"/>
  <c r="M11" i="59"/>
  <c r="W21" i="59"/>
  <c r="X21" i="59"/>
  <c r="M13" i="59"/>
  <c r="M12" i="59"/>
  <c r="M9" i="59"/>
  <c r="O17" i="59"/>
  <c r="P17" i="59"/>
  <c r="N14" i="58"/>
  <c r="M14" i="58" s="1"/>
  <c r="H8" i="58"/>
  <c r="G8" i="58"/>
  <c r="L8" i="58"/>
  <c r="X18" i="58"/>
  <c r="W18" i="58"/>
  <c r="X23" i="58"/>
  <c r="W23" i="58"/>
  <c r="W11" i="58"/>
  <c r="X11" i="58"/>
  <c r="X29" i="58"/>
  <c r="W29" i="58"/>
  <c r="W16" i="58"/>
  <c r="X16" i="58"/>
  <c r="L18" i="58"/>
  <c r="H18" i="58"/>
  <c r="G18" i="58"/>
  <c r="X30" i="58"/>
  <c r="W30" i="58"/>
  <c r="W7" i="58"/>
  <c r="X7" i="58"/>
  <c r="X20" i="58"/>
  <c r="W20" i="58"/>
  <c r="L16" i="58"/>
  <c r="H16" i="58"/>
  <c r="G16" i="58"/>
  <c r="O13" i="58"/>
  <c r="P13" i="58"/>
  <c r="W15" i="58"/>
  <c r="X15" i="58"/>
  <c r="X21" i="58"/>
  <c r="W21" i="58"/>
  <c r="X26" i="58"/>
  <c r="W26" i="58"/>
  <c r="X13" i="58"/>
  <c r="W13" i="58"/>
  <c r="L17" i="58"/>
  <c r="H17" i="58"/>
  <c r="G17" i="58"/>
  <c r="M13" i="58"/>
  <c r="X25" i="58"/>
  <c r="W25" i="58"/>
  <c r="X17" i="58"/>
  <c r="W17" i="58"/>
  <c r="X28" i="58"/>
  <c r="W28" i="58"/>
  <c r="X14" i="58"/>
  <c r="W14" i="58"/>
  <c r="G12" i="58"/>
  <c r="L12" i="58"/>
  <c r="H12" i="58"/>
  <c r="W10" i="58"/>
  <c r="X10" i="58"/>
  <c r="X27" i="58"/>
  <c r="W27" i="58"/>
  <c r="W8" i="58"/>
  <c r="X8" i="58"/>
  <c r="L15" i="58"/>
  <c r="G15" i="58"/>
  <c r="H15" i="58"/>
  <c r="X12" i="58"/>
  <c r="W12" i="58"/>
  <c r="H9" i="58"/>
  <c r="G9" i="58"/>
  <c r="L9" i="58"/>
  <c r="H11" i="58"/>
  <c r="G11" i="58"/>
  <c r="L11" i="58"/>
  <c r="W31" i="58"/>
  <c r="X31" i="58"/>
  <c r="X19" i="58"/>
  <c r="W19" i="58"/>
  <c r="W9" i="58"/>
  <c r="X9" i="58"/>
  <c r="N10" i="58"/>
  <c r="M10" i="58" s="1"/>
  <c r="X24" i="58"/>
  <c r="W24" i="58"/>
  <c r="AD24" i="52"/>
  <c r="AD23" i="52"/>
  <c r="J18" i="52"/>
  <c r="K18" i="52" s="1"/>
  <c r="D18" i="52"/>
  <c r="E18" i="52" s="1"/>
  <c r="C18" i="52"/>
  <c r="J17" i="52"/>
  <c r="K17" i="52" s="1"/>
  <c r="D17" i="52"/>
  <c r="E17" i="52" s="1"/>
  <c r="C17" i="52"/>
  <c r="J16" i="52"/>
  <c r="K16" i="52" s="1"/>
  <c r="D16" i="52"/>
  <c r="E16" i="52" s="1"/>
  <c r="C16" i="52"/>
  <c r="J15" i="52"/>
  <c r="K15" i="52" s="1"/>
  <c r="D15" i="52"/>
  <c r="E15" i="52" s="1"/>
  <c r="C15" i="52"/>
  <c r="J14" i="52"/>
  <c r="K14" i="52" s="1"/>
  <c r="D14" i="52"/>
  <c r="E14" i="52" s="1"/>
  <c r="C14" i="52"/>
  <c r="J13" i="52"/>
  <c r="K13" i="52" s="1"/>
  <c r="D13" i="52"/>
  <c r="E13" i="52" s="1"/>
  <c r="C13" i="52"/>
  <c r="J12" i="52"/>
  <c r="K12" i="52" s="1"/>
  <c r="D12" i="52"/>
  <c r="E12" i="52" s="1"/>
  <c r="C12" i="52"/>
  <c r="J11" i="52"/>
  <c r="K11" i="52" s="1"/>
  <c r="D11" i="52"/>
  <c r="E11" i="52" s="1"/>
  <c r="C11" i="52"/>
  <c r="J10" i="52"/>
  <c r="K10" i="52" s="1"/>
  <c r="D10" i="52"/>
  <c r="E10" i="52" s="1"/>
  <c r="C10" i="52"/>
  <c r="J9" i="52"/>
  <c r="K9" i="52" s="1"/>
  <c r="D9" i="52"/>
  <c r="E9" i="52" s="1"/>
  <c r="C9" i="52"/>
  <c r="J8" i="52"/>
  <c r="K8" i="52" s="1"/>
  <c r="D8" i="52"/>
  <c r="E8" i="52" s="1"/>
  <c r="C8" i="52"/>
  <c r="J7" i="52"/>
  <c r="K7" i="52" s="1"/>
  <c r="D7" i="52"/>
  <c r="E7" i="52" s="1"/>
  <c r="C7" i="52"/>
  <c r="J6" i="52"/>
  <c r="K6" i="52" s="1"/>
  <c r="D6" i="52"/>
  <c r="E6" i="52" s="1"/>
  <c r="C6" i="52"/>
  <c r="V25" i="52" l="1"/>
  <c r="W25" i="52" s="1"/>
  <c r="F6" i="52"/>
  <c r="H6" i="52" s="1"/>
  <c r="F7" i="52"/>
  <c r="L7" i="52" s="1"/>
  <c r="O14" i="58"/>
  <c r="V7" i="52"/>
  <c r="X7" i="52" s="1"/>
  <c r="V9" i="52"/>
  <c r="X9" i="52" s="1"/>
  <c r="F14" i="52"/>
  <c r="H14" i="52" s="1"/>
  <c r="V8" i="52"/>
  <c r="W8" i="52" s="1"/>
  <c r="V6" i="52"/>
  <c r="F16" i="52"/>
  <c r="H16" i="52" s="1"/>
  <c r="V20" i="52"/>
  <c r="X20" i="52" s="1"/>
  <c r="V10" i="52"/>
  <c r="W10" i="52" s="1"/>
  <c r="F12" i="52"/>
  <c r="G12" i="52" s="1"/>
  <c r="F9" i="52"/>
  <c r="G9" i="52" s="1"/>
  <c r="N9" i="52" s="1"/>
  <c r="F11" i="52"/>
  <c r="G11" i="52" s="1"/>
  <c r="N11" i="52" s="1"/>
  <c r="F17" i="52"/>
  <c r="H17" i="52" s="1"/>
  <c r="V12" i="52"/>
  <c r="X12" i="52" s="1"/>
  <c r="V11" i="52"/>
  <c r="X11" i="52" s="1"/>
  <c r="V28" i="52"/>
  <c r="W28" i="52" s="1"/>
  <c r="F15" i="52"/>
  <c r="L15" i="52" s="1"/>
  <c r="F18" i="52"/>
  <c r="G18" i="52" s="1"/>
  <c r="V26" i="52"/>
  <c r="X26" i="52" s="1"/>
  <c r="F8" i="52"/>
  <c r="G8" i="52" s="1"/>
  <c r="F10" i="52"/>
  <c r="G10" i="52" s="1"/>
  <c r="N10" i="52" s="1"/>
  <c r="AB11" i="52"/>
  <c r="F13" i="52"/>
  <c r="L13" i="52" s="1"/>
  <c r="V31" i="52"/>
  <c r="O18" i="59"/>
  <c r="P18" i="59"/>
  <c r="P10" i="59"/>
  <c r="O10" i="59"/>
  <c r="P15" i="59"/>
  <c r="O15" i="59"/>
  <c r="M10" i="59"/>
  <c r="P14" i="58"/>
  <c r="N17" i="58"/>
  <c r="P10" i="58"/>
  <c r="O10" i="58"/>
  <c r="N11" i="58"/>
  <c r="M11" i="58" s="1"/>
  <c r="N15" i="58"/>
  <c r="P7" i="58"/>
  <c r="O7" i="58"/>
  <c r="N16" i="58"/>
  <c r="M16" i="58" s="1"/>
  <c r="N9" i="58"/>
  <c r="N12" i="58"/>
  <c r="N18" i="58"/>
  <c r="N8" i="58"/>
  <c r="M8" i="58" s="1"/>
  <c r="N12" i="52"/>
  <c r="O12" i="52" s="1"/>
  <c r="L16" i="52"/>
  <c r="G6" i="52"/>
  <c r="X28" i="52"/>
  <c r="L18" i="52"/>
  <c r="L8" i="52"/>
  <c r="G7" i="52"/>
  <c r="G17" i="52"/>
  <c r="X10" i="52"/>
  <c r="V24" i="52"/>
  <c r="V29" i="52"/>
  <c r="V13" i="52"/>
  <c r="V14" i="52"/>
  <c r="V15" i="52"/>
  <c r="V16" i="52"/>
  <c r="V17" i="52"/>
  <c r="V18" i="52"/>
  <c r="V22" i="52"/>
  <c r="V27" i="52"/>
  <c r="V30" i="52"/>
  <c r="L12" i="52"/>
  <c r="V19" i="52"/>
  <c r="V23" i="52"/>
  <c r="V21" i="52"/>
  <c r="L6" i="52" l="1"/>
  <c r="G16" i="52"/>
  <c r="N16" i="52" s="1"/>
  <c r="M16" i="52" s="1"/>
  <c r="W12" i="52"/>
  <c r="H7" i="52"/>
  <c r="H12" i="52"/>
  <c r="H10" i="52"/>
  <c r="H18" i="52"/>
  <c r="X25" i="52"/>
  <c r="L10" i="52"/>
  <c r="W9" i="52"/>
  <c r="L14" i="52"/>
  <c r="L9" i="52"/>
  <c r="W26" i="52"/>
  <c r="H9" i="52"/>
  <c r="G14" i="52"/>
  <c r="N14" i="52" s="1"/>
  <c r="M14" i="52" s="1"/>
  <c r="L17" i="52"/>
  <c r="X8" i="52"/>
  <c r="W11" i="52"/>
  <c r="G15" i="52"/>
  <c r="N15" i="52" s="1"/>
  <c r="W7" i="52"/>
  <c r="W20" i="52"/>
  <c r="H15" i="52"/>
  <c r="H8" i="52"/>
  <c r="L11" i="52"/>
  <c r="P11" i="52" s="1"/>
  <c r="G13" i="52"/>
  <c r="N13" i="52" s="1"/>
  <c r="H11" i="52"/>
  <c r="H13" i="52"/>
  <c r="X31" i="52"/>
  <c r="W31" i="52"/>
  <c r="P12" i="58"/>
  <c r="O12" i="58"/>
  <c r="O15" i="58"/>
  <c r="P15" i="58"/>
  <c r="M12" i="58"/>
  <c r="M15" i="58"/>
  <c r="P9" i="58"/>
  <c r="O9" i="58"/>
  <c r="M9" i="58"/>
  <c r="P11" i="58"/>
  <c r="O11" i="58"/>
  <c r="P8" i="58"/>
  <c r="O8" i="58"/>
  <c r="O16" i="58"/>
  <c r="P16" i="58"/>
  <c r="O18" i="58"/>
  <c r="P18" i="58"/>
  <c r="O17" i="58"/>
  <c r="P17" i="58"/>
  <c r="M18" i="58"/>
  <c r="M17" i="58"/>
  <c r="M12" i="52"/>
  <c r="P12" i="52"/>
  <c r="W21" i="52"/>
  <c r="X21" i="52"/>
  <c r="X17" i="52"/>
  <c r="W17" i="52"/>
  <c r="X30" i="52"/>
  <c r="W30" i="52"/>
  <c r="X14" i="52"/>
  <c r="W14" i="52"/>
  <c r="M9" i="52"/>
  <c r="X18" i="52"/>
  <c r="W18" i="52"/>
  <c r="X16" i="52"/>
  <c r="W16" i="52"/>
  <c r="X13" i="52"/>
  <c r="W13" i="52"/>
  <c r="P10" i="52"/>
  <c r="O10" i="52"/>
  <c r="N7" i="52"/>
  <c r="M7" i="52" s="1"/>
  <c r="X24" i="52"/>
  <c r="W24" i="52"/>
  <c r="M11" i="52"/>
  <c r="P9" i="52"/>
  <c r="O9" i="52"/>
  <c r="X27" i="52"/>
  <c r="W27" i="52"/>
  <c r="N8" i="52"/>
  <c r="M8" i="52" s="1"/>
  <c r="N17" i="52"/>
  <c r="M17" i="52" s="1"/>
  <c r="X23" i="52"/>
  <c r="W23" i="52"/>
  <c r="O11" i="52"/>
  <c r="X19" i="52"/>
  <c r="W19" i="52"/>
  <c r="X15" i="52"/>
  <c r="W15" i="52"/>
  <c r="N18" i="52"/>
  <c r="M18" i="52" s="1"/>
  <c r="X22" i="52"/>
  <c r="W22" i="52"/>
  <c r="X29" i="52"/>
  <c r="W29" i="52"/>
  <c r="M10" i="52"/>
  <c r="O15" i="52" l="1"/>
  <c r="P15" i="52"/>
  <c r="O16" i="52"/>
  <c r="P16" i="52"/>
  <c r="O17" i="52"/>
  <c r="P17" i="52"/>
  <c r="P7" i="52"/>
  <c r="O7" i="52"/>
  <c r="O13" i="52"/>
  <c r="P13" i="52"/>
  <c r="P8" i="52"/>
  <c r="O8" i="52"/>
  <c r="M13" i="52"/>
  <c r="P18" i="52"/>
  <c r="O18" i="52"/>
  <c r="M15" i="52"/>
  <c r="O14" i="52"/>
  <c r="P14" i="52"/>
  <c r="I8" i="50" l="1"/>
  <c r="I7" i="50"/>
  <c r="J7" i="50" s="1"/>
  <c r="K7" i="50" s="1"/>
  <c r="B7" i="50"/>
  <c r="D7" i="50" s="1"/>
  <c r="E7" i="50" s="1"/>
  <c r="AE24" i="50"/>
  <c r="AE23" i="50"/>
  <c r="AB20" i="50"/>
  <c r="AB12" i="50"/>
  <c r="AB11" i="50"/>
  <c r="J8" i="50"/>
  <c r="K8" i="50" s="1"/>
  <c r="AB7" i="50"/>
  <c r="J6" i="50"/>
  <c r="K6" i="50" s="1"/>
  <c r="D6" i="50"/>
  <c r="E6" i="50" s="1"/>
  <c r="C6" i="50"/>
  <c r="AD24" i="49"/>
  <c r="AD23" i="49"/>
  <c r="AA20" i="49"/>
  <c r="J18" i="49"/>
  <c r="K18" i="49" s="1"/>
  <c r="D18" i="49"/>
  <c r="E18" i="49" s="1"/>
  <c r="C18" i="49"/>
  <c r="J17" i="49"/>
  <c r="K17" i="49" s="1"/>
  <c r="D17" i="49"/>
  <c r="E17" i="49" s="1"/>
  <c r="C17" i="49"/>
  <c r="J16" i="49"/>
  <c r="K16" i="49" s="1"/>
  <c r="D16" i="49"/>
  <c r="E16" i="49" s="1"/>
  <c r="C16" i="49"/>
  <c r="J15" i="49"/>
  <c r="K15" i="49" s="1"/>
  <c r="D15" i="49"/>
  <c r="E15" i="49" s="1"/>
  <c r="C15" i="49"/>
  <c r="J14" i="49"/>
  <c r="K14" i="49" s="1"/>
  <c r="D14" i="49"/>
  <c r="E14" i="49" s="1"/>
  <c r="C14" i="49"/>
  <c r="J13" i="49"/>
  <c r="K13" i="49" s="1"/>
  <c r="D13" i="49"/>
  <c r="E13" i="49" s="1"/>
  <c r="C13" i="49"/>
  <c r="AA12" i="49"/>
  <c r="J12" i="49"/>
  <c r="K12" i="49" s="1"/>
  <c r="D12" i="49"/>
  <c r="E12" i="49" s="1"/>
  <c r="C12" i="49"/>
  <c r="AA11" i="49"/>
  <c r="J11" i="49"/>
  <c r="K11" i="49" s="1"/>
  <c r="D11" i="49"/>
  <c r="E11" i="49" s="1"/>
  <c r="C11" i="49"/>
  <c r="J10" i="49"/>
  <c r="K10" i="49" s="1"/>
  <c r="D10" i="49"/>
  <c r="E10" i="49" s="1"/>
  <c r="C10" i="49"/>
  <c r="J9" i="49"/>
  <c r="K9" i="49" s="1"/>
  <c r="D9" i="49"/>
  <c r="E9" i="49" s="1"/>
  <c r="C9" i="49"/>
  <c r="J8" i="49"/>
  <c r="K8" i="49" s="1"/>
  <c r="D8" i="49"/>
  <c r="E8" i="49" s="1"/>
  <c r="C8" i="49"/>
  <c r="AA7" i="49"/>
  <c r="J7" i="49"/>
  <c r="K7" i="49" s="1"/>
  <c r="D7" i="49"/>
  <c r="E7" i="49" s="1"/>
  <c r="C7" i="49"/>
  <c r="J6" i="49"/>
  <c r="K6" i="49" s="1"/>
  <c r="D6" i="49"/>
  <c r="E6" i="49" s="1"/>
  <c r="C6" i="49"/>
  <c r="AE24" i="48"/>
  <c r="AE23" i="48"/>
  <c r="AB20" i="48"/>
  <c r="J18" i="48"/>
  <c r="K18" i="48" s="1"/>
  <c r="D18" i="48"/>
  <c r="E18" i="48" s="1"/>
  <c r="C18" i="48"/>
  <c r="J17" i="48"/>
  <c r="K17" i="48" s="1"/>
  <c r="D17" i="48"/>
  <c r="E17" i="48" s="1"/>
  <c r="C17" i="48"/>
  <c r="J16" i="48"/>
  <c r="K16" i="48" s="1"/>
  <c r="D16" i="48"/>
  <c r="E16" i="48" s="1"/>
  <c r="C16" i="48"/>
  <c r="J15" i="48"/>
  <c r="K15" i="48" s="1"/>
  <c r="D15" i="48"/>
  <c r="E15" i="48" s="1"/>
  <c r="C15" i="48"/>
  <c r="J14" i="48"/>
  <c r="K14" i="48" s="1"/>
  <c r="D14" i="48"/>
  <c r="E14" i="48" s="1"/>
  <c r="C14" i="48"/>
  <c r="J13" i="48"/>
  <c r="K13" i="48" s="1"/>
  <c r="D13" i="48"/>
  <c r="E13" i="48" s="1"/>
  <c r="C13" i="48"/>
  <c r="AB12" i="48"/>
  <c r="J12" i="48"/>
  <c r="K12" i="48" s="1"/>
  <c r="D12" i="48"/>
  <c r="E12" i="48" s="1"/>
  <c r="C12" i="48"/>
  <c r="AB11" i="48"/>
  <c r="J11" i="48"/>
  <c r="K11" i="48" s="1"/>
  <c r="D11" i="48"/>
  <c r="E11" i="48" s="1"/>
  <c r="C11" i="48"/>
  <c r="J10" i="48"/>
  <c r="K10" i="48" s="1"/>
  <c r="D10" i="48"/>
  <c r="E10" i="48" s="1"/>
  <c r="C10" i="48"/>
  <c r="J9" i="48"/>
  <c r="K9" i="48" s="1"/>
  <c r="D9" i="48"/>
  <c r="E9" i="48" s="1"/>
  <c r="C9" i="48"/>
  <c r="J8" i="48"/>
  <c r="K8" i="48" s="1"/>
  <c r="D8" i="48"/>
  <c r="E8" i="48" s="1"/>
  <c r="C8" i="48"/>
  <c r="J7" i="48"/>
  <c r="K7" i="48" s="1"/>
  <c r="D7" i="48"/>
  <c r="E7" i="48" s="1"/>
  <c r="C7" i="48"/>
  <c r="J6" i="48"/>
  <c r="K6" i="48" s="1"/>
  <c r="D6" i="48"/>
  <c r="E6" i="48" s="1"/>
  <c r="C6" i="48"/>
  <c r="AD24" i="45"/>
  <c r="AD23" i="45"/>
  <c r="AA20" i="45"/>
  <c r="AA12" i="45"/>
  <c r="AA11" i="45"/>
  <c r="J9" i="45"/>
  <c r="K9" i="45" s="1"/>
  <c r="D9" i="45"/>
  <c r="E9" i="45" s="1"/>
  <c r="C9" i="45"/>
  <c r="J8" i="45"/>
  <c r="K8" i="45" s="1"/>
  <c r="D8" i="45"/>
  <c r="E8" i="45" s="1"/>
  <c r="C8" i="45"/>
  <c r="AA7" i="45"/>
  <c r="J7" i="45"/>
  <c r="K7" i="45" s="1"/>
  <c r="D7" i="45"/>
  <c r="E7" i="45" s="1"/>
  <c r="C7" i="45"/>
  <c r="J6" i="45"/>
  <c r="K6" i="45" s="1"/>
  <c r="D6" i="45"/>
  <c r="E6" i="45" s="1"/>
  <c r="C6" i="45"/>
  <c r="F10" i="50" l="1"/>
  <c r="L10" i="50" s="1"/>
  <c r="F18" i="50"/>
  <c r="L18" i="50" s="1"/>
  <c r="F11" i="50"/>
  <c r="L11" i="50" s="1"/>
  <c r="F13" i="50"/>
  <c r="F15" i="50"/>
  <c r="L15" i="50" s="1"/>
  <c r="F16" i="50"/>
  <c r="L16" i="50" s="1"/>
  <c r="F14" i="50"/>
  <c r="L14" i="50" s="1"/>
  <c r="F9" i="50"/>
  <c r="L9" i="50" s="1"/>
  <c r="F17" i="50"/>
  <c r="L17" i="50" s="1"/>
  <c r="F12" i="50"/>
  <c r="L13" i="50"/>
  <c r="V12" i="49"/>
  <c r="V20" i="49"/>
  <c r="V28" i="49"/>
  <c r="V9" i="49"/>
  <c r="V26" i="49"/>
  <c r="V11" i="49"/>
  <c r="V13" i="49"/>
  <c r="V21" i="49"/>
  <c r="V29" i="49"/>
  <c r="V30" i="49"/>
  <c r="V25" i="49"/>
  <c r="V6" i="49"/>
  <c r="V14" i="49"/>
  <c r="V22" i="49"/>
  <c r="V18" i="49"/>
  <c r="V7" i="49"/>
  <c r="V15" i="49"/>
  <c r="V23" i="49"/>
  <c r="V31" i="49"/>
  <c r="V27" i="49"/>
  <c r="V8" i="49"/>
  <c r="V16" i="49"/>
  <c r="V24" i="49"/>
  <c r="V17" i="49"/>
  <c r="V10" i="49"/>
  <c r="V19" i="49"/>
  <c r="V12" i="45"/>
  <c r="V20" i="45"/>
  <c r="W20" i="45" s="1"/>
  <c r="V28" i="45"/>
  <c r="V31" i="45"/>
  <c r="V13" i="45"/>
  <c r="V21" i="45"/>
  <c r="V29" i="45"/>
  <c r="X29" i="45" s="1"/>
  <c r="V6" i="45"/>
  <c r="V14" i="45"/>
  <c r="V22" i="45"/>
  <c r="X22" i="45" s="1"/>
  <c r="V30" i="45"/>
  <c r="V7" i="45"/>
  <c r="V15" i="45"/>
  <c r="V23" i="45"/>
  <c r="V8" i="45"/>
  <c r="V16" i="45"/>
  <c r="V24" i="45"/>
  <c r="V19" i="45"/>
  <c r="V9" i="45"/>
  <c r="V17" i="45"/>
  <c r="V25" i="45"/>
  <c r="V11" i="45"/>
  <c r="V10" i="45"/>
  <c r="V18" i="45"/>
  <c r="V26" i="45"/>
  <c r="V27" i="45"/>
  <c r="X27" i="45" s="1"/>
  <c r="W26" i="48"/>
  <c r="W8" i="48"/>
  <c r="W9" i="48"/>
  <c r="W7" i="48"/>
  <c r="F10" i="49"/>
  <c r="L10" i="49" s="1"/>
  <c r="F15" i="49"/>
  <c r="H15" i="49" s="1"/>
  <c r="F8" i="49"/>
  <c r="F18" i="49"/>
  <c r="F6" i="49"/>
  <c r="L6" i="49" s="1"/>
  <c r="F11" i="49"/>
  <c r="H11" i="49" s="1"/>
  <c r="F13" i="49"/>
  <c r="F16" i="49"/>
  <c r="AA21" i="49"/>
  <c r="F9" i="49"/>
  <c r="G9" i="49" s="1"/>
  <c r="F7" i="49"/>
  <c r="F14" i="49"/>
  <c r="F12" i="49"/>
  <c r="H12" i="49" s="1"/>
  <c r="F17" i="49"/>
  <c r="L17" i="49" s="1"/>
  <c r="W29" i="50"/>
  <c r="Y29" i="50" s="1"/>
  <c r="AC11" i="50"/>
  <c r="W27" i="50"/>
  <c r="X27" i="50" s="1"/>
  <c r="F6" i="50"/>
  <c r="L6" i="50" s="1"/>
  <c r="W30" i="50"/>
  <c r="Y30" i="50" s="1"/>
  <c r="F8" i="50"/>
  <c r="H8" i="50" s="1"/>
  <c r="W15" i="50"/>
  <c r="Y15" i="50" s="1"/>
  <c r="F7" i="50"/>
  <c r="G7" i="50" s="1"/>
  <c r="W6" i="50"/>
  <c r="W8" i="50"/>
  <c r="W18" i="50"/>
  <c r="Y18" i="50" s="1"/>
  <c r="W7" i="50"/>
  <c r="W10" i="50"/>
  <c r="Y10" i="50" s="1"/>
  <c r="AB21" i="50"/>
  <c r="W9" i="50"/>
  <c r="H6" i="50"/>
  <c r="W12" i="50"/>
  <c r="W20" i="50"/>
  <c r="W22" i="50"/>
  <c r="W23" i="50"/>
  <c r="W25" i="50"/>
  <c r="W11" i="50"/>
  <c r="W13" i="50"/>
  <c r="W16" i="50"/>
  <c r="W21" i="50"/>
  <c r="W28" i="50"/>
  <c r="C7" i="50"/>
  <c r="W19" i="50"/>
  <c r="W31" i="50"/>
  <c r="W26" i="50"/>
  <c r="W14" i="50"/>
  <c r="W17" i="50"/>
  <c r="W24" i="50"/>
  <c r="G6" i="49"/>
  <c r="W29" i="49"/>
  <c r="X29" i="49"/>
  <c r="L16" i="49"/>
  <c r="H16" i="49"/>
  <c r="G16" i="49"/>
  <c r="L18" i="49"/>
  <c r="H18" i="49"/>
  <c r="G18" i="49"/>
  <c r="N18" i="49" s="1"/>
  <c r="O18" i="49" s="1"/>
  <c r="H7" i="49"/>
  <c r="L7" i="49"/>
  <c r="G7" i="49"/>
  <c r="N7" i="49" s="1"/>
  <c r="O7" i="49" s="1"/>
  <c r="H14" i="49"/>
  <c r="G14" i="49"/>
  <c r="N14" i="49" s="1"/>
  <c r="O14" i="49" s="1"/>
  <c r="L14" i="49"/>
  <c r="G13" i="49"/>
  <c r="H13" i="49"/>
  <c r="L13" i="49"/>
  <c r="L12" i="49"/>
  <c r="L8" i="49"/>
  <c r="H8" i="49"/>
  <c r="G8" i="49"/>
  <c r="N8" i="49" s="1"/>
  <c r="AB11" i="49"/>
  <c r="F13" i="48"/>
  <c r="H13" i="48" s="1"/>
  <c r="W29" i="48"/>
  <c r="Y29" i="48" s="1"/>
  <c r="F6" i="48"/>
  <c r="G6" i="48" s="1"/>
  <c r="F8" i="48"/>
  <c r="H8" i="48" s="1"/>
  <c r="F10" i="48"/>
  <c r="G10" i="48" s="1"/>
  <c r="N10" i="48" s="1"/>
  <c r="W13" i="48"/>
  <c r="X13" i="48" s="1"/>
  <c r="F18" i="48"/>
  <c r="L18" i="48" s="1"/>
  <c r="F16" i="48"/>
  <c r="F14" i="48"/>
  <c r="L14" i="48" s="1"/>
  <c r="W12" i="48"/>
  <c r="Y12" i="48" s="1"/>
  <c r="AB21" i="48"/>
  <c r="F7" i="48"/>
  <c r="H7" i="48" s="1"/>
  <c r="F9" i="48"/>
  <c r="G9" i="48" s="1"/>
  <c r="N9" i="48" s="1"/>
  <c r="F11" i="48"/>
  <c r="G11" i="48" s="1"/>
  <c r="F17" i="48"/>
  <c r="H17" i="48" s="1"/>
  <c r="F15" i="48"/>
  <c r="H15" i="48" s="1"/>
  <c r="F12" i="48"/>
  <c r="G12" i="48" s="1"/>
  <c r="N12" i="48" s="1"/>
  <c r="W6" i="48"/>
  <c r="W24" i="48"/>
  <c r="X24" i="48" s="1"/>
  <c r="L15" i="48"/>
  <c r="Y26" i="48"/>
  <c r="X26" i="48"/>
  <c r="H16" i="48"/>
  <c r="G16" i="48"/>
  <c r="N16" i="48" s="1"/>
  <c r="O16" i="48" s="1"/>
  <c r="L16" i="48"/>
  <c r="H6" i="48"/>
  <c r="X29" i="48"/>
  <c r="AC11" i="48"/>
  <c r="W27" i="48"/>
  <c r="W18" i="48"/>
  <c r="W30" i="48"/>
  <c r="W16" i="48"/>
  <c r="W21" i="48"/>
  <c r="W28" i="48"/>
  <c r="W20" i="48"/>
  <c r="W23" i="48"/>
  <c r="W10" i="48"/>
  <c r="W11" i="48"/>
  <c r="W15" i="48"/>
  <c r="W19" i="48"/>
  <c r="W31" i="48"/>
  <c r="W22" i="48"/>
  <c r="W17" i="48"/>
  <c r="W25" i="48"/>
  <c r="W14" i="48"/>
  <c r="F7" i="45"/>
  <c r="F9" i="45"/>
  <c r="L9" i="45" s="1"/>
  <c r="F6" i="45"/>
  <c r="L6" i="45" s="1"/>
  <c r="F8" i="45"/>
  <c r="G8" i="45" s="1"/>
  <c r="AA21" i="45"/>
  <c r="X12" i="45"/>
  <c r="W29" i="45"/>
  <c r="AB11" i="45"/>
  <c r="G15" i="49" l="1"/>
  <c r="N15" i="49" s="1"/>
  <c r="O15" i="49" s="1"/>
  <c r="H9" i="49"/>
  <c r="G6" i="50"/>
  <c r="L9" i="49"/>
  <c r="L15" i="49"/>
  <c r="L6" i="48"/>
  <c r="H7" i="45"/>
  <c r="L7" i="45"/>
  <c r="H13" i="50"/>
  <c r="G13" i="50"/>
  <c r="H15" i="50"/>
  <c r="G15" i="50"/>
  <c r="N15" i="50" s="1"/>
  <c r="Q15" i="50" s="1"/>
  <c r="H11" i="50"/>
  <c r="G11" i="50"/>
  <c r="N11" i="50" s="1"/>
  <c r="G12" i="50"/>
  <c r="N12" i="50" s="1"/>
  <c r="H12" i="50"/>
  <c r="G18" i="50"/>
  <c r="N18" i="50" s="1"/>
  <c r="Q18" i="50" s="1"/>
  <c r="H18" i="50"/>
  <c r="H17" i="50"/>
  <c r="G17" i="50"/>
  <c r="N17" i="50" s="1"/>
  <c r="Q17" i="50" s="1"/>
  <c r="H10" i="50"/>
  <c r="G10" i="50"/>
  <c r="N10" i="50" s="1"/>
  <c r="L8" i="50"/>
  <c r="H9" i="50"/>
  <c r="G9" i="50"/>
  <c r="N9" i="50" s="1"/>
  <c r="H14" i="50"/>
  <c r="G14" i="50"/>
  <c r="L12" i="50"/>
  <c r="G16" i="50"/>
  <c r="N16" i="50" s="1"/>
  <c r="Q16" i="50" s="1"/>
  <c r="H16" i="50"/>
  <c r="X30" i="50"/>
  <c r="X18" i="50"/>
  <c r="X29" i="50"/>
  <c r="H18" i="48"/>
  <c r="G17" i="48"/>
  <c r="N17" i="48" s="1"/>
  <c r="O17" i="48" s="1"/>
  <c r="Y24" i="48"/>
  <c r="L7" i="48"/>
  <c r="G7" i="48"/>
  <c r="N7" i="48" s="1"/>
  <c r="O7" i="48" s="1"/>
  <c r="X7" i="48"/>
  <c r="Y7" i="48"/>
  <c r="L8" i="48"/>
  <c r="X9" i="48"/>
  <c r="Y9" i="48"/>
  <c r="G8" i="48"/>
  <c r="N8" i="48" s="1"/>
  <c r="O8" i="48" s="1"/>
  <c r="X8" i="48"/>
  <c r="Y8" i="48"/>
  <c r="G8" i="50"/>
  <c r="N8" i="50" s="1"/>
  <c r="G14" i="48"/>
  <c r="N14" i="48" s="1"/>
  <c r="O14" i="48" s="1"/>
  <c r="G15" i="48"/>
  <c r="N15" i="48" s="1"/>
  <c r="O15" i="48" s="1"/>
  <c r="G12" i="49"/>
  <c r="N12" i="49" s="1"/>
  <c r="H6" i="49"/>
  <c r="Y27" i="50"/>
  <c r="L10" i="48"/>
  <c r="P10" i="48" s="1"/>
  <c r="G10" i="49"/>
  <c r="N10" i="49" s="1"/>
  <c r="P10" i="49" s="1"/>
  <c r="H14" i="48"/>
  <c r="H10" i="49"/>
  <c r="L13" i="48"/>
  <c r="H11" i="48"/>
  <c r="L11" i="49"/>
  <c r="H10" i="48"/>
  <c r="G11" i="49"/>
  <c r="G17" i="49"/>
  <c r="N17" i="49" s="1"/>
  <c r="O17" i="49" s="1"/>
  <c r="H7" i="50"/>
  <c r="H17" i="49"/>
  <c r="L7" i="50"/>
  <c r="L12" i="48"/>
  <c r="P12" i="48" s="1"/>
  <c r="L9" i="48"/>
  <c r="P9" i="48" s="1"/>
  <c r="H12" i="48"/>
  <c r="H9" i="48"/>
  <c r="G9" i="45"/>
  <c r="N9" i="45" s="1"/>
  <c r="H8" i="45"/>
  <c r="X15" i="50"/>
  <c r="X10" i="50"/>
  <c r="X7" i="50"/>
  <c r="Y7" i="50"/>
  <c r="X8" i="50"/>
  <c r="Y8" i="50"/>
  <c r="Y9" i="50"/>
  <c r="X9" i="50"/>
  <c r="X26" i="50"/>
  <c r="Y26" i="50"/>
  <c r="Y11" i="50"/>
  <c r="X11" i="50"/>
  <c r="Y19" i="50"/>
  <c r="X19" i="50"/>
  <c r="Y22" i="50"/>
  <c r="X22" i="50"/>
  <c r="Y31" i="50"/>
  <c r="X31" i="50"/>
  <c r="Y25" i="50"/>
  <c r="X25" i="50"/>
  <c r="Y20" i="50"/>
  <c r="X20" i="50"/>
  <c r="Y17" i="50"/>
  <c r="X17" i="50"/>
  <c r="Y13" i="50"/>
  <c r="X13" i="50"/>
  <c r="Y24" i="50"/>
  <c r="X24" i="50"/>
  <c r="Y28" i="50"/>
  <c r="X28" i="50"/>
  <c r="Y23" i="50"/>
  <c r="X23" i="50"/>
  <c r="X12" i="50"/>
  <c r="Y12" i="50"/>
  <c r="Y21" i="50"/>
  <c r="X21" i="50"/>
  <c r="N7" i="50"/>
  <c r="M7" i="50" s="1"/>
  <c r="Y14" i="50"/>
  <c r="X14" i="50"/>
  <c r="Y16" i="50"/>
  <c r="X16" i="50"/>
  <c r="P12" i="49"/>
  <c r="O12" i="49"/>
  <c r="X19" i="49"/>
  <c r="W19" i="49"/>
  <c r="W13" i="49"/>
  <c r="X13" i="49"/>
  <c r="X15" i="49"/>
  <c r="W15" i="49"/>
  <c r="X7" i="49"/>
  <c r="W7" i="49"/>
  <c r="X30" i="49"/>
  <c r="W30" i="49"/>
  <c r="M7" i="49"/>
  <c r="X12" i="49"/>
  <c r="W12" i="49"/>
  <c r="X11" i="49"/>
  <c r="W11" i="49"/>
  <c r="X18" i="49"/>
  <c r="W18" i="49"/>
  <c r="X16" i="49"/>
  <c r="W16" i="49"/>
  <c r="X10" i="49"/>
  <c r="W10" i="49"/>
  <c r="X25" i="49"/>
  <c r="W25" i="49"/>
  <c r="X31" i="49"/>
  <c r="W31" i="49"/>
  <c r="N9" i="49"/>
  <c r="M9" i="49" s="1"/>
  <c r="W26" i="49"/>
  <c r="X26" i="49"/>
  <c r="X9" i="49"/>
  <c r="W9" i="49"/>
  <c r="X23" i="49"/>
  <c r="W23" i="49"/>
  <c r="M15" i="49"/>
  <c r="N16" i="49"/>
  <c r="O16" i="49" s="1"/>
  <c r="P8" i="49"/>
  <c r="O8" i="49"/>
  <c r="M8" i="49"/>
  <c r="W14" i="49"/>
  <c r="X14" i="49"/>
  <c r="X8" i="49"/>
  <c r="W8" i="49"/>
  <c r="X17" i="49"/>
  <c r="W17" i="49"/>
  <c r="M12" i="49"/>
  <c r="N13" i="49"/>
  <c r="O13" i="49" s="1"/>
  <c r="X21" i="49"/>
  <c r="W21" i="49"/>
  <c r="M18" i="49"/>
  <c r="X24" i="49"/>
  <c r="W24" i="49"/>
  <c r="W22" i="49"/>
  <c r="X22" i="49"/>
  <c r="W20" i="49"/>
  <c r="X20" i="49"/>
  <c r="X28" i="49"/>
  <c r="W28" i="49"/>
  <c r="X27" i="49"/>
  <c r="W27" i="49"/>
  <c r="M14" i="49"/>
  <c r="N11" i="49"/>
  <c r="X12" i="48"/>
  <c r="L17" i="48"/>
  <c r="G18" i="48"/>
  <c r="N18" i="48" s="1"/>
  <c r="O18" i="48" s="1"/>
  <c r="Y13" i="48"/>
  <c r="L11" i="48"/>
  <c r="G13" i="48"/>
  <c r="N13" i="48" s="1"/>
  <c r="O13" i="48" s="1"/>
  <c r="P8" i="48"/>
  <c r="O12" i="48"/>
  <c r="Y27" i="48"/>
  <c r="X27" i="48"/>
  <c r="X31" i="48"/>
  <c r="Y31" i="48"/>
  <c r="Y28" i="48"/>
  <c r="X28" i="48"/>
  <c r="X15" i="48"/>
  <c r="Y15" i="48"/>
  <c r="Y21" i="48"/>
  <c r="X21" i="48"/>
  <c r="M15" i="48"/>
  <c r="M12" i="48"/>
  <c r="Y14" i="48"/>
  <c r="X14" i="48"/>
  <c r="X10" i="48"/>
  <c r="Y10" i="48"/>
  <c r="M10" i="48"/>
  <c r="Y22" i="48"/>
  <c r="X22" i="48"/>
  <c r="O10" i="48"/>
  <c r="X11" i="48"/>
  <c r="Y11" i="48"/>
  <c r="Y30" i="48"/>
  <c r="X30" i="48"/>
  <c r="M17" i="48"/>
  <c r="O9" i="48"/>
  <c r="Y16" i="48"/>
  <c r="X16" i="48"/>
  <c r="Y25" i="48"/>
  <c r="X25" i="48"/>
  <c r="Y17" i="48"/>
  <c r="X17" i="48"/>
  <c r="Y18" i="48"/>
  <c r="X18" i="48"/>
  <c r="M9" i="48"/>
  <c r="Y23" i="48"/>
  <c r="X23" i="48"/>
  <c r="M16" i="48"/>
  <c r="Y20" i="48"/>
  <c r="X20" i="48"/>
  <c r="M8" i="48"/>
  <c r="X19" i="48"/>
  <c r="Y19" i="48"/>
  <c r="N11" i="48"/>
  <c r="M11" i="48" s="1"/>
  <c r="X20" i="45"/>
  <c r="G7" i="45"/>
  <c r="N7" i="45" s="1"/>
  <c r="P7" i="45" s="1"/>
  <c r="H9" i="45"/>
  <c r="H6" i="45"/>
  <c r="L8" i="45"/>
  <c r="W27" i="45"/>
  <c r="G6" i="45"/>
  <c r="W12" i="45"/>
  <c r="W22" i="45"/>
  <c r="X13" i="45"/>
  <c r="W13" i="45"/>
  <c r="X31" i="45"/>
  <c r="W31" i="45"/>
  <c r="X19" i="45"/>
  <c r="W19" i="45"/>
  <c r="X11" i="45"/>
  <c r="W11" i="45"/>
  <c r="X28" i="45"/>
  <c r="W28" i="45"/>
  <c r="X14" i="45"/>
  <c r="W14" i="45"/>
  <c r="W24" i="45"/>
  <c r="X24" i="45"/>
  <c r="W10" i="45"/>
  <c r="X10" i="45"/>
  <c r="X21" i="45"/>
  <c r="W21" i="45"/>
  <c r="X30" i="45"/>
  <c r="W30" i="45"/>
  <c r="X25" i="45"/>
  <c r="W25" i="45"/>
  <c r="X23" i="45"/>
  <c r="W23" i="45"/>
  <c r="X9" i="45"/>
  <c r="W9" i="45"/>
  <c r="W8" i="45"/>
  <c r="X8" i="45"/>
  <c r="X17" i="45"/>
  <c r="W17" i="45"/>
  <c r="X18" i="45"/>
  <c r="W18" i="45"/>
  <c r="W7" i="45"/>
  <c r="X7" i="45"/>
  <c r="W26" i="45"/>
  <c r="X26" i="45"/>
  <c r="X15" i="45"/>
  <c r="W15" i="45"/>
  <c r="W16" i="45"/>
  <c r="X16" i="45"/>
  <c r="N8" i="45"/>
  <c r="M8" i="45" s="1"/>
  <c r="AE9" i="24"/>
  <c r="M8" i="50" l="1"/>
  <c r="O8" i="50"/>
  <c r="M12" i="50"/>
  <c r="O12" i="50"/>
  <c r="M10" i="50"/>
  <c r="O10" i="50"/>
  <c r="M11" i="50"/>
  <c r="O11" i="50"/>
  <c r="M16" i="50"/>
  <c r="O16" i="50"/>
  <c r="M17" i="50"/>
  <c r="O17" i="50"/>
  <c r="M15" i="50"/>
  <c r="O15" i="50"/>
  <c r="N14" i="50"/>
  <c r="N13" i="50"/>
  <c r="M9" i="50"/>
  <c r="O9" i="50"/>
  <c r="M18" i="50"/>
  <c r="O18" i="50"/>
  <c r="M10" i="49"/>
  <c r="M17" i="49"/>
  <c r="O10" i="49"/>
  <c r="M7" i="48"/>
  <c r="Q8" i="50"/>
  <c r="M13" i="48"/>
  <c r="M14" i="48"/>
  <c r="M7" i="45"/>
  <c r="M18" i="48"/>
  <c r="O7" i="45"/>
  <c r="Q7" i="50"/>
  <c r="O7" i="50"/>
  <c r="Q9" i="50"/>
  <c r="P11" i="49"/>
  <c r="O11" i="49"/>
  <c r="M16" i="49"/>
  <c r="M13" i="49"/>
  <c r="M11" i="49"/>
  <c r="P9" i="49"/>
  <c r="O9" i="49"/>
  <c r="P11" i="48"/>
  <c r="O11" i="48"/>
  <c r="P9" i="45"/>
  <c r="O9" i="45"/>
  <c r="M9" i="45"/>
  <c r="P8" i="45"/>
  <c r="O8" i="45"/>
  <c r="AA11" i="40"/>
  <c r="O14" i="50" l="1"/>
  <c r="Q14" i="50"/>
  <c r="M14" i="50"/>
  <c r="O13" i="50"/>
  <c r="Q13" i="50"/>
  <c r="M13" i="50"/>
  <c r="Q11" i="50"/>
  <c r="Q10" i="50"/>
  <c r="Q12" i="50"/>
  <c r="J9" i="43" l="1"/>
  <c r="K9" i="43" s="1"/>
  <c r="J14" i="43"/>
  <c r="K14" i="43" s="1"/>
  <c r="J15" i="43"/>
  <c r="K15" i="43" s="1"/>
  <c r="J7" i="43"/>
  <c r="K7" i="43" s="1"/>
  <c r="D13" i="43"/>
  <c r="E13" i="43" s="1"/>
  <c r="D14" i="43"/>
  <c r="E14" i="43" s="1"/>
  <c r="D15" i="43"/>
  <c r="E15" i="43" s="1"/>
  <c r="AE24" i="43"/>
  <c r="AE23" i="43"/>
  <c r="AB20" i="43"/>
  <c r="J18" i="43"/>
  <c r="K18" i="43" s="1"/>
  <c r="C18" i="43"/>
  <c r="D18" i="43"/>
  <c r="E18" i="43" s="1"/>
  <c r="J17" i="43"/>
  <c r="K17" i="43" s="1"/>
  <c r="D17" i="43"/>
  <c r="E17" i="43" s="1"/>
  <c r="J16" i="43"/>
  <c r="K16" i="43" s="1"/>
  <c r="C16" i="43"/>
  <c r="J13" i="43"/>
  <c r="K13" i="43" s="1"/>
  <c r="AB12" i="43"/>
  <c r="J12" i="43"/>
  <c r="K12" i="43" s="1"/>
  <c r="D12" i="43"/>
  <c r="E12" i="43" s="1"/>
  <c r="C12" i="43"/>
  <c r="AB11" i="43"/>
  <c r="J11" i="43"/>
  <c r="K11" i="43" s="1"/>
  <c r="D11" i="43"/>
  <c r="E11" i="43" s="1"/>
  <c r="J10" i="43"/>
  <c r="K10" i="43" s="1"/>
  <c r="C10" i="43"/>
  <c r="D9" i="43"/>
  <c r="E9" i="43" s="1"/>
  <c r="C9" i="43"/>
  <c r="J8" i="43"/>
  <c r="K8" i="43" s="1"/>
  <c r="D8" i="43"/>
  <c r="E8" i="43" s="1"/>
  <c r="AB7" i="43"/>
  <c r="D7" i="43"/>
  <c r="E7" i="43" s="1"/>
  <c r="J6" i="43"/>
  <c r="K6" i="43" s="1"/>
  <c r="D6" i="43"/>
  <c r="E6" i="43" s="1"/>
  <c r="C6" i="43"/>
  <c r="AD24" i="42"/>
  <c r="AD23" i="42"/>
  <c r="AA20" i="42"/>
  <c r="J18" i="42"/>
  <c r="K18" i="42" s="1"/>
  <c r="D18" i="42"/>
  <c r="E18" i="42" s="1"/>
  <c r="C18" i="42"/>
  <c r="J17" i="42"/>
  <c r="K17" i="42" s="1"/>
  <c r="D17" i="42"/>
  <c r="E17" i="42" s="1"/>
  <c r="C17" i="42"/>
  <c r="J16" i="42"/>
  <c r="K16" i="42" s="1"/>
  <c r="D16" i="42"/>
  <c r="E16" i="42" s="1"/>
  <c r="C16" i="42"/>
  <c r="J15" i="42"/>
  <c r="K15" i="42" s="1"/>
  <c r="D15" i="42"/>
  <c r="E15" i="42" s="1"/>
  <c r="C15" i="42"/>
  <c r="J14" i="42"/>
  <c r="K14" i="42" s="1"/>
  <c r="D14" i="42"/>
  <c r="E14" i="42" s="1"/>
  <c r="C14" i="42"/>
  <c r="J13" i="42"/>
  <c r="K13" i="42" s="1"/>
  <c r="D13" i="42"/>
  <c r="E13" i="42" s="1"/>
  <c r="C13" i="42"/>
  <c r="AA12" i="42"/>
  <c r="V8" i="42" s="1"/>
  <c r="W8" i="42" s="1"/>
  <c r="J12" i="42"/>
  <c r="K12" i="42" s="1"/>
  <c r="D12" i="42"/>
  <c r="E12" i="42" s="1"/>
  <c r="C12" i="42"/>
  <c r="AA11" i="42"/>
  <c r="J11" i="42"/>
  <c r="K11" i="42" s="1"/>
  <c r="D11" i="42"/>
  <c r="E11" i="42" s="1"/>
  <c r="C11" i="42"/>
  <c r="J10" i="42"/>
  <c r="K10" i="42" s="1"/>
  <c r="D10" i="42"/>
  <c r="E10" i="42" s="1"/>
  <c r="C10" i="42"/>
  <c r="J9" i="42"/>
  <c r="K9" i="42" s="1"/>
  <c r="D9" i="42"/>
  <c r="E9" i="42" s="1"/>
  <c r="C9" i="42"/>
  <c r="J8" i="42"/>
  <c r="K8" i="42" s="1"/>
  <c r="D8" i="42"/>
  <c r="E8" i="42" s="1"/>
  <c r="F8" i="42" s="1"/>
  <c r="C8" i="42"/>
  <c r="AA7" i="42"/>
  <c r="J7" i="42"/>
  <c r="K7" i="42" s="1"/>
  <c r="D7" i="42"/>
  <c r="E7" i="42" s="1"/>
  <c r="F7" i="42" s="1"/>
  <c r="C7" i="42"/>
  <c r="J6" i="42"/>
  <c r="K6" i="42" s="1"/>
  <c r="D6" i="42"/>
  <c r="E6" i="42" s="1"/>
  <c r="F6" i="42" s="1"/>
  <c r="C6" i="42"/>
  <c r="J9" i="41"/>
  <c r="K9" i="41" s="1"/>
  <c r="J12" i="41"/>
  <c r="K12" i="41" s="1"/>
  <c r="J11" i="41"/>
  <c r="K11" i="41" s="1"/>
  <c r="J10" i="41"/>
  <c r="K10" i="41" s="1"/>
  <c r="J8" i="41"/>
  <c r="K8" i="41" s="1"/>
  <c r="J7" i="41"/>
  <c r="K7" i="41" s="1"/>
  <c r="D12" i="41"/>
  <c r="E12" i="41" s="1"/>
  <c r="D11" i="41"/>
  <c r="E11" i="41" s="1"/>
  <c r="C10" i="41"/>
  <c r="D9" i="41"/>
  <c r="E9" i="41" s="1"/>
  <c r="C8" i="41"/>
  <c r="D7" i="41"/>
  <c r="E7" i="41" s="1"/>
  <c r="AD24" i="41"/>
  <c r="AD23" i="41"/>
  <c r="AA20" i="41"/>
  <c r="AA12" i="41"/>
  <c r="V31" i="41" s="1"/>
  <c r="AA7" i="41"/>
  <c r="K6" i="41"/>
  <c r="J6" i="41"/>
  <c r="D6" i="41"/>
  <c r="E6" i="41" s="1"/>
  <c r="C6" i="41"/>
  <c r="J11" i="40"/>
  <c r="K11" i="40" s="1"/>
  <c r="J12" i="40"/>
  <c r="K12" i="40" s="1"/>
  <c r="J13" i="40"/>
  <c r="K13" i="40" s="1"/>
  <c r="J14" i="40"/>
  <c r="K14" i="40" s="1"/>
  <c r="J15" i="40"/>
  <c r="K15" i="40" s="1"/>
  <c r="J16" i="40"/>
  <c r="K16" i="40" s="1"/>
  <c r="J17" i="40"/>
  <c r="K17" i="40" s="1"/>
  <c r="J18" i="40"/>
  <c r="K18" i="40" s="1"/>
  <c r="D18" i="40"/>
  <c r="E18" i="40" s="1"/>
  <c r="D11" i="40"/>
  <c r="E11" i="40" s="1"/>
  <c r="D12" i="40"/>
  <c r="E12" i="40" s="1"/>
  <c r="D13" i="40"/>
  <c r="E13" i="40" s="1"/>
  <c r="D14" i="40"/>
  <c r="E14" i="40" s="1"/>
  <c r="D15" i="40"/>
  <c r="E15" i="40" s="1"/>
  <c r="D16" i="40"/>
  <c r="E16" i="40" s="1"/>
  <c r="D17" i="40"/>
  <c r="E17" i="40" s="1"/>
  <c r="C11" i="40"/>
  <c r="C12" i="40"/>
  <c r="C13" i="40"/>
  <c r="C14" i="40"/>
  <c r="C15" i="40"/>
  <c r="C16" i="40"/>
  <c r="C17" i="40"/>
  <c r="C18" i="40"/>
  <c r="AD24" i="40"/>
  <c r="AD23" i="40"/>
  <c r="AA20" i="40"/>
  <c r="AA12" i="40"/>
  <c r="J10" i="40"/>
  <c r="K10" i="40" s="1"/>
  <c r="D10" i="40"/>
  <c r="E10" i="40" s="1"/>
  <c r="C10" i="40"/>
  <c r="J9" i="40"/>
  <c r="K9" i="40" s="1"/>
  <c r="D9" i="40"/>
  <c r="E9" i="40" s="1"/>
  <c r="C9" i="40"/>
  <c r="J8" i="40"/>
  <c r="K8" i="40" s="1"/>
  <c r="D8" i="40"/>
  <c r="E8" i="40" s="1"/>
  <c r="C8" i="40"/>
  <c r="AA7" i="40"/>
  <c r="J7" i="40"/>
  <c r="K7" i="40" s="1"/>
  <c r="D7" i="40"/>
  <c r="E7" i="40" s="1"/>
  <c r="C7" i="40"/>
  <c r="J6" i="40"/>
  <c r="K6" i="40" s="1"/>
  <c r="D6" i="40"/>
  <c r="E6" i="40" s="1"/>
  <c r="C6" i="40"/>
  <c r="AA11" i="38"/>
  <c r="AD24" i="38"/>
  <c r="AD23" i="38"/>
  <c r="AA20" i="38"/>
  <c r="AA12" i="38"/>
  <c r="J10" i="38"/>
  <c r="K10" i="38" s="1"/>
  <c r="J9" i="38"/>
  <c r="K9" i="38" s="1"/>
  <c r="D9" i="38"/>
  <c r="E9" i="38" s="1"/>
  <c r="C9" i="38"/>
  <c r="J8" i="38"/>
  <c r="K8" i="38" s="1"/>
  <c r="D8" i="38"/>
  <c r="E8" i="38" s="1"/>
  <c r="C8" i="38"/>
  <c r="AA7" i="38"/>
  <c r="F10" i="38" s="1"/>
  <c r="J7" i="38"/>
  <c r="K7" i="38" s="1"/>
  <c r="D7" i="38"/>
  <c r="E7" i="38" s="1"/>
  <c r="C7" i="38"/>
  <c r="J6" i="38"/>
  <c r="K6" i="38" s="1"/>
  <c r="D6" i="38"/>
  <c r="E6" i="38" s="1"/>
  <c r="C6" i="38"/>
  <c r="AB21" i="43" l="1"/>
  <c r="W14" i="43"/>
  <c r="G10" i="38"/>
  <c r="H10" i="38"/>
  <c r="W29" i="43"/>
  <c r="Y29" i="43" s="1"/>
  <c r="F7" i="43"/>
  <c r="H7" i="43" s="1"/>
  <c r="W7" i="43"/>
  <c r="Y7" i="43" s="1"/>
  <c r="W10" i="43"/>
  <c r="X10" i="43" s="1"/>
  <c r="V7" i="40"/>
  <c r="V9" i="40"/>
  <c r="V27" i="40"/>
  <c r="V29" i="40"/>
  <c r="V22" i="40"/>
  <c r="V15" i="40"/>
  <c r="V17" i="40"/>
  <c r="V13" i="40"/>
  <c r="V21" i="40"/>
  <c r="V20" i="40"/>
  <c r="V30" i="40"/>
  <c r="V23" i="40"/>
  <c r="V25" i="40"/>
  <c r="V26" i="40"/>
  <c r="X26" i="40" s="1"/>
  <c r="V6" i="40"/>
  <c r="V31" i="40"/>
  <c r="V10" i="40"/>
  <c r="V8" i="40"/>
  <c r="V14" i="40"/>
  <c r="V12" i="40"/>
  <c r="V18" i="40"/>
  <c r="V16" i="40"/>
  <c r="V28" i="40"/>
  <c r="V24" i="40"/>
  <c r="V19" i="40"/>
  <c r="V11" i="40"/>
  <c r="V27" i="38"/>
  <c r="X27" i="38" s="1"/>
  <c r="F12" i="41"/>
  <c r="L12" i="41" s="1"/>
  <c r="V7" i="42"/>
  <c r="W7" i="42" s="1"/>
  <c r="V26" i="42"/>
  <c r="X26" i="42" s="1"/>
  <c r="V6" i="41"/>
  <c r="V26" i="41"/>
  <c r="X26" i="41" s="1"/>
  <c r="V8" i="41"/>
  <c r="X8" i="41" s="1"/>
  <c r="F18" i="42"/>
  <c r="L18" i="42" s="1"/>
  <c r="F11" i="42"/>
  <c r="H11" i="42" s="1"/>
  <c r="V20" i="41"/>
  <c r="X20" i="41" s="1"/>
  <c r="V9" i="42"/>
  <c r="W9" i="42" s="1"/>
  <c r="F13" i="42"/>
  <c r="F16" i="42"/>
  <c r="F10" i="42"/>
  <c r="H10" i="42" s="1"/>
  <c r="X8" i="42"/>
  <c r="F12" i="42"/>
  <c r="G12" i="42" s="1"/>
  <c r="N12" i="42" s="1"/>
  <c r="F14" i="42"/>
  <c r="H14" i="42" s="1"/>
  <c r="F17" i="40"/>
  <c r="F11" i="41"/>
  <c r="G11" i="41" s="1"/>
  <c r="N11" i="41" s="1"/>
  <c r="V10" i="42"/>
  <c r="F17" i="42"/>
  <c r="V27" i="42"/>
  <c r="W27" i="42" s="1"/>
  <c r="F9" i="42"/>
  <c r="G9" i="42" s="1"/>
  <c r="N9" i="42" s="1"/>
  <c r="V12" i="42"/>
  <c r="W12" i="42" s="1"/>
  <c r="F15" i="43"/>
  <c r="G15" i="43" s="1"/>
  <c r="V25" i="41"/>
  <c r="X25" i="41" s="1"/>
  <c r="F15" i="42"/>
  <c r="F11" i="43"/>
  <c r="G11" i="43" s="1"/>
  <c r="N11" i="43" s="1"/>
  <c r="F14" i="43"/>
  <c r="G14" i="43" s="1"/>
  <c r="N14" i="43" s="1"/>
  <c r="F8" i="43"/>
  <c r="H8" i="43" s="1"/>
  <c r="F13" i="43"/>
  <c r="H13" i="43" s="1"/>
  <c r="F6" i="43"/>
  <c r="W26" i="43"/>
  <c r="Y26" i="43" s="1"/>
  <c r="F17" i="43"/>
  <c r="H17" i="43" s="1"/>
  <c r="F9" i="43"/>
  <c r="L9" i="43" s="1"/>
  <c r="F12" i="43"/>
  <c r="L12" i="43" s="1"/>
  <c r="F18" i="43"/>
  <c r="G18" i="43" s="1"/>
  <c r="N18" i="43" s="1"/>
  <c r="W6" i="43"/>
  <c r="F6" i="41"/>
  <c r="G6" i="41" s="1"/>
  <c r="V9" i="41"/>
  <c r="X9" i="41" s="1"/>
  <c r="AA21" i="41"/>
  <c r="V10" i="41"/>
  <c r="X10" i="41" s="1"/>
  <c r="V22" i="41"/>
  <c r="X22" i="41" s="1"/>
  <c r="V29" i="41"/>
  <c r="X29" i="41" s="1"/>
  <c r="V11" i="41"/>
  <c r="X11" i="41" s="1"/>
  <c r="V23" i="41"/>
  <c r="X23" i="41" s="1"/>
  <c r="F7" i="41"/>
  <c r="V7" i="41"/>
  <c r="AB11" i="41"/>
  <c r="V24" i="41"/>
  <c r="X24" i="41" s="1"/>
  <c r="F9" i="41"/>
  <c r="G9" i="41" s="1"/>
  <c r="N9" i="41" s="1"/>
  <c r="V28" i="41"/>
  <c r="X28" i="41" s="1"/>
  <c r="C14" i="43"/>
  <c r="C15" i="43"/>
  <c r="X29" i="43"/>
  <c r="G7" i="43"/>
  <c r="L7" i="43"/>
  <c r="L6" i="43"/>
  <c r="H6" i="43"/>
  <c r="G6" i="43"/>
  <c r="H15" i="43"/>
  <c r="W13" i="43"/>
  <c r="W17" i="43"/>
  <c r="W20" i="43"/>
  <c r="X7" i="43"/>
  <c r="D16" i="43"/>
  <c r="E16" i="43" s="1"/>
  <c r="F16" i="43" s="1"/>
  <c r="C7" i="43"/>
  <c r="D10" i="43"/>
  <c r="E10" i="43" s="1"/>
  <c r="F10" i="43" s="1"/>
  <c r="C13" i="43"/>
  <c r="C17" i="43"/>
  <c r="W18" i="43"/>
  <c r="W30" i="43"/>
  <c r="W8" i="43"/>
  <c r="C11" i="43"/>
  <c r="W23" i="43"/>
  <c r="W25" i="43"/>
  <c r="W22" i="43"/>
  <c r="W27" i="43"/>
  <c r="W15" i="43"/>
  <c r="W21" i="43"/>
  <c r="C8" i="43"/>
  <c r="W9" i="43"/>
  <c r="AC11" i="43"/>
  <c r="W12" i="43"/>
  <c r="W19" i="43"/>
  <c r="W31" i="43"/>
  <c r="W11" i="43"/>
  <c r="W28" i="43"/>
  <c r="W16" i="43"/>
  <c r="W24" i="43"/>
  <c r="L6" i="42"/>
  <c r="G6" i="42"/>
  <c r="H6" i="42"/>
  <c r="L8" i="42"/>
  <c r="H8" i="42"/>
  <c r="G8" i="42"/>
  <c r="L12" i="42"/>
  <c r="G7" i="42"/>
  <c r="L7" i="42"/>
  <c r="H7" i="42"/>
  <c r="L15" i="42"/>
  <c r="H15" i="42"/>
  <c r="G15" i="42"/>
  <c r="N15" i="42" s="1"/>
  <c r="G10" i="42"/>
  <c r="N10" i="42" s="1"/>
  <c r="H18" i="42"/>
  <c r="G18" i="42"/>
  <c r="W26" i="42"/>
  <c r="L13" i="42"/>
  <c r="H13" i="42"/>
  <c r="G13" i="42"/>
  <c r="N13" i="42" s="1"/>
  <c r="N7" i="42"/>
  <c r="L9" i="42"/>
  <c r="H9" i="42"/>
  <c r="L16" i="42"/>
  <c r="H16" i="42"/>
  <c r="G16" i="42"/>
  <c r="L14" i="42"/>
  <c r="L17" i="42"/>
  <c r="H17" i="42"/>
  <c r="G17" i="42"/>
  <c r="N17" i="42" s="1"/>
  <c r="V11" i="42"/>
  <c r="AA21" i="42"/>
  <c r="V24" i="42"/>
  <c r="V29" i="42"/>
  <c r="V6" i="42"/>
  <c r="V20" i="42"/>
  <c r="V22" i="42"/>
  <c r="V25" i="42"/>
  <c r="V14" i="42"/>
  <c r="V15" i="42"/>
  <c r="V16" i="42"/>
  <c r="V17" i="42"/>
  <c r="V30" i="42"/>
  <c r="AB11" i="42"/>
  <c r="V23" i="42"/>
  <c r="V21" i="42"/>
  <c r="V28" i="42"/>
  <c r="V13" i="42"/>
  <c r="V18" i="42"/>
  <c r="V19" i="42"/>
  <c r="V31" i="42"/>
  <c r="C12" i="41"/>
  <c r="C11" i="41"/>
  <c r="D10" i="41"/>
  <c r="E10" i="41" s="1"/>
  <c r="F10" i="41" s="1"/>
  <c r="H10" i="41" s="1"/>
  <c r="C9" i="41"/>
  <c r="D8" i="41"/>
  <c r="E8" i="41" s="1"/>
  <c r="F8" i="41" s="1"/>
  <c r="L8" i="41" s="1"/>
  <c r="C7" i="41"/>
  <c r="W31" i="41"/>
  <c r="X31" i="41"/>
  <c r="V12" i="41"/>
  <c r="W20" i="41"/>
  <c r="V27" i="41"/>
  <c r="V13" i="41"/>
  <c r="V14" i="41"/>
  <c r="V15" i="41"/>
  <c r="V16" i="41"/>
  <c r="V17" i="41"/>
  <c r="V18" i="41"/>
  <c r="V30" i="41"/>
  <c r="V21" i="41"/>
  <c r="V19" i="41"/>
  <c r="V8" i="38"/>
  <c r="X8" i="38" s="1"/>
  <c r="L10" i="38"/>
  <c r="F6" i="38"/>
  <c r="G6" i="38" s="1"/>
  <c r="F8" i="38"/>
  <c r="H8" i="38" s="1"/>
  <c r="F7" i="38"/>
  <c r="G7" i="38" s="1"/>
  <c r="F9" i="38"/>
  <c r="G9" i="38" s="1"/>
  <c r="F8" i="40"/>
  <c r="G8" i="40" s="1"/>
  <c r="N8" i="40" s="1"/>
  <c r="M8" i="40" s="1"/>
  <c r="F13" i="40"/>
  <c r="L13" i="40" s="1"/>
  <c r="F6" i="40"/>
  <c r="H6" i="40" s="1"/>
  <c r="F12" i="40"/>
  <c r="H12" i="40" s="1"/>
  <c r="F9" i="40"/>
  <c r="L9" i="40" s="1"/>
  <c r="F16" i="40"/>
  <c r="L16" i="40" s="1"/>
  <c r="F15" i="40"/>
  <c r="L15" i="40" s="1"/>
  <c r="F14" i="40"/>
  <c r="H14" i="40" s="1"/>
  <c r="L17" i="40"/>
  <c r="H17" i="40"/>
  <c r="G17" i="40"/>
  <c r="N17" i="40" s="1"/>
  <c r="AA21" i="40"/>
  <c r="F7" i="40"/>
  <c r="H7" i="40" s="1"/>
  <c r="F11" i="40"/>
  <c r="W28" i="40"/>
  <c r="F18" i="40"/>
  <c r="F10" i="40"/>
  <c r="G10" i="40" s="1"/>
  <c r="N10" i="40" s="1"/>
  <c r="M10" i="40" s="1"/>
  <c r="AB11" i="40"/>
  <c r="V10" i="38"/>
  <c r="X10" i="38" s="1"/>
  <c r="V31" i="38"/>
  <c r="W31" i="38" s="1"/>
  <c r="V28" i="38"/>
  <c r="X28" i="38" s="1"/>
  <c r="V7" i="38"/>
  <c r="W7" i="38" s="1"/>
  <c r="V15" i="38"/>
  <c r="W15" i="38" s="1"/>
  <c r="V9" i="38"/>
  <c r="X9" i="38" s="1"/>
  <c r="AB11" i="38"/>
  <c r="AA21" i="38"/>
  <c r="V11" i="38"/>
  <c r="W27" i="38"/>
  <c r="V30" i="38"/>
  <c r="V6" i="38"/>
  <c r="V13" i="38"/>
  <c r="V14" i="38"/>
  <c r="V26" i="38"/>
  <c r="V12" i="38"/>
  <c r="V17" i="38"/>
  <c r="V24" i="38"/>
  <c r="V29" i="38"/>
  <c r="V20" i="38"/>
  <c r="V22" i="38"/>
  <c r="V18" i="38"/>
  <c r="V23" i="38"/>
  <c r="V25" i="38"/>
  <c r="V16" i="38"/>
  <c r="V21" i="38"/>
  <c r="V19" i="38"/>
  <c r="I8" i="37"/>
  <c r="J8" i="37" s="1"/>
  <c r="K8" i="37" s="1"/>
  <c r="I9" i="37"/>
  <c r="J9" i="37" s="1"/>
  <c r="K9" i="37" s="1"/>
  <c r="I10" i="37"/>
  <c r="J10" i="37" s="1"/>
  <c r="K10" i="37" s="1"/>
  <c r="I11" i="37"/>
  <c r="I12" i="37"/>
  <c r="I13" i="37"/>
  <c r="J13" i="37" s="1"/>
  <c r="K13" i="37" s="1"/>
  <c r="I14" i="37"/>
  <c r="J14" i="37" s="1"/>
  <c r="K14" i="37" s="1"/>
  <c r="I15" i="37"/>
  <c r="J15" i="37" s="1"/>
  <c r="K15" i="37" s="1"/>
  <c r="I16" i="37"/>
  <c r="J16" i="37" s="1"/>
  <c r="K16" i="37" s="1"/>
  <c r="I17" i="37"/>
  <c r="J17" i="37" s="1"/>
  <c r="K17" i="37" s="1"/>
  <c r="I18" i="37"/>
  <c r="J18" i="37" s="1"/>
  <c r="K18" i="37" s="1"/>
  <c r="I7" i="37"/>
  <c r="J7" i="37" s="1"/>
  <c r="K7" i="37" s="1"/>
  <c r="B8" i="37"/>
  <c r="D8" i="37" s="1"/>
  <c r="E8" i="37" s="1"/>
  <c r="B9" i="37"/>
  <c r="C9" i="37" s="1"/>
  <c r="B10" i="37"/>
  <c r="D10" i="37" s="1"/>
  <c r="E10" i="37" s="1"/>
  <c r="B11" i="37"/>
  <c r="D11" i="37" s="1"/>
  <c r="E11" i="37" s="1"/>
  <c r="B12" i="37"/>
  <c r="C12" i="37" s="1"/>
  <c r="B13" i="37"/>
  <c r="D13" i="37" s="1"/>
  <c r="E13" i="37" s="1"/>
  <c r="B14" i="37"/>
  <c r="D14" i="37" s="1"/>
  <c r="E14" i="37" s="1"/>
  <c r="B15" i="37"/>
  <c r="C15" i="37" s="1"/>
  <c r="B16" i="37"/>
  <c r="C16" i="37" s="1"/>
  <c r="B17" i="37"/>
  <c r="C17" i="37" s="1"/>
  <c r="B18" i="37"/>
  <c r="C18" i="37" s="1"/>
  <c r="B7" i="37"/>
  <c r="C7" i="37" s="1"/>
  <c r="AE24" i="37"/>
  <c r="AE23" i="37"/>
  <c r="AB20" i="37"/>
  <c r="J12" i="37"/>
  <c r="K12" i="37" s="1"/>
  <c r="AB11" i="37"/>
  <c r="J11" i="37"/>
  <c r="K11" i="37" s="1"/>
  <c r="AB7" i="37"/>
  <c r="J6" i="37"/>
  <c r="K6" i="37" s="1"/>
  <c r="D6" i="37"/>
  <c r="E6" i="37" s="1"/>
  <c r="C6" i="37"/>
  <c r="Y10" i="43" l="1"/>
  <c r="F11" i="37"/>
  <c r="H11" i="37" s="1"/>
  <c r="X31" i="38"/>
  <c r="M7" i="38"/>
  <c r="L6" i="41"/>
  <c r="X26" i="43"/>
  <c r="X7" i="42"/>
  <c r="F6" i="37"/>
  <c r="L6" i="37" s="1"/>
  <c r="F14" i="37"/>
  <c r="L14" i="37" s="1"/>
  <c r="W20" i="37"/>
  <c r="Y20" i="37" s="1"/>
  <c r="W25" i="41"/>
  <c r="W26" i="40"/>
  <c r="H7" i="41"/>
  <c r="L7" i="41"/>
  <c r="L9" i="41"/>
  <c r="W29" i="41"/>
  <c r="W8" i="41"/>
  <c r="H11" i="41"/>
  <c r="L11" i="41"/>
  <c r="P11" i="41" s="1"/>
  <c r="W9" i="41"/>
  <c r="W28" i="41"/>
  <c r="W23" i="41"/>
  <c r="W26" i="41"/>
  <c r="H14" i="43"/>
  <c r="L14" i="43"/>
  <c r="Q14" i="43" s="1"/>
  <c r="X12" i="42"/>
  <c r="H12" i="42"/>
  <c r="G12" i="43"/>
  <c r="N12" i="43" s="1"/>
  <c r="Q12" i="43" s="1"/>
  <c r="H12" i="43"/>
  <c r="L11" i="42"/>
  <c r="P11" i="42" s="1"/>
  <c r="G11" i="42"/>
  <c r="N11" i="42" s="1"/>
  <c r="H9" i="43"/>
  <c r="L8" i="43"/>
  <c r="C8" i="37"/>
  <c r="X9" i="42"/>
  <c r="AC11" i="37"/>
  <c r="F10" i="37"/>
  <c r="F8" i="37"/>
  <c r="L8" i="37" s="1"/>
  <c r="C14" i="37"/>
  <c r="W8" i="37"/>
  <c r="Y8" i="37" s="1"/>
  <c r="D17" i="37"/>
  <c r="E17" i="37" s="1"/>
  <c r="F17" i="37" s="1"/>
  <c r="H17" i="37" s="1"/>
  <c r="L11" i="37"/>
  <c r="W6" i="37"/>
  <c r="C10" i="37"/>
  <c r="C13" i="37"/>
  <c r="L15" i="43"/>
  <c r="D18" i="37"/>
  <c r="E18" i="37" s="1"/>
  <c r="F18" i="37" s="1"/>
  <c r="L18" i="37" s="1"/>
  <c r="G8" i="38"/>
  <c r="L10" i="42"/>
  <c r="P10" i="42" s="1"/>
  <c r="G9" i="43"/>
  <c r="N9" i="43" s="1"/>
  <c r="F13" i="37"/>
  <c r="L13" i="37" s="1"/>
  <c r="W10" i="37"/>
  <c r="Y10" i="37" s="1"/>
  <c r="D16" i="37"/>
  <c r="E16" i="37" s="1"/>
  <c r="F16" i="37" s="1"/>
  <c r="G13" i="43"/>
  <c r="N13" i="43" s="1"/>
  <c r="D15" i="37"/>
  <c r="E15" i="37" s="1"/>
  <c r="F15" i="37" s="1"/>
  <c r="W10" i="42"/>
  <c r="X10" i="42"/>
  <c r="W24" i="41"/>
  <c r="G14" i="42"/>
  <c r="N14" i="42" s="1"/>
  <c r="W21" i="37"/>
  <c r="Y21" i="37" s="1"/>
  <c r="W22" i="37"/>
  <c r="Y22" i="37" s="1"/>
  <c r="W11" i="41"/>
  <c r="X27" i="42"/>
  <c r="G8" i="43"/>
  <c r="N8" i="43" s="1"/>
  <c r="L18" i="43"/>
  <c r="Q18" i="43" s="1"/>
  <c r="L13" i="43"/>
  <c r="H11" i="43"/>
  <c r="H18" i="43"/>
  <c r="L11" i="43"/>
  <c r="Q11" i="43" s="1"/>
  <c r="L17" i="43"/>
  <c r="G17" i="43"/>
  <c r="N17" i="43" s="1"/>
  <c r="M17" i="43" s="1"/>
  <c r="W7" i="37"/>
  <c r="W9" i="37"/>
  <c r="W15" i="37"/>
  <c r="Y15" i="37" s="1"/>
  <c r="W27" i="37"/>
  <c r="Y27" i="37" s="1"/>
  <c r="W11" i="37"/>
  <c r="W16" i="37"/>
  <c r="Y16" i="37" s="1"/>
  <c r="W28" i="37"/>
  <c r="Y28" i="37" s="1"/>
  <c r="W29" i="37"/>
  <c r="X29" i="37" s="1"/>
  <c r="AB21" i="37"/>
  <c r="G16" i="40"/>
  <c r="N16" i="40" s="1"/>
  <c r="P16" i="40" s="1"/>
  <c r="G15" i="40"/>
  <c r="N15" i="40" s="1"/>
  <c r="P15" i="40" s="1"/>
  <c r="H12" i="41"/>
  <c r="G12" i="41"/>
  <c r="N12" i="41" s="1"/>
  <c r="O12" i="41" s="1"/>
  <c r="G7" i="41"/>
  <c r="N7" i="41" s="1"/>
  <c r="O7" i="41" s="1"/>
  <c r="G8" i="41"/>
  <c r="G10" i="41"/>
  <c r="N10" i="41" s="1"/>
  <c r="M10" i="41" s="1"/>
  <c r="L8" i="38"/>
  <c r="L6" i="40"/>
  <c r="L14" i="40"/>
  <c r="X28" i="40"/>
  <c r="G6" i="40"/>
  <c r="H15" i="40"/>
  <c r="H7" i="38"/>
  <c r="W8" i="38"/>
  <c r="H9" i="41"/>
  <c r="H6" i="41"/>
  <c r="G9" i="40"/>
  <c r="N9" i="40" s="1"/>
  <c r="L8" i="40"/>
  <c r="P8" i="40" s="1"/>
  <c r="W22" i="41"/>
  <c r="W10" i="41"/>
  <c r="H6" i="38"/>
  <c r="G14" i="40"/>
  <c r="N14" i="40" s="1"/>
  <c r="H9" i="38"/>
  <c r="H9" i="40"/>
  <c r="H8" i="41"/>
  <c r="H8" i="40"/>
  <c r="X7" i="41"/>
  <c r="W7" i="41"/>
  <c r="X16" i="43"/>
  <c r="Y16" i="43"/>
  <c r="O11" i="43"/>
  <c r="Y19" i="43"/>
  <c r="X19" i="43"/>
  <c r="Y14" i="43"/>
  <c r="X14" i="43"/>
  <c r="Y24" i="43"/>
  <c r="X24" i="43"/>
  <c r="X9" i="43"/>
  <c r="Y9" i="43"/>
  <c r="M18" i="43"/>
  <c r="G16" i="43"/>
  <c r="H16" i="43"/>
  <c r="L16" i="43"/>
  <c r="Y21" i="43"/>
  <c r="X21" i="43"/>
  <c r="O18" i="43"/>
  <c r="Y11" i="43"/>
  <c r="X11" i="43"/>
  <c r="Y15" i="43"/>
  <c r="X15" i="43"/>
  <c r="Y18" i="43"/>
  <c r="X18" i="43"/>
  <c r="X8" i="43"/>
  <c r="Y8" i="43"/>
  <c r="Y28" i="43"/>
  <c r="X28" i="43"/>
  <c r="Y30" i="43"/>
  <c r="X30" i="43"/>
  <c r="Y31" i="43"/>
  <c r="X31" i="43"/>
  <c r="Y27" i="43"/>
  <c r="X27" i="43"/>
  <c r="Y20" i="43"/>
  <c r="X20" i="43"/>
  <c r="M14" i="43"/>
  <c r="Y12" i="43"/>
  <c r="X12" i="43"/>
  <c r="Y25" i="43"/>
  <c r="X25" i="43"/>
  <c r="Y13" i="43"/>
  <c r="X13" i="43"/>
  <c r="O14" i="43"/>
  <c r="N15" i="43"/>
  <c r="M15" i="43" s="1"/>
  <c r="M11" i="43"/>
  <c r="X22" i="43"/>
  <c r="Y22" i="43"/>
  <c r="X17" i="43"/>
  <c r="Y17" i="43"/>
  <c r="Y23" i="43"/>
  <c r="X23" i="43"/>
  <c r="H10" i="43"/>
  <c r="L10" i="43"/>
  <c r="G10" i="43"/>
  <c r="N7" i="43"/>
  <c r="M7" i="43" s="1"/>
  <c r="O10" i="42"/>
  <c r="P9" i="42"/>
  <c r="O9" i="42"/>
  <c r="X17" i="42"/>
  <c r="W17" i="42"/>
  <c r="X13" i="42"/>
  <c r="W13" i="42"/>
  <c r="X21" i="42"/>
  <c r="W21" i="42"/>
  <c r="X14" i="42"/>
  <c r="W14" i="42"/>
  <c r="X24" i="42"/>
  <c r="W24" i="42"/>
  <c r="M14" i="42"/>
  <c r="P13" i="42"/>
  <c r="O13" i="42"/>
  <c r="M13" i="42"/>
  <c r="O11" i="42"/>
  <c r="X11" i="42"/>
  <c r="W11" i="42"/>
  <c r="X16" i="42"/>
  <c r="W16" i="42"/>
  <c r="X23" i="42"/>
  <c r="W23" i="42"/>
  <c r="M7" i="42"/>
  <c r="X25" i="42"/>
  <c r="W25" i="42"/>
  <c r="M10" i="42"/>
  <c r="P17" i="42"/>
  <c r="O17" i="42"/>
  <c r="W31" i="42"/>
  <c r="X31" i="42"/>
  <c r="X22" i="42"/>
  <c r="W22" i="42"/>
  <c r="M17" i="42"/>
  <c r="W19" i="42"/>
  <c r="X19" i="42"/>
  <c r="X30" i="42"/>
  <c r="W30" i="42"/>
  <c r="X20" i="42"/>
  <c r="W20" i="42"/>
  <c r="N16" i="42"/>
  <c r="M16" i="42" s="1"/>
  <c r="M15" i="42"/>
  <c r="M11" i="42"/>
  <c r="M9" i="42"/>
  <c r="X18" i="42"/>
  <c r="W18" i="42"/>
  <c r="P15" i="42"/>
  <c r="O15" i="42"/>
  <c r="P14" i="42"/>
  <c r="O14" i="42"/>
  <c r="P7" i="42"/>
  <c r="O7" i="42"/>
  <c r="N8" i="42"/>
  <c r="X28" i="42"/>
  <c r="W28" i="42"/>
  <c r="X15" i="42"/>
  <c r="W15" i="42"/>
  <c r="X29" i="42"/>
  <c r="W29" i="42"/>
  <c r="P12" i="42"/>
  <c r="O12" i="42"/>
  <c r="N18" i="42"/>
  <c r="M18" i="42" s="1"/>
  <c r="M12" i="42"/>
  <c r="L10" i="41"/>
  <c r="P9" i="41"/>
  <c r="O9" i="41"/>
  <c r="X21" i="41"/>
  <c r="W21" i="41"/>
  <c r="X27" i="41"/>
  <c r="W27" i="41"/>
  <c r="X17" i="41"/>
  <c r="W17" i="41"/>
  <c r="X12" i="41"/>
  <c r="W12" i="41"/>
  <c r="O11" i="41"/>
  <c r="X16" i="41"/>
  <c r="W16" i="41"/>
  <c r="W19" i="41"/>
  <c r="X19" i="41"/>
  <c r="X15" i="41"/>
  <c r="W15" i="41"/>
  <c r="X14" i="41"/>
  <c r="W14" i="41"/>
  <c r="M9" i="41"/>
  <c r="X30" i="41"/>
  <c r="W30" i="41"/>
  <c r="X18" i="41"/>
  <c r="W18" i="41"/>
  <c r="X13" i="41"/>
  <c r="W13" i="41"/>
  <c r="M11" i="41"/>
  <c r="L7" i="38"/>
  <c r="N10" i="38"/>
  <c r="M10" i="38" s="1"/>
  <c r="X15" i="38"/>
  <c r="L9" i="38"/>
  <c r="L6" i="38"/>
  <c r="W10" i="38"/>
  <c r="L12" i="40"/>
  <c r="G12" i="40"/>
  <c r="N12" i="40" s="1"/>
  <c r="H13" i="40"/>
  <c r="G13" i="40"/>
  <c r="L10" i="40"/>
  <c r="P10" i="40" s="1"/>
  <c r="H16" i="40"/>
  <c r="O16" i="40"/>
  <c r="L7" i="40"/>
  <c r="G7" i="40"/>
  <c r="N7" i="40" s="1"/>
  <c r="M7" i="40" s="1"/>
  <c r="M17" i="40"/>
  <c r="P17" i="40"/>
  <c r="O17" i="40"/>
  <c r="H10" i="40"/>
  <c r="L11" i="40"/>
  <c r="H11" i="40"/>
  <c r="G11" i="40"/>
  <c r="L18" i="40"/>
  <c r="H18" i="40"/>
  <c r="G18" i="40"/>
  <c r="X24" i="40"/>
  <c r="W24" i="40"/>
  <c r="X7" i="40"/>
  <c r="W7" i="40"/>
  <c r="X27" i="40"/>
  <c r="W27" i="40"/>
  <c r="X12" i="40"/>
  <c r="W12" i="40"/>
  <c r="X30" i="40"/>
  <c r="W30" i="40"/>
  <c r="W31" i="40"/>
  <c r="X31" i="40"/>
  <c r="X15" i="40"/>
  <c r="W15" i="40"/>
  <c r="X10" i="40"/>
  <c r="W10" i="40"/>
  <c r="X18" i="40"/>
  <c r="W18" i="40"/>
  <c r="X17" i="40"/>
  <c r="W17" i="40"/>
  <c r="W19" i="40"/>
  <c r="X19" i="40"/>
  <c r="X22" i="40"/>
  <c r="W22" i="40"/>
  <c r="X9" i="40"/>
  <c r="W9" i="40"/>
  <c r="O8" i="40"/>
  <c r="O10" i="40"/>
  <c r="X21" i="40"/>
  <c r="W21" i="40"/>
  <c r="X20" i="40"/>
  <c r="W20" i="40"/>
  <c r="X8" i="40"/>
  <c r="W8" i="40"/>
  <c r="X14" i="40"/>
  <c r="W14" i="40"/>
  <c r="X16" i="40"/>
  <c r="W16" i="40"/>
  <c r="X23" i="40"/>
  <c r="W23" i="40"/>
  <c r="X11" i="40"/>
  <c r="W11" i="40"/>
  <c r="X25" i="40"/>
  <c r="W25" i="40"/>
  <c r="X29" i="40"/>
  <c r="W29" i="40"/>
  <c r="X13" i="40"/>
  <c r="W13" i="40"/>
  <c r="W28" i="38"/>
  <c r="W9" i="38"/>
  <c r="W11" i="38"/>
  <c r="X11" i="38"/>
  <c r="X7" i="38"/>
  <c r="X25" i="38"/>
  <c r="W25" i="38"/>
  <c r="X12" i="38"/>
  <c r="W12" i="38"/>
  <c r="X18" i="38"/>
  <c r="W18" i="38"/>
  <c r="X14" i="38"/>
  <c r="W14" i="38"/>
  <c r="X22" i="38"/>
  <c r="W22" i="38"/>
  <c r="W30" i="38"/>
  <c r="X30" i="38"/>
  <c r="N8" i="38"/>
  <c r="M8" i="38" s="1"/>
  <c r="X20" i="38"/>
  <c r="W20" i="38"/>
  <c r="X13" i="38"/>
  <c r="W13" i="38"/>
  <c r="X19" i="38"/>
  <c r="W19" i="38"/>
  <c r="X29" i="38"/>
  <c r="W29" i="38"/>
  <c r="X26" i="38"/>
  <c r="W26" i="38"/>
  <c r="W21" i="38"/>
  <c r="X21" i="38"/>
  <c r="W24" i="38"/>
  <c r="X24" i="38"/>
  <c r="X23" i="38"/>
  <c r="W23" i="38"/>
  <c r="W16" i="38"/>
  <c r="X16" i="38"/>
  <c r="X17" i="38"/>
  <c r="W17" i="38"/>
  <c r="N7" i="38"/>
  <c r="N9" i="38"/>
  <c r="M9" i="38" s="1"/>
  <c r="D7" i="37"/>
  <c r="E7" i="37" s="1"/>
  <c r="F7" i="37" s="1"/>
  <c r="H7" i="37" s="1"/>
  <c r="G11" i="37"/>
  <c r="N11" i="37" s="1"/>
  <c r="G8" i="37"/>
  <c r="N8" i="37" s="1"/>
  <c r="X20" i="37"/>
  <c r="D9" i="37"/>
  <c r="E9" i="37" s="1"/>
  <c r="F9" i="37" s="1"/>
  <c r="D12" i="37"/>
  <c r="E12" i="37" s="1"/>
  <c r="F12" i="37" s="1"/>
  <c r="W18" i="37"/>
  <c r="W30" i="37"/>
  <c r="W13" i="37"/>
  <c r="W23" i="37"/>
  <c r="W25" i="37"/>
  <c r="G6" i="37"/>
  <c r="C11" i="37"/>
  <c r="W19" i="37"/>
  <c r="X21" i="37"/>
  <c r="W31" i="37"/>
  <c r="W14" i="37"/>
  <c r="X14" i="37" s="1"/>
  <c r="W26" i="37"/>
  <c r="W12" i="37"/>
  <c r="W17" i="37"/>
  <c r="W24" i="37"/>
  <c r="H6" i="37" l="1"/>
  <c r="H14" i="37"/>
  <c r="G10" i="37"/>
  <c r="L10" i="37"/>
  <c r="G14" i="37"/>
  <c r="N14" i="37" s="1"/>
  <c r="O14" i="37" s="1"/>
  <c r="N13" i="40"/>
  <c r="M13" i="40" s="1"/>
  <c r="X15" i="37"/>
  <c r="Q13" i="43"/>
  <c r="M12" i="43"/>
  <c r="Q8" i="43"/>
  <c r="X16" i="37"/>
  <c r="X27" i="37"/>
  <c r="X8" i="37"/>
  <c r="Y29" i="37"/>
  <c r="X22" i="37"/>
  <c r="N8" i="41"/>
  <c r="P8" i="41" s="1"/>
  <c r="M7" i="41"/>
  <c r="P9" i="40"/>
  <c r="O9" i="40"/>
  <c r="O12" i="43"/>
  <c r="M13" i="43"/>
  <c r="O8" i="43"/>
  <c r="O17" i="43"/>
  <c r="O13" i="43"/>
  <c r="M8" i="43"/>
  <c r="H8" i="37"/>
  <c r="L17" i="37"/>
  <c r="H10" i="37"/>
  <c r="G17" i="37"/>
  <c r="H13" i="37"/>
  <c r="G13" i="37"/>
  <c r="X10" i="37"/>
  <c r="H18" i="37"/>
  <c r="G18" i="37"/>
  <c r="N18" i="37" s="1"/>
  <c r="Q18" i="37" s="1"/>
  <c r="Q17" i="43"/>
  <c r="Y7" i="37"/>
  <c r="X7" i="37"/>
  <c r="Y9" i="37"/>
  <c r="X9" i="37"/>
  <c r="Y11" i="37"/>
  <c r="X11" i="37"/>
  <c r="X28" i="37"/>
  <c r="L16" i="37"/>
  <c r="H16" i="37"/>
  <c r="G16" i="37"/>
  <c r="L15" i="37"/>
  <c r="H15" i="37"/>
  <c r="G15" i="37"/>
  <c r="M16" i="40"/>
  <c r="O15" i="40"/>
  <c r="M15" i="40"/>
  <c r="M14" i="40"/>
  <c r="P12" i="41"/>
  <c r="M12" i="41"/>
  <c r="P12" i="40"/>
  <c r="P14" i="40"/>
  <c r="O14" i="40"/>
  <c r="M9" i="40"/>
  <c r="M12" i="40"/>
  <c r="N16" i="43"/>
  <c r="Q9" i="43"/>
  <c r="O9" i="43"/>
  <c r="M9" i="43"/>
  <c r="Q15" i="43"/>
  <c r="O15" i="43"/>
  <c r="O7" i="43"/>
  <c r="Q7" i="43"/>
  <c r="N10" i="43"/>
  <c r="P16" i="42"/>
  <c r="O16" i="42"/>
  <c r="P18" i="42"/>
  <c r="O18" i="42"/>
  <c r="P8" i="42"/>
  <c r="O8" i="42"/>
  <c r="M8" i="42"/>
  <c r="P10" i="41"/>
  <c r="O10" i="41"/>
  <c r="P7" i="41"/>
  <c r="O12" i="40"/>
  <c r="N18" i="40"/>
  <c r="N11" i="40"/>
  <c r="O11" i="40" s="1"/>
  <c r="P13" i="40"/>
  <c r="O13" i="40"/>
  <c r="P7" i="40"/>
  <c r="O7" i="40"/>
  <c r="P9" i="38"/>
  <c r="O9" i="38"/>
  <c r="P10" i="38"/>
  <c r="O10" i="38"/>
  <c r="P7" i="38"/>
  <c r="O7" i="38"/>
  <c r="P8" i="38"/>
  <c r="O8" i="38"/>
  <c r="L7" i="37"/>
  <c r="G7" i="37"/>
  <c r="N7" i="37" s="1"/>
  <c r="Y13" i="37"/>
  <c r="X13" i="37"/>
  <c r="X17" i="37"/>
  <c r="Y17" i="37"/>
  <c r="Y18" i="37"/>
  <c r="X18" i="37"/>
  <c r="M8" i="37"/>
  <c r="Q11" i="37"/>
  <c r="O11" i="37"/>
  <c r="Y30" i="37"/>
  <c r="X30" i="37"/>
  <c r="H12" i="37"/>
  <c r="G12" i="37"/>
  <c r="L12" i="37"/>
  <c r="M11" i="37"/>
  <c r="Q8" i="37"/>
  <c r="O8" i="37"/>
  <c r="X24" i="37"/>
  <c r="Y24" i="37"/>
  <c r="Y19" i="37"/>
  <c r="X19" i="37"/>
  <c r="Y12" i="37"/>
  <c r="X12" i="37"/>
  <c r="X26" i="37"/>
  <c r="Y26" i="37"/>
  <c r="Y14" i="37"/>
  <c r="X25" i="37"/>
  <c r="Y25" i="37"/>
  <c r="Y31" i="37"/>
  <c r="X31" i="37"/>
  <c r="X23" i="37"/>
  <c r="Y23" i="37"/>
  <c r="H9" i="37"/>
  <c r="G9" i="37"/>
  <c r="L9" i="37"/>
  <c r="N10" i="37"/>
  <c r="M10" i="37" s="1"/>
  <c r="M14" i="37" l="1"/>
  <c r="N13" i="37"/>
  <c r="Q13" i="37" s="1"/>
  <c r="M13" i="37"/>
  <c r="Q14" i="37"/>
  <c r="M8" i="41"/>
  <c r="O8" i="41"/>
  <c r="O13" i="37"/>
  <c r="O18" i="37"/>
  <c r="M7" i="37"/>
  <c r="N17" i="37"/>
  <c r="M17" i="37" s="1"/>
  <c r="M18" i="37"/>
  <c r="Q7" i="37"/>
  <c r="N15" i="37"/>
  <c r="M15" i="37" s="1"/>
  <c r="N16" i="37"/>
  <c r="O7" i="37"/>
  <c r="Q10" i="43"/>
  <c r="O10" i="43"/>
  <c r="M10" i="43"/>
  <c r="Q16" i="43"/>
  <c r="O16" i="43"/>
  <c r="M16" i="43"/>
  <c r="O18" i="40"/>
  <c r="P18" i="40"/>
  <c r="M18" i="40"/>
  <c r="P11" i="40"/>
  <c r="M11" i="40"/>
  <c r="N12" i="37"/>
  <c r="M12" i="37" s="1"/>
  <c r="N9" i="37"/>
  <c r="M9" i="37" s="1"/>
  <c r="O10" i="37"/>
  <c r="Q10" i="37"/>
  <c r="Q17" i="37" l="1"/>
  <c r="O17" i="37"/>
  <c r="O16" i="37"/>
  <c r="Q16" i="37"/>
  <c r="O15" i="37"/>
  <c r="Q15" i="37"/>
  <c r="M16" i="37"/>
  <c r="Q9" i="37"/>
  <c r="O9" i="37"/>
  <c r="Q12" i="37"/>
  <c r="O12" i="37"/>
  <c r="AD24" i="35" l="1"/>
  <c r="AD23" i="35"/>
  <c r="AA20" i="35"/>
  <c r="J18" i="35"/>
  <c r="K18" i="35" s="1"/>
  <c r="D18" i="35"/>
  <c r="E18" i="35" s="1"/>
  <c r="C18" i="35"/>
  <c r="J17" i="35"/>
  <c r="K17" i="35" s="1"/>
  <c r="D17" i="35"/>
  <c r="E17" i="35" s="1"/>
  <c r="C17" i="35"/>
  <c r="J16" i="35"/>
  <c r="K16" i="35" s="1"/>
  <c r="D16" i="35"/>
  <c r="E16" i="35" s="1"/>
  <c r="C16" i="35"/>
  <c r="J15" i="35"/>
  <c r="K15" i="35" s="1"/>
  <c r="D15" i="35"/>
  <c r="E15" i="35" s="1"/>
  <c r="C15" i="35"/>
  <c r="J14" i="35"/>
  <c r="K14" i="35" s="1"/>
  <c r="D14" i="35"/>
  <c r="E14" i="35" s="1"/>
  <c r="C14" i="35"/>
  <c r="J13" i="35"/>
  <c r="K13" i="35" s="1"/>
  <c r="D13" i="35"/>
  <c r="E13" i="35" s="1"/>
  <c r="C13" i="35"/>
  <c r="AA12" i="35"/>
  <c r="V6" i="35" s="1"/>
  <c r="J12" i="35"/>
  <c r="K12" i="35" s="1"/>
  <c r="D12" i="35"/>
  <c r="E12" i="35" s="1"/>
  <c r="C12" i="35"/>
  <c r="AA11" i="35"/>
  <c r="J11" i="35"/>
  <c r="K11" i="35" s="1"/>
  <c r="D11" i="35"/>
  <c r="E11" i="35" s="1"/>
  <c r="C11" i="35"/>
  <c r="J10" i="35"/>
  <c r="K10" i="35" s="1"/>
  <c r="D10" i="35"/>
  <c r="E10" i="35" s="1"/>
  <c r="C10" i="35"/>
  <c r="J9" i="35"/>
  <c r="K9" i="35" s="1"/>
  <c r="D9" i="35"/>
  <c r="E9" i="35" s="1"/>
  <c r="C9" i="35"/>
  <c r="J8" i="35"/>
  <c r="K8" i="35" s="1"/>
  <c r="D8" i="35"/>
  <c r="E8" i="35" s="1"/>
  <c r="C8" i="35"/>
  <c r="AA7" i="35"/>
  <c r="J7" i="35"/>
  <c r="K7" i="35" s="1"/>
  <c r="D7" i="35"/>
  <c r="E7" i="35" s="1"/>
  <c r="C7" i="35"/>
  <c r="J6" i="35"/>
  <c r="K6" i="35" s="1"/>
  <c r="D6" i="35"/>
  <c r="E6" i="35" s="1"/>
  <c r="C6" i="35"/>
  <c r="AD24" i="34"/>
  <c r="AD23" i="34"/>
  <c r="AA20" i="34"/>
  <c r="J18" i="34"/>
  <c r="K18" i="34" s="1"/>
  <c r="D18" i="34"/>
  <c r="E18" i="34" s="1"/>
  <c r="C18" i="34"/>
  <c r="J17" i="34"/>
  <c r="K17" i="34" s="1"/>
  <c r="D17" i="34"/>
  <c r="E17" i="34" s="1"/>
  <c r="C17" i="34"/>
  <c r="J16" i="34"/>
  <c r="K16" i="34" s="1"/>
  <c r="D16" i="34"/>
  <c r="E16" i="34" s="1"/>
  <c r="C16" i="34"/>
  <c r="J15" i="34"/>
  <c r="K15" i="34" s="1"/>
  <c r="D15" i="34"/>
  <c r="E15" i="34" s="1"/>
  <c r="C15" i="34"/>
  <c r="J14" i="34"/>
  <c r="K14" i="34" s="1"/>
  <c r="D14" i="34"/>
  <c r="E14" i="34" s="1"/>
  <c r="C14" i="34"/>
  <c r="J13" i="34"/>
  <c r="K13" i="34" s="1"/>
  <c r="D13" i="34"/>
  <c r="E13" i="34" s="1"/>
  <c r="C13" i="34"/>
  <c r="AA12" i="34"/>
  <c r="J12" i="34"/>
  <c r="K12" i="34" s="1"/>
  <c r="D12" i="34"/>
  <c r="E12" i="34" s="1"/>
  <c r="C12" i="34"/>
  <c r="AA11" i="34"/>
  <c r="J11" i="34"/>
  <c r="K11" i="34" s="1"/>
  <c r="D11" i="34"/>
  <c r="E11" i="34" s="1"/>
  <c r="C11" i="34"/>
  <c r="J10" i="34"/>
  <c r="K10" i="34" s="1"/>
  <c r="D10" i="34"/>
  <c r="E10" i="34" s="1"/>
  <c r="C10" i="34"/>
  <c r="J9" i="34"/>
  <c r="K9" i="34" s="1"/>
  <c r="D9" i="34"/>
  <c r="E9" i="34" s="1"/>
  <c r="C9" i="34"/>
  <c r="J8" i="34"/>
  <c r="K8" i="34" s="1"/>
  <c r="D8" i="34"/>
  <c r="E8" i="34" s="1"/>
  <c r="C8" i="34"/>
  <c r="AA7" i="34"/>
  <c r="J7" i="34"/>
  <c r="K7" i="34" s="1"/>
  <c r="D7" i="34"/>
  <c r="E7" i="34" s="1"/>
  <c r="C7" i="34"/>
  <c r="J6" i="34"/>
  <c r="K6" i="34" s="1"/>
  <c r="D6" i="34"/>
  <c r="E6" i="34" s="1"/>
  <c r="C6" i="34"/>
  <c r="J12" i="32"/>
  <c r="K12" i="32" s="1"/>
  <c r="J13" i="32"/>
  <c r="K13" i="32" s="1"/>
  <c r="J14" i="32"/>
  <c r="K14" i="32" s="1"/>
  <c r="J15" i="32"/>
  <c r="K15" i="32" s="1"/>
  <c r="J16" i="32"/>
  <c r="K16" i="32" s="1"/>
  <c r="J17" i="32"/>
  <c r="K17" i="32" s="1"/>
  <c r="J18" i="32"/>
  <c r="K18" i="32" s="1"/>
  <c r="D12" i="32"/>
  <c r="E12" i="32" s="1"/>
  <c r="D13" i="32"/>
  <c r="E13" i="32" s="1"/>
  <c r="D14" i="32"/>
  <c r="E14" i="32" s="1"/>
  <c r="D15" i="32"/>
  <c r="E15" i="32" s="1"/>
  <c r="D16" i="32"/>
  <c r="E16" i="32" s="1"/>
  <c r="D17" i="32"/>
  <c r="E17" i="32" s="1"/>
  <c r="D18" i="32"/>
  <c r="E18" i="32" s="1"/>
  <c r="C12" i="32"/>
  <c r="C13" i="32"/>
  <c r="C14" i="32"/>
  <c r="C15" i="32"/>
  <c r="C16" i="32"/>
  <c r="C17" i="32"/>
  <c r="C18" i="32"/>
  <c r="AD24" i="32"/>
  <c r="AD23" i="32"/>
  <c r="AA20" i="32"/>
  <c r="AA12" i="32"/>
  <c r="AA11" i="32"/>
  <c r="J11" i="32"/>
  <c r="K11" i="32" s="1"/>
  <c r="D11" i="32"/>
  <c r="E11" i="32" s="1"/>
  <c r="C11" i="32"/>
  <c r="J10" i="32"/>
  <c r="K10" i="32" s="1"/>
  <c r="D10" i="32"/>
  <c r="E10" i="32" s="1"/>
  <c r="C10" i="32"/>
  <c r="J9" i="32"/>
  <c r="K9" i="32" s="1"/>
  <c r="E9" i="32"/>
  <c r="D9" i="32"/>
  <c r="C9" i="32"/>
  <c r="J8" i="32"/>
  <c r="K8" i="32" s="1"/>
  <c r="D8" i="32"/>
  <c r="E8" i="32" s="1"/>
  <c r="C8" i="32"/>
  <c r="AA7" i="32"/>
  <c r="J7" i="32"/>
  <c r="K7" i="32" s="1"/>
  <c r="D7" i="32"/>
  <c r="E7" i="32" s="1"/>
  <c r="C7" i="32"/>
  <c r="J6" i="32"/>
  <c r="K6" i="32" s="1"/>
  <c r="D6" i="32"/>
  <c r="E6" i="32" s="1"/>
  <c r="C6" i="32"/>
  <c r="F6" i="35" l="1"/>
  <c r="V7" i="34"/>
  <c r="X7" i="34" s="1"/>
  <c r="V7" i="32"/>
  <c r="X7" i="32" s="1"/>
  <c r="AA21" i="32"/>
  <c r="V31" i="34"/>
  <c r="V9" i="34"/>
  <c r="W9" i="34" s="1"/>
  <c r="V10" i="34"/>
  <c r="W10" i="34" s="1"/>
  <c r="V8" i="34"/>
  <c r="W8" i="34" s="1"/>
  <c r="V6" i="32"/>
  <c r="V8" i="32"/>
  <c r="W8" i="32" s="1"/>
  <c r="F6" i="32"/>
  <c r="V26" i="32"/>
  <c r="F12" i="32"/>
  <c r="G12" i="32" s="1"/>
  <c r="N12" i="32" s="1"/>
  <c r="F8" i="32"/>
  <c r="H8" i="32" s="1"/>
  <c r="F18" i="32"/>
  <c r="G18" i="32" s="1"/>
  <c r="N18" i="32" s="1"/>
  <c r="F6" i="34"/>
  <c r="H6" i="34" s="1"/>
  <c r="F8" i="34"/>
  <c r="L8" i="34" s="1"/>
  <c r="F17" i="32"/>
  <c r="G17" i="32" s="1"/>
  <c r="N17" i="32" s="1"/>
  <c r="F8" i="35"/>
  <c r="F16" i="32"/>
  <c r="G16" i="32" s="1"/>
  <c r="N16" i="32" s="1"/>
  <c r="F15" i="32"/>
  <c r="H15" i="32" s="1"/>
  <c r="F14" i="32"/>
  <c r="L14" i="32" s="1"/>
  <c r="F13" i="32"/>
  <c r="L13" i="32" s="1"/>
  <c r="L17" i="32"/>
  <c r="H12" i="32"/>
  <c r="L16" i="32"/>
  <c r="H14" i="32"/>
  <c r="H18" i="32"/>
  <c r="F9" i="32"/>
  <c r="L9" i="32" s="1"/>
  <c r="F11" i="32"/>
  <c r="V20" i="32"/>
  <c r="W20" i="32" s="1"/>
  <c r="V29" i="32"/>
  <c r="X29" i="32" s="1"/>
  <c r="F9" i="34"/>
  <c r="AB11" i="34"/>
  <c r="F13" i="34"/>
  <c r="L13" i="34" s="1"/>
  <c r="F12" i="35"/>
  <c r="F17" i="35"/>
  <c r="L17" i="35" s="1"/>
  <c r="F16" i="34"/>
  <c r="G16" i="34" s="1"/>
  <c r="N16" i="34" s="1"/>
  <c r="AA21" i="34"/>
  <c r="F10" i="35"/>
  <c r="L10" i="35" s="1"/>
  <c r="V9" i="32"/>
  <c r="W9" i="32" s="1"/>
  <c r="V11" i="32"/>
  <c r="W11" i="32" s="1"/>
  <c r="F11" i="34"/>
  <c r="L11" i="34" s="1"/>
  <c r="F12" i="34"/>
  <c r="H12" i="34" s="1"/>
  <c r="V23" i="34"/>
  <c r="X23" i="34" s="1"/>
  <c r="F15" i="35"/>
  <c r="L15" i="35" s="1"/>
  <c r="V22" i="32"/>
  <c r="X22" i="32" s="1"/>
  <c r="F14" i="34"/>
  <c r="F18" i="35"/>
  <c r="H18" i="35" s="1"/>
  <c r="F10" i="32"/>
  <c r="L10" i="32" s="1"/>
  <c r="V12" i="32"/>
  <c r="W12" i="32" s="1"/>
  <c r="V12" i="34"/>
  <c r="F17" i="34"/>
  <c r="F11" i="35"/>
  <c r="F13" i="35"/>
  <c r="L13" i="35" s="1"/>
  <c r="V13" i="32"/>
  <c r="V24" i="32"/>
  <c r="X24" i="32" s="1"/>
  <c r="F10" i="34"/>
  <c r="L10" i="34" s="1"/>
  <c r="V11" i="34"/>
  <c r="V25" i="34"/>
  <c r="X25" i="34" s="1"/>
  <c r="F16" i="35"/>
  <c r="L16" i="35" s="1"/>
  <c r="AA21" i="35"/>
  <c r="F7" i="32"/>
  <c r="L7" i="32" s="1"/>
  <c r="V10" i="32"/>
  <c r="W10" i="32" s="1"/>
  <c r="V15" i="32"/>
  <c r="X15" i="32" s="1"/>
  <c r="F7" i="34"/>
  <c r="G7" i="34" s="1"/>
  <c r="N7" i="34" s="1"/>
  <c r="V28" i="34"/>
  <c r="F15" i="34"/>
  <c r="H15" i="34" s="1"/>
  <c r="V26" i="34"/>
  <c r="X26" i="34" s="1"/>
  <c r="F9" i="35"/>
  <c r="G9" i="35" s="1"/>
  <c r="V29" i="35"/>
  <c r="W29" i="35" s="1"/>
  <c r="V17" i="32"/>
  <c r="X17" i="32" s="1"/>
  <c r="V27" i="32"/>
  <c r="X27" i="32" s="1"/>
  <c r="F18" i="34"/>
  <c r="V27" i="34"/>
  <c r="F7" i="35"/>
  <c r="L7" i="35" s="1"/>
  <c r="F14" i="35"/>
  <c r="H14" i="35" s="1"/>
  <c r="L12" i="35"/>
  <c r="G12" i="35"/>
  <c r="N12" i="35" s="1"/>
  <c r="O12" i="35" s="1"/>
  <c r="H10" i="35"/>
  <c r="H8" i="35"/>
  <c r="L8" i="35"/>
  <c r="G8" i="35"/>
  <c r="N8" i="35" s="1"/>
  <c r="H11" i="35"/>
  <c r="G11" i="35"/>
  <c r="N11" i="35" s="1"/>
  <c r="L11" i="35"/>
  <c r="L6" i="35"/>
  <c r="H6" i="35"/>
  <c r="G6" i="35"/>
  <c r="H7" i="35"/>
  <c r="G7" i="35"/>
  <c r="N7" i="35" s="1"/>
  <c r="H9" i="35"/>
  <c r="L9" i="35"/>
  <c r="X29" i="35"/>
  <c r="V20" i="35"/>
  <c r="V22" i="35"/>
  <c r="H12" i="35"/>
  <c r="V12" i="35"/>
  <c r="G13" i="35"/>
  <c r="G14" i="35"/>
  <c r="G15" i="35"/>
  <c r="N15" i="35" s="1"/>
  <c r="G16" i="35"/>
  <c r="N16" i="35" s="1"/>
  <c r="G18" i="35"/>
  <c r="V27" i="35"/>
  <c r="H15" i="35"/>
  <c r="AB11" i="35"/>
  <c r="V23" i="35"/>
  <c r="V25" i="35"/>
  <c r="V21" i="35"/>
  <c r="V28" i="35"/>
  <c r="H13" i="35"/>
  <c r="V14" i="35"/>
  <c r="H16" i="35"/>
  <c r="V18" i="35"/>
  <c r="L14" i="35"/>
  <c r="L18" i="35"/>
  <c r="V19" i="35"/>
  <c r="V31" i="35"/>
  <c r="V16" i="35"/>
  <c r="V30" i="35"/>
  <c r="V7" i="35"/>
  <c r="V26" i="35"/>
  <c r="V13" i="35"/>
  <c r="V15" i="35"/>
  <c r="V17" i="35"/>
  <c r="V8" i="35"/>
  <c r="V9" i="35"/>
  <c r="V10" i="35"/>
  <c r="V11" i="35"/>
  <c r="V24" i="35"/>
  <c r="H7" i="34"/>
  <c r="L16" i="34"/>
  <c r="H16" i="34"/>
  <c r="H10" i="34"/>
  <c r="L14" i="34"/>
  <c r="H14" i="34"/>
  <c r="G14" i="34"/>
  <c r="L9" i="34"/>
  <c r="H9" i="34"/>
  <c r="G9" i="34"/>
  <c r="N9" i="34" s="1"/>
  <c r="X31" i="34"/>
  <c r="W31" i="34"/>
  <c r="L17" i="34"/>
  <c r="H17" i="34"/>
  <c r="G17" i="34"/>
  <c r="N17" i="34" s="1"/>
  <c r="W28" i="34"/>
  <c r="X28" i="34"/>
  <c r="L15" i="34"/>
  <c r="G15" i="34"/>
  <c r="N15" i="34" s="1"/>
  <c r="L18" i="34"/>
  <c r="H18" i="34"/>
  <c r="G18" i="34"/>
  <c r="N18" i="34" s="1"/>
  <c r="W7" i="34"/>
  <c r="V24" i="34"/>
  <c r="W26" i="34"/>
  <c r="V29" i="34"/>
  <c r="V6" i="34"/>
  <c r="V20" i="34"/>
  <c r="V22" i="34"/>
  <c r="V13" i="34"/>
  <c r="V14" i="34"/>
  <c r="V15" i="34"/>
  <c r="V16" i="34"/>
  <c r="V17" i="34"/>
  <c r="V18" i="34"/>
  <c r="V30" i="34"/>
  <c r="V21" i="34"/>
  <c r="W25" i="34"/>
  <c r="V19" i="34"/>
  <c r="L11" i="32"/>
  <c r="G11" i="32"/>
  <c r="N11" i="32" s="1"/>
  <c r="H11" i="32"/>
  <c r="H7" i="32"/>
  <c r="X26" i="32"/>
  <c r="W26" i="32"/>
  <c r="X13" i="32"/>
  <c r="W13" i="32"/>
  <c r="L8" i="32"/>
  <c r="G8" i="32"/>
  <c r="N8" i="32" s="1"/>
  <c r="G6" i="32"/>
  <c r="L6" i="32"/>
  <c r="H6" i="32"/>
  <c r="V18" i="32"/>
  <c r="V30" i="32"/>
  <c r="V23" i="32"/>
  <c r="V25" i="32"/>
  <c r="X9" i="32"/>
  <c r="X10" i="32"/>
  <c r="X11" i="32"/>
  <c r="V16" i="32"/>
  <c r="V21" i="32"/>
  <c r="V28" i="32"/>
  <c r="W7" i="32"/>
  <c r="V19" i="32"/>
  <c r="V31" i="32"/>
  <c r="AB11" i="32"/>
  <c r="V14" i="32"/>
  <c r="I8" i="31"/>
  <c r="J8" i="31" s="1"/>
  <c r="K8" i="31" s="1"/>
  <c r="I9" i="31"/>
  <c r="I10" i="31"/>
  <c r="I11" i="31"/>
  <c r="J11" i="31" s="1"/>
  <c r="K11" i="31" s="1"/>
  <c r="J12" i="31"/>
  <c r="K12" i="31" s="1"/>
  <c r="I7" i="31"/>
  <c r="J7" i="31" s="1"/>
  <c r="K7" i="31" s="1"/>
  <c r="B8" i="31"/>
  <c r="C8" i="31" s="1"/>
  <c r="B9" i="31"/>
  <c r="D9" i="31" s="1"/>
  <c r="E9" i="31" s="1"/>
  <c r="B10" i="31"/>
  <c r="D10" i="31" s="1"/>
  <c r="E10" i="31" s="1"/>
  <c r="B11" i="31"/>
  <c r="C11" i="31" s="1"/>
  <c r="D12" i="31"/>
  <c r="E12" i="31" s="1"/>
  <c r="B7" i="31"/>
  <c r="D7" i="31" s="1"/>
  <c r="E7" i="31" s="1"/>
  <c r="AE24" i="31"/>
  <c r="AE23" i="31"/>
  <c r="AB20" i="31"/>
  <c r="AB12" i="31"/>
  <c r="AB11" i="31"/>
  <c r="J10" i="31"/>
  <c r="K10" i="31" s="1"/>
  <c r="J9" i="31"/>
  <c r="K9" i="31" s="1"/>
  <c r="AB7" i="31"/>
  <c r="J6" i="31"/>
  <c r="K6" i="31" s="1"/>
  <c r="D6" i="31"/>
  <c r="E6" i="31" s="1"/>
  <c r="C6" i="31"/>
  <c r="J13" i="28"/>
  <c r="K13" i="28" s="1"/>
  <c r="J14" i="28"/>
  <c r="K14" i="28" s="1"/>
  <c r="J15" i="28"/>
  <c r="K15" i="28" s="1"/>
  <c r="J16" i="28"/>
  <c r="K16" i="28" s="1"/>
  <c r="J17" i="28"/>
  <c r="K17" i="28" s="1"/>
  <c r="J18" i="28"/>
  <c r="K18" i="28" s="1"/>
  <c r="D15" i="28"/>
  <c r="E15" i="28" s="1"/>
  <c r="D16" i="28"/>
  <c r="E16" i="28" s="1"/>
  <c r="D17" i="28"/>
  <c r="E17" i="28" s="1"/>
  <c r="D18" i="28"/>
  <c r="E18" i="28" s="1"/>
  <c r="C15" i="28"/>
  <c r="C16" i="28"/>
  <c r="C17" i="28"/>
  <c r="C18" i="28"/>
  <c r="C14" i="28"/>
  <c r="D14" i="28"/>
  <c r="E14" i="28" s="1"/>
  <c r="C13" i="28"/>
  <c r="D13" i="28"/>
  <c r="E13" i="28" s="1"/>
  <c r="AE24" i="28"/>
  <c r="AE23" i="28"/>
  <c r="AB20" i="28"/>
  <c r="AB12" i="28"/>
  <c r="J12" i="28"/>
  <c r="K12" i="28" s="1"/>
  <c r="D12" i="28"/>
  <c r="E12" i="28" s="1"/>
  <c r="C12" i="28"/>
  <c r="AB11" i="28"/>
  <c r="J11" i="28"/>
  <c r="K11" i="28" s="1"/>
  <c r="D11" i="28"/>
  <c r="E11" i="28" s="1"/>
  <c r="C11" i="28"/>
  <c r="J10" i="28"/>
  <c r="K10" i="28" s="1"/>
  <c r="D10" i="28"/>
  <c r="E10" i="28" s="1"/>
  <c r="C10" i="28"/>
  <c r="J9" i="28"/>
  <c r="K9" i="28" s="1"/>
  <c r="D9" i="28"/>
  <c r="E9" i="28" s="1"/>
  <c r="C9" i="28"/>
  <c r="J8" i="28"/>
  <c r="K8" i="28" s="1"/>
  <c r="D8" i="28"/>
  <c r="E8" i="28" s="1"/>
  <c r="C8" i="28"/>
  <c r="AB7" i="28"/>
  <c r="J7" i="28"/>
  <c r="K7" i="28" s="1"/>
  <c r="D7" i="28"/>
  <c r="E7" i="28" s="1"/>
  <c r="C7" i="28"/>
  <c r="J6" i="28"/>
  <c r="K6" i="28" s="1"/>
  <c r="D6" i="28"/>
  <c r="E6" i="28" s="1"/>
  <c r="C6" i="28"/>
  <c r="J12" i="27"/>
  <c r="K12" i="27" s="1"/>
  <c r="C12" i="27"/>
  <c r="D12" i="27"/>
  <c r="E12" i="27" s="1"/>
  <c r="G10" i="35" l="1"/>
  <c r="N10" i="35" s="1"/>
  <c r="G7" i="32"/>
  <c r="G14" i="32"/>
  <c r="H16" i="32"/>
  <c r="L12" i="32"/>
  <c r="G10" i="34"/>
  <c r="N10" i="34" s="1"/>
  <c r="L12" i="34"/>
  <c r="X8" i="34"/>
  <c r="L7" i="34"/>
  <c r="G6" i="34"/>
  <c r="X9" i="34"/>
  <c r="L6" i="34"/>
  <c r="G12" i="34"/>
  <c r="N12" i="34" s="1"/>
  <c r="L18" i="32"/>
  <c r="G13" i="34"/>
  <c r="N13" i="34" s="1"/>
  <c r="O13" i="34" s="1"/>
  <c r="G8" i="34"/>
  <c r="H13" i="34"/>
  <c r="H8" i="34"/>
  <c r="G11" i="34"/>
  <c r="N11" i="34" s="1"/>
  <c r="P11" i="34" s="1"/>
  <c r="H11" i="34"/>
  <c r="W15" i="32"/>
  <c r="G10" i="32"/>
  <c r="N10" i="32" s="1"/>
  <c r="X8" i="32"/>
  <c r="H10" i="32"/>
  <c r="W24" i="32"/>
  <c r="X10" i="34"/>
  <c r="W22" i="32"/>
  <c r="W29" i="32"/>
  <c r="W29" i="28"/>
  <c r="F6" i="28"/>
  <c r="W17" i="32"/>
  <c r="X20" i="32"/>
  <c r="H13" i="32"/>
  <c r="G13" i="32"/>
  <c r="N13" i="32" s="1"/>
  <c r="M13" i="32" s="1"/>
  <c r="G15" i="32"/>
  <c r="N15" i="32" s="1"/>
  <c r="O15" i="32" s="1"/>
  <c r="H9" i="32"/>
  <c r="L15" i="32"/>
  <c r="G9" i="32"/>
  <c r="N9" i="32" s="1"/>
  <c r="P9" i="32" s="1"/>
  <c r="X12" i="32"/>
  <c r="H17" i="32"/>
  <c r="M16" i="32"/>
  <c r="O16" i="32"/>
  <c r="P16" i="32"/>
  <c r="M12" i="32"/>
  <c r="P12" i="32"/>
  <c r="O12" i="32"/>
  <c r="O18" i="32"/>
  <c r="P18" i="32"/>
  <c r="W27" i="34"/>
  <c r="X27" i="34"/>
  <c r="H17" i="35"/>
  <c r="M18" i="32"/>
  <c r="W11" i="34"/>
  <c r="X11" i="34"/>
  <c r="W12" i="34"/>
  <c r="X12" i="34"/>
  <c r="P13" i="32"/>
  <c r="W27" i="32"/>
  <c r="W23" i="34"/>
  <c r="F15" i="28"/>
  <c r="G15" i="28" s="1"/>
  <c r="G17" i="35"/>
  <c r="N17" i="35" s="1"/>
  <c r="N14" i="32"/>
  <c r="M14" i="32" s="1"/>
  <c r="M17" i="32"/>
  <c r="O17" i="32"/>
  <c r="P17" i="32"/>
  <c r="W28" i="31"/>
  <c r="Y28" i="31" s="1"/>
  <c r="F16" i="28"/>
  <c r="H16" i="28" s="1"/>
  <c r="F14" i="28"/>
  <c r="L14" i="28" s="1"/>
  <c r="F12" i="28"/>
  <c r="AB21" i="28"/>
  <c r="F13" i="28"/>
  <c r="L13" i="28" s="1"/>
  <c r="F18" i="28"/>
  <c r="F9" i="28"/>
  <c r="G9" i="28" s="1"/>
  <c r="F7" i="28"/>
  <c r="G7" i="28" s="1"/>
  <c r="O7" i="28" s="1"/>
  <c r="F17" i="28"/>
  <c r="F10" i="28"/>
  <c r="H10" i="28" s="1"/>
  <c r="W18" i="28"/>
  <c r="Y18" i="28" s="1"/>
  <c r="H8" i="28"/>
  <c r="F11" i="28"/>
  <c r="L11" i="28" s="1"/>
  <c r="D11" i="31"/>
  <c r="E11" i="31" s="1"/>
  <c r="P12" i="35"/>
  <c r="M12" i="35"/>
  <c r="X30" i="35"/>
  <c r="W30" i="35"/>
  <c r="X24" i="35"/>
  <c r="W24" i="35"/>
  <c r="W26" i="35"/>
  <c r="X26" i="35"/>
  <c r="X18" i="35"/>
  <c r="W18" i="35"/>
  <c r="X23" i="35"/>
  <c r="W23" i="35"/>
  <c r="X11" i="35"/>
  <c r="W11" i="35"/>
  <c r="W7" i="35"/>
  <c r="X7" i="35"/>
  <c r="P8" i="35"/>
  <c r="O8" i="35"/>
  <c r="N13" i="35"/>
  <c r="W8" i="35"/>
  <c r="X8" i="35"/>
  <c r="X22" i="35"/>
  <c r="W22" i="35"/>
  <c r="N18" i="35"/>
  <c r="M18" i="35" s="1"/>
  <c r="N9" i="35"/>
  <c r="W10" i="35"/>
  <c r="X10" i="35"/>
  <c r="W9" i="35"/>
  <c r="X9" i="35"/>
  <c r="W27" i="35"/>
  <c r="X27" i="35"/>
  <c r="N14" i="35"/>
  <c r="M14" i="35" s="1"/>
  <c r="X17" i="35"/>
  <c r="W17" i="35"/>
  <c r="X19" i="35"/>
  <c r="W19" i="35"/>
  <c r="X28" i="35"/>
  <c r="W28" i="35"/>
  <c r="X20" i="35"/>
  <c r="W20" i="35"/>
  <c r="M7" i="35"/>
  <c r="M10" i="35"/>
  <c r="W12" i="35"/>
  <c r="X12" i="35"/>
  <c r="P10" i="35"/>
  <c r="O10" i="35"/>
  <c r="X14" i="35"/>
  <c r="W14" i="35"/>
  <c r="P16" i="35"/>
  <c r="O16" i="35"/>
  <c r="X15" i="35"/>
  <c r="W15" i="35"/>
  <c r="X21" i="35"/>
  <c r="W21" i="35"/>
  <c r="M16" i="35"/>
  <c r="M8" i="35"/>
  <c r="P7" i="35"/>
  <c r="O7" i="35"/>
  <c r="X16" i="35"/>
  <c r="W16" i="35"/>
  <c r="P15" i="35"/>
  <c r="O15" i="35"/>
  <c r="X31" i="35"/>
  <c r="W31" i="35"/>
  <c r="X13" i="35"/>
  <c r="W13" i="35"/>
  <c r="X25" i="35"/>
  <c r="W25" i="35"/>
  <c r="M15" i="35"/>
  <c r="P11" i="35"/>
  <c r="O11" i="35"/>
  <c r="M11" i="35"/>
  <c r="P13" i="34"/>
  <c r="P15" i="34"/>
  <c r="O15" i="34"/>
  <c r="X24" i="34"/>
  <c r="W24" i="34"/>
  <c r="P18" i="34"/>
  <c r="O18" i="34"/>
  <c r="X14" i="34"/>
  <c r="W14" i="34"/>
  <c r="O11" i="34"/>
  <c r="X13" i="34"/>
  <c r="W13" i="34"/>
  <c r="M18" i="34"/>
  <c r="N8" i="34"/>
  <c r="M10" i="34"/>
  <c r="M12" i="34"/>
  <c r="X15" i="34"/>
  <c r="W15" i="34"/>
  <c r="P16" i="34"/>
  <c r="O16" i="34"/>
  <c r="X22" i="34"/>
  <c r="W22" i="34"/>
  <c r="P17" i="34"/>
  <c r="O17" i="34"/>
  <c r="X30" i="34"/>
  <c r="W30" i="34"/>
  <c r="M17" i="34"/>
  <c r="X18" i="34"/>
  <c r="W18" i="34"/>
  <c r="M11" i="34"/>
  <c r="P7" i="34"/>
  <c r="O7" i="34"/>
  <c r="X19" i="34"/>
  <c r="W19" i="34"/>
  <c r="M13" i="34"/>
  <c r="W21" i="34"/>
  <c r="X21" i="34"/>
  <c r="X17" i="34"/>
  <c r="W17" i="34"/>
  <c r="X29" i="34"/>
  <c r="W29" i="34"/>
  <c r="O10" i="34"/>
  <c r="P10" i="34"/>
  <c r="N14" i="34"/>
  <c r="M16" i="34"/>
  <c r="O9" i="34"/>
  <c r="P9" i="34"/>
  <c r="M15" i="34"/>
  <c r="X20" i="34"/>
  <c r="W20" i="34"/>
  <c r="X16" i="34"/>
  <c r="W16" i="34"/>
  <c r="P12" i="34"/>
  <c r="O12" i="34"/>
  <c r="M9" i="34"/>
  <c r="M7" i="34"/>
  <c r="W31" i="31"/>
  <c r="X31" i="31" s="1"/>
  <c r="F7" i="31"/>
  <c r="G7" i="31" s="1"/>
  <c r="O9" i="32"/>
  <c r="P8" i="32"/>
  <c r="O8" i="32"/>
  <c r="W31" i="32"/>
  <c r="X31" i="32"/>
  <c r="O11" i="32"/>
  <c r="P11" i="32"/>
  <c r="X25" i="32"/>
  <c r="W25" i="32"/>
  <c r="X23" i="32"/>
  <c r="W23" i="32"/>
  <c r="X21" i="32"/>
  <c r="W21" i="32"/>
  <c r="X30" i="32"/>
  <c r="W30" i="32"/>
  <c r="O10" i="32"/>
  <c r="P10" i="32"/>
  <c r="X14" i="32"/>
  <c r="W14" i="32"/>
  <c r="X16" i="32"/>
  <c r="W16" i="32"/>
  <c r="N7" i="32"/>
  <c r="W18" i="32"/>
  <c r="X18" i="32"/>
  <c r="W19" i="32"/>
  <c r="X19" i="32"/>
  <c r="X28" i="32"/>
  <c r="W28" i="32"/>
  <c r="M8" i="32"/>
  <c r="M10" i="32"/>
  <c r="M11" i="32"/>
  <c r="W8" i="31"/>
  <c r="Y8" i="31" s="1"/>
  <c r="W19" i="31"/>
  <c r="X19" i="31" s="1"/>
  <c r="F10" i="31"/>
  <c r="L10" i="31" s="1"/>
  <c r="F11" i="31"/>
  <c r="H11" i="31" s="1"/>
  <c r="C10" i="31"/>
  <c r="C12" i="31"/>
  <c r="F12" i="31"/>
  <c r="L12" i="31" s="1"/>
  <c r="C9" i="31"/>
  <c r="C7" i="31"/>
  <c r="AC11" i="31"/>
  <c r="W12" i="31"/>
  <c r="W24" i="31"/>
  <c r="D8" i="31"/>
  <c r="E8" i="31" s="1"/>
  <c r="F8" i="31" s="1"/>
  <c r="W20" i="31"/>
  <c r="W22" i="31"/>
  <c r="W14" i="31"/>
  <c r="W9" i="31"/>
  <c r="W17" i="31"/>
  <c r="AB21" i="31"/>
  <c r="W29" i="31"/>
  <c r="W10" i="31"/>
  <c r="W15" i="31"/>
  <c r="W27" i="31"/>
  <c r="W26" i="31"/>
  <c r="W6" i="31"/>
  <c r="W7" i="31"/>
  <c r="W18" i="31"/>
  <c r="W30" i="31"/>
  <c r="W11" i="31"/>
  <c r="W13" i="31"/>
  <c r="W23" i="31"/>
  <c r="W25" i="31"/>
  <c r="F6" i="31"/>
  <c r="F9" i="31"/>
  <c r="W16" i="31"/>
  <c r="W21" i="31"/>
  <c r="L6" i="28"/>
  <c r="G6" i="28"/>
  <c r="H6" i="28"/>
  <c r="Y29" i="28"/>
  <c r="X29" i="28"/>
  <c r="H12" i="28"/>
  <c r="G12" i="28"/>
  <c r="N12" i="28" s="1"/>
  <c r="L12" i="28"/>
  <c r="W6" i="28"/>
  <c r="W20" i="28"/>
  <c r="W22" i="28"/>
  <c r="AC11" i="28"/>
  <c r="W15" i="28"/>
  <c r="W27" i="28"/>
  <c r="W30" i="28"/>
  <c r="W25" i="28"/>
  <c r="W7" i="28"/>
  <c r="W16" i="28"/>
  <c r="W21" i="28"/>
  <c r="W28" i="28"/>
  <c r="W23" i="28"/>
  <c r="W8" i="28"/>
  <c r="W9" i="28"/>
  <c r="W10" i="28"/>
  <c r="W11" i="28"/>
  <c r="W19" i="28"/>
  <c r="W31" i="28"/>
  <c r="W13" i="28"/>
  <c r="W14" i="28"/>
  <c r="W26" i="28"/>
  <c r="W12" i="28"/>
  <c r="W17" i="28"/>
  <c r="W24" i="28"/>
  <c r="AD24" i="27"/>
  <c r="AD23" i="27"/>
  <c r="AA20" i="27"/>
  <c r="AA12" i="27"/>
  <c r="AA11" i="27"/>
  <c r="J11" i="27"/>
  <c r="K11" i="27" s="1"/>
  <c r="D11" i="27"/>
  <c r="E11" i="27" s="1"/>
  <c r="C11" i="27"/>
  <c r="J10" i="27"/>
  <c r="K10" i="27" s="1"/>
  <c r="D10" i="27"/>
  <c r="E10" i="27" s="1"/>
  <c r="C10" i="27"/>
  <c r="J9" i="27"/>
  <c r="K9" i="27" s="1"/>
  <c r="D9" i="27"/>
  <c r="E9" i="27" s="1"/>
  <c r="C9" i="27"/>
  <c r="J8" i="27"/>
  <c r="K8" i="27" s="1"/>
  <c r="D8" i="27"/>
  <c r="E8" i="27" s="1"/>
  <c r="C8" i="27"/>
  <c r="AA7" i="27"/>
  <c r="F12" i="27" s="1"/>
  <c r="J7" i="27"/>
  <c r="K7" i="27" s="1"/>
  <c r="D7" i="27"/>
  <c r="E7" i="27" s="1"/>
  <c r="C7" i="27"/>
  <c r="J6" i="27"/>
  <c r="K6" i="27" s="1"/>
  <c r="D6" i="27"/>
  <c r="E6" i="27" s="1"/>
  <c r="C6" i="27"/>
  <c r="M15" i="32" l="1"/>
  <c r="P15" i="32"/>
  <c r="O13" i="32"/>
  <c r="H7" i="28"/>
  <c r="L15" i="28"/>
  <c r="X18" i="28"/>
  <c r="G16" i="28"/>
  <c r="N16" i="28" s="1"/>
  <c r="M16" i="28" s="1"/>
  <c r="X28" i="31"/>
  <c r="M9" i="32"/>
  <c r="F7" i="27"/>
  <c r="H7" i="27" s="1"/>
  <c r="F11" i="27"/>
  <c r="F6" i="27"/>
  <c r="L6" i="27" s="1"/>
  <c r="F9" i="27"/>
  <c r="V10" i="27"/>
  <c r="W10" i="27" s="1"/>
  <c r="L16" i="28"/>
  <c r="H15" i="28"/>
  <c r="E24" i="28" s="1"/>
  <c r="L12" i="27"/>
  <c r="G12" i="27"/>
  <c r="N12" i="27" s="1"/>
  <c r="H12" i="27"/>
  <c r="V8" i="27"/>
  <c r="W8" i="27" s="1"/>
  <c r="X8" i="31"/>
  <c r="AA21" i="27"/>
  <c r="L10" i="28"/>
  <c r="V6" i="27"/>
  <c r="V31" i="27"/>
  <c r="X31" i="27" s="1"/>
  <c r="V14" i="27"/>
  <c r="X14" i="27" s="1"/>
  <c r="G10" i="28"/>
  <c r="N10" i="28" s="1"/>
  <c r="O10" i="28" s="1"/>
  <c r="V9" i="27"/>
  <c r="W9" i="27" s="1"/>
  <c r="V11" i="27"/>
  <c r="W11" i="27" s="1"/>
  <c r="O14" i="32"/>
  <c r="P14" i="32"/>
  <c r="V26" i="27"/>
  <c r="X26" i="27" s="1"/>
  <c r="F8" i="27"/>
  <c r="G8" i="27" s="1"/>
  <c r="N8" i="27" s="1"/>
  <c r="F10" i="27"/>
  <c r="L10" i="27" s="1"/>
  <c r="AB11" i="27"/>
  <c r="H7" i="31"/>
  <c r="G13" i="28"/>
  <c r="N13" i="28" s="1"/>
  <c r="O13" i="28" s="1"/>
  <c r="H13" i="28"/>
  <c r="E25" i="28" s="1"/>
  <c r="H14" i="28"/>
  <c r="G14" i="28"/>
  <c r="N14" i="28" s="1"/>
  <c r="O14" i="28" s="1"/>
  <c r="G8" i="28"/>
  <c r="N8" i="28" s="1"/>
  <c r="O16" i="28"/>
  <c r="L9" i="28"/>
  <c r="G11" i="28"/>
  <c r="O11" i="28" s="1"/>
  <c r="H11" i="28"/>
  <c r="H9" i="28"/>
  <c r="N15" i="28"/>
  <c r="O15" i="28" s="1"/>
  <c r="L18" i="28"/>
  <c r="G18" i="28"/>
  <c r="H18" i="28"/>
  <c r="G17" i="28"/>
  <c r="L17" i="28"/>
  <c r="H17" i="28"/>
  <c r="G11" i="31"/>
  <c r="N11" i="31" s="1"/>
  <c r="L11" i="31"/>
  <c r="P13" i="35"/>
  <c r="O13" i="35"/>
  <c r="P17" i="35"/>
  <c r="O17" i="35"/>
  <c r="P9" i="35"/>
  <c r="O9" i="35"/>
  <c r="M9" i="35"/>
  <c r="P14" i="35"/>
  <c r="O14" i="35"/>
  <c r="P18" i="35"/>
  <c r="O18" i="35"/>
  <c r="M17" i="35"/>
  <c r="M13" i="35"/>
  <c r="O8" i="34"/>
  <c r="P8" i="34"/>
  <c r="P14" i="34"/>
  <c r="O14" i="34"/>
  <c r="M8" i="34"/>
  <c r="M14" i="34"/>
  <c r="G12" i="31"/>
  <c r="N12" i="31" s="1"/>
  <c r="O12" i="31" s="1"/>
  <c r="H12" i="31"/>
  <c r="Y31" i="31"/>
  <c r="L7" i="31"/>
  <c r="O7" i="32"/>
  <c r="P7" i="32"/>
  <c r="M7" i="32"/>
  <c r="G10" i="31"/>
  <c r="N10" i="31" s="1"/>
  <c r="M10" i="31" s="1"/>
  <c r="Y19" i="31"/>
  <c r="H10" i="31"/>
  <c r="Y7" i="31"/>
  <c r="X7" i="31"/>
  <c r="Y17" i="31"/>
  <c r="X17" i="31"/>
  <c r="H6" i="31"/>
  <c r="G6" i="31"/>
  <c r="L6" i="31"/>
  <c r="Y9" i="31"/>
  <c r="X9" i="31"/>
  <c r="Y12" i="31"/>
  <c r="X12" i="31"/>
  <c r="X25" i="31"/>
  <c r="Y25" i="31"/>
  <c r="X14" i="31"/>
  <c r="Y14" i="31"/>
  <c r="X23" i="31"/>
  <c r="Y23" i="31"/>
  <c r="X13" i="31"/>
  <c r="Y13" i="31"/>
  <c r="Y15" i="31"/>
  <c r="X15" i="31"/>
  <c r="Y20" i="31"/>
  <c r="X20" i="31"/>
  <c r="N7" i="31"/>
  <c r="M7" i="31" s="1"/>
  <c r="X26" i="31"/>
  <c r="Y26" i="31"/>
  <c r="Y27" i="31"/>
  <c r="X27" i="31"/>
  <c r="X11" i="31"/>
  <c r="Y11" i="31"/>
  <c r="Y10" i="31"/>
  <c r="X10" i="31"/>
  <c r="H8" i="31"/>
  <c r="G8" i="31"/>
  <c r="L8" i="31"/>
  <c r="Y21" i="31"/>
  <c r="X21" i="31"/>
  <c r="Y30" i="31"/>
  <c r="X30" i="31"/>
  <c r="Y29" i="31"/>
  <c r="X29" i="31"/>
  <c r="M11" i="31"/>
  <c r="L9" i="31"/>
  <c r="H9" i="31"/>
  <c r="G9" i="31"/>
  <c r="Y22" i="31"/>
  <c r="X22" i="31"/>
  <c r="Y16" i="31"/>
  <c r="X16" i="31"/>
  <c r="Y18" i="31"/>
  <c r="X18" i="31"/>
  <c r="Y24" i="31"/>
  <c r="X24" i="31"/>
  <c r="Y20" i="28"/>
  <c r="X20" i="28"/>
  <c r="Y25" i="28"/>
  <c r="X25" i="28"/>
  <c r="Y12" i="28"/>
  <c r="X12" i="28"/>
  <c r="O9" i="28"/>
  <c r="M12" i="28"/>
  <c r="P12" i="28"/>
  <c r="O12" i="28"/>
  <c r="Y11" i="28"/>
  <c r="X11" i="28"/>
  <c r="Y10" i="28"/>
  <c r="X10" i="28"/>
  <c r="Y30" i="28"/>
  <c r="X30" i="28"/>
  <c r="X26" i="28"/>
  <c r="Y26" i="28"/>
  <c r="Y8" i="28"/>
  <c r="X8" i="28"/>
  <c r="X27" i="28"/>
  <c r="Y27" i="28"/>
  <c r="Y16" i="28"/>
  <c r="X16" i="28"/>
  <c r="M7" i="28"/>
  <c r="Y24" i="28"/>
  <c r="X24" i="28"/>
  <c r="Y7" i="28"/>
  <c r="X7" i="28"/>
  <c r="Y17" i="28"/>
  <c r="X17" i="28"/>
  <c r="Y9" i="28"/>
  <c r="X9" i="28"/>
  <c r="X14" i="28"/>
  <c r="Y14" i="28"/>
  <c r="Y23" i="28"/>
  <c r="X23" i="28"/>
  <c r="X15" i="28"/>
  <c r="Y15" i="28"/>
  <c r="M9" i="28"/>
  <c r="Y19" i="28"/>
  <c r="X19" i="28"/>
  <c r="Y13" i="28"/>
  <c r="X13" i="28"/>
  <c r="Y28" i="28"/>
  <c r="X28" i="28"/>
  <c r="Y31" i="28"/>
  <c r="X31" i="28"/>
  <c r="Y21" i="28"/>
  <c r="X21" i="28"/>
  <c r="Y22" i="28"/>
  <c r="X22" i="28"/>
  <c r="L11" i="27"/>
  <c r="H11" i="27"/>
  <c r="G11" i="27"/>
  <c r="N11" i="27" s="1"/>
  <c r="L9" i="27"/>
  <c r="H9" i="27"/>
  <c r="G9" i="27"/>
  <c r="N9" i="27" s="1"/>
  <c r="V12" i="27"/>
  <c r="W14" i="27"/>
  <c r="V17" i="27"/>
  <c r="V24" i="27"/>
  <c r="V29" i="27"/>
  <c r="V20" i="27"/>
  <c r="V22" i="27"/>
  <c r="V7" i="27"/>
  <c r="V15" i="27"/>
  <c r="V27" i="27"/>
  <c r="V30" i="27"/>
  <c r="V23" i="27"/>
  <c r="V16" i="27"/>
  <c r="V21" i="27"/>
  <c r="V28" i="27"/>
  <c r="V18" i="27"/>
  <c r="V13" i="27"/>
  <c r="V25" i="27"/>
  <c r="V19" i="27"/>
  <c r="L8" i="27" l="1"/>
  <c r="L7" i="27"/>
  <c r="G7" i="27"/>
  <c r="H8" i="27"/>
  <c r="G6" i="27"/>
  <c r="H6" i="27"/>
  <c r="X8" i="27"/>
  <c r="X9" i="27"/>
  <c r="G10" i="27"/>
  <c r="N10" i="27" s="1"/>
  <c r="O10" i="27" s="1"/>
  <c r="X11" i="27"/>
  <c r="H10" i="27"/>
  <c r="X10" i="27"/>
  <c r="W26" i="27"/>
  <c r="W31" i="27"/>
  <c r="M13" i="28"/>
  <c r="P10" i="28"/>
  <c r="M12" i="27"/>
  <c r="P12" i="27"/>
  <c r="O12" i="27"/>
  <c r="M10" i="28"/>
  <c r="M12" i="31"/>
  <c r="M14" i="28"/>
  <c r="P11" i="28"/>
  <c r="M8" i="28"/>
  <c r="M11" i="28"/>
  <c r="M15" i="28"/>
  <c r="N17" i="28"/>
  <c r="O17" i="28" s="1"/>
  <c r="N18" i="28"/>
  <c r="O18" i="28" s="1"/>
  <c r="Q11" i="31"/>
  <c r="O11" i="31"/>
  <c r="Q12" i="31"/>
  <c r="Q7" i="31"/>
  <c r="O7" i="31"/>
  <c r="Q10" i="31"/>
  <c r="O10" i="31"/>
  <c r="N9" i="31"/>
  <c r="M9" i="31" s="1"/>
  <c r="N8" i="31"/>
  <c r="P11" i="27"/>
  <c r="O11" i="27"/>
  <c r="P10" i="27"/>
  <c r="P9" i="27"/>
  <c r="O9" i="27"/>
  <c r="X15" i="27"/>
  <c r="W15" i="27"/>
  <c r="X7" i="27"/>
  <c r="W7" i="27"/>
  <c r="W19" i="27"/>
  <c r="X19" i="27"/>
  <c r="X22" i="27"/>
  <c r="W22" i="27"/>
  <c r="X25" i="27"/>
  <c r="W25" i="27"/>
  <c r="X20" i="27"/>
  <c r="W20" i="27"/>
  <c r="P8" i="27"/>
  <c r="O8" i="27"/>
  <c r="W16" i="27"/>
  <c r="X16" i="27"/>
  <c r="M11" i="27"/>
  <c r="M9" i="27"/>
  <c r="X23" i="27"/>
  <c r="W23" i="27"/>
  <c r="W28" i="27"/>
  <c r="X28" i="27"/>
  <c r="X30" i="27"/>
  <c r="W30" i="27"/>
  <c r="X24" i="27"/>
  <c r="W24" i="27"/>
  <c r="X12" i="27"/>
  <c r="W12" i="27"/>
  <c r="X13" i="27"/>
  <c r="W13" i="27"/>
  <c r="X29" i="27"/>
  <c r="W29" i="27"/>
  <c r="W18" i="27"/>
  <c r="X18" i="27"/>
  <c r="N7" i="27"/>
  <c r="W21" i="27"/>
  <c r="X21" i="27"/>
  <c r="W27" i="27"/>
  <c r="X27" i="27"/>
  <c r="X17" i="27"/>
  <c r="W17" i="27"/>
  <c r="M8" i="27"/>
  <c r="I8" i="24"/>
  <c r="J8" i="24" s="1"/>
  <c r="K8" i="24" s="1"/>
  <c r="L8" i="24" s="1"/>
  <c r="I7" i="24"/>
  <c r="J7" i="24" s="1"/>
  <c r="K7" i="24" s="1"/>
  <c r="L7" i="24" s="1"/>
  <c r="I9" i="24"/>
  <c r="J9" i="24" s="1"/>
  <c r="K9" i="24" s="1"/>
  <c r="L9" i="24" s="1"/>
  <c r="I10" i="24"/>
  <c r="J10" i="24" s="1"/>
  <c r="K10" i="24" s="1"/>
  <c r="L10" i="24" s="1"/>
  <c r="I11" i="24"/>
  <c r="J11" i="24" s="1"/>
  <c r="K11" i="24" s="1"/>
  <c r="L11" i="24" s="1"/>
  <c r="I12" i="24"/>
  <c r="J12" i="24" s="1"/>
  <c r="K12" i="24" s="1"/>
  <c r="L12" i="24" s="1"/>
  <c r="C12" i="24"/>
  <c r="D11" i="24"/>
  <c r="E11" i="24" s="1"/>
  <c r="D10" i="24"/>
  <c r="E10" i="24" s="1"/>
  <c r="C9" i="24"/>
  <c r="C8" i="24"/>
  <c r="D7" i="24"/>
  <c r="E7" i="24" s="1"/>
  <c r="AF24" i="24"/>
  <c r="AF23" i="24"/>
  <c r="AC20" i="24"/>
  <c r="AC7" i="24"/>
  <c r="J6" i="24"/>
  <c r="K6" i="24" s="1"/>
  <c r="D6" i="24"/>
  <c r="E6" i="24" s="1"/>
  <c r="C6" i="24"/>
  <c r="D7" i="21"/>
  <c r="C7" i="21"/>
  <c r="D13" i="21"/>
  <c r="D12" i="21"/>
  <c r="D11" i="21"/>
  <c r="D10" i="21"/>
  <c r="D9" i="21"/>
  <c r="D8" i="21"/>
  <c r="C15" i="21"/>
  <c r="C14" i="21"/>
  <c r="C13" i="21"/>
  <c r="C12" i="21"/>
  <c r="C11" i="21"/>
  <c r="C10" i="21"/>
  <c r="C9" i="21"/>
  <c r="C8" i="21"/>
  <c r="M10" i="27" l="1"/>
  <c r="U12" i="24"/>
  <c r="W12" i="24" s="1"/>
  <c r="F6" i="24"/>
  <c r="H6" i="24" s="1"/>
  <c r="U9" i="24"/>
  <c r="V9" i="24" s="1"/>
  <c r="F10" i="24"/>
  <c r="M10" i="24" s="1"/>
  <c r="M17" i="28"/>
  <c r="M18" i="28"/>
  <c r="Q8" i="31"/>
  <c r="O8" i="31"/>
  <c r="M8" i="31"/>
  <c r="O9" i="31"/>
  <c r="Q9" i="31"/>
  <c r="M7" i="27"/>
  <c r="O7" i="27"/>
  <c r="F11" i="24"/>
  <c r="M11" i="24" s="1"/>
  <c r="U8" i="24"/>
  <c r="U10" i="24"/>
  <c r="U11" i="24"/>
  <c r="D9" i="24"/>
  <c r="E9" i="24" s="1"/>
  <c r="F9" i="24" s="1"/>
  <c r="M9" i="24" s="1"/>
  <c r="U26" i="24"/>
  <c r="V26" i="24" s="1"/>
  <c r="F7" i="24"/>
  <c r="H7" i="24" s="1"/>
  <c r="U27" i="24"/>
  <c r="W27" i="24" s="1"/>
  <c r="D12" i="24"/>
  <c r="E12" i="24" s="1"/>
  <c r="F12" i="24" s="1"/>
  <c r="G12" i="24" s="1"/>
  <c r="O12" i="24" s="1"/>
  <c r="C11" i="24"/>
  <c r="C10" i="24"/>
  <c r="D8" i="24"/>
  <c r="E8" i="24" s="1"/>
  <c r="F8" i="24" s="1"/>
  <c r="G8" i="24" s="1"/>
  <c r="C7" i="24"/>
  <c r="G10" i="24"/>
  <c r="O10" i="24" s="1"/>
  <c r="G6" i="24"/>
  <c r="M6" i="24"/>
  <c r="AC21" i="24"/>
  <c r="U24" i="24"/>
  <c r="U29" i="24"/>
  <c r="U6" i="24"/>
  <c r="U20" i="24"/>
  <c r="U22" i="24"/>
  <c r="V12" i="24"/>
  <c r="U13" i="24"/>
  <c r="U14" i="24"/>
  <c r="U15" i="24"/>
  <c r="U16" i="24"/>
  <c r="U23" i="24"/>
  <c r="U21" i="24"/>
  <c r="U28" i="24"/>
  <c r="U17" i="24"/>
  <c r="U18" i="24"/>
  <c r="U30" i="24"/>
  <c r="U19" i="24"/>
  <c r="U31" i="24"/>
  <c r="AD11" i="24"/>
  <c r="U25" i="24"/>
  <c r="U7" i="24"/>
  <c r="AG24" i="23"/>
  <c r="AG23" i="23"/>
  <c r="AD20" i="23"/>
  <c r="J18" i="23"/>
  <c r="K18" i="23" s="1"/>
  <c r="D18" i="23"/>
  <c r="E18" i="23" s="1"/>
  <c r="C18" i="23"/>
  <c r="J17" i="23"/>
  <c r="K17" i="23" s="1"/>
  <c r="D17" i="23"/>
  <c r="E17" i="23" s="1"/>
  <c r="C17" i="23"/>
  <c r="J16" i="23"/>
  <c r="K16" i="23" s="1"/>
  <c r="D16" i="23"/>
  <c r="E16" i="23" s="1"/>
  <c r="C16" i="23"/>
  <c r="J15" i="23"/>
  <c r="K15" i="23" s="1"/>
  <c r="D15" i="23"/>
  <c r="E15" i="23" s="1"/>
  <c r="C15" i="23"/>
  <c r="J14" i="23"/>
  <c r="K14" i="23" s="1"/>
  <c r="D14" i="23"/>
  <c r="E14" i="23" s="1"/>
  <c r="C14" i="23"/>
  <c r="J13" i="23"/>
  <c r="K13" i="23" s="1"/>
  <c r="D13" i="23"/>
  <c r="E13" i="23" s="1"/>
  <c r="C13" i="23"/>
  <c r="J12" i="23"/>
  <c r="K12" i="23" s="1"/>
  <c r="D12" i="23"/>
  <c r="E12" i="23" s="1"/>
  <c r="C12" i="23"/>
  <c r="AD11" i="23"/>
  <c r="J11" i="23"/>
  <c r="K11" i="23" s="1"/>
  <c r="D11" i="23"/>
  <c r="E11" i="23" s="1"/>
  <c r="C11" i="23"/>
  <c r="J10" i="23"/>
  <c r="K10" i="23" s="1"/>
  <c r="D10" i="23"/>
  <c r="E10" i="23" s="1"/>
  <c r="C10" i="23"/>
  <c r="J9" i="23"/>
  <c r="D9" i="23"/>
  <c r="E9" i="23" s="1"/>
  <c r="C9" i="23"/>
  <c r="J8" i="23"/>
  <c r="K8" i="23" s="1"/>
  <c r="D8" i="23"/>
  <c r="E8" i="23" s="1"/>
  <c r="C8" i="23"/>
  <c r="AD7" i="23"/>
  <c r="J7" i="23"/>
  <c r="K7" i="23" s="1"/>
  <c r="D7" i="23"/>
  <c r="E7" i="23" s="1"/>
  <c r="C7" i="23"/>
  <c r="J6" i="23"/>
  <c r="K6" i="23" s="1"/>
  <c r="D6" i="23"/>
  <c r="E6" i="23" s="1"/>
  <c r="C6" i="23"/>
  <c r="H10" i="24" l="1"/>
  <c r="W9" i="24"/>
  <c r="G9" i="24"/>
  <c r="O9" i="24" s="1"/>
  <c r="R9" i="24" s="1"/>
  <c r="W26" i="24"/>
  <c r="Y28" i="23"/>
  <c r="Z28" i="23" s="1"/>
  <c r="F6" i="23"/>
  <c r="H6" i="23" s="1"/>
  <c r="L6" i="23"/>
  <c r="Y9" i="23"/>
  <c r="AA9" i="23" s="1"/>
  <c r="Y11" i="23"/>
  <c r="AA11" i="23" s="1"/>
  <c r="F13" i="23"/>
  <c r="L13" i="23" s="1"/>
  <c r="Y26" i="23"/>
  <c r="AA26" i="23" s="1"/>
  <c r="Y29" i="23"/>
  <c r="AA29" i="23" s="1"/>
  <c r="AE11" i="23"/>
  <c r="Y31" i="23"/>
  <c r="F14" i="23"/>
  <c r="L14" i="23" s="1"/>
  <c r="Y10" i="23"/>
  <c r="AA10" i="23" s="1"/>
  <c r="F17" i="23"/>
  <c r="H17" i="23" s="1"/>
  <c r="AD21" i="23"/>
  <c r="F10" i="23"/>
  <c r="H10" i="23" s="1"/>
  <c r="Y8" i="23"/>
  <c r="AA8" i="23" s="1"/>
  <c r="F12" i="23"/>
  <c r="F7" i="23"/>
  <c r="H7" i="23" s="1"/>
  <c r="F16" i="23"/>
  <c r="L16" i="23" s="1"/>
  <c r="F9" i="23"/>
  <c r="G9" i="23" s="1"/>
  <c r="F11" i="23"/>
  <c r="G11" i="23" s="1"/>
  <c r="N11" i="23" s="1"/>
  <c r="F15" i="23"/>
  <c r="L15" i="23" s="1"/>
  <c r="Y24" i="23"/>
  <c r="AA24" i="23" s="1"/>
  <c r="Y19" i="23"/>
  <c r="F8" i="23"/>
  <c r="Y7" i="23"/>
  <c r="Z7" i="23" s="1"/>
  <c r="F18" i="23"/>
  <c r="L18" i="23" s="1"/>
  <c r="H9" i="24"/>
  <c r="H11" i="24"/>
  <c r="V27" i="24"/>
  <c r="G11" i="24"/>
  <c r="O11" i="24" s="1"/>
  <c r="N11" i="24" s="1"/>
  <c r="M8" i="24"/>
  <c r="M7" i="24"/>
  <c r="G7" i="24"/>
  <c r="O7" i="24" s="1"/>
  <c r="P7" i="24" s="1"/>
  <c r="H8" i="24"/>
  <c r="V11" i="24"/>
  <c r="W11" i="24"/>
  <c r="V10" i="24"/>
  <c r="W10" i="24"/>
  <c r="V8" i="24"/>
  <c r="W8" i="24"/>
  <c r="M12" i="24"/>
  <c r="R12" i="24" s="1"/>
  <c r="H12" i="24"/>
  <c r="R10" i="24"/>
  <c r="P10" i="24"/>
  <c r="P12" i="24"/>
  <c r="V31" i="24"/>
  <c r="W31" i="24"/>
  <c r="V19" i="24"/>
  <c r="W19" i="24"/>
  <c r="W16" i="24"/>
  <c r="V16" i="24"/>
  <c r="W29" i="24"/>
  <c r="W30" i="24"/>
  <c r="V30" i="24"/>
  <c r="V15" i="24"/>
  <c r="W15" i="24"/>
  <c r="W24" i="24"/>
  <c r="V24" i="24"/>
  <c r="N10" i="24"/>
  <c r="V13" i="24"/>
  <c r="W7" i="24"/>
  <c r="V7" i="24"/>
  <c r="W28" i="24"/>
  <c r="V28" i="24"/>
  <c r="N9" i="24"/>
  <c r="O8" i="24"/>
  <c r="W18" i="24"/>
  <c r="V18" i="24"/>
  <c r="W25" i="24"/>
  <c r="V25" i="24"/>
  <c r="W21" i="24"/>
  <c r="V21" i="24"/>
  <c r="W22" i="24"/>
  <c r="V22" i="24"/>
  <c r="N12" i="24"/>
  <c r="W14" i="24"/>
  <c r="V14" i="24"/>
  <c r="W17" i="24"/>
  <c r="V17" i="24"/>
  <c r="W23" i="24"/>
  <c r="V23" i="24"/>
  <c r="W20" i="24"/>
  <c r="V20" i="24"/>
  <c r="L12" i="23"/>
  <c r="H12" i="23"/>
  <c r="G12" i="23"/>
  <c r="L8" i="23"/>
  <c r="G8" i="23"/>
  <c r="H8" i="23"/>
  <c r="Y6" i="23"/>
  <c r="Y20" i="23"/>
  <c r="Y22" i="23"/>
  <c r="Y12" i="23"/>
  <c r="Y27" i="23"/>
  <c r="Y13" i="23"/>
  <c r="Y14" i="23"/>
  <c r="Y15" i="23"/>
  <c r="Y16" i="23"/>
  <c r="Y17" i="23"/>
  <c r="Y18" i="23"/>
  <c r="Y30" i="23"/>
  <c r="Y23" i="23"/>
  <c r="Y25" i="23"/>
  <c r="Y21" i="23"/>
  <c r="AH24" i="21"/>
  <c r="AH23" i="21"/>
  <c r="AE20" i="21"/>
  <c r="J18" i="21"/>
  <c r="K18" i="21" s="1"/>
  <c r="D18" i="21"/>
  <c r="E18" i="21" s="1"/>
  <c r="C18" i="21"/>
  <c r="J17" i="21"/>
  <c r="K17" i="21" s="1"/>
  <c r="D17" i="21"/>
  <c r="E17" i="21" s="1"/>
  <c r="C17" i="21"/>
  <c r="J16" i="21"/>
  <c r="K16" i="21" s="1"/>
  <c r="D16" i="21"/>
  <c r="E16" i="21" s="1"/>
  <c r="C16" i="21"/>
  <c r="J15" i="21"/>
  <c r="K15" i="21" s="1"/>
  <c r="D15" i="21"/>
  <c r="E15" i="21" s="1"/>
  <c r="J14" i="21"/>
  <c r="K14" i="21" s="1"/>
  <c r="D14" i="21"/>
  <c r="E14" i="21" s="1"/>
  <c r="J13" i="21"/>
  <c r="K13" i="21" s="1"/>
  <c r="E13" i="21"/>
  <c r="AE12" i="21"/>
  <c r="J12" i="21"/>
  <c r="K12" i="21" s="1"/>
  <c r="E12" i="21"/>
  <c r="AE11" i="21"/>
  <c r="J11" i="21"/>
  <c r="K11" i="21" s="1"/>
  <c r="E11" i="21"/>
  <c r="J10" i="21"/>
  <c r="K10" i="21" s="1"/>
  <c r="E10" i="21"/>
  <c r="J9" i="21"/>
  <c r="K9" i="21" s="1"/>
  <c r="E9" i="21"/>
  <c r="J8" i="21"/>
  <c r="K8" i="21" s="1"/>
  <c r="E8" i="21"/>
  <c r="AE7" i="21"/>
  <c r="J7" i="21"/>
  <c r="K7" i="21" s="1"/>
  <c r="E7" i="21"/>
  <c r="J6" i="21"/>
  <c r="K6" i="21" s="1"/>
  <c r="D6" i="21"/>
  <c r="E6" i="21" s="1"/>
  <c r="C6" i="21"/>
  <c r="AA28" i="23" l="1"/>
  <c r="P9" i="24"/>
  <c r="G16" i="23"/>
  <c r="N16" i="23" s="1"/>
  <c r="H11" i="23"/>
  <c r="Z11" i="23"/>
  <c r="L17" i="23"/>
  <c r="G6" i="23"/>
  <c r="Z10" i="23"/>
  <c r="G18" i="23"/>
  <c r="N18" i="23" s="1"/>
  <c r="O18" i="23" s="1"/>
  <c r="Z11" i="21"/>
  <c r="Z19" i="21"/>
  <c r="Z27" i="21"/>
  <c r="Z30" i="21"/>
  <c r="Z23" i="21"/>
  <c r="Z25" i="21"/>
  <c r="Z12" i="21"/>
  <c r="AA12" i="21" s="1"/>
  <c r="Z20" i="21"/>
  <c r="Z28" i="21"/>
  <c r="Z22" i="21"/>
  <c r="Z16" i="21"/>
  <c r="Z26" i="21"/>
  <c r="Z13" i="21"/>
  <c r="Z21" i="21"/>
  <c r="Z29" i="21"/>
  <c r="AB29" i="21" s="1"/>
  <c r="Z14" i="21"/>
  <c r="Z31" i="21"/>
  <c r="Z17" i="21"/>
  <c r="Z6" i="21"/>
  <c r="Z9" i="21"/>
  <c r="Z7" i="21"/>
  <c r="AB7" i="21" s="1"/>
  <c r="Z15" i="21"/>
  <c r="Z10" i="21"/>
  <c r="Z8" i="21"/>
  <c r="Z24" i="21"/>
  <c r="Z18" i="21"/>
  <c r="H16" i="23"/>
  <c r="H18" i="23"/>
  <c r="G14" i="23"/>
  <c r="N14" i="23" s="1"/>
  <c r="M14" i="23" s="1"/>
  <c r="H14" i="23"/>
  <c r="F16" i="21"/>
  <c r="H16" i="21" s="1"/>
  <c r="G7" i="23"/>
  <c r="N7" i="23" s="1"/>
  <c r="O7" i="23" s="1"/>
  <c r="L9" i="23"/>
  <c r="P9" i="23" s="1"/>
  <c r="Z8" i="23"/>
  <c r="G13" i="23"/>
  <c r="N13" i="23" s="1"/>
  <c r="O13" i="23" s="1"/>
  <c r="H15" i="23"/>
  <c r="G15" i="23"/>
  <c r="N15" i="23" s="1"/>
  <c r="Z26" i="23"/>
  <c r="H13" i="23"/>
  <c r="Z29" i="23"/>
  <c r="L11" i="23"/>
  <c r="P11" i="23" s="1"/>
  <c r="G17" i="23"/>
  <c r="N17" i="23" s="1"/>
  <c r="O17" i="23" s="1"/>
  <c r="Z24" i="23"/>
  <c r="L7" i="23"/>
  <c r="AA19" i="23"/>
  <c r="Z19" i="23"/>
  <c r="H9" i="23"/>
  <c r="Z9" i="23"/>
  <c r="G10" i="23"/>
  <c r="N10" i="23" s="1"/>
  <c r="L10" i="23"/>
  <c r="AA31" i="23"/>
  <c r="Z31" i="23"/>
  <c r="AA7" i="23"/>
  <c r="N7" i="24"/>
  <c r="R7" i="24"/>
  <c r="R11" i="24"/>
  <c r="P11" i="24"/>
  <c r="R8" i="24"/>
  <c r="P8" i="24"/>
  <c r="N8" i="24"/>
  <c r="O8" i="23"/>
  <c r="P8" i="23"/>
  <c r="AA15" i="23"/>
  <c r="Z15" i="23"/>
  <c r="Z21" i="23"/>
  <c r="AA21" i="23"/>
  <c r="AA14" i="23"/>
  <c r="Z14" i="23"/>
  <c r="AA25" i="23"/>
  <c r="Z25" i="23"/>
  <c r="AA13" i="23"/>
  <c r="Z13" i="23"/>
  <c r="M9" i="23"/>
  <c r="AA20" i="23"/>
  <c r="Z20" i="23"/>
  <c r="AA30" i="23"/>
  <c r="Z30" i="23"/>
  <c r="AA12" i="23"/>
  <c r="Z12" i="23"/>
  <c r="M16" i="23"/>
  <c r="M8" i="23"/>
  <c r="O11" i="23"/>
  <c r="P16" i="23"/>
  <c r="O16" i="23"/>
  <c r="AA23" i="23"/>
  <c r="Z23" i="23"/>
  <c r="O9" i="23"/>
  <c r="AA18" i="23"/>
  <c r="Z18" i="23"/>
  <c r="AA17" i="23"/>
  <c r="Z17" i="23"/>
  <c r="M11" i="23"/>
  <c r="N12" i="23"/>
  <c r="P15" i="23"/>
  <c r="O15" i="23"/>
  <c r="AA27" i="23"/>
  <c r="Z27" i="23"/>
  <c r="AA16" i="23"/>
  <c r="Z16" i="23"/>
  <c r="AA22" i="23"/>
  <c r="Z22" i="23"/>
  <c r="F10" i="21"/>
  <c r="L10" i="21" s="1"/>
  <c r="F12" i="21"/>
  <c r="H12" i="21" s="1"/>
  <c r="F14" i="21"/>
  <c r="L14" i="21" s="1"/>
  <c r="F6" i="21"/>
  <c r="H6" i="21" s="1"/>
  <c r="F17" i="21"/>
  <c r="H17" i="21" s="1"/>
  <c r="AA27" i="21"/>
  <c r="F8" i="21"/>
  <c r="L8" i="21" s="1"/>
  <c r="F15" i="21"/>
  <c r="L15" i="21" s="1"/>
  <c r="F11" i="21"/>
  <c r="G11" i="21" s="1"/>
  <c r="N11" i="21" s="1"/>
  <c r="F18" i="21"/>
  <c r="L18" i="21" s="1"/>
  <c r="F7" i="21"/>
  <c r="H7" i="21" s="1"/>
  <c r="F9" i="21"/>
  <c r="L9" i="21" s="1"/>
  <c r="F13" i="21"/>
  <c r="H13" i="21" s="1"/>
  <c r="AF11" i="21"/>
  <c r="AB27" i="21"/>
  <c r="AE21" i="21"/>
  <c r="AA29" i="21" l="1"/>
  <c r="P18" i="23"/>
  <c r="M18" i="23"/>
  <c r="P17" i="23"/>
  <c r="P13" i="23"/>
  <c r="M13" i="23"/>
  <c r="G16" i="21"/>
  <c r="L16" i="21"/>
  <c r="P7" i="23"/>
  <c r="M7" i="23"/>
  <c r="M15" i="23"/>
  <c r="M17" i="23"/>
  <c r="L7" i="21"/>
  <c r="G10" i="21"/>
  <c r="N10" i="21" s="1"/>
  <c r="O10" i="21" s="1"/>
  <c r="G9" i="21"/>
  <c r="N9" i="21" s="1"/>
  <c r="M9" i="21" s="1"/>
  <c r="G6" i="21"/>
  <c r="G8" i="21"/>
  <c r="N8" i="21" s="1"/>
  <c r="M8" i="21" s="1"/>
  <c r="L13" i="21"/>
  <c r="H18" i="21"/>
  <c r="O12" i="23"/>
  <c r="P12" i="23"/>
  <c r="M12" i="23"/>
  <c r="P14" i="23"/>
  <c r="O14" i="23"/>
  <c r="O10" i="23"/>
  <c r="P10" i="23"/>
  <c r="G17" i="21"/>
  <c r="N17" i="21" s="1"/>
  <c r="H8" i="21"/>
  <c r="H9" i="21"/>
  <c r="AB12" i="21"/>
  <c r="G7" i="21"/>
  <c r="N7" i="21" s="1"/>
  <c r="L6" i="21"/>
  <c r="L17" i="21"/>
  <c r="H10" i="21"/>
  <c r="G13" i="21"/>
  <c r="N13" i="21" s="1"/>
  <c r="O13" i="21" s="1"/>
  <c r="L11" i="21"/>
  <c r="P11" i="21" s="1"/>
  <c r="H11" i="21"/>
  <c r="H14" i="21"/>
  <c r="G12" i="21"/>
  <c r="N12" i="21" s="1"/>
  <c r="M12" i="21" s="1"/>
  <c r="G14" i="21"/>
  <c r="N14" i="21" s="1"/>
  <c r="O14" i="21" s="1"/>
  <c r="L12" i="21"/>
  <c r="G15" i="21"/>
  <c r="N15" i="21" s="1"/>
  <c r="O15" i="21" s="1"/>
  <c r="G18" i="21"/>
  <c r="N18" i="21" s="1"/>
  <c r="H15" i="21"/>
  <c r="AA7" i="21"/>
  <c r="O11" i="21"/>
  <c r="AB24" i="21"/>
  <c r="AA24" i="21"/>
  <c r="AB14" i="21"/>
  <c r="AA14" i="21"/>
  <c r="AB25" i="21"/>
  <c r="AA25" i="21"/>
  <c r="AB10" i="21"/>
  <c r="AA10" i="21"/>
  <c r="AB15" i="21"/>
  <c r="AA15" i="21"/>
  <c r="AB23" i="21"/>
  <c r="AA23" i="21"/>
  <c r="AA11" i="21"/>
  <c r="AB11" i="21"/>
  <c r="AA26" i="21"/>
  <c r="AB26" i="21"/>
  <c r="AA21" i="21"/>
  <c r="AB21" i="21"/>
  <c r="AA9" i="21"/>
  <c r="AB9" i="21"/>
  <c r="AB8" i="21"/>
  <c r="AA8" i="21"/>
  <c r="AB18" i="21"/>
  <c r="AA18" i="21"/>
  <c r="AB30" i="21"/>
  <c r="AA30" i="21"/>
  <c r="AB13" i="21"/>
  <c r="AA13" i="21"/>
  <c r="AB28" i="21"/>
  <c r="AA28" i="21"/>
  <c r="M11" i="21"/>
  <c r="AB31" i="21"/>
  <c r="AA31" i="21"/>
  <c r="AB17" i="21"/>
  <c r="AA17" i="21"/>
  <c r="AB22" i="21"/>
  <c r="AA22" i="21"/>
  <c r="AB19" i="21"/>
  <c r="AA19" i="21"/>
  <c r="AB16" i="21"/>
  <c r="AA16" i="21"/>
  <c r="AA20" i="21"/>
  <c r="AB20" i="21"/>
  <c r="N16" i="21"/>
  <c r="M17" i="21" l="1"/>
  <c r="P15" i="21"/>
  <c r="P10" i="21"/>
  <c r="P9" i="21"/>
  <c r="O9" i="21"/>
  <c r="M10" i="21"/>
  <c r="P17" i="21"/>
  <c r="M7" i="21"/>
  <c r="O17" i="21"/>
  <c r="O7" i="21"/>
  <c r="P14" i="21"/>
  <c r="M15" i="21"/>
  <c r="P13" i="21"/>
  <c r="M14" i="21"/>
  <c r="M13" i="21"/>
  <c r="M18" i="21"/>
  <c r="O8" i="21"/>
  <c r="P8" i="21"/>
  <c r="P18" i="21"/>
  <c r="O18" i="21"/>
  <c r="P16" i="21"/>
  <c r="O16" i="21"/>
  <c r="M16" i="21"/>
  <c r="O12" i="21"/>
  <c r="P12" i="21"/>
  <c r="J11" i="6" l="1"/>
  <c r="K11" i="6" s="1"/>
  <c r="J8" i="6"/>
  <c r="K8" i="6" s="1"/>
  <c r="AD24" i="6"/>
  <c r="AD23" i="6"/>
  <c r="AA20" i="6"/>
  <c r="AA12" i="6"/>
  <c r="AA11" i="6"/>
  <c r="D11" i="6"/>
  <c r="E11" i="6" s="1"/>
  <c r="C11" i="6"/>
  <c r="J10" i="6"/>
  <c r="K10" i="6" s="1"/>
  <c r="D10" i="6"/>
  <c r="E10" i="6" s="1"/>
  <c r="C10" i="6"/>
  <c r="J9" i="6"/>
  <c r="K9" i="6" s="1"/>
  <c r="D9" i="6"/>
  <c r="E9" i="6" s="1"/>
  <c r="C9" i="6"/>
  <c r="D8" i="6"/>
  <c r="E8" i="6" s="1"/>
  <c r="C8" i="6"/>
  <c r="AA7" i="6"/>
  <c r="J7" i="6"/>
  <c r="K7" i="6" s="1"/>
  <c r="D7" i="6"/>
  <c r="E7" i="6" s="1"/>
  <c r="C7" i="6"/>
  <c r="J6" i="6"/>
  <c r="K6" i="6" s="1"/>
  <c r="D6" i="6"/>
  <c r="E6" i="6" s="1"/>
  <c r="C6" i="6"/>
  <c r="C12" i="3"/>
  <c r="D12" i="3"/>
  <c r="E12" i="3" s="1"/>
  <c r="J12" i="3"/>
  <c r="K12" i="3" s="1"/>
  <c r="C13" i="3"/>
  <c r="D13" i="3"/>
  <c r="E13" i="3" s="1"/>
  <c r="J13" i="3"/>
  <c r="K13" i="3" s="1"/>
  <c r="C14" i="3"/>
  <c r="D14" i="3"/>
  <c r="E14" i="3" s="1"/>
  <c r="J14" i="3"/>
  <c r="K14" i="3" s="1"/>
  <c r="C15" i="3"/>
  <c r="D15" i="3"/>
  <c r="E15" i="3" s="1"/>
  <c r="J15" i="3"/>
  <c r="K15" i="3" s="1"/>
  <c r="C16" i="3"/>
  <c r="D16" i="3"/>
  <c r="E16" i="3" s="1"/>
  <c r="J16" i="3"/>
  <c r="K16" i="3" s="1"/>
  <c r="C17" i="3"/>
  <c r="D17" i="3"/>
  <c r="E17" i="3" s="1"/>
  <c r="J17" i="3"/>
  <c r="K17" i="3" s="1"/>
  <c r="C18" i="3"/>
  <c r="D18" i="3"/>
  <c r="E18" i="3" s="1"/>
  <c r="J18" i="3"/>
  <c r="K18" i="3" s="1"/>
  <c r="AD24" i="3"/>
  <c r="AD23" i="3"/>
  <c r="J11" i="3"/>
  <c r="K11" i="3" s="1"/>
  <c r="D11" i="3"/>
  <c r="E11" i="3" s="1"/>
  <c r="C11" i="3"/>
  <c r="J10" i="3"/>
  <c r="K10" i="3" s="1"/>
  <c r="D10" i="3"/>
  <c r="E10" i="3" s="1"/>
  <c r="C10" i="3"/>
  <c r="J9" i="3"/>
  <c r="K9" i="3" s="1"/>
  <c r="D9" i="3"/>
  <c r="E9" i="3" s="1"/>
  <c r="C9" i="3"/>
  <c r="J8" i="3"/>
  <c r="K8" i="3" s="1"/>
  <c r="D8" i="3"/>
  <c r="E8" i="3" s="1"/>
  <c r="C8" i="3"/>
  <c r="J7" i="3"/>
  <c r="K7" i="3" s="1"/>
  <c r="D7" i="3"/>
  <c r="E7" i="3" s="1"/>
  <c r="C7" i="3"/>
  <c r="J6" i="3"/>
  <c r="K6" i="3" s="1"/>
  <c r="D6" i="3"/>
  <c r="E6" i="3" s="1"/>
  <c r="C6" i="3"/>
  <c r="AD24" i="1"/>
  <c r="AD23" i="1"/>
  <c r="AA20" i="1"/>
  <c r="AA12" i="1"/>
  <c r="AA11" i="1"/>
  <c r="J11" i="1"/>
  <c r="K11" i="1" s="1"/>
  <c r="D11" i="1"/>
  <c r="E11" i="1" s="1"/>
  <c r="C11" i="1"/>
  <c r="J10" i="1"/>
  <c r="K10" i="1" s="1"/>
  <c r="D10" i="1"/>
  <c r="E10" i="1" s="1"/>
  <c r="C10" i="1"/>
  <c r="J9" i="1"/>
  <c r="K9" i="1" s="1"/>
  <c r="D9" i="1"/>
  <c r="E9" i="1" s="1"/>
  <c r="C9" i="1"/>
  <c r="J8" i="1"/>
  <c r="K8" i="1" s="1"/>
  <c r="D8" i="1"/>
  <c r="E8" i="1" s="1"/>
  <c r="C8" i="1"/>
  <c r="AA7" i="1"/>
  <c r="J7" i="1"/>
  <c r="K7" i="1" s="1"/>
  <c r="D7" i="1"/>
  <c r="E7" i="1" s="1"/>
  <c r="C7" i="1"/>
  <c r="J6" i="1"/>
  <c r="K6" i="1" s="1"/>
  <c r="D6" i="1"/>
  <c r="E6" i="1" s="1"/>
  <c r="C6" i="1"/>
  <c r="V29" i="1" l="1"/>
  <c r="X29" i="1" s="1"/>
  <c r="V29" i="6"/>
  <c r="X29" i="6" s="1"/>
  <c r="V29" i="3"/>
  <c r="F6" i="3"/>
  <c r="F7" i="3"/>
  <c r="F12" i="3"/>
  <c r="G12" i="3" s="1"/>
  <c r="N12" i="3" s="1"/>
  <c r="F16" i="3"/>
  <c r="L16" i="3" s="1"/>
  <c r="F14" i="3"/>
  <c r="L14" i="3" s="1"/>
  <c r="F15" i="3"/>
  <c r="H15" i="3" s="1"/>
  <c r="F17" i="3"/>
  <c r="L17" i="3" s="1"/>
  <c r="F8" i="1"/>
  <c r="G8" i="1" s="1"/>
  <c r="F6" i="1"/>
  <c r="H6" i="1" s="1"/>
  <c r="F9" i="1"/>
  <c r="G9" i="1" s="1"/>
  <c r="N9" i="1" s="1"/>
  <c r="F7" i="1"/>
  <c r="G7" i="1" s="1"/>
  <c r="N7" i="1" s="1"/>
  <c r="V22" i="6"/>
  <c r="X22" i="6" s="1"/>
  <c r="F6" i="6"/>
  <c r="L6" i="6" s="1"/>
  <c r="F8" i="6"/>
  <c r="H8" i="6" s="1"/>
  <c r="F11" i="6"/>
  <c r="H11" i="6" s="1"/>
  <c r="L7" i="3"/>
  <c r="V7" i="3"/>
  <c r="F10" i="3"/>
  <c r="L10" i="3" s="1"/>
  <c r="V22" i="3"/>
  <c r="X22" i="3" s="1"/>
  <c r="V17" i="3"/>
  <c r="X17" i="3" s="1"/>
  <c r="V28" i="3"/>
  <c r="X28" i="3" s="1"/>
  <c r="AB11" i="3"/>
  <c r="V6" i="3"/>
  <c r="V16" i="3"/>
  <c r="X16" i="3" s="1"/>
  <c r="F13" i="3"/>
  <c r="L13" i="3" s="1"/>
  <c r="V10" i="3"/>
  <c r="V9" i="3"/>
  <c r="F11" i="3"/>
  <c r="L11" i="3" s="1"/>
  <c r="V20" i="3"/>
  <c r="X20" i="3" s="1"/>
  <c r="F18" i="3"/>
  <c r="L18" i="3" s="1"/>
  <c r="V8" i="3"/>
  <c r="V11" i="3"/>
  <c r="V21" i="3"/>
  <c r="X21" i="3" s="1"/>
  <c r="V21" i="6"/>
  <c r="X21" i="6" s="1"/>
  <c r="F9" i="6"/>
  <c r="H9" i="6" s="1"/>
  <c r="V28" i="6"/>
  <c r="X28" i="6" s="1"/>
  <c r="F7" i="6"/>
  <c r="G7" i="6" s="1"/>
  <c r="N7" i="6" s="1"/>
  <c r="V16" i="6"/>
  <c r="X16" i="6" s="1"/>
  <c r="W29" i="6"/>
  <c r="V20" i="6"/>
  <c r="X20" i="6" s="1"/>
  <c r="V7" i="6"/>
  <c r="X7" i="6" s="1"/>
  <c r="F10" i="6"/>
  <c r="H10" i="6" s="1"/>
  <c r="AA21" i="6"/>
  <c r="L11" i="6"/>
  <c r="V15" i="6"/>
  <c r="V19" i="6"/>
  <c r="V27" i="6"/>
  <c r="V31" i="6"/>
  <c r="V8" i="6"/>
  <c r="V9" i="6"/>
  <c r="V10" i="6"/>
  <c r="V11" i="6"/>
  <c r="AB11" i="6"/>
  <c r="V14" i="6"/>
  <c r="V18" i="6"/>
  <c r="V26" i="6"/>
  <c r="V30" i="6"/>
  <c r="V6" i="6"/>
  <c r="V12" i="6"/>
  <c r="V13" i="6"/>
  <c r="V17" i="6"/>
  <c r="V23" i="6"/>
  <c r="V24" i="6"/>
  <c r="V25" i="6"/>
  <c r="G18" i="3"/>
  <c r="H18" i="3"/>
  <c r="F9" i="3"/>
  <c r="X29" i="3"/>
  <c r="W29" i="3"/>
  <c r="G7" i="3"/>
  <c r="N7" i="3" s="1"/>
  <c r="H7" i="3"/>
  <c r="H6" i="3"/>
  <c r="L6" i="3"/>
  <c r="G6" i="3"/>
  <c r="F8" i="3"/>
  <c r="L8" i="3" s="1"/>
  <c r="V15" i="3"/>
  <c r="V19" i="3"/>
  <c r="V27" i="3"/>
  <c r="W28" i="3"/>
  <c r="V31" i="3"/>
  <c r="V14" i="3"/>
  <c r="V18" i="3"/>
  <c r="V26" i="3"/>
  <c r="V30" i="3"/>
  <c r="V12" i="3"/>
  <c r="V13" i="3"/>
  <c r="V23" i="3"/>
  <c r="V24" i="3"/>
  <c r="V25" i="3"/>
  <c r="V28" i="1"/>
  <c r="W28" i="1" s="1"/>
  <c r="F11" i="1"/>
  <c r="G11" i="1" s="1"/>
  <c r="AA21" i="1"/>
  <c r="V6" i="1"/>
  <c r="F10" i="1"/>
  <c r="H10" i="1" s="1"/>
  <c r="W29" i="1"/>
  <c r="V22" i="1"/>
  <c r="V12" i="1"/>
  <c r="V27" i="1"/>
  <c r="V31" i="1"/>
  <c r="V7" i="1"/>
  <c r="V13" i="1"/>
  <c r="W13" i="1" s="1"/>
  <c r="V14" i="1"/>
  <c r="V15" i="1"/>
  <c r="V16" i="1"/>
  <c r="V17" i="1"/>
  <c r="V18" i="1"/>
  <c r="V19" i="1"/>
  <c r="V20" i="1"/>
  <c r="V26" i="1"/>
  <c r="V30" i="1"/>
  <c r="V8" i="1"/>
  <c r="V9" i="1"/>
  <c r="V10" i="1"/>
  <c r="V11" i="1"/>
  <c r="AB11" i="1"/>
  <c r="V21" i="1"/>
  <c r="V23" i="1"/>
  <c r="V24" i="1"/>
  <c r="V25" i="1"/>
  <c r="H17" i="3" l="1"/>
  <c r="W16" i="3"/>
  <c r="G17" i="3"/>
  <c r="N17" i="3" s="1"/>
  <c r="O17" i="3" s="1"/>
  <c r="H12" i="3"/>
  <c r="N8" i="1"/>
  <c r="M8" i="1"/>
  <c r="L7" i="1"/>
  <c r="P7" i="1" s="1"/>
  <c r="G16" i="3"/>
  <c r="N16" i="3" s="1"/>
  <c r="O16" i="3" s="1"/>
  <c r="H16" i="3"/>
  <c r="W17" i="3"/>
  <c r="W22" i="3"/>
  <c r="L12" i="3"/>
  <c r="P12" i="3" s="1"/>
  <c r="G13" i="3"/>
  <c r="N13" i="3" s="1"/>
  <c r="O13" i="3" s="1"/>
  <c r="G10" i="3"/>
  <c r="N10" i="3" s="1"/>
  <c r="M10" i="3" s="1"/>
  <c r="H10" i="3"/>
  <c r="G14" i="3"/>
  <c r="N14" i="3" s="1"/>
  <c r="G15" i="3"/>
  <c r="N15" i="3" s="1"/>
  <c r="O15" i="3" s="1"/>
  <c r="H14" i="3"/>
  <c r="W21" i="3"/>
  <c r="L15" i="3"/>
  <c r="H13" i="3"/>
  <c r="L11" i="1"/>
  <c r="H7" i="1"/>
  <c r="H9" i="1"/>
  <c r="G6" i="1"/>
  <c r="L9" i="1"/>
  <c r="P9" i="1" s="1"/>
  <c r="H11" i="1"/>
  <c r="L6" i="1"/>
  <c r="L8" i="1"/>
  <c r="P8" i="1" s="1"/>
  <c r="H8" i="1"/>
  <c r="X28" i="1"/>
  <c r="G10" i="1"/>
  <c r="N10" i="1" s="1"/>
  <c r="M10" i="1" s="1"/>
  <c r="L10" i="1"/>
  <c r="G9" i="6"/>
  <c r="N9" i="6" s="1"/>
  <c r="L9" i="6"/>
  <c r="G11" i="6"/>
  <c r="N11" i="6" s="1"/>
  <c r="W16" i="6"/>
  <c r="L8" i="6"/>
  <c r="G8" i="6"/>
  <c r="N8" i="6" s="1"/>
  <c r="M8" i="6" s="1"/>
  <c r="H6" i="6"/>
  <c r="H7" i="6"/>
  <c r="W28" i="6"/>
  <c r="L7" i="6"/>
  <c r="M7" i="6"/>
  <c r="W22" i="6"/>
  <c r="G6" i="6"/>
  <c r="G9" i="3"/>
  <c r="L9" i="3"/>
  <c r="W7" i="3"/>
  <c r="X7" i="3"/>
  <c r="W9" i="3"/>
  <c r="X9" i="3"/>
  <c r="W10" i="3"/>
  <c r="X10" i="3"/>
  <c r="W20" i="3"/>
  <c r="H9" i="3"/>
  <c r="G11" i="3"/>
  <c r="N11" i="3" s="1"/>
  <c r="M11" i="3" s="1"/>
  <c r="W11" i="3"/>
  <c r="X11" i="3"/>
  <c r="H11" i="3"/>
  <c r="X8" i="3"/>
  <c r="W8" i="3"/>
  <c r="W21" i="6"/>
  <c r="W7" i="6"/>
  <c r="W20" i="6"/>
  <c r="L10" i="6"/>
  <c r="G10" i="6"/>
  <c r="N10" i="6" s="1"/>
  <c r="X23" i="6"/>
  <c r="W23" i="6"/>
  <c r="W14" i="6"/>
  <c r="X14" i="6"/>
  <c r="W9" i="6"/>
  <c r="X9" i="6"/>
  <c r="X19" i="6"/>
  <c r="W19" i="6"/>
  <c r="X17" i="6"/>
  <c r="W17" i="6"/>
  <c r="W30" i="6"/>
  <c r="X30" i="6"/>
  <c r="W8" i="6"/>
  <c r="X8" i="6"/>
  <c r="X15" i="6"/>
  <c r="W15" i="6"/>
  <c r="X25" i="6"/>
  <c r="W25" i="6"/>
  <c r="X13" i="6"/>
  <c r="W13" i="6"/>
  <c r="W26" i="6"/>
  <c r="X26" i="6"/>
  <c r="W11" i="6"/>
  <c r="X11" i="6"/>
  <c r="X31" i="6"/>
  <c r="W31" i="6"/>
  <c r="X24" i="6"/>
  <c r="W24" i="6"/>
  <c r="X12" i="6"/>
  <c r="W12" i="6"/>
  <c r="W18" i="6"/>
  <c r="X18" i="6"/>
  <c r="W10" i="6"/>
  <c r="X10" i="6"/>
  <c r="X27" i="6"/>
  <c r="W27" i="6"/>
  <c r="O12" i="3"/>
  <c r="M12" i="3"/>
  <c r="M17" i="3"/>
  <c r="M13" i="3"/>
  <c r="N18" i="3"/>
  <c r="M18" i="3" s="1"/>
  <c r="W18" i="3"/>
  <c r="X18" i="3"/>
  <c r="O7" i="3"/>
  <c r="P7" i="3"/>
  <c r="X25" i="3"/>
  <c r="W25" i="3"/>
  <c r="W12" i="3"/>
  <c r="X12" i="3"/>
  <c r="W14" i="3"/>
  <c r="X14" i="3"/>
  <c r="X19" i="3"/>
  <c r="W19" i="3"/>
  <c r="W30" i="3"/>
  <c r="X30" i="3"/>
  <c r="X15" i="3"/>
  <c r="W15" i="3"/>
  <c r="X13" i="3"/>
  <c r="W13" i="3"/>
  <c r="X27" i="3"/>
  <c r="W27" i="3"/>
  <c r="X24" i="3"/>
  <c r="W24" i="3"/>
  <c r="X31" i="3"/>
  <c r="W31" i="3"/>
  <c r="X23" i="3"/>
  <c r="W23" i="3"/>
  <c r="W26" i="3"/>
  <c r="X26" i="3"/>
  <c r="H8" i="3"/>
  <c r="G8" i="3"/>
  <c r="M7" i="3"/>
  <c r="W9" i="1"/>
  <c r="X9" i="1"/>
  <c r="W7" i="1"/>
  <c r="X7" i="1"/>
  <c r="O9" i="1"/>
  <c r="X25" i="1"/>
  <c r="W25" i="1"/>
  <c r="W8" i="1"/>
  <c r="X8" i="1"/>
  <c r="W19" i="1"/>
  <c r="X19" i="1"/>
  <c r="W15" i="1"/>
  <c r="X15" i="1"/>
  <c r="X31" i="1"/>
  <c r="W31" i="1"/>
  <c r="O8" i="1"/>
  <c r="W20" i="1"/>
  <c r="X20" i="1"/>
  <c r="X22" i="1"/>
  <c r="W22" i="1"/>
  <c r="W11" i="1"/>
  <c r="X11" i="1"/>
  <c r="W14" i="1"/>
  <c r="X14" i="1"/>
  <c r="O7" i="1"/>
  <c r="X21" i="1"/>
  <c r="W21" i="1"/>
  <c r="W16" i="1"/>
  <c r="X16" i="1"/>
  <c r="W24" i="1"/>
  <c r="X24" i="1"/>
  <c r="W30" i="1"/>
  <c r="X30" i="1"/>
  <c r="W18" i="1"/>
  <c r="X18" i="1"/>
  <c r="X27" i="1"/>
  <c r="W27" i="1"/>
  <c r="N11" i="1"/>
  <c r="X23" i="1"/>
  <c r="W23" i="1"/>
  <c r="W10" i="1"/>
  <c r="X10" i="1"/>
  <c r="W26" i="1"/>
  <c r="X26" i="1"/>
  <c r="W17" i="1"/>
  <c r="X17" i="1"/>
  <c r="X13" i="1"/>
  <c r="X12" i="1"/>
  <c r="W12" i="1"/>
  <c r="M7" i="1"/>
  <c r="M9" i="1"/>
  <c r="M16" i="3" l="1"/>
  <c r="P17" i="3"/>
  <c r="P16" i="3"/>
  <c r="N9" i="3"/>
  <c r="O9" i="3" s="1"/>
  <c r="P15" i="3"/>
  <c r="P13" i="3"/>
  <c r="M15" i="3"/>
  <c r="P11" i="3"/>
  <c r="O11" i="3"/>
  <c r="P9" i="6"/>
  <c r="M9" i="6"/>
  <c r="O9" i="6"/>
  <c r="P10" i="6"/>
  <c r="O10" i="6"/>
  <c r="M10" i="6"/>
  <c r="P8" i="6"/>
  <c r="O8" i="6"/>
  <c r="P11" i="6"/>
  <c r="O11" i="6"/>
  <c r="M11" i="6"/>
  <c r="O18" i="3"/>
  <c r="P18" i="3"/>
  <c r="O14" i="3"/>
  <c r="P14" i="3"/>
  <c r="M14" i="3"/>
  <c r="N8" i="3"/>
  <c r="M8" i="3" s="1"/>
  <c r="O10" i="3"/>
  <c r="P10" i="3"/>
  <c r="P11" i="1"/>
  <c r="O11" i="1"/>
  <c r="P10" i="1"/>
  <c r="O10" i="1"/>
  <c r="M11" i="1"/>
  <c r="P9" i="3" l="1"/>
  <c r="M9" i="3"/>
  <c r="O8" i="3"/>
  <c r="P8" i="3"/>
</calcChain>
</file>

<file path=xl/sharedStrings.xml><?xml version="1.0" encoding="utf-8"?>
<sst xmlns="http://schemas.openxmlformats.org/spreadsheetml/2006/main" count="2906" uniqueCount="207">
  <si>
    <t>top and bottom plate were coated and clean.</t>
  </si>
  <si>
    <t>BP=</t>
  </si>
  <si>
    <t>bypass open</t>
  </si>
  <si>
    <t>PORTS AE</t>
  </si>
  <si>
    <t>Q (L/h)</t>
  </si>
  <si>
    <t>Q (L/min)</t>
  </si>
  <si>
    <t>Q (L/s)</t>
  </si>
  <si>
    <r>
      <t>Q (m</t>
    </r>
    <r>
      <rPr>
        <vertAlign val="superscript"/>
        <sz val="12"/>
        <rFont val="Arial"/>
        <family val="2"/>
      </rPr>
      <t>3</t>
    </r>
    <r>
      <rPr>
        <sz val="12"/>
        <rFont val="Arial"/>
        <family val="2"/>
      </rPr>
      <t>/s)</t>
    </r>
  </si>
  <si>
    <t>u (m/s)</t>
  </si>
  <si>
    <r>
      <t>u</t>
    </r>
    <r>
      <rPr>
        <vertAlign val="superscript"/>
        <sz val="12"/>
        <rFont val="Arial"/>
        <family val="2"/>
      </rPr>
      <t>2</t>
    </r>
  </si>
  <si>
    <t>knots</t>
  </si>
  <si>
    <r>
      <t>Δ</t>
    </r>
    <r>
      <rPr>
        <sz val="12"/>
        <rFont val="Arial"/>
        <family val="2"/>
      </rPr>
      <t>P (Volts)</t>
    </r>
  </si>
  <si>
    <r>
      <t>Δ</t>
    </r>
    <r>
      <rPr>
        <sz val="12"/>
        <rFont val="Arial"/>
        <family val="2"/>
      </rPr>
      <t>P (mBar)</t>
    </r>
  </si>
  <si>
    <t>ΔP(Pa)</t>
  </si>
  <si>
    <t>Re</t>
  </si>
  <si>
    <r>
      <rPr>
        <sz val="12"/>
        <rFont val="Calibri"/>
        <family val="2"/>
      </rPr>
      <t>τ</t>
    </r>
    <r>
      <rPr>
        <vertAlign val="subscript"/>
        <sz val="12"/>
        <rFont val="Arial"/>
        <family val="2"/>
      </rPr>
      <t xml:space="preserve">w </t>
    </r>
    <r>
      <rPr>
        <sz val="12"/>
        <rFont val="Arial"/>
        <family val="2"/>
      </rPr>
      <t>(Pa)</t>
    </r>
  </si>
  <si>
    <t>f (DARCY)</t>
  </si>
  <si>
    <r>
      <t>C</t>
    </r>
    <r>
      <rPr>
        <vertAlign val="subscript"/>
        <sz val="12"/>
        <rFont val="Arial"/>
        <family val="2"/>
      </rPr>
      <t>f (fanning)</t>
    </r>
  </si>
  <si>
    <t>relative sandgrain roughness</t>
  </si>
  <si>
    <t>u</t>
  </si>
  <si>
    <t xml:space="preserve">f (Dean) </t>
  </si>
  <si>
    <t>f(Blasius)</t>
  </si>
  <si>
    <t>B = bypass OPEN</t>
  </si>
  <si>
    <t>STOP</t>
  </si>
  <si>
    <t>Area section [m]</t>
  </si>
  <si>
    <t>Channel Dimensions</t>
  </si>
  <si>
    <t>Width  [m]</t>
  </si>
  <si>
    <r>
      <t>ΔP=(f Lρu</t>
    </r>
    <r>
      <rPr>
        <vertAlign val="superscript"/>
        <sz val="12"/>
        <rFont val="Arial"/>
        <family val="2"/>
      </rPr>
      <t xml:space="preserve">2) </t>
    </r>
    <r>
      <rPr>
        <sz val="12"/>
        <rFont val="Arial"/>
        <family val="2"/>
      </rPr>
      <t>/(2D</t>
    </r>
    <r>
      <rPr>
        <vertAlign val="subscript"/>
        <sz val="12"/>
        <rFont val="Arial"/>
        <family val="2"/>
      </rPr>
      <t>h</t>
    </r>
    <r>
      <rPr>
        <sz val="12"/>
        <rFont val="Arial"/>
        <family val="2"/>
      </rPr>
      <t>)</t>
    </r>
  </si>
  <si>
    <t>Depth [m]</t>
  </si>
  <si>
    <r>
      <t>f= (8τ)/(ρu</t>
    </r>
    <r>
      <rPr>
        <vertAlign val="superscript"/>
        <sz val="12"/>
        <rFont val="Arial"/>
        <family val="2"/>
      </rPr>
      <t>2</t>
    </r>
    <r>
      <rPr>
        <sz val="12"/>
        <rFont val="Arial"/>
        <family val="2"/>
      </rPr>
      <t>)</t>
    </r>
  </si>
  <si>
    <t>Darcy friction factor</t>
  </si>
  <si>
    <r>
      <t>D</t>
    </r>
    <r>
      <rPr>
        <vertAlign val="subscript"/>
        <sz val="12"/>
        <rFont val="Arial"/>
        <family val="2"/>
      </rPr>
      <t>h</t>
    </r>
    <r>
      <rPr>
        <sz val="12"/>
        <rFont val="Arial"/>
        <family val="2"/>
      </rPr>
      <t xml:space="preserve"> [m]</t>
    </r>
  </si>
  <si>
    <r>
      <t>C</t>
    </r>
    <r>
      <rPr>
        <vertAlign val="subscript"/>
        <sz val="12"/>
        <rFont val="Arial"/>
        <family val="2"/>
      </rPr>
      <t>f</t>
    </r>
    <r>
      <rPr>
        <sz val="12"/>
        <rFont val="Arial"/>
        <family val="2"/>
      </rPr>
      <t>=f/4</t>
    </r>
  </si>
  <si>
    <t>Fanning friction factor</t>
  </si>
  <si>
    <r>
      <t>Kinematic viscosity [m</t>
    </r>
    <r>
      <rPr>
        <vertAlign val="superscript"/>
        <sz val="12"/>
        <rFont val="Arial"/>
        <family val="2"/>
      </rPr>
      <t>2</t>
    </r>
    <r>
      <rPr>
        <sz val="12"/>
        <rFont val="Arial"/>
        <family val="2"/>
      </rPr>
      <t>/s]</t>
    </r>
  </si>
  <si>
    <t>Length streamwise [m]</t>
  </si>
  <si>
    <r>
      <t>1/sqr(f)=-1.8log[(6.9/Re) + ((ε/D</t>
    </r>
    <r>
      <rPr>
        <vertAlign val="subscript"/>
        <sz val="12"/>
        <rFont val="Arial"/>
        <family val="2"/>
      </rPr>
      <t>h</t>
    </r>
    <r>
      <rPr>
        <sz val="12"/>
        <rFont val="Arial"/>
        <family val="2"/>
      </rPr>
      <t>)/3.7)^1.11]</t>
    </r>
  </si>
  <si>
    <t xml:space="preserve">Haaland </t>
  </si>
  <si>
    <t>Density [kg/m3]</t>
  </si>
  <si>
    <t>Absolute viscosity [kg/ms]</t>
  </si>
  <si>
    <t>SEAWATER</t>
  </si>
  <si>
    <t>Temp</t>
  </si>
  <si>
    <t>Visc</t>
  </si>
  <si>
    <t>Density</t>
  </si>
  <si>
    <t>Kin Visc</t>
  </si>
  <si>
    <t>roughness =m</t>
  </si>
  <si>
    <t>(oC)</t>
  </si>
  <si>
    <t>(Kg/ms)</t>
  </si>
  <si>
    <t>(kg/m3)</t>
  </si>
  <si>
    <t>(m2/s)</t>
  </si>
  <si>
    <t>relative roughness</t>
  </si>
  <si>
    <t xml:space="preserve">   </t>
  </si>
  <si>
    <t>L25</t>
  </si>
  <si>
    <t>L30</t>
  </si>
  <si>
    <t>L35</t>
  </si>
  <si>
    <t>L40</t>
  </si>
  <si>
    <t>L45</t>
  </si>
  <si>
    <t>U45</t>
  </si>
  <si>
    <t>U40</t>
  </si>
  <si>
    <t>U35</t>
  </si>
  <si>
    <t>U30</t>
  </si>
  <si>
    <t>U25</t>
  </si>
  <si>
    <t>U50GD</t>
  </si>
  <si>
    <t>L50GD</t>
  </si>
  <si>
    <t>SD</t>
  </si>
  <si>
    <t>Cf (22000Re)</t>
  </si>
  <si>
    <t>avg</t>
  </si>
  <si>
    <t>sd</t>
  </si>
  <si>
    <t>50</t>
  </si>
  <si>
    <t>SUMMARY SHEET - AVGS OF EACH RUN TO GET 1 EF25 P240 CURVE WITH SD</t>
  </si>
  <si>
    <t>SUMMARY SHEET - AVGS OF EACH RUN TO GET 1 MMHSE P80 CURVE WITH SD</t>
  </si>
  <si>
    <t>ΔP(KPa)</t>
  </si>
  <si>
    <t>SUMMARY SHEET - AVGS OF EACH RUN TO GET 1 MMHSE P240 CURVE WITH SD</t>
  </si>
  <si>
    <t>LOSS COEFFICIENT (22000Re)</t>
  </si>
  <si>
    <t>SUMMARY SHEET - AVGS OF EACH RUN TO GET 1 rt EF25 P80 CURVE WITH SD</t>
  </si>
  <si>
    <t xml:space="preserve">ks </t>
  </si>
  <si>
    <t>SUMMARY SHEET - AVGS OF EACH RUN TO GET 1 EF25 P80 CURVE WITH SD</t>
  </si>
  <si>
    <t>Cf (15000Re)</t>
  </si>
  <si>
    <t>SUMMARY SHEET - AVGS OF EACH RUN TO GET 1 P80 sandpaperCURVE WITH SD</t>
  </si>
  <si>
    <t xml:space="preserve">2019 DATA, RUN 1 </t>
  </si>
  <si>
    <t>in the shape data this is listed at elastomer_4_P80</t>
  </si>
  <si>
    <t>Avg. Shape Parameters</t>
  </si>
  <si>
    <t>Perimeter</t>
  </si>
  <si>
    <t>Area</t>
  </si>
  <si>
    <t>Elongation</t>
  </si>
  <si>
    <t xml:space="preserve">Outliers identified by R removed </t>
  </si>
  <si>
    <t xml:space="preserve">Came from P80Rigid_3.csv images, 2019/2020 </t>
  </si>
  <si>
    <t>Came from P80Rigid_1.csv July 2020 data, run 1</t>
  </si>
  <si>
    <t>Came from P80Rigid_2.csv second run from July 2020</t>
  </si>
  <si>
    <t>LOADING CYCLE VALUES</t>
  </si>
  <si>
    <t>LOADING CYCLE ONLY</t>
  </si>
  <si>
    <t>Came from averages calculated from the previous data inputted</t>
  </si>
  <si>
    <t>Came from P240Rigid3.csv 2019/2020 run</t>
  </si>
  <si>
    <t>Came from P240Rigid1.csv first run from July 2020</t>
  </si>
  <si>
    <t>Came from P240Rigid2.csv ssecond run from July 2020</t>
  </si>
  <si>
    <t>Averages calculated from previous three slides</t>
  </si>
  <si>
    <t xml:space="preserve">EACH MATERIAL ROUGHNESS MIX HAS 3 REPLICATES </t>
  </si>
  <si>
    <t>Came from SmoothRigid_1.csv first run from July 2020</t>
  </si>
  <si>
    <t>Came from SmoothRigid_2.csv second run from July 2020</t>
  </si>
  <si>
    <t>Came from previous two slides</t>
  </si>
  <si>
    <t>Came from SmoothElastomer_1.csv first run from July 2020</t>
  </si>
  <si>
    <t>Came from SmoothElastomer_2.csv second run from July 2020</t>
  </si>
  <si>
    <t>Came from averages of previous two slides</t>
  </si>
  <si>
    <t>PLOTS OF AVERAGE SHAPE DATA FOR MATERIAL ROUGHNESS MIX AGAINST RE</t>
  </si>
  <si>
    <t>LOADING CYCLE ONLY IS DISPLAYED</t>
  </si>
  <si>
    <t>Came from SmoothControl_2.csv second run from July 2020</t>
  </si>
  <si>
    <t>Came from SmoothControl_1.csv first run from July 2020</t>
  </si>
  <si>
    <t>Came from SmoothControl_3.csv third run from July 2020</t>
  </si>
  <si>
    <t>Outliers identified by R removed - all of replicate 2, HUGE gaps in images</t>
  </si>
  <si>
    <t>Came from P80Elastomer_4.csv 2019/2020 run (first run ever)</t>
  </si>
  <si>
    <t>Came from P80Elastomer_1.csv First July 2020 run (second run ever)</t>
  </si>
  <si>
    <t>Came from P80Elastomer_2.csv Second July 2020 run (third run ever)</t>
  </si>
  <si>
    <t>Average Shape Parameters</t>
  </si>
  <si>
    <t xml:space="preserve">Came from averages of previous 3 slides </t>
  </si>
  <si>
    <t>Came from P80Control1.csv images, first Run July 2020</t>
  </si>
  <si>
    <t>Came from P80Control2.csv images, second Run July 2020</t>
  </si>
  <si>
    <t>Came from P80Control3.csv images, third Run July 2020</t>
  </si>
  <si>
    <t>calculated frm replicate 1 and 2 (OCT images for 3 = lost!)</t>
  </si>
  <si>
    <t>Came from P8240Control1.csv images, first run July 2020</t>
  </si>
  <si>
    <t>CALC CF AT 22,000 RE USING LINE OF BEST FIT ON FIGURE ABOVE (FULL RESULTS, 25HZ INCLUDED</t>
  </si>
  <si>
    <t>CALC CF AT 22,000 RE USING LINE OF BEST FIT ON FIGURE ABOVE using all data including 25hz</t>
  </si>
  <si>
    <t>CALC CF AT 22,000 RE USING LINE OF BEST FIT ON FIGURE ABOVE used all data, including 25hz</t>
  </si>
  <si>
    <t>Cf (40000Re)</t>
  </si>
  <si>
    <t xml:space="preserve">6th May 2021 flow cell run </t>
  </si>
  <si>
    <t>45 (43)</t>
  </si>
  <si>
    <t>40</t>
  </si>
  <si>
    <t>11th May 2021 flow cell run , labelled 4p40 elastomer(2) in pressure drop action files</t>
  </si>
  <si>
    <t xml:space="preserve">10th May 2021 flow cell run </t>
  </si>
  <si>
    <t>10th May 2021 flow cell run, labelled as 1p40 elastomer (2) in pressure drop action files</t>
  </si>
  <si>
    <t>RED</t>
  </si>
  <si>
    <t>ONLY ONE REPLICATE AT THIS STAGE</t>
  </si>
  <si>
    <t>10th May 2021 flow cell run, labelled 1fp40 filler repeat in the pressure drop action files</t>
  </si>
  <si>
    <t>11th May 2021 flow cell run, labelled 2p40 filler in the pressure drop action files</t>
  </si>
  <si>
    <t>11th May 2021 flow cell run, labelled 3p40 filler in the pressure drop action files</t>
  </si>
  <si>
    <t>11th May 2021 flow cell run, labelled 4p40 filler in the pressure drop action files</t>
  </si>
  <si>
    <t>Average values calculated for flow velocit and pressure drop in volts taken from the previous 4 slides on individual replicates</t>
  </si>
  <si>
    <t>red</t>
  </si>
  <si>
    <t>only one replicate</t>
  </si>
  <si>
    <t>AVERAGE CALCULATED FROM 3 REPLICATES: PRESSURE DROP IN VOLTS AND FLUID VELOCITY DATA, panel 1 was excluded</t>
  </si>
  <si>
    <t>hhjbhbhj</t>
  </si>
  <si>
    <t>Came from 31st July 2020 images, P240_1elastomer in ppt.</t>
  </si>
  <si>
    <t>12th August 2020_images connected to P240elastomer_2</t>
  </si>
  <si>
    <t>Came from P240Elastomer_2.csv 12th August 2020 (second run ever)</t>
  </si>
  <si>
    <t>Temperature</t>
  </si>
  <si>
    <t>Saturation Pressure</t>
  </si>
  <si>
    <t>Specific Heat</t>
  </si>
  <si>
    <t>Absolute (Dynamic) Viscosity</t>
  </si>
  <si>
    <t>Kinematic viscosity</t>
  </si>
  <si>
    <t>(°C)</t>
  </si>
  <si>
    <t>(bar)</t>
  </si>
  <si>
    <t>- ρ -</t>
  </si>
  <si>
    <t>- cp -</t>
  </si>
  <si>
    <t xml:space="preserve">- µ - </t>
  </si>
  <si>
    <t>v</t>
  </si>
  <si>
    <t>(kJ/(kg K))</t>
  </si>
  <si>
    <t>(Ns/m2)</t>
  </si>
  <si>
    <t>ν = μ / ρ                                                               (2)</t>
  </si>
  <si>
    <t>where</t>
  </si>
  <si>
    <t>ν = kinematic viscosity (m2/s)</t>
  </si>
  <si>
    <t>μ = absolute or dynamic viscosity (N s/m2)</t>
  </si>
  <si>
    <t>ρ = density (kg/m3)</t>
  </si>
  <si>
    <t>Temperatre (oC)</t>
  </si>
  <si>
    <t>SEAWATER WRONG THIS IS FW</t>
  </si>
  <si>
    <t>Dh [m]</t>
  </si>
  <si>
    <t>Kinematic viscosity [m2/s]</t>
  </si>
  <si>
    <t>https://www.engineeringtoolbox.com/sea-water-properties-d_840.html</t>
  </si>
  <si>
    <t xml:space="preserve">Author: Alexandra Jackson </t>
  </si>
  <si>
    <t>This workbook contains data from pressure drop experiments on a marine biofouling flow cell (AkzoNobel, Gateshead, UK)</t>
  </si>
  <si>
    <t>The flow cell was asymmetric. One side had the test pieces in place and the top plate was a smooth clear acrylic lid to allow for OCT imaging.</t>
  </si>
  <si>
    <t>Material replicas were made of the sources in two materials: an epoxy filler and a PDMS-based elastomer</t>
  </si>
  <si>
    <t xml:space="preserve">Both sources and material replicas were exposed to a cycle on the flow cell and data were compared. Each repeat has its own worksheet and is labelled as 1, 2, 3 with a sheet for the calculated averages also. The average data was used for the Cf vs Re plot. </t>
  </si>
  <si>
    <t xml:space="preserve">On each worksheet the shape data (elongation, perimeter and area) has also been included where available. The name of the corresponding image files and dates are indicated. </t>
  </si>
  <si>
    <t>Flow cycle:</t>
  </si>
  <si>
    <t xml:space="preserve">The flow cycle involved a step wise change in flow velocity determined by a change in pump setting. The load cycle ranged from 25 Hz to 50 Hz in steps of 5 Hz and the unloading cycle was the opposite. An unloading cycle was only achieved for some test runs. The elastomer tended to detach from the base plate of the flow cell at high flow velocity. </t>
  </si>
  <si>
    <t>Calculating average pressure drop for each step in the flow cycle:</t>
  </si>
  <si>
    <t xml:space="preserve">The mean pressure drop value at each step (determined by Hz) was calculated by hand from raw pressure drop files. Pressure drop was collected over the enter flow cycle, meaning for one step there were hundreds of measurements. 1) First, the transition point was identified. This is the point at which the pump setting was changed, causing a jump in flow velocity; 2) From the transition time to the next step, go back 15 seconds and then take the previous 20 seconds as your pressure drop measurements for the average for that step. This ensures that the pressure had stabilised in the flow cell at that step. </t>
  </si>
  <si>
    <t>Linearisation of Pressure drop and flow velocity ^2:</t>
  </si>
  <si>
    <t xml:space="preserve">No images </t>
  </si>
  <si>
    <t>No Images</t>
  </si>
  <si>
    <t>&lt; input desire Re</t>
  </si>
  <si>
    <t>UL50Gd</t>
  </si>
  <si>
    <t>UL45</t>
  </si>
  <si>
    <t>UL40</t>
  </si>
  <si>
    <t>UL35</t>
  </si>
  <si>
    <t>UL30</t>
  </si>
  <si>
    <t>UL25</t>
  </si>
  <si>
    <t>&lt; insert Re number</t>
  </si>
  <si>
    <t xml:space="preserve">12th August B, second run on that day, </t>
  </si>
  <si>
    <t>Panels 1 and 2</t>
  </si>
  <si>
    <t xml:space="preserve">On each worksheet the pressure drop and flow velcoity^2 has been plotted for the loading cycle. The slope of this line was used in calculations in the accompanying workbook OE_AverageCfvsAverageSa.  </t>
  </si>
  <si>
    <t>13th March 2021</t>
  </si>
  <si>
    <t>Data collected: December 2019 - August 2021</t>
  </si>
  <si>
    <t>Sources included sandpaper at P40, P80 and P240 grit numbers, and a smooth PVC panel</t>
  </si>
  <si>
    <t xml:space="preserve">Four roughness' were investigated: P40 (very coarse grit), P80 (coarse grit), P240 (fine grit) and smooth. </t>
  </si>
  <si>
    <t>Rigid data - combining filler (EF25 and sandpapers/PVC)</t>
  </si>
  <si>
    <t>smooth</t>
  </si>
  <si>
    <t>PVC Re</t>
  </si>
  <si>
    <t>PVC Cf</t>
  </si>
  <si>
    <t>EF25 Re</t>
  </si>
  <si>
    <t>EF25 Cf</t>
  </si>
  <si>
    <t>avg Re</t>
  </si>
  <si>
    <t>Avg Cf</t>
  </si>
  <si>
    <t>P240</t>
  </si>
  <si>
    <t>SP Re</t>
  </si>
  <si>
    <t>SP Cf</t>
  </si>
  <si>
    <t>P80</t>
  </si>
  <si>
    <t>P40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</si>
</sst>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E+00"/>
    <numFmt numFmtId="165" formatCode="0.000"/>
    <numFmt numFmtId="166" formatCode="0.0"/>
    <numFmt numFmtId="167" formatCode="0.00000"/>
  </numFmts>
  <fonts count="13" x14ac:knownFonts="1">
    <font>
      <sz val="12"/>
      <name val="Arial"/>
    </font>
    <font>
      <sz val="11"/>
      <color theme="1"/>
      <name val="Calibri"/>
      <family val="2"/>
      <scheme val="minor"/>
    </font>
    <font>
      <sz val="10"/>
      <color theme="1"/>
      <name val="Arial"/>
      <family val="2"/>
    </font>
    <font>
      <sz val="12"/>
      <name val="Arial"/>
      <family val="2"/>
    </font>
    <font>
      <vertAlign val="superscript"/>
      <sz val="12"/>
      <name val="Arial"/>
      <family val="2"/>
    </font>
    <font>
      <sz val="12"/>
      <name val="Calibri"/>
      <family val="2"/>
    </font>
    <font>
      <vertAlign val="subscript"/>
      <sz val="12"/>
      <name val="Arial"/>
      <family val="2"/>
    </font>
    <font>
      <b/>
      <sz val="12"/>
      <name val="Arial"/>
      <family val="2"/>
    </font>
    <font>
      <sz val="9"/>
      <name val="Times New Roman"/>
      <family val="1"/>
    </font>
    <font>
      <sz val="12"/>
      <color rgb="FFFF0000"/>
      <name val="Arial"/>
      <family val="2"/>
    </font>
    <font>
      <b/>
      <sz val="12"/>
      <color rgb="FFFF0000"/>
      <name val="Arial"/>
      <family val="2"/>
    </font>
    <font>
      <sz val="12"/>
      <name val="Times New Roman"/>
      <family val="1"/>
    </font>
    <font>
      <b/>
      <sz val="12"/>
      <name val="Times New Roman"/>
      <family val="1"/>
    </font>
  </fonts>
  <fills count="6">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alignment vertical="top"/>
    </xf>
    <xf numFmtId="0" fontId="2" fillId="0" borderId="0"/>
    <xf numFmtId="0" fontId="1" fillId="0" borderId="0"/>
  </cellStyleXfs>
  <cellXfs count="157">
    <xf numFmtId="0" fontId="0" fillId="0" borderId="0" xfId="0">
      <alignment vertical="top"/>
    </xf>
    <xf numFmtId="0" fontId="3" fillId="0" borderId="0" xfId="0" applyFont="1" applyAlignment="1"/>
    <xf numFmtId="0" fontId="0" fillId="0" borderId="0" xfId="0" applyAlignment="1"/>
    <xf numFmtId="164" fontId="0" fillId="0" borderId="0" xfId="0" applyNumberFormat="1" applyAlignment="1"/>
    <xf numFmtId="165" fontId="0" fillId="0" borderId="0" xfId="0" applyNumberFormat="1" applyAlignment="1"/>
    <xf numFmtId="165" fontId="0" fillId="0" borderId="0" xfId="0" applyNumberFormat="1" applyFill="1" applyAlignment="1"/>
    <xf numFmtId="0" fontId="0" fillId="2" borderId="0" xfId="0" applyFill="1" applyAlignment="1">
      <alignment horizontal="center"/>
    </xf>
    <xf numFmtId="0" fontId="0" fillId="0" borderId="0" xfId="0" applyFill="1" applyAlignment="1">
      <alignment horizontal="center"/>
    </xf>
    <xf numFmtId="0" fontId="0" fillId="0" borderId="1" xfId="0" applyFill="1" applyBorder="1" applyAlignment="1"/>
    <xf numFmtId="0" fontId="3" fillId="0" borderId="2" xfId="0" applyFont="1" applyFill="1" applyBorder="1" applyAlignment="1">
      <alignment horizontal="center"/>
    </xf>
    <xf numFmtId="49" fontId="3" fillId="0" borderId="2" xfId="0" applyNumberFormat="1" applyFont="1" applyFill="1" applyBorder="1" applyAlignment="1"/>
    <xf numFmtId="164" fontId="3" fillId="0" borderId="2" xfId="0" applyNumberFormat="1" applyFont="1" applyFill="1" applyBorder="1" applyAlignment="1">
      <alignment horizontal="center"/>
    </xf>
    <xf numFmtId="166" fontId="3" fillId="0" borderId="2" xfId="0" applyNumberFormat="1" applyFont="1" applyFill="1" applyBorder="1" applyAlignment="1"/>
    <xf numFmtId="165" fontId="3" fillId="0" borderId="2" xfId="0" applyNumberFormat="1" applyFont="1" applyFill="1" applyBorder="1" applyAlignment="1"/>
    <xf numFmtId="165" fontId="3" fillId="0" borderId="0" xfId="0" applyNumberFormat="1" applyFont="1" applyFill="1" applyBorder="1" applyAlignment="1"/>
    <xf numFmtId="165" fontId="7" fillId="0" borderId="0" xfId="0" applyNumberFormat="1" applyFont="1" applyAlignment="1"/>
    <xf numFmtId="167" fontId="7" fillId="0" borderId="0" xfId="0" applyNumberFormat="1" applyFont="1" applyAlignment="1"/>
    <xf numFmtId="49" fontId="0" fillId="0" borderId="0" xfId="0" applyNumberFormat="1" applyFill="1" applyBorder="1" applyAlignment="1"/>
    <xf numFmtId="1" fontId="0" fillId="0" borderId="0" xfId="0" applyNumberFormat="1" applyAlignment="1">
      <alignment horizontal="center"/>
    </xf>
    <xf numFmtId="2" fontId="0" fillId="0" borderId="0" xfId="0" applyNumberFormat="1" applyAlignment="1"/>
    <xf numFmtId="2" fontId="0" fillId="0" borderId="0" xfId="0" applyNumberFormat="1" applyAlignment="1">
      <alignment horizontal="center"/>
    </xf>
    <xf numFmtId="1" fontId="0" fillId="0" borderId="0" xfId="0" applyNumberFormat="1" applyAlignment="1"/>
    <xf numFmtId="165" fontId="3" fillId="0" borderId="0" xfId="0" applyNumberFormat="1" applyFont="1" applyAlignment="1"/>
    <xf numFmtId="167" fontId="3" fillId="0" borderId="0" xfId="0" applyNumberFormat="1" applyFont="1" applyAlignment="1"/>
    <xf numFmtId="49" fontId="3" fillId="0" borderId="0" xfId="0" applyNumberFormat="1" applyFont="1" applyFill="1" applyBorder="1" applyAlignment="1"/>
    <xf numFmtId="2" fontId="7" fillId="0" borderId="0" xfId="0" applyNumberFormat="1" applyFont="1" applyAlignment="1"/>
    <xf numFmtId="49" fontId="3" fillId="0" borderId="0" xfId="0" applyNumberFormat="1" applyFont="1" applyAlignment="1"/>
    <xf numFmtId="0" fontId="3" fillId="2" borderId="2" xfId="0" applyFont="1" applyFill="1" applyBorder="1" applyAlignment="1"/>
    <xf numFmtId="0" fontId="0" fillId="2" borderId="2" xfId="0" applyFill="1" applyBorder="1" applyAlignment="1"/>
    <xf numFmtId="0" fontId="0" fillId="0" borderId="0" xfId="0" applyFill="1" applyBorder="1" applyAlignment="1">
      <alignment horizontal="center"/>
    </xf>
    <xf numFmtId="2" fontId="0" fillId="0" borderId="0" xfId="0" applyNumberFormat="1" applyFill="1" applyBorder="1" applyAlignment="1">
      <alignment horizontal="center"/>
    </xf>
    <xf numFmtId="11" fontId="0" fillId="0" borderId="0" xfId="0" applyNumberFormat="1" applyFill="1" applyAlignment="1"/>
    <xf numFmtId="0" fontId="0" fillId="0" borderId="0" xfId="0" applyFill="1" applyAlignment="1"/>
    <xf numFmtId="1" fontId="0" fillId="0" borderId="0" xfId="0" applyNumberFormat="1" applyFill="1" applyBorder="1" applyAlignment="1">
      <alignment horizontal="center"/>
    </xf>
    <xf numFmtId="2" fontId="0" fillId="0" borderId="0" xfId="0" applyNumberFormat="1" applyFill="1" applyAlignment="1">
      <alignment horizontal="center"/>
    </xf>
    <xf numFmtId="0" fontId="3" fillId="0" borderId="0" xfId="0" applyFont="1" applyFill="1" applyBorder="1" applyAlignment="1">
      <alignment horizontal="center"/>
    </xf>
    <xf numFmtId="0" fontId="3" fillId="3" borderId="0" xfId="0" applyFont="1" applyFill="1" applyAlignment="1"/>
    <xf numFmtId="0" fontId="0" fillId="3" borderId="0" xfId="0" applyFill="1" applyAlignment="1"/>
    <xf numFmtId="0" fontId="0" fillId="3" borderId="0" xfId="0" applyFill="1" applyAlignment="1">
      <alignment horizontal="right"/>
    </xf>
    <xf numFmtId="11" fontId="0" fillId="3" borderId="0" xfId="0" applyNumberFormat="1" applyFill="1" applyAlignment="1"/>
    <xf numFmtId="11" fontId="0" fillId="0" borderId="0" xfId="0" applyNumberFormat="1" applyAlignment="1"/>
    <xf numFmtId="164" fontId="3" fillId="0" borderId="0" xfId="0" applyNumberFormat="1" applyFont="1" applyAlignment="1"/>
    <xf numFmtId="0" fontId="2" fillId="0" borderId="0" xfId="1"/>
    <xf numFmtId="0" fontId="0" fillId="0" borderId="0" xfId="0" applyNumberFormat="1" applyAlignment="1"/>
    <xf numFmtId="0" fontId="0" fillId="2" borderId="0" xfId="0" applyFill="1" applyAlignment="1">
      <alignment horizontal="center"/>
    </xf>
    <xf numFmtId="0" fontId="0" fillId="2" borderId="0" xfId="0" applyFill="1" applyAlignment="1">
      <alignment horizontal="center"/>
    </xf>
    <xf numFmtId="0" fontId="0" fillId="2" borderId="0" xfId="0" applyFill="1" applyAlignment="1">
      <alignment horizontal="center"/>
    </xf>
    <xf numFmtId="0" fontId="0" fillId="2" borderId="0" xfId="0" applyFill="1" applyAlignment="1">
      <alignment horizontal="center"/>
    </xf>
    <xf numFmtId="0" fontId="0" fillId="2" borderId="0" xfId="0" applyFill="1" applyAlignment="1">
      <alignment horizontal="center"/>
    </xf>
    <xf numFmtId="49" fontId="3" fillId="0" borderId="0" xfId="0" applyNumberFormat="1" applyFont="1" applyAlignment="1">
      <alignment horizontal="right"/>
    </xf>
    <xf numFmtId="0" fontId="0" fillId="0" borderId="0" xfId="0" applyFill="1" applyBorder="1" applyAlignment="1"/>
    <xf numFmtId="0" fontId="0" fillId="2" borderId="0" xfId="0" applyFill="1" applyAlignment="1">
      <alignment horizontal="center"/>
    </xf>
    <xf numFmtId="0" fontId="3" fillId="0" borderId="0" xfId="0" applyFont="1">
      <alignment vertical="top"/>
    </xf>
    <xf numFmtId="0" fontId="8" fillId="0" borderId="0" xfId="0" applyFont="1">
      <alignment vertical="top"/>
    </xf>
    <xf numFmtId="167" fontId="0" fillId="0" borderId="0" xfId="0" applyNumberFormat="1" applyAlignment="1"/>
    <xf numFmtId="2" fontId="0" fillId="4" borderId="0" xfId="0" applyNumberFormat="1" applyFill="1" applyAlignment="1"/>
    <xf numFmtId="164" fontId="0" fillId="4" borderId="0" xfId="0" applyNumberFormat="1" applyFill="1" applyAlignment="1"/>
    <xf numFmtId="0" fontId="0" fillId="4" borderId="0" xfId="0" applyFill="1" applyAlignment="1"/>
    <xf numFmtId="0" fontId="0" fillId="2" borderId="0" xfId="0" applyFill="1" applyAlignment="1">
      <alignment horizontal="center"/>
    </xf>
    <xf numFmtId="0" fontId="0" fillId="0" borderId="0" xfId="0" applyNumberFormat="1" applyAlignment="1">
      <alignment horizontal="center"/>
    </xf>
    <xf numFmtId="0" fontId="0" fillId="2" borderId="0" xfId="0" applyFill="1" applyAlignment="1">
      <alignment horizontal="center"/>
    </xf>
    <xf numFmtId="2" fontId="3" fillId="0" borderId="0" xfId="0" applyNumberFormat="1" applyFont="1" applyAlignment="1"/>
    <xf numFmtId="0" fontId="0" fillId="2" borderId="0" xfId="0" applyFill="1" applyAlignment="1">
      <alignment horizontal="center"/>
    </xf>
    <xf numFmtId="0" fontId="0" fillId="2" borderId="0" xfId="0" applyFill="1" applyAlignment="1">
      <alignment horizontal="center"/>
    </xf>
    <xf numFmtId="0" fontId="0" fillId="2" borderId="0" xfId="0" applyFill="1" applyAlignment="1">
      <alignment horizontal="center"/>
    </xf>
    <xf numFmtId="0" fontId="0" fillId="2" borderId="0" xfId="0" applyFill="1" applyAlignment="1">
      <alignment horizontal="center"/>
    </xf>
    <xf numFmtId="0" fontId="0" fillId="2" borderId="0" xfId="0" applyFill="1" applyAlignment="1">
      <alignment horizontal="center"/>
    </xf>
    <xf numFmtId="0" fontId="7" fillId="0" borderId="0" xfId="0" applyFont="1" applyAlignment="1"/>
    <xf numFmtId="0" fontId="0" fillId="0" borderId="3" xfId="0" applyBorder="1" applyAlignment="1"/>
    <xf numFmtId="0" fontId="3" fillId="0" borderId="3" xfId="0" applyFont="1" applyBorder="1" applyAlignment="1"/>
    <xf numFmtId="2" fontId="7" fillId="0" borderId="3" xfId="0" applyNumberFormat="1" applyFont="1" applyBorder="1" applyAlignment="1"/>
    <xf numFmtId="165" fontId="0" fillId="0" borderId="3" xfId="0" applyNumberFormat="1" applyBorder="1" applyAlignment="1"/>
    <xf numFmtId="0" fontId="0" fillId="0" borderId="4" xfId="0" applyBorder="1" applyAlignment="1"/>
    <xf numFmtId="2" fontId="7" fillId="0" borderId="4" xfId="0" applyNumberFormat="1" applyFont="1" applyBorder="1" applyAlignment="1"/>
    <xf numFmtId="165" fontId="0" fillId="0" borderId="4" xfId="0" applyNumberFormat="1" applyBorder="1" applyAlignment="1"/>
    <xf numFmtId="0" fontId="7" fillId="0" borderId="3" xfId="0" applyFont="1" applyBorder="1" applyAlignment="1"/>
    <xf numFmtId="0" fontId="7" fillId="0" borderId="4" xfId="0" applyFont="1" applyBorder="1" applyAlignment="1"/>
    <xf numFmtId="0" fontId="7" fillId="0" borderId="0" xfId="0" applyFont="1" applyBorder="1" applyAlignment="1">
      <alignment horizontal="center"/>
    </xf>
    <xf numFmtId="2" fontId="3" fillId="0" borderId="3" xfId="0" applyNumberFormat="1" applyFont="1" applyBorder="1" applyAlignment="1"/>
    <xf numFmtId="2" fontId="3" fillId="0" borderId="4" xfId="0" applyNumberFormat="1" applyFont="1" applyBorder="1" applyAlignment="1"/>
    <xf numFmtId="0" fontId="0" fillId="0" borderId="0" xfId="0" applyBorder="1" applyAlignment="1"/>
    <xf numFmtId="0" fontId="7" fillId="0" borderId="0" xfId="0" applyFont="1" applyBorder="1" applyAlignment="1"/>
    <xf numFmtId="2" fontId="3" fillId="0" borderId="0" xfId="0" applyNumberFormat="1" applyFont="1" applyBorder="1" applyAlignment="1"/>
    <xf numFmtId="2" fontId="7" fillId="0" borderId="0" xfId="0" applyNumberFormat="1" applyFont="1" applyBorder="1" applyAlignment="1"/>
    <xf numFmtId="165" fontId="0" fillId="0" borderId="0" xfId="0" applyNumberFormat="1" applyBorder="1" applyAlignment="1"/>
    <xf numFmtId="11" fontId="0" fillId="0" borderId="3" xfId="0" applyNumberFormat="1" applyBorder="1" applyAlignment="1"/>
    <xf numFmtId="0" fontId="0" fillId="0" borderId="3" xfId="0" applyNumberFormat="1" applyBorder="1" applyAlignment="1"/>
    <xf numFmtId="11" fontId="0" fillId="0" borderId="4" xfId="0" applyNumberFormat="1" applyBorder="1" applyAlignment="1"/>
    <xf numFmtId="0" fontId="0" fillId="0" borderId="4" xfId="0" applyNumberFormat="1" applyBorder="1" applyAlignment="1"/>
    <xf numFmtId="165" fontId="3" fillId="0" borderId="0" xfId="0" applyNumberFormat="1" applyFont="1" applyFill="1" applyAlignment="1"/>
    <xf numFmtId="0" fontId="9" fillId="0" borderId="0" xfId="0" applyNumberFormat="1" applyFont="1" applyAlignment="1"/>
    <xf numFmtId="0" fontId="9" fillId="0" borderId="4" xfId="0" applyNumberFormat="1" applyFont="1" applyBorder="1" applyAlignment="1"/>
    <xf numFmtId="0" fontId="3" fillId="0" borderId="0" xfId="0" applyNumberFormat="1" applyFont="1" applyAlignment="1"/>
    <xf numFmtId="0" fontId="9" fillId="0" borderId="3" xfId="0" applyFont="1" applyBorder="1" applyAlignment="1"/>
    <xf numFmtId="165" fontId="3" fillId="0" borderId="3" xfId="0" applyNumberFormat="1" applyFont="1" applyBorder="1" applyAlignment="1"/>
    <xf numFmtId="165" fontId="9" fillId="0" borderId="3" xfId="0" applyNumberFormat="1" applyFont="1" applyBorder="1" applyAlignment="1"/>
    <xf numFmtId="165" fontId="9" fillId="0" borderId="0" xfId="0" applyNumberFormat="1" applyFont="1" applyAlignment="1"/>
    <xf numFmtId="165" fontId="9" fillId="0" borderId="4" xfId="0" applyNumberFormat="1" applyFont="1" applyBorder="1" applyAlignment="1"/>
    <xf numFmtId="0" fontId="9" fillId="0" borderId="0" xfId="0" applyFont="1" applyAlignment="1"/>
    <xf numFmtId="0" fontId="3" fillId="0" borderId="4" xfId="0" applyFont="1" applyBorder="1" applyAlignment="1"/>
    <xf numFmtId="165" fontId="3" fillId="0" borderId="4" xfId="0" applyNumberFormat="1" applyFont="1" applyBorder="1" applyAlignment="1"/>
    <xf numFmtId="0" fontId="9" fillId="0" borderId="4" xfId="0" applyFont="1" applyBorder="1" applyAlignment="1"/>
    <xf numFmtId="2" fontId="9" fillId="0" borderId="3" xfId="0" applyNumberFormat="1" applyFont="1" applyBorder="1" applyAlignment="1"/>
    <xf numFmtId="2" fontId="9" fillId="0" borderId="0" xfId="0" applyNumberFormat="1" applyFont="1" applyAlignment="1"/>
    <xf numFmtId="2" fontId="9" fillId="0" borderId="4" xfId="0" applyNumberFormat="1" applyFont="1" applyBorder="1" applyAlignment="1"/>
    <xf numFmtId="0" fontId="0" fillId="5" borderId="0" xfId="0" applyFill="1">
      <alignment vertical="top"/>
    </xf>
    <xf numFmtId="0" fontId="9" fillId="5" borderId="0" xfId="0" applyFont="1" applyFill="1">
      <alignment vertical="top"/>
    </xf>
    <xf numFmtId="0" fontId="3" fillId="5" borderId="0" xfId="0" applyFont="1" applyFill="1">
      <alignment vertical="top"/>
    </xf>
    <xf numFmtId="0" fontId="0" fillId="2" borderId="0" xfId="0" applyFill="1" applyAlignment="1">
      <alignment horizontal="center"/>
    </xf>
    <xf numFmtId="0" fontId="0" fillId="2" borderId="0" xfId="0" applyFill="1" applyAlignment="1">
      <alignment horizontal="center"/>
    </xf>
    <xf numFmtId="164" fontId="9" fillId="0" borderId="0" xfId="0" applyNumberFormat="1" applyFont="1" applyAlignment="1"/>
    <xf numFmtId="2" fontId="9" fillId="0" borderId="0" xfId="0" applyNumberFormat="1" applyFont="1" applyAlignment="1">
      <alignment horizontal="center"/>
    </xf>
    <xf numFmtId="1" fontId="9" fillId="0" borderId="0" xfId="0" applyNumberFormat="1" applyFont="1" applyAlignment="1"/>
    <xf numFmtId="167" fontId="9" fillId="0" borderId="0" xfId="0" applyNumberFormat="1" applyFont="1" applyAlignment="1"/>
    <xf numFmtId="2" fontId="10" fillId="0" borderId="0" xfId="0" applyNumberFormat="1" applyFont="1" applyAlignment="1"/>
    <xf numFmtId="0" fontId="0" fillId="2" borderId="0" xfId="0" applyFill="1" applyAlignment="1">
      <alignment horizontal="center"/>
    </xf>
    <xf numFmtId="0" fontId="0" fillId="2" borderId="0" xfId="0" applyFill="1" applyAlignment="1">
      <alignment horizontal="center"/>
    </xf>
    <xf numFmtId="0" fontId="0" fillId="2" borderId="0" xfId="0" applyFill="1" applyAlignment="1">
      <alignment horizontal="center"/>
    </xf>
    <xf numFmtId="0" fontId="0" fillId="0" borderId="0" xfId="0" applyAlignment="1">
      <alignment horizontal="center"/>
    </xf>
    <xf numFmtId="0" fontId="9" fillId="3" borderId="0" xfId="0" applyFont="1" applyFill="1" applyAlignment="1"/>
    <xf numFmtId="0" fontId="9" fillId="3" borderId="0" xfId="0" applyFont="1" applyFill="1" applyAlignment="1">
      <alignment horizontal="right"/>
    </xf>
    <xf numFmtId="11" fontId="9" fillId="3" borderId="0" xfId="0" applyNumberFormat="1" applyFont="1" applyFill="1" applyAlignment="1"/>
    <xf numFmtId="0" fontId="9" fillId="0" borderId="0" xfId="0" applyFont="1" applyFill="1" applyAlignment="1"/>
    <xf numFmtId="167" fontId="0" fillId="0" borderId="0" xfId="0" applyNumberFormat="1" applyFill="1" applyAlignment="1"/>
    <xf numFmtId="0" fontId="0" fillId="2" borderId="0" xfId="0" applyFill="1" applyAlignment="1">
      <alignment horizontal="center"/>
    </xf>
    <xf numFmtId="0" fontId="0" fillId="0" borderId="0" xfId="0" applyAlignment="1">
      <alignment horizontal="center"/>
    </xf>
    <xf numFmtId="15" fontId="11" fillId="0" borderId="0" xfId="0" applyNumberFormat="1" applyFont="1" applyAlignment="1">
      <alignment horizontal="left" vertical="top" wrapText="1"/>
    </xf>
    <xf numFmtId="0" fontId="11" fillId="0" borderId="0" xfId="0" applyFont="1">
      <alignment vertical="top"/>
    </xf>
    <xf numFmtId="0" fontId="11" fillId="0" borderId="0" xfId="0" applyFont="1" applyAlignment="1">
      <alignment vertical="top" wrapText="1"/>
    </xf>
    <xf numFmtId="0" fontId="12" fillId="0" borderId="0" xfId="0" applyFont="1" applyAlignment="1">
      <alignment vertical="top" wrapText="1"/>
    </xf>
    <xf numFmtId="164" fontId="0" fillId="0" borderId="0" xfId="0" applyNumberFormat="1" applyFill="1" applyAlignment="1"/>
    <xf numFmtId="1" fontId="0" fillId="0" borderId="0" xfId="0" applyNumberFormat="1" applyFill="1" applyAlignment="1">
      <alignment horizontal="center"/>
    </xf>
    <xf numFmtId="2" fontId="0" fillId="0" borderId="0" xfId="0" applyNumberFormat="1" applyFill="1" applyAlignment="1"/>
    <xf numFmtId="1" fontId="0" fillId="0" borderId="0" xfId="0" applyNumberFormat="1" applyFill="1" applyAlignment="1"/>
    <xf numFmtId="0" fontId="0" fillId="0" borderId="0" xfId="0" applyNumberFormat="1" applyFill="1" applyAlignment="1"/>
    <xf numFmtId="2" fontId="3" fillId="0" borderId="0" xfId="0" applyNumberFormat="1" applyFont="1" applyFill="1" applyAlignment="1"/>
    <xf numFmtId="0" fontId="3" fillId="0" borderId="0" xfId="0" applyFont="1" applyFill="1" applyAlignment="1"/>
    <xf numFmtId="164" fontId="3" fillId="0" borderId="0" xfId="0" applyNumberFormat="1" applyFont="1" applyFill="1" applyAlignment="1"/>
    <xf numFmtId="0" fontId="0" fillId="0" borderId="1" xfId="0" applyBorder="1" applyAlignment="1"/>
    <xf numFmtId="0" fontId="3" fillId="0" borderId="2" xfId="0" applyFont="1" applyBorder="1" applyAlignment="1">
      <alignment horizontal="center"/>
    </xf>
    <xf numFmtId="49" fontId="3" fillId="0" borderId="2" xfId="0" applyNumberFormat="1" applyFont="1" applyBorder="1" applyAlignment="1"/>
    <xf numFmtId="164" fontId="3" fillId="0" borderId="2" xfId="0" applyNumberFormat="1" applyFont="1" applyBorder="1" applyAlignment="1">
      <alignment horizontal="center"/>
    </xf>
    <xf numFmtId="166" fontId="3" fillId="0" borderId="2" xfId="0" applyNumberFormat="1" applyFont="1" applyBorder="1" applyAlignment="1"/>
    <xf numFmtId="165" fontId="3" fillId="0" borderId="2" xfId="0" applyNumberFormat="1" applyFont="1" applyBorder="1" applyAlignment="1"/>
    <xf numFmtId="49" fontId="0" fillId="0" borderId="0" xfId="0" applyNumberFormat="1" applyAlignment="1"/>
    <xf numFmtId="0" fontId="3" fillId="0" borderId="0" xfId="0" applyFont="1" applyAlignment="1">
      <alignment horizontal="center"/>
    </xf>
    <xf numFmtId="0" fontId="9" fillId="2" borderId="0" xfId="0" applyFont="1" applyFill="1" applyAlignment="1"/>
    <xf numFmtId="0" fontId="0" fillId="0" borderId="3" xfId="0" applyBorder="1">
      <alignment vertical="top"/>
    </xf>
    <xf numFmtId="0" fontId="7" fillId="0" borderId="3" xfId="0" applyFont="1" applyBorder="1">
      <alignment vertical="top"/>
    </xf>
    <xf numFmtId="0" fontId="7" fillId="0" borderId="0" xfId="0" applyFont="1">
      <alignment vertical="top"/>
    </xf>
    <xf numFmtId="0" fontId="0" fillId="2" borderId="0" xfId="0" applyFill="1" applyAlignment="1">
      <alignment horizontal="center"/>
    </xf>
    <xf numFmtId="0" fontId="0" fillId="0" borderId="0" xfId="0" applyAlignment="1">
      <alignment horizontal="center"/>
    </xf>
    <xf numFmtId="0" fontId="7" fillId="0" borderId="3" xfId="0" applyFont="1" applyBorder="1" applyAlignment="1">
      <alignment horizontal="center"/>
    </xf>
    <xf numFmtId="0" fontId="7" fillId="0" borderId="0" xfId="0" applyFont="1" applyBorder="1" applyAlignment="1">
      <alignment horizontal="center"/>
    </xf>
    <xf numFmtId="0" fontId="7" fillId="0" borderId="4" xfId="0" applyFont="1" applyBorder="1" applyAlignment="1">
      <alignment horizontal="center"/>
    </xf>
    <xf numFmtId="0" fontId="7" fillId="0" borderId="0" xfId="0" applyFont="1" applyAlignment="1">
      <alignment horizontal="center" vertical="top"/>
    </xf>
    <xf numFmtId="0" fontId="7" fillId="0" borderId="4" xfId="0" applyFont="1" applyBorder="1" applyAlignment="1">
      <alignment horizontal="center" vertical="top"/>
    </xf>
  </cellXfs>
  <cellStyles count="3">
    <cellStyle name="Normal" xfId="0" builtinId="0"/>
    <cellStyle name="Normal 2" xfId="1" xr:uid="{7B7D812A-0B30-4560-9BC9-B5660C14C959}"/>
    <cellStyle name="Normal 3" xfId="2" xr:uid="{25645AD9-7736-4C51-8625-CF4E0C3759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externalLink" Target="externalLinks/externalLink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1.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2.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3.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4.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5.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6.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07.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08.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09.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11.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2.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3.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14.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5.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16.xml.rels><?xml version="1.0" encoding="UTF-8" standalone="yes"?>
<Relationships xmlns="http://schemas.openxmlformats.org/package/2006/relationships"><Relationship Id="rId2" Type="http://schemas.microsoft.com/office/2011/relationships/chartColorStyle" Target="colors116.xml"/><Relationship Id="rId1" Type="http://schemas.microsoft.com/office/2011/relationships/chartStyle" Target="style116.xml"/></Relationships>
</file>

<file path=xl/charts/_rels/chart117.xml.rels><?xml version="1.0" encoding="UTF-8" standalone="yes"?>
<Relationships xmlns="http://schemas.openxmlformats.org/package/2006/relationships"><Relationship Id="rId2" Type="http://schemas.microsoft.com/office/2011/relationships/chartColorStyle" Target="colors117.xml"/><Relationship Id="rId1" Type="http://schemas.microsoft.com/office/2011/relationships/chartStyle" Target="style117.xml"/></Relationships>
</file>

<file path=xl/charts/_rels/chart118.xml.rels><?xml version="1.0" encoding="UTF-8" standalone="yes"?>
<Relationships xmlns="http://schemas.openxmlformats.org/package/2006/relationships"><Relationship Id="rId2" Type="http://schemas.microsoft.com/office/2011/relationships/chartColorStyle" Target="colors118.xml"/><Relationship Id="rId1" Type="http://schemas.microsoft.com/office/2011/relationships/chartStyle" Target="style118.xml"/></Relationships>
</file>

<file path=xl/charts/_rels/chart119.xml.rels><?xml version="1.0" encoding="UTF-8" standalone="yes"?>
<Relationships xmlns="http://schemas.openxmlformats.org/package/2006/relationships"><Relationship Id="rId2" Type="http://schemas.microsoft.com/office/2011/relationships/chartColorStyle" Target="colors119.xml"/><Relationship Id="rId1" Type="http://schemas.microsoft.com/office/2011/relationships/chartStyle" Target="style119.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0.xml.rels><?xml version="1.0" encoding="UTF-8" standalone="yes"?>
<Relationships xmlns="http://schemas.openxmlformats.org/package/2006/relationships"><Relationship Id="rId2" Type="http://schemas.microsoft.com/office/2011/relationships/chartColorStyle" Target="colors120.xml"/><Relationship Id="rId1" Type="http://schemas.microsoft.com/office/2011/relationships/chartStyle" Target="style120.xml"/></Relationships>
</file>

<file path=xl/charts/_rels/chart121.xml.rels><?xml version="1.0" encoding="UTF-8" standalone="yes"?>
<Relationships xmlns="http://schemas.openxmlformats.org/package/2006/relationships"><Relationship Id="rId2" Type="http://schemas.microsoft.com/office/2011/relationships/chartColorStyle" Target="colors121.xml"/><Relationship Id="rId1" Type="http://schemas.microsoft.com/office/2011/relationships/chartStyle" Target="style121.xml"/></Relationships>
</file>

<file path=xl/charts/_rels/chart122.xml.rels><?xml version="1.0" encoding="UTF-8" standalone="yes"?>
<Relationships xmlns="http://schemas.openxmlformats.org/package/2006/relationships"><Relationship Id="rId2" Type="http://schemas.microsoft.com/office/2011/relationships/chartColorStyle" Target="colors122.xml"/><Relationship Id="rId1" Type="http://schemas.microsoft.com/office/2011/relationships/chartStyle" Target="style122.xml"/></Relationships>
</file>

<file path=xl/charts/_rels/chart123.xml.rels><?xml version="1.0" encoding="UTF-8" standalone="yes"?>
<Relationships xmlns="http://schemas.openxmlformats.org/package/2006/relationships"><Relationship Id="rId2" Type="http://schemas.microsoft.com/office/2011/relationships/chartColorStyle" Target="colors123.xml"/><Relationship Id="rId1" Type="http://schemas.microsoft.com/office/2011/relationships/chartStyle" Target="style123.xml"/></Relationships>
</file>

<file path=xl/charts/_rels/chart124.xml.rels><?xml version="1.0" encoding="UTF-8" standalone="yes"?>
<Relationships xmlns="http://schemas.openxmlformats.org/package/2006/relationships"><Relationship Id="rId2" Type="http://schemas.microsoft.com/office/2011/relationships/chartColorStyle" Target="colors124.xml"/><Relationship Id="rId1" Type="http://schemas.microsoft.com/office/2011/relationships/chartStyle" Target="style124.xml"/></Relationships>
</file>

<file path=xl/charts/_rels/chart125.xml.rels><?xml version="1.0" encoding="UTF-8" standalone="yes"?>
<Relationships xmlns="http://schemas.openxmlformats.org/package/2006/relationships"><Relationship Id="rId2" Type="http://schemas.microsoft.com/office/2011/relationships/chartColorStyle" Target="colors125.xml"/><Relationship Id="rId1" Type="http://schemas.microsoft.com/office/2011/relationships/chartStyle" Target="style125.xml"/></Relationships>
</file>

<file path=xl/charts/_rels/chart126.xml.rels><?xml version="1.0" encoding="UTF-8" standalone="yes"?>
<Relationships xmlns="http://schemas.openxmlformats.org/package/2006/relationships"><Relationship Id="rId2" Type="http://schemas.microsoft.com/office/2011/relationships/chartColorStyle" Target="colors126.xml"/><Relationship Id="rId1" Type="http://schemas.microsoft.com/office/2011/relationships/chartStyle" Target="style126.xml"/></Relationships>
</file>

<file path=xl/charts/_rels/chart127.xml.rels><?xml version="1.0" encoding="UTF-8" standalone="yes"?>
<Relationships xmlns="http://schemas.openxmlformats.org/package/2006/relationships"><Relationship Id="rId2" Type="http://schemas.microsoft.com/office/2011/relationships/chartColorStyle" Target="colors127.xml"/><Relationship Id="rId1" Type="http://schemas.microsoft.com/office/2011/relationships/chartStyle" Target="style127.xml"/></Relationships>
</file>

<file path=xl/charts/_rels/chart128.xml.rels><?xml version="1.0" encoding="UTF-8" standalone="yes"?>
<Relationships xmlns="http://schemas.openxmlformats.org/package/2006/relationships"><Relationship Id="rId2" Type="http://schemas.microsoft.com/office/2011/relationships/chartColorStyle" Target="colors128.xml"/><Relationship Id="rId1" Type="http://schemas.microsoft.com/office/2011/relationships/chartStyle" Target="style128.xml"/></Relationships>
</file>

<file path=xl/charts/_rels/chart129.xml.rels><?xml version="1.0" encoding="UTF-8" standalone="yes"?>
<Relationships xmlns="http://schemas.openxmlformats.org/package/2006/relationships"><Relationship Id="rId2" Type="http://schemas.microsoft.com/office/2011/relationships/chartColorStyle" Target="colors129.xml"/><Relationship Id="rId1" Type="http://schemas.microsoft.com/office/2011/relationships/chartStyle" Target="style129.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30.xml.rels><?xml version="1.0" encoding="UTF-8" standalone="yes"?>
<Relationships xmlns="http://schemas.openxmlformats.org/package/2006/relationships"><Relationship Id="rId2" Type="http://schemas.microsoft.com/office/2011/relationships/chartColorStyle" Target="colors130.xml"/><Relationship Id="rId1" Type="http://schemas.microsoft.com/office/2011/relationships/chartStyle" Target="style130.xml"/></Relationships>
</file>

<file path=xl/charts/_rels/chart131.xml.rels><?xml version="1.0" encoding="UTF-8" standalone="yes"?>
<Relationships xmlns="http://schemas.openxmlformats.org/package/2006/relationships"><Relationship Id="rId2" Type="http://schemas.microsoft.com/office/2011/relationships/chartColorStyle" Target="colors131.xml"/><Relationship Id="rId1" Type="http://schemas.microsoft.com/office/2011/relationships/chartStyle" Target="style131.xml"/></Relationships>
</file>

<file path=xl/charts/_rels/chart132.xml.rels><?xml version="1.0" encoding="UTF-8" standalone="yes"?>
<Relationships xmlns="http://schemas.openxmlformats.org/package/2006/relationships"><Relationship Id="rId2" Type="http://schemas.microsoft.com/office/2011/relationships/chartColorStyle" Target="colors132.xml"/><Relationship Id="rId1" Type="http://schemas.microsoft.com/office/2011/relationships/chartStyle" Target="style132.xml"/></Relationships>
</file>

<file path=xl/charts/_rels/chart133.xml.rels><?xml version="1.0" encoding="UTF-8" standalone="yes"?>
<Relationships xmlns="http://schemas.openxmlformats.org/package/2006/relationships"><Relationship Id="rId2" Type="http://schemas.microsoft.com/office/2011/relationships/chartColorStyle" Target="colors133.xml"/><Relationship Id="rId1" Type="http://schemas.microsoft.com/office/2011/relationships/chartStyle" Target="style133.xml"/></Relationships>
</file>

<file path=xl/charts/_rels/chart134.xml.rels><?xml version="1.0" encoding="UTF-8" standalone="yes"?>
<Relationships xmlns="http://schemas.openxmlformats.org/package/2006/relationships"><Relationship Id="rId2" Type="http://schemas.microsoft.com/office/2011/relationships/chartColorStyle" Target="colors134.xml"/><Relationship Id="rId1" Type="http://schemas.microsoft.com/office/2011/relationships/chartStyle" Target="style134.xml"/></Relationships>
</file>

<file path=xl/charts/_rels/chart135.xml.rels><?xml version="1.0" encoding="UTF-8" standalone="yes"?>
<Relationships xmlns="http://schemas.openxmlformats.org/package/2006/relationships"><Relationship Id="rId2" Type="http://schemas.microsoft.com/office/2011/relationships/chartColorStyle" Target="colors135.xml"/><Relationship Id="rId1" Type="http://schemas.microsoft.com/office/2011/relationships/chartStyle" Target="style135.xml"/></Relationships>
</file>

<file path=xl/charts/_rels/chart136.xml.rels><?xml version="1.0" encoding="UTF-8" standalone="yes"?>
<Relationships xmlns="http://schemas.openxmlformats.org/package/2006/relationships"><Relationship Id="rId2" Type="http://schemas.microsoft.com/office/2011/relationships/chartColorStyle" Target="colors136.xml"/><Relationship Id="rId1" Type="http://schemas.microsoft.com/office/2011/relationships/chartStyle" Target="style136.xml"/></Relationships>
</file>

<file path=xl/charts/_rels/chart137.xml.rels><?xml version="1.0" encoding="UTF-8" standalone="yes"?>
<Relationships xmlns="http://schemas.openxmlformats.org/package/2006/relationships"><Relationship Id="rId2" Type="http://schemas.microsoft.com/office/2011/relationships/chartColorStyle" Target="colors137.xml"/><Relationship Id="rId1" Type="http://schemas.microsoft.com/office/2011/relationships/chartStyle" Target="style137.xml"/></Relationships>
</file>

<file path=xl/charts/_rels/chart138.xml.rels><?xml version="1.0" encoding="UTF-8" standalone="yes"?>
<Relationships xmlns="http://schemas.openxmlformats.org/package/2006/relationships"><Relationship Id="rId2" Type="http://schemas.microsoft.com/office/2011/relationships/chartColorStyle" Target="colors138.xml"/><Relationship Id="rId1" Type="http://schemas.microsoft.com/office/2011/relationships/chartStyle" Target="style138.xml"/></Relationships>
</file>

<file path=xl/charts/_rels/chart139.xml.rels><?xml version="1.0" encoding="UTF-8" standalone="yes"?>
<Relationships xmlns="http://schemas.openxmlformats.org/package/2006/relationships"><Relationship Id="rId2" Type="http://schemas.microsoft.com/office/2011/relationships/chartColorStyle" Target="colors139.xml"/><Relationship Id="rId1" Type="http://schemas.microsoft.com/office/2011/relationships/chartStyle" Target="style139.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40.xml.rels><?xml version="1.0" encoding="UTF-8" standalone="yes"?>
<Relationships xmlns="http://schemas.openxmlformats.org/package/2006/relationships"><Relationship Id="rId2" Type="http://schemas.microsoft.com/office/2011/relationships/chartColorStyle" Target="colors140.xml"/><Relationship Id="rId1" Type="http://schemas.microsoft.com/office/2011/relationships/chartStyle" Target="style140.xml"/></Relationships>
</file>

<file path=xl/charts/_rels/chart141.xml.rels><?xml version="1.0" encoding="UTF-8" standalone="yes"?>
<Relationships xmlns="http://schemas.openxmlformats.org/package/2006/relationships"><Relationship Id="rId2" Type="http://schemas.microsoft.com/office/2011/relationships/chartColorStyle" Target="colors141.xml"/><Relationship Id="rId1" Type="http://schemas.microsoft.com/office/2011/relationships/chartStyle" Target="style141.xml"/></Relationships>
</file>

<file path=xl/charts/_rels/chart142.xml.rels><?xml version="1.0" encoding="UTF-8" standalone="yes"?>
<Relationships xmlns="http://schemas.openxmlformats.org/package/2006/relationships"><Relationship Id="rId2" Type="http://schemas.microsoft.com/office/2011/relationships/chartColorStyle" Target="colors142.xml"/><Relationship Id="rId1" Type="http://schemas.microsoft.com/office/2011/relationships/chartStyle" Target="style142.xml"/></Relationships>
</file>

<file path=xl/charts/_rels/chart143.xml.rels><?xml version="1.0" encoding="UTF-8" standalone="yes"?>
<Relationships xmlns="http://schemas.openxmlformats.org/package/2006/relationships"><Relationship Id="rId2" Type="http://schemas.microsoft.com/office/2011/relationships/chartColorStyle" Target="colors143.xml"/><Relationship Id="rId1" Type="http://schemas.microsoft.com/office/2011/relationships/chartStyle" Target="style143.xml"/></Relationships>
</file>

<file path=xl/charts/_rels/chart144.xml.rels><?xml version="1.0" encoding="UTF-8" standalone="yes"?>
<Relationships xmlns="http://schemas.openxmlformats.org/package/2006/relationships"><Relationship Id="rId2" Type="http://schemas.microsoft.com/office/2011/relationships/chartColorStyle" Target="colors144.xml"/><Relationship Id="rId1" Type="http://schemas.microsoft.com/office/2011/relationships/chartStyle" Target="style144.xml"/></Relationships>
</file>

<file path=xl/charts/_rels/chart145.xml.rels><?xml version="1.0" encoding="UTF-8" standalone="yes"?>
<Relationships xmlns="http://schemas.openxmlformats.org/package/2006/relationships"><Relationship Id="rId2" Type="http://schemas.microsoft.com/office/2011/relationships/chartColorStyle" Target="colors145.xml"/><Relationship Id="rId1" Type="http://schemas.microsoft.com/office/2011/relationships/chartStyle" Target="style145.xml"/></Relationships>
</file>

<file path=xl/charts/_rels/chart146.xml.rels><?xml version="1.0" encoding="UTF-8" standalone="yes"?>
<Relationships xmlns="http://schemas.openxmlformats.org/package/2006/relationships"><Relationship Id="rId2" Type="http://schemas.microsoft.com/office/2011/relationships/chartColorStyle" Target="colors146.xml"/><Relationship Id="rId1" Type="http://schemas.microsoft.com/office/2011/relationships/chartStyle" Target="style146.xml"/></Relationships>
</file>

<file path=xl/charts/_rels/chart147.xml.rels><?xml version="1.0" encoding="UTF-8" standalone="yes"?>
<Relationships xmlns="http://schemas.openxmlformats.org/package/2006/relationships"><Relationship Id="rId2" Type="http://schemas.microsoft.com/office/2011/relationships/chartColorStyle" Target="colors147.xml"/><Relationship Id="rId1" Type="http://schemas.microsoft.com/office/2011/relationships/chartStyle" Target="style147.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7.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_rels/chart98.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99.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5032109169069633E-2"/>
          <c:y val="1.945556828191353E-2"/>
          <c:w val="0.76928707979858169"/>
          <c:h val="0.91315095555561809"/>
        </c:manualLayout>
      </c:layout>
      <c:scatterChart>
        <c:scatterStyle val="lineMarker"/>
        <c:varyColors val="0"/>
        <c:ser>
          <c:idx val="9"/>
          <c:order val="0"/>
          <c:tx>
            <c:v>PVC Smooth</c:v>
          </c:tx>
          <c:spPr>
            <a:ln w="25400" cap="rnd">
              <a:noFill/>
              <a:round/>
            </a:ln>
            <a:effectLst/>
          </c:spPr>
          <c:marker>
            <c:symbol val="triangle"/>
            <c:size val="5"/>
            <c:spPr>
              <a:solidFill>
                <a:schemeClr val="dk1">
                  <a:tint val="75000"/>
                </a:schemeClr>
              </a:solidFill>
              <a:ln w="9525">
                <a:solidFill>
                  <a:schemeClr val="dk1">
                    <a:tint val="75000"/>
                  </a:schemeClr>
                </a:solidFill>
              </a:ln>
              <a:effectLst/>
            </c:spPr>
          </c:marker>
          <c:trendline>
            <c:spPr>
              <a:ln w="19050" cap="rnd">
                <a:solidFill>
                  <a:schemeClr val="dk1">
                    <a:tint val="75000"/>
                  </a:schemeClr>
                </a:solidFill>
                <a:prstDash val="sysDot"/>
              </a:ln>
              <a:effectLst/>
            </c:spPr>
            <c:trendlineType val="power"/>
            <c:dispRSqr val="0"/>
            <c:dispEq val="0"/>
          </c:trendline>
          <c:xVal>
            <c:numRef>
              <c:f>'PLAIN PANEL AVGS'!$L$8:$L$12</c:f>
              <c:numCache>
                <c:formatCode>0.0E+00</c:formatCode>
                <c:ptCount val="5"/>
                <c:pt idx="0">
                  <c:v>25760.602619047622</c:v>
                </c:pt>
                <c:pt idx="1">
                  <c:v>31861.797976190479</c:v>
                </c:pt>
                <c:pt idx="2">
                  <c:v>39318.814523809524</c:v>
                </c:pt>
                <c:pt idx="3">
                  <c:v>45871.950277777782</c:v>
                </c:pt>
                <c:pt idx="4">
                  <c:v>52651.056230158734</c:v>
                </c:pt>
              </c:numCache>
            </c:numRef>
          </c:xVal>
          <c:yVal>
            <c:numRef>
              <c:f>'PLAIN PANEL AVGS'!$O$8:$O$12</c:f>
              <c:numCache>
                <c:formatCode>0.000</c:formatCode>
                <c:ptCount val="5"/>
                <c:pt idx="0">
                  <c:v>7.8546251968259328E-3</c:v>
                </c:pt>
                <c:pt idx="1">
                  <c:v>7.7415345859246877E-3</c:v>
                </c:pt>
                <c:pt idx="2">
                  <c:v>7.4983871209308439E-3</c:v>
                </c:pt>
                <c:pt idx="3">
                  <c:v>7.3294546557718847E-3</c:v>
                </c:pt>
                <c:pt idx="4">
                  <c:v>6.8598709171845025E-3</c:v>
                </c:pt>
              </c:numCache>
            </c:numRef>
          </c:yVal>
          <c:smooth val="0"/>
          <c:extLst>
            <c:ext xmlns:c16="http://schemas.microsoft.com/office/drawing/2014/chart" uri="{C3380CC4-5D6E-409C-BE32-E72D297353CC}">
              <c16:uniqueId val="{00000011-6994-4272-B4B3-D6C90CEB0A40}"/>
            </c:ext>
          </c:extLst>
        </c:ser>
        <c:ser>
          <c:idx val="12"/>
          <c:order val="1"/>
          <c:tx>
            <c:v>Sandpaper P240</c:v>
          </c:tx>
          <c:spPr>
            <a:ln w="25400" cap="rnd">
              <a:noFill/>
              <a:round/>
            </a:ln>
            <a:effectLst/>
          </c:spPr>
          <c:marker>
            <c:symbol val="square"/>
            <c:size val="5"/>
            <c:spPr>
              <a:solidFill>
                <a:schemeClr val="dk1">
                  <a:tint val="60000"/>
                </a:schemeClr>
              </a:solidFill>
              <a:ln w="9525">
                <a:solidFill>
                  <a:schemeClr val="dk1">
                    <a:tint val="60000"/>
                  </a:schemeClr>
                </a:solidFill>
              </a:ln>
              <a:effectLst/>
            </c:spPr>
          </c:marker>
          <c:trendline>
            <c:spPr>
              <a:ln w="19050" cap="rnd">
                <a:solidFill>
                  <a:schemeClr val="dk1">
                    <a:tint val="60000"/>
                  </a:schemeClr>
                </a:solidFill>
                <a:prstDash val="sysDot"/>
              </a:ln>
              <a:effectLst/>
            </c:spPr>
            <c:trendlineType val="power"/>
            <c:dispRSqr val="0"/>
            <c:dispEq val="0"/>
          </c:trendline>
          <c:xVal>
            <c:numRef>
              <c:f>'P240 sandpaper AVGS'!$L$8:$L$12</c:f>
              <c:numCache>
                <c:formatCode>0.0E+00</c:formatCode>
                <c:ptCount val="5"/>
                <c:pt idx="0">
                  <c:v>25621.499581445525</c:v>
                </c:pt>
                <c:pt idx="1">
                  <c:v>32985.762934196326</c:v>
                </c:pt>
                <c:pt idx="2">
                  <c:v>40810.292746494059</c:v>
                </c:pt>
                <c:pt idx="3">
                  <c:v>46793.756720604091</c:v>
                </c:pt>
                <c:pt idx="4">
                  <c:v>53544.331460625675</c:v>
                </c:pt>
              </c:numCache>
            </c:numRef>
          </c:xVal>
          <c:yVal>
            <c:numRef>
              <c:f>'P240 sandpaper AVGS'!$O$8:$O$12</c:f>
              <c:numCache>
                <c:formatCode>0.000</c:formatCode>
                <c:ptCount val="5"/>
                <c:pt idx="0">
                  <c:v>7.3768057355044943E-3</c:v>
                </c:pt>
                <c:pt idx="1">
                  <c:v>7.6045020159216286E-3</c:v>
                </c:pt>
                <c:pt idx="2">
                  <c:v>7.6823078619262667E-3</c:v>
                </c:pt>
                <c:pt idx="3">
                  <c:v>7.8456121937399356E-3</c:v>
                </c:pt>
                <c:pt idx="4">
                  <c:v>7.5893012677243025E-3</c:v>
                </c:pt>
              </c:numCache>
            </c:numRef>
          </c:yVal>
          <c:smooth val="0"/>
          <c:extLst>
            <c:ext xmlns:c16="http://schemas.microsoft.com/office/drawing/2014/chart" uri="{C3380CC4-5D6E-409C-BE32-E72D297353CC}">
              <c16:uniqueId val="{00000019-6994-4272-B4B3-D6C90CEB0A40}"/>
            </c:ext>
          </c:extLst>
        </c:ser>
        <c:ser>
          <c:idx val="4"/>
          <c:order val="2"/>
          <c:tx>
            <c:v>Sandpaper P80</c:v>
          </c:tx>
          <c:spPr>
            <a:ln w="25400" cap="rnd">
              <a:noFill/>
              <a:round/>
            </a:ln>
            <a:effectLst/>
          </c:spPr>
          <c:marker>
            <c:symbol val="circle"/>
            <c:size val="5"/>
            <c:spPr>
              <a:solidFill>
                <a:schemeClr val="tx1">
                  <a:lumMod val="50000"/>
                  <a:lumOff val="50000"/>
                </a:schemeClr>
              </a:solidFill>
              <a:ln w="9525">
                <a:solidFill>
                  <a:schemeClr val="tx1">
                    <a:lumMod val="50000"/>
                    <a:lumOff val="50000"/>
                  </a:schemeClr>
                </a:solidFill>
              </a:ln>
              <a:effectLst/>
            </c:spPr>
          </c:marker>
          <c:trendline>
            <c:spPr>
              <a:ln w="19050" cap="rnd">
                <a:solidFill>
                  <a:schemeClr val="tx1">
                    <a:lumMod val="50000"/>
                    <a:lumOff val="50000"/>
                  </a:schemeClr>
                </a:solidFill>
                <a:prstDash val="sysDot"/>
              </a:ln>
              <a:effectLst/>
            </c:spPr>
            <c:trendlineType val="power"/>
            <c:dispRSqr val="0"/>
            <c:dispEq val="0"/>
          </c:trendline>
          <c:xVal>
            <c:numRef>
              <c:f>'P80 sandpaper AVGS'!$M$8:$M$12</c:f>
              <c:numCache>
                <c:formatCode>0.0E+00</c:formatCode>
                <c:ptCount val="5"/>
                <c:pt idx="0">
                  <c:v>24348.721922902492</c:v>
                </c:pt>
                <c:pt idx="1">
                  <c:v>32249.962811791389</c:v>
                </c:pt>
                <c:pt idx="2">
                  <c:v>39183.704816326535</c:v>
                </c:pt>
                <c:pt idx="3">
                  <c:v>45956.197006802722</c:v>
                </c:pt>
                <c:pt idx="4">
                  <c:v>52486.814476190477</c:v>
                </c:pt>
              </c:numCache>
            </c:numRef>
          </c:xVal>
          <c:yVal>
            <c:numRef>
              <c:f>'P80 sandpaper AVGS'!$P$8:$P$12</c:f>
              <c:numCache>
                <c:formatCode>0.000</c:formatCode>
                <c:ptCount val="5"/>
                <c:pt idx="0">
                  <c:v>1.2423623758869535E-2</c:v>
                </c:pt>
                <c:pt idx="1">
                  <c:v>1.256604135507821E-2</c:v>
                </c:pt>
                <c:pt idx="2">
                  <c:v>1.2688328481080976E-2</c:v>
                </c:pt>
                <c:pt idx="3">
                  <c:v>1.2236436649216273E-2</c:v>
                </c:pt>
                <c:pt idx="4">
                  <c:v>9.7314080436958095E-3</c:v>
                </c:pt>
              </c:numCache>
            </c:numRef>
          </c:yVal>
          <c:smooth val="0"/>
          <c:extLst>
            <c:ext xmlns:c16="http://schemas.microsoft.com/office/drawing/2014/chart" uri="{C3380CC4-5D6E-409C-BE32-E72D297353CC}">
              <c16:uniqueId val="{00000018-6994-4272-B4B3-D6C90CEB0A40}"/>
            </c:ext>
          </c:extLst>
        </c:ser>
        <c:ser>
          <c:idx val="11"/>
          <c:order val="3"/>
          <c:tx>
            <c:v>Filler Smooth</c:v>
          </c:tx>
          <c:spPr>
            <a:ln w="25400" cap="rnd">
              <a:noFill/>
              <a:round/>
            </a:ln>
            <a:effectLst/>
          </c:spPr>
          <c:marker>
            <c:symbol val="triangle"/>
            <c:size val="5"/>
            <c:spPr>
              <a:solidFill>
                <a:schemeClr val="tx1">
                  <a:lumMod val="65000"/>
                  <a:lumOff val="35000"/>
                </a:schemeClr>
              </a:solidFill>
              <a:ln w="9525">
                <a:solidFill>
                  <a:schemeClr val="tx1">
                    <a:lumMod val="75000"/>
                    <a:lumOff val="25000"/>
                  </a:schemeClr>
                </a:solidFill>
              </a:ln>
              <a:effectLst/>
            </c:spPr>
          </c:marker>
          <c:trendline>
            <c:spPr>
              <a:ln w="19050" cap="rnd">
                <a:solidFill>
                  <a:schemeClr val="tx1">
                    <a:lumMod val="75000"/>
                    <a:lumOff val="25000"/>
                  </a:schemeClr>
                </a:solidFill>
                <a:prstDash val="sysDot"/>
              </a:ln>
              <a:effectLst/>
            </c:spPr>
            <c:trendlineType val="power"/>
            <c:dispRSqr val="0"/>
            <c:dispEq val="0"/>
          </c:trendline>
          <c:xVal>
            <c:numRef>
              <c:f>'EF25 flat AVGS'!$L$8:$L$12</c:f>
              <c:numCache>
                <c:formatCode>0.0E+00</c:formatCode>
                <c:ptCount val="5"/>
                <c:pt idx="0">
                  <c:v>24203.089020070838</c:v>
                </c:pt>
                <c:pt idx="1">
                  <c:v>30702.066627312077</c:v>
                </c:pt>
                <c:pt idx="2">
                  <c:v>38097.454939000396</c:v>
                </c:pt>
                <c:pt idx="3">
                  <c:v>45268.740574576928</c:v>
                </c:pt>
                <c:pt idx="4">
                  <c:v>51991.820857929946</c:v>
                </c:pt>
              </c:numCache>
            </c:numRef>
          </c:xVal>
          <c:yVal>
            <c:numRef>
              <c:f>'EF25 flat AVGS'!$O$8:$O$12</c:f>
              <c:numCache>
                <c:formatCode>0.000</c:formatCode>
                <c:ptCount val="5"/>
                <c:pt idx="0">
                  <c:v>7.4776636450018044E-3</c:v>
                </c:pt>
                <c:pt idx="1">
                  <c:v>7.2481135651974752E-3</c:v>
                </c:pt>
                <c:pt idx="2">
                  <c:v>6.9796046123650861E-3</c:v>
                </c:pt>
                <c:pt idx="3">
                  <c:v>6.7045059317648341E-3</c:v>
                </c:pt>
                <c:pt idx="4">
                  <c:v>6.4920279779756753E-3</c:v>
                </c:pt>
              </c:numCache>
            </c:numRef>
          </c:yVal>
          <c:smooth val="0"/>
          <c:extLst>
            <c:ext xmlns:c16="http://schemas.microsoft.com/office/drawing/2014/chart" uri="{C3380CC4-5D6E-409C-BE32-E72D297353CC}">
              <c16:uniqueId val="{00000015-6994-4272-B4B3-D6C90CEB0A40}"/>
            </c:ext>
          </c:extLst>
        </c:ser>
        <c:ser>
          <c:idx val="6"/>
          <c:order val="4"/>
          <c:tx>
            <c:v>Filler P240</c:v>
          </c:tx>
          <c:spPr>
            <a:ln w="25400" cap="rnd">
              <a:noFill/>
              <a:round/>
            </a:ln>
            <a:effectLst/>
          </c:spPr>
          <c:marker>
            <c:symbol val="square"/>
            <c:size val="5"/>
            <c:spPr>
              <a:solidFill>
                <a:schemeClr val="dk1">
                  <a:tint val="80000"/>
                </a:schemeClr>
              </a:solidFill>
              <a:ln w="9525">
                <a:solidFill>
                  <a:schemeClr val="dk1">
                    <a:tint val="80000"/>
                  </a:schemeClr>
                </a:solidFill>
              </a:ln>
              <a:effectLst/>
            </c:spPr>
          </c:marker>
          <c:trendline>
            <c:spPr>
              <a:ln w="19050" cap="rnd">
                <a:solidFill>
                  <a:schemeClr val="dk1">
                    <a:tint val="80000"/>
                  </a:schemeClr>
                </a:solidFill>
                <a:prstDash val="sysDot"/>
              </a:ln>
              <a:effectLst/>
            </c:spPr>
            <c:trendlineType val="power"/>
            <c:dispRSqr val="0"/>
            <c:dispEq val="0"/>
          </c:trendline>
          <c:xVal>
            <c:numRef>
              <c:f>'EF25 P240 AVGS'!$L$8:$L$12</c:f>
              <c:numCache>
                <c:formatCode>0.0E+00</c:formatCode>
                <c:ptCount val="5"/>
                <c:pt idx="0">
                  <c:v>24959.435551948049</c:v>
                </c:pt>
                <c:pt idx="1">
                  <c:v>32971.106222943716</c:v>
                </c:pt>
                <c:pt idx="2">
                  <c:v>40212.423944805189</c:v>
                </c:pt>
                <c:pt idx="3">
                  <c:v>46837.459307359313</c:v>
                </c:pt>
                <c:pt idx="4">
                  <c:v>51767.718181818185</c:v>
                </c:pt>
              </c:numCache>
            </c:numRef>
          </c:xVal>
          <c:yVal>
            <c:numRef>
              <c:f>'EF25 P240 AVGS'!$O$8:$O$12</c:f>
              <c:numCache>
                <c:formatCode>0.000</c:formatCode>
                <c:ptCount val="5"/>
                <c:pt idx="0">
                  <c:v>8.2918058912631841E-3</c:v>
                </c:pt>
                <c:pt idx="1">
                  <c:v>8.0103373727871859E-3</c:v>
                </c:pt>
                <c:pt idx="2">
                  <c:v>7.8994868078460165E-3</c:v>
                </c:pt>
                <c:pt idx="3">
                  <c:v>7.1540356801380782E-3</c:v>
                </c:pt>
                <c:pt idx="4">
                  <c:v>6.1201523299938771E-3</c:v>
                </c:pt>
              </c:numCache>
            </c:numRef>
          </c:yVal>
          <c:smooth val="0"/>
          <c:extLst>
            <c:ext xmlns:c16="http://schemas.microsoft.com/office/drawing/2014/chart" uri="{C3380CC4-5D6E-409C-BE32-E72D297353CC}">
              <c16:uniqueId val="{0000000B-6994-4272-B4B3-D6C90CEB0A40}"/>
            </c:ext>
          </c:extLst>
        </c:ser>
        <c:ser>
          <c:idx val="3"/>
          <c:order val="5"/>
          <c:tx>
            <c:v>Filler P80</c:v>
          </c:tx>
          <c:spPr>
            <a:ln w="25400" cap="rnd">
              <a:noFill/>
              <a:round/>
            </a:ln>
            <a:effectLst/>
          </c:spPr>
          <c:marker>
            <c:symbol val="circle"/>
            <c:size val="5"/>
            <c:spPr>
              <a:solidFill>
                <a:schemeClr val="dk1">
                  <a:tint val="98500"/>
                </a:schemeClr>
              </a:solidFill>
              <a:ln w="9525">
                <a:solidFill>
                  <a:schemeClr val="dk1">
                    <a:tint val="98500"/>
                  </a:schemeClr>
                </a:solidFill>
              </a:ln>
              <a:effectLst/>
            </c:spPr>
          </c:marker>
          <c:trendline>
            <c:spPr>
              <a:ln w="19050" cap="rnd">
                <a:solidFill>
                  <a:schemeClr val="dk1">
                    <a:tint val="98500"/>
                  </a:schemeClr>
                </a:solidFill>
                <a:prstDash val="sysDot"/>
              </a:ln>
              <a:effectLst/>
            </c:spPr>
            <c:trendlineType val="power"/>
            <c:dispRSqr val="0"/>
            <c:dispEq val="0"/>
          </c:trendline>
          <c:xVal>
            <c:numRef>
              <c:f>'EF25 P80 AVGS'!$M$8:$M$12</c:f>
              <c:numCache>
                <c:formatCode>0.0E+00</c:formatCode>
                <c:ptCount val="5"/>
                <c:pt idx="0">
                  <c:v>23135.899487723014</c:v>
                </c:pt>
                <c:pt idx="1">
                  <c:v>30320.96144043202</c:v>
                </c:pt>
                <c:pt idx="2">
                  <c:v>36500.114719761768</c:v>
                </c:pt>
                <c:pt idx="3">
                  <c:v>43254.072955308235</c:v>
                </c:pt>
                <c:pt idx="4">
                  <c:v>49002.122517475444</c:v>
                </c:pt>
              </c:numCache>
            </c:numRef>
          </c:xVal>
          <c:yVal>
            <c:numRef>
              <c:f>'EF25 P80 AVGS'!$P$8:$P$12</c:f>
              <c:numCache>
                <c:formatCode>0.000</c:formatCode>
                <c:ptCount val="5"/>
                <c:pt idx="0">
                  <c:v>1.1156585428062358E-2</c:v>
                </c:pt>
                <c:pt idx="1">
                  <c:v>1.0682836246979188E-2</c:v>
                </c:pt>
                <c:pt idx="2">
                  <c:v>1.042866723901972E-2</c:v>
                </c:pt>
                <c:pt idx="3">
                  <c:v>9.6013458520381265E-3</c:v>
                </c:pt>
                <c:pt idx="4">
                  <c:v>8.3077964975756102E-3</c:v>
                </c:pt>
              </c:numCache>
            </c:numRef>
          </c:yVal>
          <c:smooth val="0"/>
          <c:extLst>
            <c:ext xmlns:c16="http://schemas.microsoft.com/office/drawing/2014/chart" uri="{C3380CC4-5D6E-409C-BE32-E72D297353CC}">
              <c16:uniqueId val="{00000009-6994-4272-B4B3-D6C90CEB0A40}"/>
            </c:ext>
          </c:extLst>
        </c:ser>
        <c:ser>
          <c:idx val="0"/>
          <c:order val="6"/>
          <c:tx>
            <c:v>Filler P40</c:v>
          </c:tx>
          <c:spPr>
            <a:ln w="25400" cap="rnd">
              <a:noFill/>
              <a:round/>
            </a:ln>
            <a:effectLst/>
          </c:spPr>
          <c:marker>
            <c:symbol val="dash"/>
            <c:size val="5"/>
            <c:spPr>
              <a:solidFill>
                <a:schemeClr val="dk1">
                  <a:tint val="88500"/>
                </a:schemeClr>
              </a:solidFill>
              <a:ln w="9525">
                <a:solidFill>
                  <a:schemeClr val="dk1">
                    <a:tint val="88500"/>
                  </a:schemeClr>
                </a:solidFill>
              </a:ln>
              <a:effectLst/>
            </c:spPr>
          </c:marker>
          <c:xVal>
            <c:numRef>
              <c:f>'EF25 P40 AVGS'!$L$9:$L$13</c:f>
              <c:numCache>
                <c:formatCode>0.0E+00</c:formatCode>
                <c:ptCount val="5"/>
                <c:pt idx="0">
                  <c:v>21722.522169394077</c:v>
                </c:pt>
                <c:pt idx="1">
                  <c:v>27809.02596564942</c:v>
                </c:pt>
                <c:pt idx="2">
                  <c:v>34000.469482529857</c:v>
                </c:pt>
                <c:pt idx="3">
                  <c:v>40017.013465035139</c:v>
                </c:pt>
                <c:pt idx="4">
                  <c:v>44494.441545039066</c:v>
                </c:pt>
              </c:numCache>
            </c:numRef>
          </c:xVal>
          <c:yVal>
            <c:numRef>
              <c:f>'EF25 P40 AVGS'!$O$9:$O$13</c:f>
              <c:numCache>
                <c:formatCode>0.000</c:formatCode>
                <c:ptCount val="5"/>
                <c:pt idx="0">
                  <c:v>1.512538070955566E-2</c:v>
                </c:pt>
                <c:pt idx="1">
                  <c:v>1.5215090833516069E-2</c:v>
                </c:pt>
                <c:pt idx="2">
                  <c:v>1.3945610093808108E-2</c:v>
                </c:pt>
                <c:pt idx="3">
                  <c:v>1.0595984233301277E-2</c:v>
                </c:pt>
                <c:pt idx="4">
                  <c:v>8.6969785125901831E-3</c:v>
                </c:pt>
              </c:numCache>
            </c:numRef>
          </c:yVal>
          <c:smooth val="0"/>
          <c:extLst>
            <c:ext xmlns:c16="http://schemas.microsoft.com/office/drawing/2014/chart" uri="{C3380CC4-5D6E-409C-BE32-E72D297353CC}">
              <c16:uniqueId val="{0000000A-8A42-4A7B-BBAD-28B034B59367}"/>
            </c:ext>
          </c:extLst>
        </c:ser>
        <c:ser>
          <c:idx val="8"/>
          <c:order val="7"/>
          <c:tx>
            <c:v>Elastomer Smooth</c:v>
          </c:tx>
          <c:spPr>
            <a:ln w="25400" cap="rnd">
              <a:noFill/>
              <a:round/>
            </a:ln>
            <a:effectLst/>
          </c:spPr>
          <c:marker>
            <c:symbol val="triangle"/>
            <c:size val="5"/>
            <c:spPr>
              <a:noFill/>
              <a:ln w="9525">
                <a:solidFill>
                  <a:schemeClr val="dk1">
                    <a:tint val="55000"/>
                  </a:schemeClr>
                </a:solidFill>
              </a:ln>
              <a:effectLst/>
            </c:spPr>
          </c:marker>
          <c:trendline>
            <c:spPr>
              <a:ln w="19050" cap="rnd">
                <a:solidFill>
                  <a:schemeClr val="dk1">
                    <a:tint val="55000"/>
                  </a:schemeClr>
                </a:solidFill>
                <a:prstDash val="sysDot"/>
              </a:ln>
              <a:effectLst/>
            </c:spPr>
            <c:trendlineType val="power"/>
            <c:dispRSqr val="0"/>
            <c:dispEq val="0"/>
          </c:trendline>
          <c:xVal>
            <c:numRef>
              <c:f>'MMHSE flat AVG'!$L$8:$L$12</c:f>
              <c:numCache>
                <c:formatCode>0.0E+00</c:formatCode>
                <c:ptCount val="5"/>
                <c:pt idx="0">
                  <c:v>24733.809165172341</c:v>
                </c:pt>
                <c:pt idx="1">
                  <c:v>31541.279577605099</c:v>
                </c:pt>
                <c:pt idx="2">
                  <c:v>38802.581350866705</c:v>
                </c:pt>
                <c:pt idx="3">
                  <c:v>46971.545845786015</c:v>
                </c:pt>
                <c:pt idx="4">
                  <c:v>52871.353536561066</c:v>
                </c:pt>
              </c:numCache>
            </c:numRef>
          </c:xVal>
          <c:yVal>
            <c:numRef>
              <c:f>'MMHSE flat AVG'!$O$8:$O$12</c:f>
              <c:numCache>
                <c:formatCode>0.000</c:formatCode>
                <c:ptCount val="5"/>
                <c:pt idx="0">
                  <c:v>7.9919512554307154E-3</c:v>
                </c:pt>
                <c:pt idx="1">
                  <c:v>7.6143534622810276E-3</c:v>
                </c:pt>
                <c:pt idx="2">
                  <c:v>7.2699028256832353E-3</c:v>
                </c:pt>
                <c:pt idx="3">
                  <c:v>6.8600008124494851E-3</c:v>
                </c:pt>
                <c:pt idx="4">
                  <c:v>6.5583043169987199E-3</c:v>
                </c:pt>
              </c:numCache>
            </c:numRef>
          </c:yVal>
          <c:smooth val="0"/>
          <c:extLst>
            <c:ext xmlns:c16="http://schemas.microsoft.com/office/drawing/2014/chart" uri="{C3380CC4-5D6E-409C-BE32-E72D297353CC}">
              <c16:uniqueId val="{0000000F-6994-4272-B4B3-D6C90CEB0A40}"/>
            </c:ext>
          </c:extLst>
        </c:ser>
        <c:ser>
          <c:idx val="10"/>
          <c:order val="8"/>
          <c:tx>
            <c:v>Elastomer P240</c:v>
          </c:tx>
          <c:spPr>
            <a:ln w="25400" cap="rnd">
              <a:noFill/>
              <a:round/>
            </a:ln>
            <a:effectLst/>
          </c:spPr>
          <c:marker>
            <c:symbol val="square"/>
            <c:size val="5"/>
            <c:spPr>
              <a:noFill/>
              <a:ln w="9525">
                <a:solidFill>
                  <a:schemeClr val="dk1">
                    <a:tint val="98500"/>
                  </a:schemeClr>
                </a:solidFill>
              </a:ln>
              <a:effectLst/>
            </c:spPr>
          </c:marker>
          <c:trendline>
            <c:spPr>
              <a:ln w="19050" cap="rnd">
                <a:solidFill>
                  <a:schemeClr val="dk1">
                    <a:tint val="98500"/>
                  </a:schemeClr>
                </a:solidFill>
                <a:prstDash val="sysDot"/>
              </a:ln>
              <a:effectLst/>
            </c:spPr>
            <c:trendlineType val="power"/>
            <c:dispRSqr val="0"/>
            <c:dispEq val="0"/>
          </c:trendline>
          <c:xVal>
            <c:numRef>
              <c:f>'MMHSE P240 AVG'!$L$8:$L$11</c:f>
              <c:numCache>
                <c:formatCode>0.0E+00</c:formatCode>
                <c:ptCount val="4"/>
                <c:pt idx="0">
                  <c:v>18828.41348329734</c:v>
                </c:pt>
                <c:pt idx="1">
                  <c:v>24891.800876223599</c:v>
                </c:pt>
                <c:pt idx="2">
                  <c:v>31832.783812862872</c:v>
                </c:pt>
                <c:pt idx="3">
                  <c:v>37816.389792724316</c:v>
                </c:pt>
              </c:numCache>
            </c:numRef>
          </c:xVal>
          <c:yVal>
            <c:numRef>
              <c:f>'MMHSE P240 AVG'!$O$8:$O$11</c:f>
              <c:numCache>
                <c:formatCode>0.000</c:formatCode>
                <c:ptCount val="4"/>
                <c:pt idx="0">
                  <c:v>1.438557933187895E-2</c:v>
                </c:pt>
                <c:pt idx="1">
                  <c:v>1.3673141980240184E-2</c:v>
                </c:pt>
                <c:pt idx="2">
                  <c:v>9.9228677402318291E-3</c:v>
                </c:pt>
                <c:pt idx="3">
                  <c:v>1.000637253343376E-2</c:v>
                </c:pt>
              </c:numCache>
            </c:numRef>
          </c:yVal>
          <c:smooth val="0"/>
          <c:extLst>
            <c:ext xmlns:c16="http://schemas.microsoft.com/office/drawing/2014/chart" uri="{C3380CC4-5D6E-409C-BE32-E72D297353CC}">
              <c16:uniqueId val="{00000013-6994-4272-B4B3-D6C90CEB0A40}"/>
            </c:ext>
          </c:extLst>
        </c:ser>
        <c:ser>
          <c:idx val="7"/>
          <c:order val="9"/>
          <c:tx>
            <c:v>Elastomer P80</c:v>
          </c:tx>
          <c:spPr>
            <a:ln w="25400" cap="rnd">
              <a:noFill/>
              <a:round/>
            </a:ln>
            <a:effectLst/>
          </c:spPr>
          <c:marker>
            <c:symbol val="circle"/>
            <c:size val="5"/>
            <c:spPr>
              <a:noFill/>
              <a:ln w="9525">
                <a:solidFill>
                  <a:schemeClr val="dk1">
                    <a:tint val="88500"/>
                  </a:schemeClr>
                </a:solidFill>
              </a:ln>
              <a:effectLst/>
            </c:spPr>
          </c:marker>
          <c:trendline>
            <c:spPr>
              <a:ln w="19050" cap="rnd">
                <a:solidFill>
                  <a:schemeClr val="dk1">
                    <a:tint val="88500"/>
                  </a:schemeClr>
                </a:solidFill>
                <a:prstDash val="sysDot"/>
              </a:ln>
              <a:effectLst/>
            </c:spPr>
            <c:trendlineType val="power"/>
            <c:dispRSqr val="0"/>
            <c:dispEq val="0"/>
          </c:trendline>
          <c:xVal>
            <c:numRef>
              <c:f>'MMHSE P80 AVGS'!$L$8:$L$12</c:f>
              <c:numCache>
                <c:formatCode>0.0E+00</c:formatCode>
                <c:ptCount val="5"/>
                <c:pt idx="0">
                  <c:v>18801.896461659773</c:v>
                </c:pt>
                <c:pt idx="1">
                  <c:v>24835.340848610296</c:v>
                </c:pt>
                <c:pt idx="2">
                  <c:v>30447.8472550759</c:v>
                </c:pt>
                <c:pt idx="3">
                  <c:v>34727.383390005925</c:v>
                </c:pt>
                <c:pt idx="4">
                  <c:v>39568.170165582502</c:v>
                </c:pt>
              </c:numCache>
            </c:numRef>
          </c:xVal>
          <c:yVal>
            <c:numRef>
              <c:f>'MMHSE P80 AVGS'!$O$8:$O$12</c:f>
              <c:numCache>
                <c:formatCode>0.000</c:formatCode>
                <c:ptCount val="5"/>
                <c:pt idx="0">
                  <c:v>1.6904693184688124E-2</c:v>
                </c:pt>
                <c:pt idx="1">
                  <c:v>1.6167390968992418E-2</c:v>
                </c:pt>
                <c:pt idx="2">
                  <c:v>1.5215475539243689E-2</c:v>
                </c:pt>
                <c:pt idx="3">
                  <c:v>9.2263514973087574E-3</c:v>
                </c:pt>
                <c:pt idx="4">
                  <c:v>1.0654202599924757E-2</c:v>
                </c:pt>
              </c:numCache>
            </c:numRef>
          </c:yVal>
          <c:smooth val="0"/>
          <c:extLst>
            <c:ext xmlns:c16="http://schemas.microsoft.com/office/drawing/2014/chart" uri="{C3380CC4-5D6E-409C-BE32-E72D297353CC}">
              <c16:uniqueId val="{0000000D-6994-4272-B4B3-D6C90CEB0A40}"/>
            </c:ext>
          </c:extLst>
        </c:ser>
        <c:ser>
          <c:idx val="1"/>
          <c:order val="10"/>
          <c:tx>
            <c:v>Elastomer P40</c:v>
          </c:tx>
          <c:spPr>
            <a:ln w="25400" cap="rnd">
              <a:noFill/>
              <a:round/>
            </a:ln>
            <a:effectLst/>
          </c:spPr>
          <c:marker>
            <c:symbol val="dash"/>
            <c:size val="5"/>
            <c:spPr>
              <a:noFill/>
              <a:ln w="9525">
                <a:solidFill>
                  <a:schemeClr val="dk1">
                    <a:tint val="55000"/>
                  </a:schemeClr>
                </a:solidFill>
              </a:ln>
              <a:effectLst/>
            </c:spPr>
          </c:marker>
          <c:xVal>
            <c:numRef>
              <c:f>'MMHSE P40 AVGS'!$L$9:$L$13</c:f>
              <c:numCache>
                <c:formatCode>0.0E+00</c:formatCode>
                <c:ptCount val="5"/>
                <c:pt idx="0">
                  <c:v>19770.201514312095</c:v>
                </c:pt>
                <c:pt idx="1">
                  <c:v>25518.983514927677</c:v>
                </c:pt>
                <c:pt idx="2">
                  <c:v>31548.193905817174</c:v>
                </c:pt>
                <c:pt idx="3">
                  <c:v>36736.119125884892</c:v>
                </c:pt>
                <c:pt idx="4">
                  <c:v>44167.471468144046</c:v>
                </c:pt>
              </c:numCache>
            </c:numRef>
          </c:xVal>
          <c:yVal>
            <c:numRef>
              <c:f>'MMHSE P40 AVGS'!$O$9:$O$13</c:f>
              <c:numCache>
                <c:formatCode>0.000</c:formatCode>
                <c:ptCount val="5"/>
                <c:pt idx="0">
                  <c:v>1.5008220187502492E-2</c:v>
                </c:pt>
                <c:pt idx="1">
                  <c:v>1.5006721088056956E-2</c:v>
                </c:pt>
                <c:pt idx="2">
                  <c:v>1.4420842650896113E-2</c:v>
                </c:pt>
                <c:pt idx="3">
                  <c:v>1.2274729939700709E-2</c:v>
                </c:pt>
                <c:pt idx="4">
                  <c:v>7.1106485889659296E-3</c:v>
                </c:pt>
              </c:numCache>
            </c:numRef>
          </c:yVal>
          <c:smooth val="0"/>
          <c:extLst>
            <c:ext xmlns:c16="http://schemas.microsoft.com/office/drawing/2014/chart" uri="{C3380CC4-5D6E-409C-BE32-E72D297353CC}">
              <c16:uniqueId val="{0000000B-8A42-4A7B-BBAD-28B034B59367}"/>
            </c:ext>
          </c:extLst>
        </c:ser>
        <c:dLbls>
          <c:showLegendKey val="0"/>
          <c:showVal val="0"/>
          <c:showCatName val="0"/>
          <c:showSerName val="0"/>
          <c:showPercent val="0"/>
          <c:showBubbleSize val="0"/>
        </c:dLbls>
        <c:axId val="727497488"/>
        <c:axId val="727498144"/>
        <c:extLst/>
      </c:scatterChart>
      <c:valAx>
        <c:axId val="727497488"/>
        <c:scaling>
          <c:orientation val="minMax"/>
          <c:min val="10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727498144"/>
        <c:crosses val="autoZero"/>
        <c:crossBetween val="midCat"/>
      </c:valAx>
      <c:valAx>
        <c:axId val="7274981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Average Fanning Friction Factor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72749748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P240 Rigid Elongation</c:v>
          </c:tx>
          <c:spPr>
            <a:ln w="25400" cap="rnd">
              <a:noFill/>
              <a:round/>
            </a:ln>
            <a:effectLst/>
          </c:spPr>
          <c:marker>
            <c:symbol val="circle"/>
            <c:size val="5"/>
            <c:spPr>
              <a:solidFill>
                <a:schemeClr val="accent1"/>
              </a:solidFill>
              <a:ln w="9525">
                <a:solidFill>
                  <a:schemeClr val="accent1"/>
                </a:solidFill>
              </a:ln>
              <a:effectLst/>
            </c:spPr>
          </c:marker>
          <c:xVal>
            <c:numRef>
              <c:f>'EF25 P240 AVGS'!$L$7:$L$12</c:f>
              <c:numCache>
                <c:formatCode>0.0E+00</c:formatCode>
                <c:ptCount val="6"/>
                <c:pt idx="0">
                  <c:v>17255.906060606056</c:v>
                </c:pt>
                <c:pt idx="1">
                  <c:v>24959.435551948049</c:v>
                </c:pt>
                <c:pt idx="2">
                  <c:v>32971.106222943716</c:v>
                </c:pt>
                <c:pt idx="3">
                  <c:v>40212.423944805189</c:v>
                </c:pt>
                <c:pt idx="4">
                  <c:v>46837.459307359313</c:v>
                </c:pt>
                <c:pt idx="5">
                  <c:v>51767.718181818185</c:v>
                </c:pt>
              </c:numCache>
            </c:numRef>
          </c:xVal>
          <c:yVal>
            <c:numRef>
              <c:f>'EF25 P240 AVGS'!$T$7:$T$12</c:f>
              <c:numCache>
                <c:formatCode>0.00</c:formatCode>
                <c:ptCount val="6"/>
                <c:pt idx="0">
                  <c:v>65.287666666666667</c:v>
                </c:pt>
                <c:pt idx="1">
                  <c:v>64.590333333333334</c:v>
                </c:pt>
                <c:pt idx="2">
                  <c:v>65.329222222222214</c:v>
                </c:pt>
                <c:pt idx="3">
                  <c:v>64.043166666666664</c:v>
                </c:pt>
                <c:pt idx="4">
                  <c:v>64.469333333333338</c:v>
                </c:pt>
                <c:pt idx="5">
                  <c:v>64.34341666666667</c:v>
                </c:pt>
              </c:numCache>
            </c:numRef>
          </c:yVal>
          <c:smooth val="0"/>
          <c:extLst>
            <c:ext xmlns:c16="http://schemas.microsoft.com/office/drawing/2014/chart" uri="{C3380CC4-5D6E-409C-BE32-E72D297353CC}">
              <c16:uniqueId val="{00000000-E6C4-435D-AF2D-708E90C57F23}"/>
            </c:ext>
          </c:extLst>
        </c:ser>
        <c:ser>
          <c:idx val="1"/>
          <c:order val="1"/>
          <c:tx>
            <c:v>P80 Rigid Elongation</c:v>
          </c:tx>
          <c:spPr>
            <a:ln w="25400" cap="rnd">
              <a:noFill/>
              <a:round/>
            </a:ln>
            <a:effectLst/>
          </c:spPr>
          <c:marker>
            <c:symbol val="circle"/>
            <c:size val="5"/>
            <c:spPr>
              <a:solidFill>
                <a:schemeClr val="accent2"/>
              </a:solidFill>
              <a:ln w="9525">
                <a:solidFill>
                  <a:schemeClr val="accent2"/>
                </a:solidFill>
              </a:ln>
              <a:effectLst/>
            </c:spPr>
          </c:marker>
          <c:xVal>
            <c:numRef>
              <c:f>'EF25 P80 AVGS'!$M$7:$M$12</c:f>
              <c:numCache>
                <c:formatCode>0.0E+00</c:formatCode>
                <c:ptCount val="6"/>
                <c:pt idx="0">
                  <c:v>16525.642491230723</c:v>
                </c:pt>
                <c:pt idx="1">
                  <c:v>23135.899487723014</c:v>
                </c:pt>
                <c:pt idx="2">
                  <c:v>30320.96144043202</c:v>
                </c:pt>
                <c:pt idx="3">
                  <c:v>36500.114719761768</c:v>
                </c:pt>
                <c:pt idx="4">
                  <c:v>43254.072955308235</c:v>
                </c:pt>
                <c:pt idx="5">
                  <c:v>49002.122517475444</c:v>
                </c:pt>
              </c:numCache>
            </c:numRef>
          </c:xVal>
          <c:yVal>
            <c:numRef>
              <c:f>'EF25 P80 AVGS'!$Z$7:$Z$12</c:f>
              <c:numCache>
                <c:formatCode>0.00</c:formatCode>
                <c:ptCount val="6"/>
                <c:pt idx="0">
                  <c:v>41.160999999999994</c:v>
                </c:pt>
                <c:pt idx="1">
                  <c:v>42.672333333333334</c:v>
                </c:pt>
                <c:pt idx="2">
                  <c:v>43.121111111111112</c:v>
                </c:pt>
                <c:pt idx="3">
                  <c:v>42.555722222222222</c:v>
                </c:pt>
                <c:pt idx="4">
                  <c:v>42.906388888888891</c:v>
                </c:pt>
                <c:pt idx="5">
                  <c:v>42.489333333333327</c:v>
                </c:pt>
              </c:numCache>
            </c:numRef>
          </c:yVal>
          <c:smooth val="0"/>
          <c:extLst>
            <c:ext xmlns:c16="http://schemas.microsoft.com/office/drawing/2014/chart" uri="{C3380CC4-5D6E-409C-BE32-E72D297353CC}">
              <c16:uniqueId val="{00000001-E6C4-435D-AF2D-708E90C57F23}"/>
            </c:ext>
          </c:extLst>
        </c:ser>
        <c:ser>
          <c:idx val="2"/>
          <c:order val="2"/>
          <c:tx>
            <c:v>Smooth Rigid Elongation</c:v>
          </c:tx>
          <c:spPr>
            <a:ln w="25400" cap="rnd">
              <a:noFill/>
              <a:round/>
            </a:ln>
            <a:effectLst/>
          </c:spPr>
          <c:marker>
            <c:symbol val="circle"/>
            <c:size val="5"/>
            <c:spPr>
              <a:solidFill>
                <a:schemeClr val="accent3"/>
              </a:solidFill>
              <a:ln w="9525">
                <a:solidFill>
                  <a:schemeClr val="accent3"/>
                </a:solidFill>
              </a:ln>
              <a:effectLst/>
            </c:spPr>
          </c:marker>
          <c:xVal>
            <c:numRef>
              <c:f>'EF25 flat AVGS'!$L$7:$L$12</c:f>
              <c:numCache>
                <c:formatCode>0.0E+00</c:formatCode>
                <c:ptCount val="6"/>
                <c:pt idx="0">
                  <c:v>17031.803384494291</c:v>
                </c:pt>
                <c:pt idx="1">
                  <c:v>24203.089020070838</c:v>
                </c:pt>
                <c:pt idx="2">
                  <c:v>30702.066627312077</c:v>
                </c:pt>
                <c:pt idx="3">
                  <c:v>38097.454939000396</c:v>
                </c:pt>
                <c:pt idx="4">
                  <c:v>45268.740574576928</c:v>
                </c:pt>
                <c:pt idx="5">
                  <c:v>51991.820857929946</c:v>
                </c:pt>
              </c:numCache>
            </c:numRef>
          </c:xVal>
          <c:yVal>
            <c:numRef>
              <c:f>'EF25 flat AVGS'!$T$7:$T$12</c:f>
              <c:numCache>
                <c:formatCode>General</c:formatCode>
                <c:ptCount val="6"/>
                <c:pt idx="0">
                  <c:v>81.165666666666681</c:v>
                </c:pt>
                <c:pt idx="1">
                  <c:v>85.668166666666664</c:v>
                </c:pt>
                <c:pt idx="2">
                  <c:v>84.876666666666665</c:v>
                </c:pt>
                <c:pt idx="3">
                  <c:v>85.456333333333333</c:v>
                </c:pt>
                <c:pt idx="4">
                  <c:v>89.025333333333322</c:v>
                </c:pt>
                <c:pt idx="5">
                  <c:v>90.991500000000002</c:v>
                </c:pt>
              </c:numCache>
            </c:numRef>
          </c:yVal>
          <c:smooth val="0"/>
          <c:extLst>
            <c:ext xmlns:c16="http://schemas.microsoft.com/office/drawing/2014/chart" uri="{C3380CC4-5D6E-409C-BE32-E72D297353CC}">
              <c16:uniqueId val="{00000002-E6C4-435D-AF2D-708E90C57F23}"/>
            </c:ext>
          </c:extLst>
        </c:ser>
        <c:dLbls>
          <c:showLegendKey val="0"/>
          <c:showVal val="0"/>
          <c:showCatName val="0"/>
          <c:showSerName val="0"/>
          <c:showPercent val="0"/>
          <c:showBubbleSize val="0"/>
        </c:dLbls>
        <c:axId val="420696127"/>
        <c:axId val="651585247"/>
        <c:extLst>
          <c:ext xmlns:c15="http://schemas.microsoft.com/office/drawing/2012/chart" uri="{02D57815-91ED-43cb-92C2-25804820EDAC}">
            <c15:filteredScatterSeries>
              <c15:ser>
                <c:idx val="3"/>
                <c:order val="3"/>
                <c:tx>
                  <c:v>Smooth Elastomer Elongation</c:v>
                </c:tx>
                <c:spPr>
                  <a:ln w="25400" cap="rnd">
                    <a:noFill/>
                    <a:round/>
                  </a:ln>
                  <a:effectLst/>
                </c:spPr>
                <c:marker>
                  <c:symbol val="circle"/>
                  <c:size val="5"/>
                  <c:spPr>
                    <a:solidFill>
                      <a:schemeClr val="accent4"/>
                    </a:solidFill>
                    <a:ln w="9525">
                      <a:solidFill>
                        <a:schemeClr val="accent4"/>
                      </a:solidFill>
                    </a:ln>
                    <a:effectLst/>
                  </c:spPr>
                </c:marker>
                <c:xVal>
                  <c:numRef>
                    <c:extLst>
                      <c:ext uri="{02D57815-91ED-43cb-92C2-25804820EDAC}">
                        <c15:formulaRef>
                          <c15:sqref>'MMHSE flat AVG'!$L$7:$L$12</c15:sqref>
                        </c15:formulaRef>
                      </c:ext>
                    </c:extLst>
                    <c:numCache>
                      <c:formatCode>0.0E+00</c:formatCode>
                      <c:ptCount val="6"/>
                      <c:pt idx="0">
                        <c:v>16791.76035066746</c:v>
                      </c:pt>
                      <c:pt idx="1">
                        <c:v>24733.809165172341</c:v>
                      </c:pt>
                      <c:pt idx="2">
                        <c:v>31541.279577605099</c:v>
                      </c:pt>
                      <c:pt idx="3">
                        <c:v>38802.581350866705</c:v>
                      </c:pt>
                      <c:pt idx="4">
                        <c:v>46971.545845786015</c:v>
                      </c:pt>
                      <c:pt idx="5">
                        <c:v>52871.353536561066</c:v>
                      </c:pt>
                    </c:numCache>
                  </c:numRef>
                </c:xVal>
                <c:yVal>
                  <c:numRef>
                    <c:extLst>
                      <c:ext uri="{02D57815-91ED-43cb-92C2-25804820EDAC}">
                        <c15:formulaRef>
                          <c15:sqref>'MMHSE flat AVG'!$T$7:$T$12</c15:sqref>
                        </c15:formulaRef>
                      </c:ext>
                    </c:extLst>
                    <c:numCache>
                      <c:formatCode>General</c:formatCode>
                      <c:ptCount val="6"/>
                      <c:pt idx="0">
                        <c:v>70.255666666666656</c:v>
                      </c:pt>
                      <c:pt idx="1">
                        <c:v>70.236333333333334</c:v>
                      </c:pt>
                      <c:pt idx="2">
                        <c:v>72.275749999999988</c:v>
                      </c:pt>
                      <c:pt idx="3">
                        <c:v>71.86399999999999</c:v>
                      </c:pt>
                      <c:pt idx="4">
                        <c:v>74.114500000000007</c:v>
                      </c:pt>
                      <c:pt idx="5">
                        <c:v>75.267499999999998</c:v>
                      </c:pt>
                    </c:numCache>
                  </c:numRef>
                </c:yVal>
                <c:smooth val="0"/>
                <c:extLst>
                  <c:ext xmlns:c16="http://schemas.microsoft.com/office/drawing/2014/chart" uri="{C3380CC4-5D6E-409C-BE32-E72D297353CC}">
                    <c16:uniqueId val="{00000003-E6C4-435D-AF2D-708E90C57F23}"/>
                  </c:ext>
                </c:extLst>
              </c15:ser>
            </c15:filteredScatterSeries>
            <c15:filteredScatterSeries>
              <c15:ser>
                <c:idx val="4"/>
                <c:order val="4"/>
                <c:tx>
                  <c:v>Smooth Control Elongation</c:v>
                </c:tx>
                <c:spPr>
                  <a:ln w="25400" cap="rnd">
                    <a:noFill/>
                    <a:round/>
                  </a:ln>
                  <a:effectLst/>
                </c:spPr>
                <c:marker>
                  <c:symbol val="circle"/>
                  <c:size val="5"/>
                  <c:spPr>
                    <a:solidFill>
                      <a:schemeClr val="accent5"/>
                    </a:solidFill>
                    <a:ln w="9525">
                      <a:solidFill>
                        <a:schemeClr val="accent5"/>
                      </a:solidFill>
                    </a:ln>
                    <a:effectLst/>
                  </c:spPr>
                </c:marker>
                <c:xVal>
                  <c:numRef>
                    <c:extLst xmlns:c15="http://schemas.microsoft.com/office/drawing/2012/chart">
                      <c:ext xmlns:c15="http://schemas.microsoft.com/office/drawing/2012/chart" uri="{02D57815-91ED-43cb-92C2-25804820EDAC}">
                        <c15:formulaRef>
                          <c15:sqref>'PLAIN PANEL AVGS'!$L$7:$L$9</c15:sqref>
                        </c15:formulaRef>
                      </c:ext>
                    </c:extLst>
                    <c:numCache>
                      <c:formatCode>0.0E+00</c:formatCode>
                      <c:ptCount val="3"/>
                      <c:pt idx="0">
                        <c:v>17173.73507936508</c:v>
                      </c:pt>
                      <c:pt idx="1">
                        <c:v>25760.602619047622</c:v>
                      </c:pt>
                      <c:pt idx="2">
                        <c:v>31861.797976190479</c:v>
                      </c:pt>
                    </c:numCache>
                  </c:numRef>
                </c:xVal>
                <c:yVal>
                  <c:numRef>
                    <c:extLst xmlns:c15="http://schemas.microsoft.com/office/drawing/2012/chart">
                      <c:ext xmlns:c15="http://schemas.microsoft.com/office/drawing/2012/chart" uri="{02D57815-91ED-43cb-92C2-25804820EDAC}">
                        <c15:formulaRef>
                          <c15:sqref>'PLAIN PANEL AVGS'!$T$7:$T$9</c15:sqref>
                        </c15:formulaRef>
                      </c:ext>
                    </c:extLst>
                    <c:numCache>
                      <c:formatCode>General</c:formatCode>
                      <c:ptCount val="3"/>
                      <c:pt idx="0">
                        <c:v>238.71733333333333</c:v>
                      </c:pt>
                      <c:pt idx="1">
                        <c:v>238.2585</c:v>
                      </c:pt>
                      <c:pt idx="2">
                        <c:v>232.23649999999998</c:v>
                      </c:pt>
                    </c:numCache>
                  </c:numRef>
                </c:yVal>
                <c:smooth val="0"/>
                <c:extLst xmlns:c15="http://schemas.microsoft.com/office/drawing/2012/chart">
                  <c:ext xmlns:c16="http://schemas.microsoft.com/office/drawing/2014/chart" uri="{C3380CC4-5D6E-409C-BE32-E72D297353CC}">
                    <c16:uniqueId val="{00000004-E6C4-435D-AF2D-708E90C57F23}"/>
                  </c:ext>
                </c:extLst>
              </c15:ser>
            </c15:filteredScatterSeries>
            <c15:filteredScatterSeries>
              <c15:ser>
                <c:idx val="5"/>
                <c:order val="5"/>
                <c:tx>
                  <c:v>P80 Elastomer Elongation</c:v>
                </c:tx>
                <c:spPr>
                  <a:ln w="25400" cap="rnd">
                    <a:noFill/>
                    <a:round/>
                  </a:ln>
                  <a:effectLst/>
                </c:spPr>
                <c:marker>
                  <c:symbol val="circle"/>
                  <c:size val="5"/>
                  <c:spPr>
                    <a:solidFill>
                      <a:schemeClr val="accent6"/>
                    </a:solidFill>
                    <a:ln w="9525">
                      <a:solidFill>
                        <a:schemeClr val="accent6"/>
                      </a:solidFill>
                    </a:ln>
                    <a:effectLst/>
                  </c:spPr>
                </c:marker>
                <c:xVal>
                  <c:numRef>
                    <c:extLst xmlns:c15="http://schemas.microsoft.com/office/drawing/2012/chart">
                      <c:ext xmlns:c15="http://schemas.microsoft.com/office/drawing/2012/chart" uri="{02D57815-91ED-43cb-92C2-25804820EDAC}">
                        <c15:formulaRef>
                          <c15:sqref>'MMHSE P80 AVGS'!$L$7:$L$12</c15:sqref>
                        </c15:formulaRef>
                      </c:ext>
                    </c:extLst>
                    <c:numCache>
                      <c:formatCode>0.0E+00</c:formatCode>
                      <c:ptCount val="6"/>
                      <c:pt idx="0">
                        <c:v>13610.328035679087</c:v>
                      </c:pt>
                      <c:pt idx="1">
                        <c:v>18801.896461659773</c:v>
                      </c:pt>
                      <c:pt idx="2">
                        <c:v>24835.340848610296</c:v>
                      </c:pt>
                      <c:pt idx="3">
                        <c:v>30447.8472550759</c:v>
                      </c:pt>
                      <c:pt idx="4">
                        <c:v>34727.383390005925</c:v>
                      </c:pt>
                      <c:pt idx="5">
                        <c:v>39568.170165582502</c:v>
                      </c:pt>
                    </c:numCache>
                  </c:numRef>
                </c:xVal>
                <c:yVal>
                  <c:numRef>
                    <c:extLst xmlns:c15="http://schemas.microsoft.com/office/drawing/2012/chart">
                      <c:ext xmlns:c15="http://schemas.microsoft.com/office/drawing/2012/chart" uri="{02D57815-91ED-43cb-92C2-25804820EDAC}">
                        <c15:formulaRef>
                          <c15:sqref>'MMHSE P80 AVGS'!$S$7:$S$12</c15:sqref>
                        </c15:formulaRef>
                      </c:ext>
                    </c:extLst>
                    <c:numCache>
                      <c:formatCode>General</c:formatCode>
                      <c:ptCount val="6"/>
                      <c:pt idx="0">
                        <c:v>46.262833333333333</c:v>
                      </c:pt>
                      <c:pt idx="1">
                        <c:v>45.570444444444441</c:v>
                      </c:pt>
                      <c:pt idx="2">
                        <c:v>45.556777777777775</c:v>
                      </c:pt>
                      <c:pt idx="3">
                        <c:v>46.690722222222227</c:v>
                      </c:pt>
                      <c:pt idx="4">
                        <c:v>50.249250000000004</c:v>
                      </c:pt>
                      <c:pt idx="5">
                        <c:v>56.551666666666669</c:v>
                      </c:pt>
                    </c:numCache>
                  </c:numRef>
                </c:yVal>
                <c:smooth val="0"/>
                <c:extLst xmlns:c15="http://schemas.microsoft.com/office/drawing/2012/chart">
                  <c:ext xmlns:c16="http://schemas.microsoft.com/office/drawing/2014/chart" uri="{C3380CC4-5D6E-409C-BE32-E72D297353CC}">
                    <c16:uniqueId val="{00000005-E6C4-435D-AF2D-708E90C57F23}"/>
                  </c:ext>
                </c:extLst>
              </c15:ser>
            </c15:filteredScatterSeries>
            <c15:filteredScatterSeries>
              <c15:ser>
                <c:idx val="6"/>
                <c:order val="6"/>
                <c:tx>
                  <c:v>P240 Elastomer Elongation</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xVal>
                  <c:numRef>
                    <c:extLst xmlns:c15="http://schemas.microsoft.com/office/drawing/2012/chart">
                      <c:ext xmlns:c15="http://schemas.microsoft.com/office/drawing/2012/chart" uri="{02D57815-91ED-43cb-92C2-25804820EDAC}">
                        <c15:formulaRef>
                          <c15:sqref>'MMHSE P240 AVG'!$L$7:$L$10</c15:sqref>
                        </c15:formulaRef>
                      </c:ext>
                    </c:extLst>
                    <c:numCache>
                      <c:formatCode>0.0E+00</c:formatCode>
                      <c:ptCount val="4"/>
                      <c:pt idx="0">
                        <c:v>11807.649133593246</c:v>
                      </c:pt>
                      <c:pt idx="1">
                        <c:v>18828.41348329734</c:v>
                      </c:pt>
                      <c:pt idx="2">
                        <c:v>24891.800876223599</c:v>
                      </c:pt>
                      <c:pt idx="3">
                        <c:v>31832.783812862872</c:v>
                      </c:pt>
                    </c:numCache>
                  </c:numRef>
                </c:xVal>
                <c:yVal>
                  <c:numRef>
                    <c:extLst xmlns:c15="http://schemas.microsoft.com/office/drawing/2012/chart">
                      <c:ext xmlns:c15="http://schemas.microsoft.com/office/drawing/2012/chart" uri="{02D57815-91ED-43cb-92C2-25804820EDAC}">
                        <c15:formulaRef>
                          <c15:sqref>'MMHSE P240 AVG'!$T$7:$T$10</c15:sqref>
                        </c15:formulaRef>
                      </c:ext>
                    </c:extLst>
                    <c:numCache>
                      <c:formatCode>General</c:formatCode>
                      <c:ptCount val="4"/>
                      <c:pt idx="0">
                        <c:v>55.282222222222224</c:v>
                      </c:pt>
                      <c:pt idx="1">
                        <c:v>52.43588888888889</c:v>
                      </c:pt>
                      <c:pt idx="2">
                        <c:v>53.037888888888887</c:v>
                      </c:pt>
                      <c:pt idx="3">
                        <c:v>56.688333333333333</c:v>
                      </c:pt>
                    </c:numCache>
                  </c:numRef>
                </c:yVal>
                <c:smooth val="0"/>
                <c:extLst xmlns:c15="http://schemas.microsoft.com/office/drawing/2012/chart">
                  <c:ext xmlns:c16="http://schemas.microsoft.com/office/drawing/2014/chart" uri="{C3380CC4-5D6E-409C-BE32-E72D297353CC}">
                    <c16:uniqueId val="{00000006-E6C4-435D-AF2D-708E90C57F23}"/>
                  </c:ext>
                </c:extLst>
              </c15:ser>
            </c15:filteredScatterSeries>
            <c15:filteredScatterSeries>
              <c15:ser>
                <c:idx val="7"/>
                <c:order val="7"/>
                <c:tx>
                  <c:v>P80 Control Elongation</c:v>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xVal>
                  <c:numRef>
                    <c:extLst xmlns:c15="http://schemas.microsoft.com/office/drawing/2012/chart">
                      <c:ext xmlns:c15="http://schemas.microsoft.com/office/drawing/2012/chart" uri="{02D57815-91ED-43cb-92C2-25804820EDAC}">
                        <c15:formulaRef>
                          <c15:sqref>'P80 sandpaper AVGS'!$S$41:$S$46</c15:sqref>
                        </c15:formulaRef>
                      </c:ext>
                    </c:extLst>
                    <c:numCache>
                      <c:formatCode>General</c:formatCode>
                      <c:ptCount val="6"/>
                    </c:numCache>
                  </c:numRef>
                </c:xVal>
                <c:yVal>
                  <c:numRef>
                    <c:extLst xmlns:c15="http://schemas.microsoft.com/office/drawing/2012/chart">
                      <c:ext xmlns:c15="http://schemas.microsoft.com/office/drawing/2012/chart" uri="{02D57815-91ED-43cb-92C2-25804820EDAC}">
                        <c15:formulaRef>
                          <c15:sqref>'P80 sandpaper AVGS'!$V$41:$V$46</c15:sqref>
                        </c15:formulaRef>
                      </c:ext>
                    </c:extLst>
                    <c:numCache>
                      <c:formatCode>General</c:formatCode>
                      <c:ptCount val="6"/>
                    </c:numCache>
                  </c:numRef>
                </c:yVal>
                <c:smooth val="0"/>
                <c:extLst xmlns:c15="http://schemas.microsoft.com/office/drawing/2012/chart">
                  <c:ext xmlns:c16="http://schemas.microsoft.com/office/drawing/2014/chart" uri="{C3380CC4-5D6E-409C-BE32-E72D297353CC}">
                    <c16:uniqueId val="{00000007-E6C4-435D-AF2D-708E90C57F23}"/>
                  </c:ext>
                </c:extLst>
              </c15:ser>
            </c15:filteredScatterSeries>
            <c15:filteredScatterSeries>
              <c15:ser>
                <c:idx val="8"/>
                <c:order val="8"/>
                <c:tx>
                  <c:v>P240 Control Elongation</c:v>
                </c:tx>
                <c:spPr>
                  <a:ln w="25400" cap="rnd">
                    <a:noFill/>
                    <a:round/>
                  </a:ln>
                  <a:effectLst/>
                </c:spPr>
                <c:marker>
                  <c:symbol val="circle"/>
                  <c:size val="5"/>
                  <c:spPr>
                    <a:solidFill>
                      <a:schemeClr val="accent3">
                        <a:lumMod val="60000"/>
                      </a:schemeClr>
                    </a:solidFill>
                    <a:ln w="9525">
                      <a:solidFill>
                        <a:schemeClr val="accent3">
                          <a:lumMod val="60000"/>
                        </a:schemeClr>
                      </a:solidFill>
                    </a:ln>
                    <a:effectLst/>
                  </c:spPr>
                </c:marker>
                <c:xVal>
                  <c:numRef>
                    <c:extLst xmlns:c15="http://schemas.microsoft.com/office/drawing/2012/chart">
                      <c:ext xmlns:c15="http://schemas.microsoft.com/office/drawing/2012/chart" uri="{02D57815-91ED-43cb-92C2-25804820EDAC}">
                        <c15:formulaRef>
                          <c15:sqref>'P240 sandpaper'!$L$7:$L$12</c15:sqref>
                        </c15:formulaRef>
                      </c:ext>
                    </c:extLst>
                    <c:numCache>
                      <c:formatCode>0.0E+00</c:formatCode>
                      <c:ptCount val="6"/>
                      <c:pt idx="0">
                        <c:v>17029.859003236244</c:v>
                      </c:pt>
                      <c:pt idx="1">
                        <c:v>25314.655275080902</c:v>
                      </c:pt>
                      <c:pt idx="2">
                        <c:v>32218.652168284785</c:v>
                      </c:pt>
                      <c:pt idx="3">
                        <c:v>40043.181980582514</c:v>
                      </c:pt>
                      <c:pt idx="4">
                        <c:v>46026.645954692547</c:v>
                      </c:pt>
                      <c:pt idx="5">
                        <c:v>52930.642847896444</c:v>
                      </c:pt>
                    </c:numCache>
                  </c:numRef>
                </c:xVal>
                <c:yVal>
                  <c:numRef>
                    <c:extLst xmlns:c15="http://schemas.microsoft.com/office/drawing/2012/chart">
                      <c:ext xmlns:c15="http://schemas.microsoft.com/office/drawing/2012/chart" uri="{02D57815-91ED-43cb-92C2-25804820EDAC}">
                        <c15:formulaRef>
                          <c15:sqref>'P240 sandpaper'!$S$7:$S$12</c15:sqref>
                        </c15:formulaRef>
                      </c:ext>
                    </c:extLst>
                    <c:numCache>
                      <c:formatCode>0.00</c:formatCode>
                      <c:ptCount val="6"/>
                      <c:pt idx="0" formatCode="General">
                        <c:v>53.87566666666666</c:v>
                      </c:pt>
                      <c:pt idx="1">
                        <c:v>54.229333333333329</c:v>
                      </c:pt>
                      <c:pt idx="2" formatCode="0.000">
                        <c:v>56.719666666666662</c:v>
                      </c:pt>
                      <c:pt idx="3" formatCode="0.000">
                        <c:v>54.749000000000002</c:v>
                      </c:pt>
                      <c:pt idx="4" formatCode="General">
                        <c:v>54.546333333333337</c:v>
                      </c:pt>
                      <c:pt idx="5" formatCode="General">
                        <c:v>54.866999999999997</c:v>
                      </c:pt>
                    </c:numCache>
                  </c:numRef>
                </c:yVal>
                <c:smooth val="0"/>
                <c:extLst xmlns:c15="http://schemas.microsoft.com/office/drawing/2012/chart">
                  <c:ext xmlns:c16="http://schemas.microsoft.com/office/drawing/2014/chart" uri="{C3380CC4-5D6E-409C-BE32-E72D297353CC}">
                    <c16:uniqueId val="{00000008-E6C4-435D-AF2D-708E90C57F23}"/>
                  </c:ext>
                </c:extLst>
              </c15:ser>
            </c15:filteredScatterSeries>
          </c:ext>
        </c:extLst>
      </c:scatterChart>
      <c:valAx>
        <c:axId val="420696127"/>
        <c:scaling>
          <c:orientation val="minMax"/>
        </c:scaling>
        <c:delete val="0"/>
        <c:axPos val="b"/>
        <c:majorGridlines>
          <c:spPr>
            <a:ln w="9525" cap="flat" cmpd="sng" algn="ctr">
              <a:solidFill>
                <a:schemeClr val="tx1">
                  <a:lumMod val="15000"/>
                  <a:lumOff val="85000"/>
                </a:schemeClr>
              </a:solidFill>
              <a:round/>
            </a:ln>
            <a:effectLst/>
          </c:spPr>
        </c:majorGridlines>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1585247"/>
        <c:crosses val="autoZero"/>
        <c:crossBetween val="midCat"/>
      </c:valAx>
      <c:valAx>
        <c:axId val="65158524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69612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1 EF25 flat</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0"/>
            <c:dispEq val="1"/>
            <c:trendlineLbl>
              <c:layout>
                <c:manualLayout>
                  <c:x val="0.13136680079887803"/>
                  <c:y val="4.1941308366087719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EF25 flat'!$L$7:$L$12</c:f>
              <c:numCache>
                <c:formatCode>0.0E+00</c:formatCode>
                <c:ptCount val="6"/>
                <c:pt idx="0">
                  <c:v>17430.20814202632</c:v>
                </c:pt>
                <c:pt idx="1">
                  <c:v>23966.536195286189</c:v>
                </c:pt>
                <c:pt idx="2">
                  <c:v>30938.619452096718</c:v>
                </c:pt>
                <c:pt idx="3">
                  <c:v>37474.947505356591</c:v>
                </c:pt>
                <c:pt idx="4">
                  <c:v>44447.030762167124</c:v>
                </c:pt>
                <c:pt idx="5">
                  <c:v>50983.358815426982</c:v>
                </c:pt>
              </c:numCache>
            </c:numRef>
          </c:xVal>
          <c:yVal>
            <c:numRef>
              <c:f>'1 EF25 flat'!$O$7:$O$12</c:f>
              <c:numCache>
                <c:formatCode>0.000</c:formatCode>
                <c:ptCount val="6"/>
                <c:pt idx="0">
                  <c:v>8.5798693750955782E-3</c:v>
                </c:pt>
                <c:pt idx="1">
                  <c:v>7.5127097285502395E-3</c:v>
                </c:pt>
                <c:pt idx="2">
                  <c:v>6.9483665671564452E-3</c:v>
                </c:pt>
                <c:pt idx="3">
                  <c:v>6.7127624784927434E-3</c:v>
                </c:pt>
                <c:pt idx="4">
                  <c:v>6.3586775391911736E-3</c:v>
                </c:pt>
                <c:pt idx="5">
                  <c:v>6.2080662598281832E-3</c:v>
                </c:pt>
              </c:numCache>
            </c:numRef>
          </c:yVal>
          <c:smooth val="0"/>
          <c:extLst>
            <c:ext xmlns:c16="http://schemas.microsoft.com/office/drawing/2014/chart" uri="{C3380CC4-5D6E-409C-BE32-E72D297353CC}">
              <c16:uniqueId val="{00000001-1FB3-4500-845C-B575AB4C328F}"/>
            </c:ext>
          </c:extLst>
        </c:ser>
        <c:ser>
          <c:idx val="1"/>
          <c:order val="1"/>
          <c:tx>
            <c:v>2 EF25 flat</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0.13031250426155055"/>
                  <c:y val="-6.362783599035534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flat'!$L$7:$L$12</c:f>
              <c:numCache>
                <c:formatCode>0.0E+00</c:formatCode>
                <c:ptCount val="6"/>
                <c:pt idx="0">
                  <c:v>16432.653762336515</c:v>
                </c:pt>
                <c:pt idx="1">
                  <c:v>24192.518038995422</c:v>
                </c:pt>
                <c:pt idx="2">
                  <c:v>30126.53189761694</c:v>
                </c:pt>
                <c:pt idx="3">
                  <c:v>38342.858778785194</c:v>
                </c:pt>
                <c:pt idx="4">
                  <c:v>45646.260450934758</c:v>
                </c:pt>
                <c:pt idx="5">
                  <c:v>52493.199518574977</c:v>
                </c:pt>
              </c:numCache>
            </c:numRef>
          </c:xVal>
          <c:yVal>
            <c:numRef>
              <c:f>'2 EF25 flat'!$O$7:$O$12</c:f>
              <c:numCache>
                <c:formatCode>0.000</c:formatCode>
                <c:ptCount val="6"/>
                <c:pt idx="0">
                  <c:v>7.9581950097920694E-3</c:v>
                </c:pt>
                <c:pt idx="1">
                  <c:v>7.4418589435623038E-3</c:v>
                </c:pt>
                <c:pt idx="2">
                  <c:v>7.5815945397577208E-3</c:v>
                </c:pt>
                <c:pt idx="3">
                  <c:v>7.2644136724406127E-3</c:v>
                </c:pt>
                <c:pt idx="4">
                  <c:v>7.0698623168627111E-3</c:v>
                </c:pt>
                <c:pt idx="5">
                  <c:v>6.7915966786024446E-3</c:v>
                </c:pt>
              </c:numCache>
            </c:numRef>
          </c:yVal>
          <c:smooth val="0"/>
          <c:extLst>
            <c:ext xmlns:c16="http://schemas.microsoft.com/office/drawing/2014/chart" uri="{C3380CC4-5D6E-409C-BE32-E72D297353CC}">
              <c16:uniqueId val="{00000003-1FB3-4500-845C-B575AB4C328F}"/>
            </c:ext>
          </c:extLst>
        </c:ser>
        <c:dLbls>
          <c:showLegendKey val="0"/>
          <c:showVal val="0"/>
          <c:showCatName val="0"/>
          <c:showSerName val="0"/>
          <c:showPercent val="0"/>
          <c:showBubbleSize val="0"/>
        </c:dLbls>
        <c:axId val="1408354767"/>
        <c:axId val="1074120591"/>
      </c:scatterChart>
      <c:valAx>
        <c:axId val="14083547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4120591"/>
        <c:crosses val="autoZero"/>
        <c:crossBetween val="midCat"/>
      </c:valAx>
      <c:valAx>
        <c:axId val="10741205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35476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 1 MMSHE P40'!$G$7:$G$12</c:f>
              <c:numCache>
                <c:formatCode>0.00</c:formatCode>
                <c:ptCount val="6"/>
                <c:pt idx="0">
                  <c:v>0</c:v>
                </c:pt>
                <c:pt idx="1">
                  <c:v>0.93105719913879237</c:v>
                </c:pt>
                <c:pt idx="2">
                  <c:v>2.1374132211634347</c:v>
                </c:pt>
                <c:pt idx="3">
                  <c:v>3.501937821554173</c:v>
                </c:pt>
                <c:pt idx="4">
                  <c:v>5.0690891953112009</c:v>
                </c:pt>
                <c:pt idx="5">
                  <c:v>7.2364262015709269</c:v>
                </c:pt>
              </c:numCache>
            </c:numRef>
          </c:xVal>
          <c:yVal>
            <c:numRef>
              <c:f>' 1 MMSHE P40'!$K$7:$K$12</c:f>
              <c:numCache>
                <c:formatCode>0</c:formatCode>
                <c:ptCount val="6"/>
                <c:pt idx="0">
                  <c:v>0</c:v>
                </c:pt>
                <c:pt idx="1">
                  <c:v>907.38064516128975</c:v>
                </c:pt>
                <c:pt idx="2">
                  <c:v>2829.8999999999992</c:v>
                </c:pt>
                <c:pt idx="3">
                  <c:v>4668.8419354838697</c:v>
                </c:pt>
                <c:pt idx="4">
                  <c:v>5980.5419354838714</c:v>
                </c:pt>
                <c:pt idx="5">
                  <c:v>7049.9096774193586</c:v>
                </c:pt>
              </c:numCache>
            </c:numRef>
          </c:yVal>
          <c:smooth val="0"/>
          <c:extLst>
            <c:ext xmlns:c16="http://schemas.microsoft.com/office/drawing/2014/chart" uri="{C3380CC4-5D6E-409C-BE32-E72D297353CC}">
              <c16:uniqueId val="{00000001-9C49-43B7-B694-74260D346247}"/>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 1 MMSHE P40'!$O$6</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 1 MMSHE P40'!$L$8:$L$12</c:f>
              <c:numCache>
                <c:formatCode>0.0E+00</c:formatCode>
                <c:ptCount val="5"/>
                <c:pt idx="0">
                  <c:v>14226.42266636384</c:v>
                </c:pt>
                <c:pt idx="1">
                  <c:v>21555.185858127028</c:v>
                </c:pt>
                <c:pt idx="2">
                  <c:v>27590.637898402601</c:v>
                </c:pt>
                <c:pt idx="3">
                  <c:v>33194.986221515617</c:v>
                </c:pt>
                <c:pt idx="4">
                  <c:v>39661.541978953741</c:v>
                </c:pt>
              </c:numCache>
            </c:numRef>
          </c:xVal>
          <c:yVal>
            <c:numRef>
              <c:f>' 1 MMSHE P40'!$O$8:$O$12</c:f>
              <c:numCache>
                <c:formatCode>0.000</c:formatCode>
                <c:ptCount val="5"/>
                <c:pt idx="0">
                  <c:v>9.4880276213178318E-3</c:v>
                </c:pt>
                <c:pt idx="1">
                  <c:v>1.2889776565117434E-2</c:v>
                </c:pt>
                <c:pt idx="2">
                  <c:v>1.2979666440668464E-2</c:v>
                </c:pt>
                <c:pt idx="3">
                  <c:v>1.1486121301006231E-2</c:v>
                </c:pt>
                <c:pt idx="4">
                  <c:v>9.4846696042035286E-3</c:v>
                </c:pt>
              </c:numCache>
            </c:numRef>
          </c:yVal>
          <c:smooth val="0"/>
          <c:extLst>
            <c:ext xmlns:c16="http://schemas.microsoft.com/office/drawing/2014/chart" uri="{C3380CC4-5D6E-409C-BE32-E72D297353CC}">
              <c16:uniqueId val="{00000001-E5E5-4C43-B401-1242105A3189}"/>
            </c:ext>
          </c:extLst>
        </c:ser>
        <c:ser>
          <c:idx val="1"/>
          <c:order val="1"/>
          <c:tx>
            <c:strRef>
              <c:f>' 1 MMSHE P40'!$T$6</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 1 MMSHE P40'!$S$8:$S$32</c:f>
              <c:numCache>
                <c:formatCode>0.00000</c:formatCode>
                <c:ptCount val="25"/>
                <c:pt idx="0">
                  <c:v>1474.3735331970622</c:v>
                </c:pt>
                <c:pt idx="1">
                  <c:v>2948.7470663941244</c:v>
                </c:pt>
                <c:pt idx="2">
                  <c:v>4423.120599591186</c:v>
                </c:pt>
                <c:pt idx="3">
                  <c:v>5897.4941327882489</c:v>
                </c:pt>
                <c:pt idx="4">
                  <c:v>7371.8676659853109</c:v>
                </c:pt>
                <c:pt idx="5">
                  <c:v>8846.2411991823719</c:v>
                </c:pt>
                <c:pt idx="6">
                  <c:v>10320.614732379436</c:v>
                </c:pt>
                <c:pt idx="7">
                  <c:v>11794.988265576498</c:v>
                </c:pt>
                <c:pt idx="8">
                  <c:v>13269.361798773562</c:v>
                </c:pt>
                <c:pt idx="9">
                  <c:v>14743.735331970622</c:v>
                </c:pt>
                <c:pt idx="10">
                  <c:v>16218.108865167686</c:v>
                </c:pt>
                <c:pt idx="11">
                  <c:v>17692.482398364744</c:v>
                </c:pt>
                <c:pt idx="12">
                  <c:v>19166.855931561811</c:v>
                </c:pt>
                <c:pt idx="13">
                  <c:v>20641.229464758871</c:v>
                </c:pt>
                <c:pt idx="14">
                  <c:v>22115.602997955935</c:v>
                </c:pt>
                <c:pt idx="15">
                  <c:v>23589.976531152995</c:v>
                </c:pt>
                <c:pt idx="16">
                  <c:v>25064.350064350056</c:v>
                </c:pt>
                <c:pt idx="17">
                  <c:v>26538.723597547123</c:v>
                </c:pt>
                <c:pt idx="18">
                  <c:v>28013.097130744183</c:v>
                </c:pt>
                <c:pt idx="19">
                  <c:v>29487.470663941243</c:v>
                </c:pt>
                <c:pt idx="20">
                  <c:v>30961.844197138311</c:v>
                </c:pt>
                <c:pt idx="21">
                  <c:v>32436.217730335371</c:v>
                </c:pt>
                <c:pt idx="22">
                  <c:v>33910.591263532428</c:v>
                </c:pt>
                <c:pt idx="23">
                  <c:v>35384.964796729488</c:v>
                </c:pt>
                <c:pt idx="24">
                  <c:v>36859.338329926555</c:v>
                </c:pt>
              </c:numCache>
            </c:numRef>
          </c:xVal>
          <c:yVal>
            <c:numRef>
              <c:f>' 1 MMSHE P40'!$U$8:$U$32</c:f>
              <c:numCache>
                <c:formatCode>0.00000</c:formatCode>
                <c:ptCount val="25"/>
                <c:pt idx="0">
                  <c:v>1.2765111186900227E-2</c:v>
                </c:pt>
                <c:pt idx="1">
                  <c:v>1.0734136237379489E-2</c:v>
                </c:pt>
                <c:pt idx="2">
                  <c:v>9.6993870111171474E-3</c:v>
                </c:pt>
                <c:pt idx="3">
                  <c:v>9.0262966828574109E-3</c:v>
                </c:pt>
                <c:pt idx="4">
                  <c:v>8.536544348185595E-3</c:v>
                </c:pt>
                <c:pt idx="5">
                  <c:v>8.1561797678068506E-3</c:v>
                </c:pt>
                <c:pt idx="6">
                  <c:v>7.8478391288119148E-3</c:v>
                </c:pt>
                <c:pt idx="7">
                  <c:v>7.5901805236312904E-3</c:v>
                </c:pt>
                <c:pt idx="8">
                  <c:v>7.3699403799923494E-3</c:v>
                </c:pt>
                <c:pt idx="9">
                  <c:v>7.1783495410436236E-3</c:v>
                </c:pt>
                <c:pt idx="10">
                  <c:v>7.0093287664781141E-3</c:v>
                </c:pt>
                <c:pt idx="11">
                  <c:v>6.858502328913654E-3</c:v>
                </c:pt>
                <c:pt idx="12">
                  <c:v>6.7226231063910423E-3</c:v>
                </c:pt>
                <c:pt idx="13">
                  <c:v>6.5992197909057722E-3</c:v>
                </c:pt>
                <c:pt idx="14">
                  <c:v>6.4863710278988294E-3</c:v>
                </c:pt>
                <c:pt idx="15">
                  <c:v>6.3825555934501144E-3</c:v>
                </c:pt>
                <c:pt idx="16">
                  <c:v>6.2865499645722639E-3</c:v>
                </c:pt>
                <c:pt idx="17">
                  <c:v>6.1973564461691661E-3</c:v>
                </c:pt>
                <c:pt idx="18">
                  <c:v>6.1141515843799333E-3</c:v>
                </c:pt>
                <c:pt idx="19">
                  <c:v>6.0362483965017292E-3</c:v>
                </c:pt>
                <c:pt idx="20">
                  <c:v>5.9630682253241961E-3</c:v>
                </c:pt>
                <c:pt idx="21">
                  <c:v>5.8941194330661868E-3</c:v>
                </c:pt>
                <c:pt idx="22">
                  <c:v>5.8289810435609244E-3</c:v>
                </c:pt>
                <c:pt idx="23">
                  <c:v>5.7672900223927461E-3</c:v>
                </c:pt>
                <c:pt idx="24">
                  <c:v>5.7087312708503871E-3</c:v>
                </c:pt>
              </c:numCache>
            </c:numRef>
          </c:yVal>
          <c:smooth val="0"/>
          <c:extLst>
            <c:ext xmlns:c16="http://schemas.microsoft.com/office/drawing/2014/chart" uri="{C3380CC4-5D6E-409C-BE32-E72D297353CC}">
              <c16:uniqueId val="{00000003-E5E5-4C43-B401-1242105A3189}"/>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 2 MMSHE P40'!$G$7:$G$12</c:f>
              <c:numCache>
                <c:formatCode>0.00</c:formatCode>
                <c:ptCount val="6"/>
                <c:pt idx="0">
                  <c:v>0</c:v>
                </c:pt>
                <c:pt idx="1">
                  <c:v>0.97546261850390148</c:v>
                </c:pt>
                <c:pt idx="2">
                  <c:v>2.1947908916337782</c:v>
                </c:pt>
                <c:pt idx="3">
                  <c:v>3.6617952202431603</c:v>
                </c:pt>
                <c:pt idx="4">
                  <c:v>5.5022188324985679</c:v>
                </c:pt>
                <c:pt idx="5">
                  <c:v>6.8825365416901239</c:v>
                </c:pt>
              </c:numCache>
            </c:numRef>
          </c:xVal>
          <c:yVal>
            <c:numRef>
              <c:f>' 2 MMSHE P40'!$K$7:$K$12</c:f>
              <c:numCache>
                <c:formatCode>0</c:formatCode>
                <c:ptCount val="6"/>
                <c:pt idx="0">
                  <c:v>0</c:v>
                </c:pt>
                <c:pt idx="1">
                  <c:v>1468.710322580645</c:v>
                </c:pt>
                <c:pt idx="2">
                  <c:v>2995.3683870967739</c:v>
                </c:pt>
                <c:pt idx="3">
                  <c:v>5209.9264516129015</c:v>
                </c:pt>
                <c:pt idx="4">
                  <c:v>7739.3070967741933</c:v>
                </c:pt>
                <c:pt idx="5">
                  <c:v>8813.7038709677399</c:v>
                </c:pt>
              </c:numCache>
            </c:numRef>
          </c:yVal>
          <c:smooth val="0"/>
          <c:extLst>
            <c:ext xmlns:c16="http://schemas.microsoft.com/office/drawing/2014/chart" uri="{C3380CC4-5D6E-409C-BE32-E72D297353CC}">
              <c16:uniqueId val="{00000001-EFFC-421C-8D35-6528CB7DD37C}"/>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 2 MMSHE P40'!$O$6</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 2 MMSHE P40'!$L$8:$L$12</c:f>
              <c:numCache>
                <c:formatCode>0.0E+00</c:formatCode>
                <c:ptCount val="5"/>
                <c:pt idx="0">
                  <c:v>13211.657679269885</c:v>
                </c:pt>
                <c:pt idx="1">
                  <c:v>19817.486518904821</c:v>
                </c:pt>
                <c:pt idx="2">
                  <c:v>25597.586753585394</c:v>
                </c:pt>
                <c:pt idx="3">
                  <c:v>31377.68698826597</c:v>
                </c:pt>
                <c:pt idx="4">
                  <c:v>35093.465710560624</c:v>
                </c:pt>
              </c:numCache>
            </c:numRef>
          </c:xVal>
          <c:yVal>
            <c:numRef>
              <c:f>' 2 MMSHE P40'!$O$8:$O$12</c:f>
              <c:numCache>
                <c:formatCode>0.000</c:formatCode>
                <c:ptCount val="5"/>
                <c:pt idx="0">
                  <c:v>1.3990997227028026E-2</c:v>
                </c:pt>
                <c:pt idx="1">
                  <c:v>1.2681780941031383E-2</c:v>
                </c:pt>
                <c:pt idx="2">
                  <c:v>1.3220890045313908E-2</c:v>
                </c:pt>
                <c:pt idx="3">
                  <c:v>1.3070354751098906E-2</c:v>
                </c:pt>
                <c:pt idx="4">
                  <c:v>1.1899619732092184E-2</c:v>
                </c:pt>
              </c:numCache>
            </c:numRef>
          </c:yVal>
          <c:smooth val="0"/>
          <c:extLst>
            <c:ext xmlns:c16="http://schemas.microsoft.com/office/drawing/2014/chart" uri="{C3380CC4-5D6E-409C-BE32-E72D297353CC}">
              <c16:uniqueId val="{00000001-84BA-4C8F-A0F1-B0AA226ED2AA}"/>
            </c:ext>
          </c:extLst>
        </c:ser>
        <c:ser>
          <c:idx val="1"/>
          <c:order val="1"/>
          <c:tx>
            <c:strRef>
              <c:f>' 2 MMSHE P40'!$T$6</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 2 MMSHE P40'!$S$8:$S$32</c:f>
              <c:numCache>
                <c:formatCode>0.00000</c:formatCode>
                <c:ptCount val="25"/>
                <c:pt idx="0">
                  <c:v>1337.6792698826598</c:v>
                </c:pt>
                <c:pt idx="1">
                  <c:v>2675.3585397653196</c:v>
                </c:pt>
                <c:pt idx="2">
                  <c:v>4013.0378096479794</c:v>
                </c:pt>
                <c:pt idx="3">
                  <c:v>5350.7170795306392</c:v>
                </c:pt>
                <c:pt idx="4">
                  <c:v>6688.3963494132986</c:v>
                </c:pt>
                <c:pt idx="5">
                  <c:v>8026.0756192959589</c:v>
                </c:pt>
                <c:pt idx="6">
                  <c:v>9363.7548891786173</c:v>
                </c:pt>
                <c:pt idx="7">
                  <c:v>10701.434159061278</c:v>
                </c:pt>
                <c:pt idx="8">
                  <c:v>12039.113428943936</c:v>
                </c:pt>
                <c:pt idx="9">
                  <c:v>13376.792698826597</c:v>
                </c:pt>
                <c:pt idx="10">
                  <c:v>14714.471968709257</c:v>
                </c:pt>
                <c:pt idx="11">
                  <c:v>16052.151238591918</c:v>
                </c:pt>
                <c:pt idx="12">
                  <c:v>17389.830508474577</c:v>
                </c:pt>
                <c:pt idx="13">
                  <c:v>18727.509778357235</c:v>
                </c:pt>
                <c:pt idx="14">
                  <c:v>20065.189048239896</c:v>
                </c:pt>
                <c:pt idx="15">
                  <c:v>21402.868318122557</c:v>
                </c:pt>
                <c:pt idx="16">
                  <c:v>22740.547588005214</c:v>
                </c:pt>
                <c:pt idx="17">
                  <c:v>24078.226857887872</c:v>
                </c:pt>
                <c:pt idx="18">
                  <c:v>25415.906127770533</c:v>
                </c:pt>
                <c:pt idx="19">
                  <c:v>26753.585397653194</c:v>
                </c:pt>
                <c:pt idx="20">
                  <c:v>28091.264667535856</c:v>
                </c:pt>
                <c:pt idx="21">
                  <c:v>29428.943937418513</c:v>
                </c:pt>
                <c:pt idx="22">
                  <c:v>30766.623207301171</c:v>
                </c:pt>
                <c:pt idx="23">
                  <c:v>32104.302477183835</c:v>
                </c:pt>
                <c:pt idx="24">
                  <c:v>33441.981747066493</c:v>
                </c:pt>
              </c:numCache>
            </c:numRef>
          </c:xVal>
          <c:yVal>
            <c:numRef>
              <c:f>' 2 MMSHE P40'!$U$8:$U$32</c:f>
              <c:numCache>
                <c:formatCode>0.00000</c:formatCode>
                <c:ptCount val="25"/>
                <c:pt idx="0">
                  <c:v>1.3079419952900486E-2</c:v>
                </c:pt>
                <c:pt idx="1">
                  <c:v>1.0998437351991925E-2</c:v>
                </c:pt>
                <c:pt idx="2">
                  <c:v>9.9382100278372597E-3</c:v>
                </c:pt>
                <c:pt idx="3">
                  <c:v>9.2485465426825654E-3</c:v>
                </c:pt>
                <c:pt idx="4">
                  <c:v>8.7467352882173704E-3</c:v>
                </c:pt>
                <c:pt idx="5">
                  <c:v>8.357005186446869E-3</c:v>
                </c:pt>
                <c:pt idx="6">
                  <c:v>8.041072434517604E-3</c:v>
                </c:pt>
                <c:pt idx="7">
                  <c:v>7.7770696340489082E-3</c:v>
                </c:pt>
                <c:pt idx="8">
                  <c:v>7.5514066306512579E-3</c:v>
                </c:pt>
                <c:pt idx="9">
                  <c:v>7.3550983490351524E-3</c:v>
                </c:pt>
                <c:pt idx="10">
                  <c:v>7.1819158628868554E-3</c:v>
                </c:pt>
                <c:pt idx="11">
                  <c:v>7.0273757035398737E-3</c:v>
                </c:pt>
                <c:pt idx="12">
                  <c:v>6.8881507968214205E-3</c:v>
                </c:pt>
                <c:pt idx="13">
                  <c:v>6.7617089849813117E-3</c:v>
                </c:pt>
                <c:pt idx="14">
                  <c:v>6.6460816049356258E-3</c:v>
                </c:pt>
                <c:pt idx="15">
                  <c:v>6.5397099764502439E-3</c:v>
                </c:pt>
                <c:pt idx="16">
                  <c:v>6.4413404503606986E-3</c:v>
                </c:pt>
                <c:pt idx="17">
                  <c:v>6.3499507658377734E-3</c:v>
                </c:pt>
                <c:pt idx="18">
                  <c:v>6.2646971935397732E-3</c:v>
                </c:pt>
                <c:pt idx="19">
                  <c:v>6.1848758355421739E-3</c:v>
                </c:pt>
                <c:pt idx="20">
                  <c:v>6.1098937866558021E-3</c:v>
                </c:pt>
                <c:pt idx="21">
                  <c:v>6.0392473037553449E-3</c:v>
                </c:pt>
                <c:pt idx="22">
                  <c:v>5.9725050451944258E-3</c:v>
                </c:pt>
                <c:pt idx="23">
                  <c:v>5.9092950377477296E-3</c:v>
                </c:pt>
                <c:pt idx="24">
                  <c:v>5.8492944241905175E-3</c:v>
                </c:pt>
              </c:numCache>
            </c:numRef>
          </c:yVal>
          <c:smooth val="0"/>
          <c:extLst>
            <c:ext xmlns:c16="http://schemas.microsoft.com/office/drawing/2014/chart" uri="{C3380CC4-5D6E-409C-BE32-E72D297353CC}">
              <c16:uniqueId val="{00000003-84BA-4C8F-A0F1-B0AA226ED2AA}"/>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 3 MMSHE P40'!$G$7:$G$12</c:f>
              <c:numCache>
                <c:formatCode>0.00</c:formatCode>
                <c:ptCount val="6"/>
                <c:pt idx="0">
                  <c:v>0</c:v>
                </c:pt>
                <c:pt idx="1">
                  <c:v>0.76946875961883665</c:v>
                </c:pt>
                <c:pt idx="2">
                  <c:v>1.7313047091423828</c:v>
                </c:pt>
                <c:pt idx="3">
                  <c:v>2.7777822222240007</c:v>
                </c:pt>
                <c:pt idx="4">
                  <c:v>4.4321400554044992</c:v>
                </c:pt>
                <c:pt idx="5">
                  <c:v>6.3233232734899074</c:v>
                </c:pt>
              </c:numCache>
            </c:numRef>
          </c:xVal>
          <c:yVal>
            <c:numRef>
              <c:f>' 3 MMSHE P40'!$K$7:$K$12</c:f>
              <c:numCache>
                <c:formatCode>0</c:formatCode>
                <c:ptCount val="6"/>
                <c:pt idx="0">
                  <c:v>0</c:v>
                </c:pt>
                <c:pt idx="1">
                  <c:v>1220.8064516129025</c:v>
                </c:pt>
                <c:pt idx="2">
                  <c:v>3114.5096774193553</c:v>
                </c:pt>
                <c:pt idx="3">
                  <c:v>4640.9516129032254</c:v>
                </c:pt>
                <c:pt idx="4">
                  <c:v>6819.1516129032234</c:v>
                </c:pt>
                <c:pt idx="5">
                  <c:v>8345.5451612903234</c:v>
                </c:pt>
              </c:numCache>
            </c:numRef>
          </c:yVal>
          <c:smooth val="0"/>
          <c:extLst>
            <c:ext xmlns:c16="http://schemas.microsoft.com/office/drawing/2014/chart" uri="{C3380CC4-5D6E-409C-BE32-E72D297353CC}">
              <c16:uniqueId val="{00000001-FC7B-4FBE-9A2A-BD04C1E86BD9}"/>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 3 MMSHE P40'!$O$6</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 3 MMSHE P40'!$L$8:$L$12</c:f>
              <c:numCache>
                <c:formatCode>0.0E+00</c:formatCode>
                <c:ptCount val="5"/>
                <c:pt idx="0">
                  <c:v>12592.766475011058</c:v>
                </c:pt>
                <c:pt idx="1">
                  <c:v>18889.149712516588</c:v>
                </c:pt>
                <c:pt idx="2">
                  <c:v>23926.256302521011</c:v>
                </c:pt>
                <c:pt idx="3">
                  <c:v>30222.639540026539</c:v>
                </c:pt>
                <c:pt idx="4">
                  <c:v>36099.263895031705</c:v>
                </c:pt>
              </c:numCache>
            </c:numRef>
          </c:xVal>
          <c:yVal>
            <c:numRef>
              <c:f>' 3 MMSHE P40'!$O$8:$O$12</c:f>
              <c:numCache>
                <c:formatCode>0.000</c:formatCode>
                <c:ptCount val="5"/>
                <c:pt idx="0">
                  <c:v>1.5446091921724915E-2</c:v>
                </c:pt>
                <c:pt idx="1">
                  <c:v>1.7513742732187219E-2</c:v>
                </c:pt>
                <c:pt idx="2">
                  <c:v>1.6265658045575192E-2</c:v>
                </c:pt>
                <c:pt idx="3">
                  <c:v>1.4978891062748368E-2</c:v>
                </c:pt>
                <c:pt idx="4">
                  <c:v>1.2849082508989036E-2</c:v>
                </c:pt>
              </c:numCache>
            </c:numRef>
          </c:yVal>
          <c:smooth val="0"/>
          <c:extLst>
            <c:ext xmlns:c16="http://schemas.microsoft.com/office/drawing/2014/chart" uri="{C3380CC4-5D6E-409C-BE32-E72D297353CC}">
              <c16:uniqueId val="{00000001-D7B8-4204-A7C6-DC84CFE06D4F}"/>
            </c:ext>
          </c:extLst>
        </c:ser>
        <c:ser>
          <c:idx val="1"/>
          <c:order val="1"/>
          <c:tx>
            <c:strRef>
              <c:f>' 3 MMSHE P40'!$T$6</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 3 MMSHE P40'!$S$8:$S$32</c:f>
              <c:numCache>
                <c:formatCode>0.00000</c:formatCode>
                <c:ptCount val="25"/>
                <c:pt idx="0">
                  <c:v>1435.5742296918768</c:v>
                </c:pt>
                <c:pt idx="1">
                  <c:v>2871.1484593837536</c:v>
                </c:pt>
                <c:pt idx="2">
                  <c:v>4306.7226890756301</c:v>
                </c:pt>
                <c:pt idx="3">
                  <c:v>5742.2969187675071</c:v>
                </c:pt>
                <c:pt idx="4">
                  <c:v>7177.8711484593841</c:v>
                </c:pt>
                <c:pt idx="5">
                  <c:v>8613.4453781512602</c:v>
                </c:pt>
                <c:pt idx="6">
                  <c:v>10049.019607843138</c:v>
                </c:pt>
                <c:pt idx="7">
                  <c:v>11484.593837535014</c:v>
                </c:pt>
                <c:pt idx="8">
                  <c:v>12920.168067226892</c:v>
                </c:pt>
                <c:pt idx="9">
                  <c:v>14355.742296918768</c:v>
                </c:pt>
                <c:pt idx="10">
                  <c:v>15791.316526610646</c:v>
                </c:pt>
                <c:pt idx="11">
                  <c:v>17226.89075630252</c:v>
                </c:pt>
                <c:pt idx="12">
                  <c:v>18662.4649859944</c:v>
                </c:pt>
                <c:pt idx="13">
                  <c:v>20098.039215686276</c:v>
                </c:pt>
                <c:pt idx="14">
                  <c:v>21533.613445378152</c:v>
                </c:pt>
                <c:pt idx="15">
                  <c:v>22969.187675070028</c:v>
                </c:pt>
                <c:pt idx="16">
                  <c:v>24404.761904761905</c:v>
                </c:pt>
                <c:pt idx="17">
                  <c:v>25840.336134453784</c:v>
                </c:pt>
                <c:pt idx="18">
                  <c:v>27275.91036414566</c:v>
                </c:pt>
                <c:pt idx="19">
                  <c:v>28711.484593837537</c:v>
                </c:pt>
                <c:pt idx="20">
                  <c:v>30147.058823529416</c:v>
                </c:pt>
                <c:pt idx="21">
                  <c:v>31582.633053221292</c:v>
                </c:pt>
                <c:pt idx="22">
                  <c:v>33018.207282913165</c:v>
                </c:pt>
                <c:pt idx="23">
                  <c:v>34453.781512605041</c:v>
                </c:pt>
                <c:pt idx="24">
                  <c:v>35889.355742296917</c:v>
                </c:pt>
              </c:numCache>
            </c:numRef>
          </c:xVal>
          <c:yVal>
            <c:numRef>
              <c:f>' 3 MMSHE P40'!$U$8:$U$32</c:f>
              <c:numCache>
                <c:formatCode>0.00000</c:formatCode>
                <c:ptCount val="25"/>
                <c:pt idx="0">
                  <c:v>1.2850501305993444E-2</c:v>
                </c:pt>
                <c:pt idx="1">
                  <c:v>1.0805940482423067E-2</c:v>
                </c:pt>
                <c:pt idx="2">
                  <c:v>9.7642694708062177E-3</c:v>
                </c:pt>
                <c:pt idx="3">
                  <c:v>9.0866766151145497E-3</c:v>
                </c:pt>
                <c:pt idx="4">
                  <c:v>8.5936481624699669E-3</c:v>
                </c:pt>
                <c:pt idx="5">
                  <c:v>8.2107391955722319E-3</c:v>
                </c:pt>
                <c:pt idx="6">
                  <c:v>7.9003359624095198E-3</c:v>
                </c:pt>
                <c:pt idx="7">
                  <c:v>7.6409537922195814E-3</c:v>
                </c:pt>
                <c:pt idx="8">
                  <c:v>7.4192403882369553E-3</c:v>
                </c:pt>
                <c:pt idx="9">
                  <c:v>7.2263679337726677E-3</c:v>
                </c:pt>
                <c:pt idx="10">
                  <c:v>7.0562165224380691E-3</c:v>
                </c:pt>
                <c:pt idx="11">
                  <c:v>6.9043811561398574E-3</c:v>
                </c:pt>
                <c:pt idx="12">
                  <c:v>6.7675929918286758E-3</c:v>
                </c:pt>
                <c:pt idx="13">
                  <c:v>6.6433641900901707E-3</c:v>
                </c:pt>
                <c:pt idx="14">
                  <c:v>6.5297605437789142E-3</c:v>
                </c:pt>
                <c:pt idx="15">
                  <c:v>6.4252506529967222E-3</c:v>
                </c:pt>
                <c:pt idx="16">
                  <c:v>6.3286028101997415E-3</c:v>
                </c:pt>
                <c:pt idx="17">
                  <c:v>6.2388126463740331E-3</c:v>
                </c:pt>
                <c:pt idx="18">
                  <c:v>6.155051199299072E-3</c:v>
                </c:pt>
                <c:pt idx="19">
                  <c:v>6.076626890813828E-3</c:v>
                </c:pt>
                <c:pt idx="20">
                  <c:v>6.0029571928753725E-3</c:v>
                </c:pt>
                <c:pt idx="21">
                  <c:v>5.9335471789722033E-3</c:v>
                </c:pt>
                <c:pt idx="22">
                  <c:v>5.8679730568864759E-3</c:v>
                </c:pt>
                <c:pt idx="23">
                  <c:v>5.8058693637433037E-3</c:v>
                </c:pt>
                <c:pt idx="24">
                  <c:v>5.7469188930302333E-3</c:v>
                </c:pt>
              </c:numCache>
            </c:numRef>
          </c:yVal>
          <c:smooth val="0"/>
          <c:extLst>
            <c:ext xmlns:c16="http://schemas.microsoft.com/office/drawing/2014/chart" uri="{C3380CC4-5D6E-409C-BE32-E72D297353CC}">
              <c16:uniqueId val="{00000003-D7B8-4204-A7C6-DC84CFE06D4F}"/>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 4 MMSHE P40'!$G$7:$G$12</c:f>
              <c:numCache>
                <c:formatCode>0.00</c:formatCode>
                <c:ptCount val="6"/>
                <c:pt idx="0">
                  <c:v>0</c:v>
                </c:pt>
                <c:pt idx="1">
                  <c:v>0.93105719913879237</c:v>
                </c:pt>
                <c:pt idx="2">
                  <c:v>1.9698400246242216</c:v>
                </c:pt>
                <c:pt idx="3">
                  <c:v>3.3933572299190695</c:v>
                </c:pt>
                <c:pt idx="4">
                  <c:v>5.0690891953112009</c:v>
                </c:pt>
                <c:pt idx="5">
                  <c:v>7.0799675537817635</c:v>
                </c:pt>
              </c:numCache>
            </c:numRef>
          </c:xVal>
          <c:yVal>
            <c:numRef>
              <c:f>' 4 MMSHE P40'!$K$7:$K$12</c:f>
              <c:numCache>
                <c:formatCode>0</c:formatCode>
                <c:ptCount val="6"/>
                <c:pt idx="0">
                  <c:v>0</c:v>
                </c:pt>
                <c:pt idx="1">
                  <c:v>1206.4935483870959</c:v>
                </c:pt>
                <c:pt idx="2">
                  <c:v>2959.4580645161273</c:v>
                </c:pt>
                <c:pt idx="3">
                  <c:v>5258.1548387096782</c:v>
                </c:pt>
                <c:pt idx="4">
                  <c:v>7631.8709677419338</c:v>
                </c:pt>
                <c:pt idx="5">
                  <c:v>8451.5193548387088</c:v>
                </c:pt>
              </c:numCache>
            </c:numRef>
          </c:yVal>
          <c:smooth val="0"/>
          <c:extLst>
            <c:ext xmlns:c16="http://schemas.microsoft.com/office/drawing/2014/chart" uri="{C3380CC4-5D6E-409C-BE32-E72D297353CC}">
              <c16:uniqueId val="{00000001-D41B-4A21-91CF-B713796B0151}"/>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 4 MMSHE P40'!$O$6</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 4 MMSHE P40'!$L$8:$L$12</c:f>
              <c:numCache>
                <c:formatCode>0.0E+00</c:formatCode>
                <c:ptCount val="5"/>
                <c:pt idx="0">
                  <c:v>13852.043122512165</c:v>
                </c:pt>
                <c:pt idx="1">
                  <c:v>20148.426360017693</c:v>
                </c:pt>
                <c:pt idx="2">
                  <c:v>26444.809597523221</c:v>
                </c:pt>
                <c:pt idx="3">
                  <c:v>32321.433952528376</c:v>
                </c:pt>
                <c:pt idx="4">
                  <c:v>38198.058307533545</c:v>
                </c:pt>
              </c:numCache>
            </c:numRef>
          </c:xVal>
          <c:yVal>
            <c:numRef>
              <c:f>' 4 MMSHE P40'!$O$8:$O$12</c:f>
              <c:numCache>
                <c:formatCode>0.000</c:formatCode>
                <c:ptCount val="5"/>
                <c:pt idx="0">
                  <c:v>1.26157023219332E-2</c:v>
                </c:pt>
                <c:pt idx="1">
                  <c:v>1.4626621544222252E-2</c:v>
                </c:pt>
                <c:pt idx="2">
                  <c:v>1.5085738685865062E-2</c:v>
                </c:pt>
                <c:pt idx="3">
                  <c:v>1.4657634146665214E-2</c:v>
                </c:pt>
                <c:pt idx="4">
                  <c:v>1.1621610462313142E-2</c:v>
                </c:pt>
              </c:numCache>
            </c:numRef>
          </c:yVal>
          <c:smooth val="0"/>
          <c:extLst>
            <c:ext xmlns:c16="http://schemas.microsoft.com/office/drawing/2014/chart" uri="{C3380CC4-5D6E-409C-BE32-E72D297353CC}">
              <c16:uniqueId val="{00000001-5DBC-45EF-9BB9-D94AD452F5DC}"/>
            </c:ext>
          </c:extLst>
        </c:ser>
        <c:ser>
          <c:idx val="1"/>
          <c:order val="1"/>
          <c:tx>
            <c:strRef>
              <c:f>' 4 MMSHE P40'!$T$6</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 4 MMSHE P40'!$S$8:$S$32</c:f>
              <c:numCache>
                <c:formatCode>0.00000</c:formatCode>
                <c:ptCount val="25"/>
                <c:pt idx="0">
                  <c:v>1435.5742296918768</c:v>
                </c:pt>
                <c:pt idx="1">
                  <c:v>2871.1484593837536</c:v>
                </c:pt>
                <c:pt idx="2">
                  <c:v>4306.7226890756301</c:v>
                </c:pt>
                <c:pt idx="3">
                  <c:v>5742.2969187675071</c:v>
                </c:pt>
                <c:pt idx="4">
                  <c:v>7177.8711484593841</c:v>
                </c:pt>
                <c:pt idx="5">
                  <c:v>8613.4453781512602</c:v>
                </c:pt>
                <c:pt idx="6">
                  <c:v>10049.019607843138</c:v>
                </c:pt>
                <c:pt idx="7">
                  <c:v>11484.593837535014</c:v>
                </c:pt>
                <c:pt idx="8">
                  <c:v>12920.168067226892</c:v>
                </c:pt>
                <c:pt idx="9">
                  <c:v>14355.742296918768</c:v>
                </c:pt>
                <c:pt idx="10">
                  <c:v>15791.316526610646</c:v>
                </c:pt>
                <c:pt idx="11">
                  <c:v>17226.89075630252</c:v>
                </c:pt>
                <c:pt idx="12">
                  <c:v>18662.4649859944</c:v>
                </c:pt>
                <c:pt idx="13">
                  <c:v>20098.039215686276</c:v>
                </c:pt>
                <c:pt idx="14">
                  <c:v>21533.613445378152</c:v>
                </c:pt>
                <c:pt idx="15">
                  <c:v>22969.187675070028</c:v>
                </c:pt>
                <c:pt idx="16">
                  <c:v>24404.761904761905</c:v>
                </c:pt>
                <c:pt idx="17">
                  <c:v>25840.336134453784</c:v>
                </c:pt>
                <c:pt idx="18">
                  <c:v>27275.91036414566</c:v>
                </c:pt>
                <c:pt idx="19">
                  <c:v>28711.484593837537</c:v>
                </c:pt>
                <c:pt idx="20">
                  <c:v>30147.058823529416</c:v>
                </c:pt>
                <c:pt idx="21">
                  <c:v>31582.633053221292</c:v>
                </c:pt>
                <c:pt idx="22">
                  <c:v>33018.207282913165</c:v>
                </c:pt>
                <c:pt idx="23">
                  <c:v>34453.781512605041</c:v>
                </c:pt>
                <c:pt idx="24">
                  <c:v>35889.355742296917</c:v>
                </c:pt>
              </c:numCache>
            </c:numRef>
          </c:xVal>
          <c:yVal>
            <c:numRef>
              <c:f>' 4 MMSHE P40'!$U$8:$U$32</c:f>
              <c:numCache>
                <c:formatCode>0.00000</c:formatCode>
                <c:ptCount val="25"/>
                <c:pt idx="0">
                  <c:v>1.2850501305993444E-2</c:v>
                </c:pt>
                <c:pt idx="1">
                  <c:v>1.0805940482423067E-2</c:v>
                </c:pt>
                <c:pt idx="2">
                  <c:v>9.7642694708062177E-3</c:v>
                </c:pt>
                <c:pt idx="3">
                  <c:v>9.0866766151145497E-3</c:v>
                </c:pt>
                <c:pt idx="4">
                  <c:v>8.5936481624699669E-3</c:v>
                </c:pt>
                <c:pt idx="5">
                  <c:v>8.2107391955722319E-3</c:v>
                </c:pt>
                <c:pt idx="6">
                  <c:v>7.9003359624095198E-3</c:v>
                </c:pt>
                <c:pt idx="7">
                  <c:v>7.6409537922195814E-3</c:v>
                </c:pt>
                <c:pt idx="8">
                  <c:v>7.4192403882369553E-3</c:v>
                </c:pt>
                <c:pt idx="9">
                  <c:v>7.2263679337726677E-3</c:v>
                </c:pt>
                <c:pt idx="10">
                  <c:v>7.0562165224380691E-3</c:v>
                </c:pt>
                <c:pt idx="11">
                  <c:v>6.9043811561398574E-3</c:v>
                </c:pt>
                <c:pt idx="12">
                  <c:v>6.7675929918286758E-3</c:v>
                </c:pt>
                <c:pt idx="13">
                  <c:v>6.6433641900901707E-3</c:v>
                </c:pt>
                <c:pt idx="14">
                  <c:v>6.5297605437789142E-3</c:v>
                </c:pt>
                <c:pt idx="15">
                  <c:v>6.4252506529967222E-3</c:v>
                </c:pt>
                <c:pt idx="16">
                  <c:v>6.3286028101997415E-3</c:v>
                </c:pt>
                <c:pt idx="17">
                  <c:v>6.2388126463740331E-3</c:v>
                </c:pt>
                <c:pt idx="18">
                  <c:v>6.155051199299072E-3</c:v>
                </c:pt>
                <c:pt idx="19">
                  <c:v>6.076626890813828E-3</c:v>
                </c:pt>
                <c:pt idx="20">
                  <c:v>6.0029571928753725E-3</c:v>
                </c:pt>
                <c:pt idx="21">
                  <c:v>5.9335471789722033E-3</c:v>
                </c:pt>
                <c:pt idx="22">
                  <c:v>5.8679730568864759E-3</c:v>
                </c:pt>
                <c:pt idx="23">
                  <c:v>5.8058693637433037E-3</c:v>
                </c:pt>
                <c:pt idx="24">
                  <c:v>5.7469188930302333E-3</c:v>
                </c:pt>
              </c:numCache>
            </c:numRef>
          </c:yVal>
          <c:smooth val="0"/>
          <c:extLst>
            <c:ext xmlns:c16="http://schemas.microsoft.com/office/drawing/2014/chart" uri="{C3380CC4-5D6E-409C-BE32-E72D297353CC}">
              <c16:uniqueId val="{00000003-5DBC-45EF-9BB9-D94AD452F5DC}"/>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75249756293245"/>
          <c:y val="0.120988575035677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'MMHSE P40 AVGS'!$G$7:$G$12</c:f>
              <c:numCache>
                <c:formatCode>0.00</c:formatCode>
                <c:ptCount val="6"/>
                <c:pt idx="0">
                  <c:v>0</c:v>
                </c:pt>
                <c:pt idx="1">
                  <c:v>0.88035501319977083</c:v>
                </c:pt>
                <c:pt idx="2">
                  <c:v>1.9393172318476062</c:v>
                </c:pt>
                <c:pt idx="3">
                  <c:v>3.2311223775323241</c:v>
                </c:pt>
                <c:pt idx="4">
                  <c:v>4.9382795061760012</c:v>
                </c:pt>
                <c:pt idx="5">
                  <c:v>6.6959655984581836</c:v>
                </c:pt>
              </c:numCache>
            </c:numRef>
          </c:xVal>
          <c:yVal>
            <c:numRef>
              <c:f>'MMHSE P40 AVGS'!$K$7:$K$12</c:f>
              <c:numCache>
                <c:formatCode>0</c:formatCode>
                <c:ptCount val="6"/>
                <c:pt idx="0">
                  <c:v>0</c:v>
                </c:pt>
                <c:pt idx="1">
                  <c:v>1298.6701075268811</c:v>
                </c:pt>
                <c:pt idx="2">
                  <c:v>3023.1120430107521</c:v>
                </c:pt>
                <c:pt idx="3">
                  <c:v>5036.344301075268</c:v>
                </c:pt>
                <c:pt idx="4">
                  <c:v>7396.7765591397838</c:v>
                </c:pt>
                <c:pt idx="5">
                  <c:v>8536.9227956989216</c:v>
                </c:pt>
              </c:numCache>
            </c:numRef>
          </c:yVal>
          <c:smooth val="0"/>
          <c:extLst>
            <c:ext xmlns:c16="http://schemas.microsoft.com/office/drawing/2014/chart" uri="{C3380CC4-5D6E-409C-BE32-E72D297353CC}">
              <c16:uniqueId val="{00000001-EEA3-4B3F-BA59-80C005285B00}"/>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3"/>
          <c:order val="3"/>
          <c:tx>
            <c:v>Smooth Elastomer Elongation</c:v>
          </c:tx>
          <c:spPr>
            <a:ln w="25400" cap="rnd">
              <a:noFill/>
              <a:round/>
            </a:ln>
            <a:effectLst/>
          </c:spPr>
          <c:marker>
            <c:symbol val="circle"/>
            <c:size val="5"/>
            <c:spPr>
              <a:solidFill>
                <a:schemeClr val="accent4"/>
              </a:solidFill>
              <a:ln w="9525">
                <a:solidFill>
                  <a:schemeClr val="accent4"/>
                </a:solidFill>
              </a:ln>
              <a:effectLst/>
            </c:spPr>
          </c:marker>
          <c:xVal>
            <c:numRef>
              <c:f>'MMHSE flat AVG'!$L$7:$L$12</c:f>
              <c:numCache>
                <c:formatCode>0.0E+00</c:formatCode>
                <c:ptCount val="6"/>
                <c:pt idx="0">
                  <c:v>16791.76035066746</c:v>
                </c:pt>
                <c:pt idx="1">
                  <c:v>24733.809165172341</c:v>
                </c:pt>
                <c:pt idx="2">
                  <c:v>31541.279577605099</c:v>
                </c:pt>
                <c:pt idx="3">
                  <c:v>38802.581350866705</c:v>
                </c:pt>
                <c:pt idx="4">
                  <c:v>46971.545845786015</c:v>
                </c:pt>
                <c:pt idx="5">
                  <c:v>52871.353536561066</c:v>
                </c:pt>
              </c:numCache>
              <c:extLst xmlns:c15="http://schemas.microsoft.com/office/drawing/2012/chart"/>
            </c:numRef>
          </c:xVal>
          <c:yVal>
            <c:numRef>
              <c:f>'MMHSE flat AVG'!$T$7:$T$12</c:f>
              <c:numCache>
                <c:formatCode>General</c:formatCode>
                <c:ptCount val="6"/>
                <c:pt idx="0">
                  <c:v>70.255666666666656</c:v>
                </c:pt>
                <c:pt idx="1">
                  <c:v>70.236333333333334</c:v>
                </c:pt>
                <c:pt idx="2">
                  <c:v>72.275749999999988</c:v>
                </c:pt>
                <c:pt idx="3">
                  <c:v>71.86399999999999</c:v>
                </c:pt>
                <c:pt idx="4">
                  <c:v>74.114500000000007</c:v>
                </c:pt>
                <c:pt idx="5">
                  <c:v>75.267499999999998</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3-DF29-4539-A1DB-EFDEF85DB7BB}"/>
            </c:ext>
          </c:extLst>
        </c:ser>
        <c:ser>
          <c:idx val="5"/>
          <c:order val="5"/>
          <c:tx>
            <c:v>P80 Elastomer Elongation</c:v>
          </c:tx>
          <c:spPr>
            <a:ln w="25400" cap="rnd">
              <a:noFill/>
              <a:round/>
            </a:ln>
            <a:effectLst/>
          </c:spPr>
          <c:marker>
            <c:symbol val="circle"/>
            <c:size val="5"/>
            <c:spPr>
              <a:solidFill>
                <a:schemeClr val="accent6"/>
              </a:solidFill>
              <a:ln w="9525">
                <a:solidFill>
                  <a:schemeClr val="accent6"/>
                </a:solidFill>
              </a:ln>
              <a:effectLst/>
            </c:spPr>
          </c:marker>
          <c:xVal>
            <c:numRef>
              <c:f>'MMHSE P80 AVGS'!$L$7:$L$12</c:f>
              <c:numCache>
                <c:formatCode>0.0E+00</c:formatCode>
                <c:ptCount val="6"/>
                <c:pt idx="0">
                  <c:v>13610.328035679087</c:v>
                </c:pt>
                <c:pt idx="1">
                  <c:v>18801.896461659773</c:v>
                </c:pt>
                <c:pt idx="2">
                  <c:v>24835.340848610296</c:v>
                </c:pt>
                <c:pt idx="3">
                  <c:v>30447.8472550759</c:v>
                </c:pt>
                <c:pt idx="4">
                  <c:v>34727.383390005925</c:v>
                </c:pt>
                <c:pt idx="5">
                  <c:v>39568.170165582502</c:v>
                </c:pt>
              </c:numCache>
              <c:extLst xmlns:c15="http://schemas.microsoft.com/office/drawing/2012/chart"/>
            </c:numRef>
          </c:xVal>
          <c:yVal>
            <c:numRef>
              <c:f>'MMHSE P80 AVGS'!$S$7:$S$12</c:f>
              <c:numCache>
                <c:formatCode>General</c:formatCode>
                <c:ptCount val="6"/>
                <c:pt idx="0">
                  <c:v>46.262833333333333</c:v>
                </c:pt>
                <c:pt idx="1">
                  <c:v>45.570444444444441</c:v>
                </c:pt>
                <c:pt idx="2">
                  <c:v>45.556777777777775</c:v>
                </c:pt>
                <c:pt idx="3">
                  <c:v>46.690722222222227</c:v>
                </c:pt>
                <c:pt idx="4">
                  <c:v>50.249250000000004</c:v>
                </c:pt>
                <c:pt idx="5">
                  <c:v>56.551666666666669</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5-DF29-4539-A1DB-EFDEF85DB7BB}"/>
            </c:ext>
          </c:extLst>
        </c:ser>
        <c:ser>
          <c:idx val="6"/>
          <c:order val="6"/>
          <c:tx>
            <c:v>P240 Elastomer Elongation</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xVal>
            <c:numRef>
              <c:f>'MMHSE P240 AVG'!$L$7:$L$10</c:f>
              <c:numCache>
                <c:formatCode>0.0E+00</c:formatCode>
                <c:ptCount val="4"/>
                <c:pt idx="0">
                  <c:v>11807.649133593246</c:v>
                </c:pt>
                <c:pt idx="1">
                  <c:v>18828.41348329734</c:v>
                </c:pt>
                <c:pt idx="2">
                  <c:v>24891.800876223599</c:v>
                </c:pt>
                <c:pt idx="3">
                  <c:v>31832.783812862872</c:v>
                </c:pt>
              </c:numCache>
              <c:extLst xmlns:c15="http://schemas.microsoft.com/office/drawing/2012/chart"/>
            </c:numRef>
          </c:xVal>
          <c:yVal>
            <c:numRef>
              <c:f>'MMHSE P240 AVG'!$T$7:$T$10</c:f>
              <c:numCache>
                <c:formatCode>General</c:formatCode>
                <c:ptCount val="4"/>
                <c:pt idx="0">
                  <c:v>55.282222222222224</c:v>
                </c:pt>
                <c:pt idx="1">
                  <c:v>52.43588888888889</c:v>
                </c:pt>
                <c:pt idx="2">
                  <c:v>53.037888888888887</c:v>
                </c:pt>
                <c:pt idx="3">
                  <c:v>56.688333333333333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6-DF29-4539-A1DB-EFDEF85DB7BB}"/>
            </c:ext>
          </c:extLst>
        </c:ser>
        <c:dLbls>
          <c:showLegendKey val="0"/>
          <c:showVal val="0"/>
          <c:showCatName val="0"/>
          <c:showSerName val="0"/>
          <c:showPercent val="0"/>
          <c:showBubbleSize val="0"/>
        </c:dLbls>
        <c:axId val="420696127"/>
        <c:axId val="651585247"/>
        <c:extLst>
          <c:ext xmlns:c15="http://schemas.microsoft.com/office/drawing/2012/chart" uri="{02D57815-91ED-43cb-92C2-25804820EDAC}">
            <c15:filteredScatterSeries>
              <c15:ser>
                <c:idx val="0"/>
                <c:order val="0"/>
                <c:tx>
                  <c:v>P240 Rigid Elongation</c:v>
                </c:tx>
                <c:spPr>
                  <a:ln w="25400" cap="rnd">
                    <a:noFill/>
                    <a:round/>
                  </a:ln>
                  <a:effectLst/>
                </c:spPr>
                <c:marker>
                  <c:symbol val="circle"/>
                  <c:size val="5"/>
                  <c:spPr>
                    <a:solidFill>
                      <a:schemeClr val="accent1"/>
                    </a:solidFill>
                    <a:ln w="9525">
                      <a:solidFill>
                        <a:schemeClr val="accent1"/>
                      </a:solidFill>
                    </a:ln>
                    <a:effectLst/>
                  </c:spPr>
                </c:marker>
                <c:xVal>
                  <c:numRef>
                    <c:extLst>
                      <c:ext uri="{02D57815-91ED-43cb-92C2-25804820EDAC}">
                        <c15:formulaRef>
                          <c15:sqref>'EF25 P240 AVGS'!$L$7:$L$12</c15:sqref>
                        </c15:formulaRef>
                      </c:ext>
                    </c:extLst>
                    <c:numCache>
                      <c:formatCode>0.0E+00</c:formatCode>
                      <c:ptCount val="6"/>
                      <c:pt idx="0">
                        <c:v>17255.906060606056</c:v>
                      </c:pt>
                      <c:pt idx="1">
                        <c:v>24959.435551948049</c:v>
                      </c:pt>
                      <c:pt idx="2">
                        <c:v>32971.106222943716</c:v>
                      </c:pt>
                      <c:pt idx="3">
                        <c:v>40212.423944805189</c:v>
                      </c:pt>
                      <c:pt idx="4">
                        <c:v>46837.459307359313</c:v>
                      </c:pt>
                      <c:pt idx="5">
                        <c:v>51767.718181818185</c:v>
                      </c:pt>
                    </c:numCache>
                  </c:numRef>
                </c:xVal>
                <c:yVal>
                  <c:numRef>
                    <c:extLst>
                      <c:ext uri="{02D57815-91ED-43cb-92C2-25804820EDAC}">
                        <c15:formulaRef>
                          <c15:sqref>'EF25 P240 AVGS'!$T$7:$T$12</c15:sqref>
                        </c15:formulaRef>
                      </c:ext>
                    </c:extLst>
                    <c:numCache>
                      <c:formatCode>0.00</c:formatCode>
                      <c:ptCount val="6"/>
                      <c:pt idx="0">
                        <c:v>65.287666666666667</c:v>
                      </c:pt>
                      <c:pt idx="1">
                        <c:v>64.590333333333334</c:v>
                      </c:pt>
                      <c:pt idx="2">
                        <c:v>65.329222222222214</c:v>
                      </c:pt>
                      <c:pt idx="3">
                        <c:v>64.043166666666664</c:v>
                      </c:pt>
                      <c:pt idx="4">
                        <c:v>64.469333333333338</c:v>
                      </c:pt>
                      <c:pt idx="5">
                        <c:v>64.34341666666667</c:v>
                      </c:pt>
                    </c:numCache>
                  </c:numRef>
                </c:yVal>
                <c:smooth val="0"/>
                <c:extLst>
                  <c:ext xmlns:c16="http://schemas.microsoft.com/office/drawing/2014/chart" uri="{C3380CC4-5D6E-409C-BE32-E72D297353CC}">
                    <c16:uniqueId val="{00000000-DF29-4539-A1DB-EFDEF85DB7BB}"/>
                  </c:ext>
                </c:extLst>
              </c15:ser>
            </c15:filteredScatterSeries>
            <c15:filteredScatterSeries>
              <c15:ser>
                <c:idx val="1"/>
                <c:order val="1"/>
                <c:tx>
                  <c:v>P80 Rigid Elongation</c:v>
                </c:tx>
                <c:spPr>
                  <a:ln w="25400" cap="rnd">
                    <a:noFill/>
                    <a:round/>
                  </a:ln>
                  <a:effectLst/>
                </c:spPr>
                <c:marker>
                  <c:symbol val="circle"/>
                  <c:size val="5"/>
                  <c:spPr>
                    <a:solidFill>
                      <a:schemeClr val="accent2"/>
                    </a:solidFill>
                    <a:ln w="9525">
                      <a:solidFill>
                        <a:schemeClr val="accent2"/>
                      </a:solidFill>
                    </a:ln>
                    <a:effectLst/>
                  </c:spPr>
                </c:marker>
                <c:xVal>
                  <c:numRef>
                    <c:extLst xmlns:c15="http://schemas.microsoft.com/office/drawing/2012/chart">
                      <c:ext xmlns:c15="http://schemas.microsoft.com/office/drawing/2012/chart" uri="{02D57815-91ED-43cb-92C2-25804820EDAC}">
                        <c15:formulaRef>
                          <c15:sqref>'EF25 P80 AVGS'!$M$7:$M$12</c15:sqref>
                        </c15:formulaRef>
                      </c:ext>
                    </c:extLst>
                    <c:numCache>
                      <c:formatCode>0.0E+00</c:formatCode>
                      <c:ptCount val="6"/>
                      <c:pt idx="0">
                        <c:v>16525.642491230723</c:v>
                      </c:pt>
                      <c:pt idx="1">
                        <c:v>23135.899487723014</c:v>
                      </c:pt>
                      <c:pt idx="2">
                        <c:v>30320.96144043202</c:v>
                      </c:pt>
                      <c:pt idx="3">
                        <c:v>36500.114719761768</c:v>
                      </c:pt>
                      <c:pt idx="4">
                        <c:v>43254.072955308235</c:v>
                      </c:pt>
                      <c:pt idx="5">
                        <c:v>49002.122517475444</c:v>
                      </c:pt>
                    </c:numCache>
                  </c:numRef>
                </c:xVal>
                <c:yVal>
                  <c:numRef>
                    <c:extLst xmlns:c15="http://schemas.microsoft.com/office/drawing/2012/chart">
                      <c:ext xmlns:c15="http://schemas.microsoft.com/office/drawing/2012/chart" uri="{02D57815-91ED-43cb-92C2-25804820EDAC}">
                        <c15:formulaRef>
                          <c15:sqref>'EF25 P80 AVGS'!$Z$7:$Z$12</c15:sqref>
                        </c15:formulaRef>
                      </c:ext>
                    </c:extLst>
                    <c:numCache>
                      <c:formatCode>0.00</c:formatCode>
                      <c:ptCount val="6"/>
                      <c:pt idx="0">
                        <c:v>41.160999999999994</c:v>
                      </c:pt>
                      <c:pt idx="1">
                        <c:v>42.672333333333334</c:v>
                      </c:pt>
                      <c:pt idx="2">
                        <c:v>43.121111111111112</c:v>
                      </c:pt>
                      <c:pt idx="3">
                        <c:v>42.555722222222222</c:v>
                      </c:pt>
                      <c:pt idx="4">
                        <c:v>42.906388888888891</c:v>
                      </c:pt>
                      <c:pt idx="5">
                        <c:v>42.489333333333327</c:v>
                      </c:pt>
                    </c:numCache>
                  </c:numRef>
                </c:yVal>
                <c:smooth val="0"/>
                <c:extLst xmlns:c15="http://schemas.microsoft.com/office/drawing/2012/chart">
                  <c:ext xmlns:c16="http://schemas.microsoft.com/office/drawing/2014/chart" uri="{C3380CC4-5D6E-409C-BE32-E72D297353CC}">
                    <c16:uniqueId val="{00000001-DF29-4539-A1DB-EFDEF85DB7BB}"/>
                  </c:ext>
                </c:extLst>
              </c15:ser>
            </c15:filteredScatterSeries>
            <c15:filteredScatterSeries>
              <c15:ser>
                <c:idx val="2"/>
                <c:order val="2"/>
                <c:tx>
                  <c:v>Smooth Rigid Elongation</c:v>
                </c:tx>
                <c:spPr>
                  <a:ln w="25400" cap="rnd">
                    <a:noFill/>
                    <a:round/>
                  </a:ln>
                  <a:effectLst/>
                </c:spPr>
                <c:marker>
                  <c:symbol val="circle"/>
                  <c:size val="5"/>
                  <c:spPr>
                    <a:solidFill>
                      <a:schemeClr val="accent3"/>
                    </a:solidFill>
                    <a:ln w="9525">
                      <a:solidFill>
                        <a:schemeClr val="accent3"/>
                      </a:solidFill>
                    </a:ln>
                    <a:effectLst/>
                  </c:spPr>
                </c:marker>
                <c:xVal>
                  <c:numRef>
                    <c:extLst xmlns:c15="http://schemas.microsoft.com/office/drawing/2012/chart">
                      <c:ext xmlns:c15="http://schemas.microsoft.com/office/drawing/2012/chart" uri="{02D57815-91ED-43cb-92C2-25804820EDAC}">
                        <c15:formulaRef>
                          <c15:sqref>'EF25 flat AVGS'!$L$7:$L$12</c15:sqref>
                        </c15:formulaRef>
                      </c:ext>
                    </c:extLst>
                    <c:numCache>
                      <c:formatCode>0.0E+00</c:formatCode>
                      <c:ptCount val="6"/>
                      <c:pt idx="0">
                        <c:v>17031.803384494291</c:v>
                      </c:pt>
                      <c:pt idx="1">
                        <c:v>24203.089020070838</c:v>
                      </c:pt>
                      <c:pt idx="2">
                        <c:v>30702.066627312077</c:v>
                      </c:pt>
                      <c:pt idx="3">
                        <c:v>38097.454939000396</c:v>
                      </c:pt>
                      <c:pt idx="4">
                        <c:v>45268.740574576928</c:v>
                      </c:pt>
                      <c:pt idx="5">
                        <c:v>51991.820857929946</c:v>
                      </c:pt>
                    </c:numCache>
                  </c:numRef>
                </c:xVal>
                <c:yVal>
                  <c:numRef>
                    <c:extLst xmlns:c15="http://schemas.microsoft.com/office/drawing/2012/chart">
                      <c:ext xmlns:c15="http://schemas.microsoft.com/office/drawing/2012/chart" uri="{02D57815-91ED-43cb-92C2-25804820EDAC}">
                        <c15:formulaRef>
                          <c15:sqref>'EF25 flat AVGS'!$T$7:$T$12</c15:sqref>
                        </c15:formulaRef>
                      </c:ext>
                    </c:extLst>
                    <c:numCache>
                      <c:formatCode>General</c:formatCode>
                      <c:ptCount val="6"/>
                      <c:pt idx="0">
                        <c:v>81.165666666666681</c:v>
                      </c:pt>
                      <c:pt idx="1">
                        <c:v>85.668166666666664</c:v>
                      </c:pt>
                      <c:pt idx="2">
                        <c:v>84.876666666666665</c:v>
                      </c:pt>
                      <c:pt idx="3">
                        <c:v>85.456333333333333</c:v>
                      </c:pt>
                      <c:pt idx="4">
                        <c:v>89.025333333333322</c:v>
                      </c:pt>
                      <c:pt idx="5">
                        <c:v>90.991500000000002</c:v>
                      </c:pt>
                    </c:numCache>
                  </c:numRef>
                </c:yVal>
                <c:smooth val="0"/>
                <c:extLst xmlns:c15="http://schemas.microsoft.com/office/drawing/2012/chart">
                  <c:ext xmlns:c16="http://schemas.microsoft.com/office/drawing/2014/chart" uri="{C3380CC4-5D6E-409C-BE32-E72D297353CC}">
                    <c16:uniqueId val="{00000002-DF29-4539-A1DB-EFDEF85DB7BB}"/>
                  </c:ext>
                </c:extLst>
              </c15:ser>
            </c15:filteredScatterSeries>
            <c15:filteredScatterSeries>
              <c15:ser>
                <c:idx val="4"/>
                <c:order val="4"/>
                <c:tx>
                  <c:v>Smooth Control Elongation</c:v>
                </c:tx>
                <c:spPr>
                  <a:ln w="25400" cap="rnd">
                    <a:noFill/>
                    <a:round/>
                  </a:ln>
                  <a:effectLst/>
                </c:spPr>
                <c:marker>
                  <c:symbol val="circle"/>
                  <c:size val="5"/>
                  <c:spPr>
                    <a:solidFill>
                      <a:schemeClr val="accent5"/>
                    </a:solidFill>
                    <a:ln w="9525">
                      <a:solidFill>
                        <a:schemeClr val="accent5"/>
                      </a:solidFill>
                    </a:ln>
                    <a:effectLst/>
                  </c:spPr>
                </c:marker>
                <c:xVal>
                  <c:numRef>
                    <c:extLst xmlns:c15="http://schemas.microsoft.com/office/drawing/2012/chart">
                      <c:ext xmlns:c15="http://schemas.microsoft.com/office/drawing/2012/chart" uri="{02D57815-91ED-43cb-92C2-25804820EDAC}">
                        <c15:formulaRef>
                          <c15:sqref>'PLAIN PANEL AVGS'!$L$7:$L$9</c15:sqref>
                        </c15:formulaRef>
                      </c:ext>
                    </c:extLst>
                    <c:numCache>
                      <c:formatCode>0.0E+00</c:formatCode>
                      <c:ptCount val="3"/>
                      <c:pt idx="0">
                        <c:v>17173.73507936508</c:v>
                      </c:pt>
                      <c:pt idx="1">
                        <c:v>25760.602619047622</c:v>
                      </c:pt>
                      <c:pt idx="2">
                        <c:v>31861.797976190479</c:v>
                      </c:pt>
                    </c:numCache>
                  </c:numRef>
                </c:xVal>
                <c:yVal>
                  <c:numRef>
                    <c:extLst xmlns:c15="http://schemas.microsoft.com/office/drawing/2012/chart">
                      <c:ext xmlns:c15="http://schemas.microsoft.com/office/drawing/2012/chart" uri="{02D57815-91ED-43cb-92C2-25804820EDAC}">
                        <c15:formulaRef>
                          <c15:sqref>'PLAIN PANEL AVGS'!$T$7:$T$9</c15:sqref>
                        </c15:formulaRef>
                      </c:ext>
                    </c:extLst>
                    <c:numCache>
                      <c:formatCode>General</c:formatCode>
                      <c:ptCount val="3"/>
                      <c:pt idx="0">
                        <c:v>238.71733333333333</c:v>
                      </c:pt>
                      <c:pt idx="1">
                        <c:v>238.2585</c:v>
                      </c:pt>
                      <c:pt idx="2">
                        <c:v>232.23649999999998</c:v>
                      </c:pt>
                    </c:numCache>
                  </c:numRef>
                </c:yVal>
                <c:smooth val="0"/>
                <c:extLst xmlns:c15="http://schemas.microsoft.com/office/drawing/2012/chart">
                  <c:ext xmlns:c16="http://schemas.microsoft.com/office/drawing/2014/chart" uri="{C3380CC4-5D6E-409C-BE32-E72D297353CC}">
                    <c16:uniqueId val="{00000004-DF29-4539-A1DB-EFDEF85DB7BB}"/>
                  </c:ext>
                </c:extLst>
              </c15:ser>
            </c15:filteredScatterSeries>
            <c15:filteredScatterSeries>
              <c15:ser>
                <c:idx val="7"/>
                <c:order val="7"/>
                <c:tx>
                  <c:v>P80 Control Elongation</c:v>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xVal>
                  <c:numRef>
                    <c:extLst xmlns:c15="http://schemas.microsoft.com/office/drawing/2012/chart">
                      <c:ext xmlns:c15="http://schemas.microsoft.com/office/drawing/2012/chart" uri="{02D57815-91ED-43cb-92C2-25804820EDAC}">
                        <c15:formulaRef>
                          <c15:sqref>'P80 sandpaper AVGS'!$S$41:$S$46</c15:sqref>
                        </c15:formulaRef>
                      </c:ext>
                    </c:extLst>
                    <c:numCache>
                      <c:formatCode>General</c:formatCode>
                      <c:ptCount val="6"/>
                    </c:numCache>
                  </c:numRef>
                </c:xVal>
                <c:yVal>
                  <c:numRef>
                    <c:extLst xmlns:c15="http://schemas.microsoft.com/office/drawing/2012/chart">
                      <c:ext xmlns:c15="http://schemas.microsoft.com/office/drawing/2012/chart" uri="{02D57815-91ED-43cb-92C2-25804820EDAC}">
                        <c15:formulaRef>
                          <c15:sqref>'P80 sandpaper AVGS'!$V$41:$V$46</c15:sqref>
                        </c15:formulaRef>
                      </c:ext>
                    </c:extLst>
                    <c:numCache>
                      <c:formatCode>General</c:formatCode>
                      <c:ptCount val="6"/>
                    </c:numCache>
                  </c:numRef>
                </c:yVal>
                <c:smooth val="0"/>
                <c:extLst xmlns:c15="http://schemas.microsoft.com/office/drawing/2012/chart">
                  <c:ext xmlns:c16="http://schemas.microsoft.com/office/drawing/2014/chart" uri="{C3380CC4-5D6E-409C-BE32-E72D297353CC}">
                    <c16:uniqueId val="{00000007-DF29-4539-A1DB-EFDEF85DB7BB}"/>
                  </c:ext>
                </c:extLst>
              </c15:ser>
            </c15:filteredScatterSeries>
            <c15:filteredScatterSeries>
              <c15:ser>
                <c:idx val="8"/>
                <c:order val="8"/>
                <c:tx>
                  <c:v>P240 Control Elongation</c:v>
                </c:tx>
                <c:spPr>
                  <a:ln w="25400" cap="rnd">
                    <a:noFill/>
                    <a:round/>
                  </a:ln>
                  <a:effectLst/>
                </c:spPr>
                <c:marker>
                  <c:symbol val="circle"/>
                  <c:size val="5"/>
                  <c:spPr>
                    <a:solidFill>
                      <a:schemeClr val="accent3">
                        <a:lumMod val="60000"/>
                      </a:schemeClr>
                    </a:solidFill>
                    <a:ln w="9525">
                      <a:solidFill>
                        <a:schemeClr val="accent3">
                          <a:lumMod val="60000"/>
                        </a:schemeClr>
                      </a:solidFill>
                    </a:ln>
                    <a:effectLst/>
                  </c:spPr>
                </c:marker>
                <c:xVal>
                  <c:numRef>
                    <c:extLst xmlns:c15="http://schemas.microsoft.com/office/drawing/2012/chart">
                      <c:ext xmlns:c15="http://schemas.microsoft.com/office/drawing/2012/chart" uri="{02D57815-91ED-43cb-92C2-25804820EDAC}">
                        <c15:formulaRef>
                          <c15:sqref>'P240 sandpaper'!$L$7:$L$12</c15:sqref>
                        </c15:formulaRef>
                      </c:ext>
                    </c:extLst>
                    <c:numCache>
                      <c:formatCode>0.0E+00</c:formatCode>
                      <c:ptCount val="6"/>
                      <c:pt idx="0">
                        <c:v>17029.859003236244</c:v>
                      </c:pt>
                      <c:pt idx="1">
                        <c:v>25314.655275080902</c:v>
                      </c:pt>
                      <c:pt idx="2">
                        <c:v>32218.652168284785</c:v>
                      </c:pt>
                      <c:pt idx="3">
                        <c:v>40043.181980582514</c:v>
                      </c:pt>
                      <c:pt idx="4">
                        <c:v>46026.645954692547</c:v>
                      </c:pt>
                      <c:pt idx="5">
                        <c:v>52930.642847896444</c:v>
                      </c:pt>
                    </c:numCache>
                  </c:numRef>
                </c:xVal>
                <c:yVal>
                  <c:numRef>
                    <c:extLst xmlns:c15="http://schemas.microsoft.com/office/drawing/2012/chart">
                      <c:ext xmlns:c15="http://schemas.microsoft.com/office/drawing/2012/chart" uri="{02D57815-91ED-43cb-92C2-25804820EDAC}">
                        <c15:formulaRef>
                          <c15:sqref>'P240 sandpaper'!$S$7:$S$12</c15:sqref>
                        </c15:formulaRef>
                      </c:ext>
                    </c:extLst>
                    <c:numCache>
                      <c:formatCode>0.00</c:formatCode>
                      <c:ptCount val="6"/>
                      <c:pt idx="0" formatCode="General">
                        <c:v>53.87566666666666</c:v>
                      </c:pt>
                      <c:pt idx="1">
                        <c:v>54.229333333333329</c:v>
                      </c:pt>
                      <c:pt idx="2" formatCode="0.000">
                        <c:v>56.719666666666662</c:v>
                      </c:pt>
                      <c:pt idx="3" formatCode="0.000">
                        <c:v>54.749000000000002</c:v>
                      </c:pt>
                      <c:pt idx="4" formatCode="General">
                        <c:v>54.546333333333337</c:v>
                      </c:pt>
                      <c:pt idx="5" formatCode="General">
                        <c:v>54.866999999999997</c:v>
                      </c:pt>
                    </c:numCache>
                  </c:numRef>
                </c:yVal>
                <c:smooth val="0"/>
                <c:extLst xmlns:c15="http://schemas.microsoft.com/office/drawing/2012/chart">
                  <c:ext xmlns:c16="http://schemas.microsoft.com/office/drawing/2014/chart" uri="{C3380CC4-5D6E-409C-BE32-E72D297353CC}">
                    <c16:uniqueId val="{00000008-DF29-4539-A1DB-EFDEF85DB7BB}"/>
                  </c:ext>
                </c:extLst>
              </c15:ser>
            </c15:filteredScatterSeries>
          </c:ext>
        </c:extLst>
      </c:scatterChart>
      <c:valAx>
        <c:axId val="420696127"/>
        <c:scaling>
          <c:orientation val="minMax"/>
        </c:scaling>
        <c:delete val="0"/>
        <c:axPos val="b"/>
        <c:majorGridlines>
          <c:spPr>
            <a:ln w="9525" cap="flat" cmpd="sng" algn="ctr">
              <a:solidFill>
                <a:schemeClr val="tx1">
                  <a:lumMod val="15000"/>
                  <a:lumOff val="85000"/>
                </a:schemeClr>
              </a:solidFill>
              <a:round/>
            </a:ln>
            <a:effectLst/>
          </c:spPr>
        </c:majorGridlines>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1585247"/>
        <c:crosses val="autoZero"/>
        <c:crossBetween val="midCat"/>
      </c:valAx>
      <c:valAx>
        <c:axId val="6515852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69612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'MMHSE P40 AVGS'!$O$6</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'MMHSE P40 AVGS'!$L$8:$L$12</c:f>
              <c:numCache>
                <c:formatCode>0.0E+00</c:formatCode>
                <c:ptCount val="5"/>
                <c:pt idx="0">
                  <c:v>13320.348538011694</c:v>
                </c:pt>
                <c:pt idx="1">
                  <c:v>19770.201514312095</c:v>
                </c:pt>
                <c:pt idx="2">
                  <c:v>25518.983514927677</c:v>
                </c:pt>
                <c:pt idx="3">
                  <c:v>31548.193905817174</c:v>
                </c:pt>
                <c:pt idx="4">
                  <c:v>36736.119125884892</c:v>
                </c:pt>
              </c:numCache>
            </c:numRef>
          </c:xVal>
          <c:yVal>
            <c:numRef>
              <c:f>'MMHSE P40 AVGS'!$O$8:$O$12</c:f>
              <c:numCache>
                <c:formatCode>0.000</c:formatCode>
                <c:ptCount val="5"/>
                <c:pt idx="0">
                  <c:v>1.4202500335449595E-2</c:v>
                </c:pt>
                <c:pt idx="1">
                  <c:v>1.5008220187502492E-2</c:v>
                </c:pt>
                <c:pt idx="2">
                  <c:v>1.5006721088056956E-2</c:v>
                </c:pt>
                <c:pt idx="3">
                  <c:v>1.4420842650896113E-2</c:v>
                </c:pt>
                <c:pt idx="4">
                  <c:v>1.2274729939700709E-2</c:v>
                </c:pt>
              </c:numCache>
            </c:numRef>
          </c:yVal>
          <c:smooth val="0"/>
          <c:extLst>
            <c:ext xmlns:c16="http://schemas.microsoft.com/office/drawing/2014/chart" uri="{C3380CC4-5D6E-409C-BE32-E72D297353CC}">
              <c16:uniqueId val="{00000001-E44D-4F37-B9CD-F2BB482C40F8}"/>
            </c:ext>
          </c:extLst>
        </c:ser>
        <c:ser>
          <c:idx val="1"/>
          <c:order val="1"/>
          <c:tx>
            <c:strRef>
              <c:f>'MMHSE P40 AVGS'!$T$6</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'MMHSE P40 AVGS'!$S$8:$S$34</c:f>
              <c:numCache>
                <c:formatCode>0.00000</c:formatCode>
                <c:ptCount val="27"/>
                <c:pt idx="0">
                  <c:v>1419.6675900277007</c:v>
                </c:pt>
                <c:pt idx="1">
                  <c:v>2839.3351800554015</c:v>
                </c:pt>
                <c:pt idx="2">
                  <c:v>4259.0027700831015</c:v>
                </c:pt>
                <c:pt idx="3">
                  <c:v>5678.6703601108029</c:v>
                </c:pt>
                <c:pt idx="4">
                  <c:v>7098.3379501385034</c:v>
                </c:pt>
                <c:pt idx="7">
                  <c:v>8518.005540166203</c:v>
                </c:pt>
                <c:pt idx="8">
                  <c:v>9937.6731301939053</c:v>
                </c:pt>
                <c:pt idx="9">
                  <c:v>11357.340720221606</c:v>
                </c:pt>
                <c:pt idx="10">
                  <c:v>12777.008310249308</c:v>
                </c:pt>
                <c:pt idx="11">
                  <c:v>14196.675900277007</c:v>
                </c:pt>
                <c:pt idx="12">
                  <c:v>15616.343490304711</c:v>
                </c:pt>
                <c:pt idx="13">
                  <c:v>17036.011080332406</c:v>
                </c:pt>
                <c:pt idx="14">
                  <c:v>18455.67867036011</c:v>
                </c:pt>
                <c:pt idx="15">
                  <c:v>19875.346260387811</c:v>
                </c:pt>
                <c:pt idx="16">
                  <c:v>21295.013850415511</c:v>
                </c:pt>
                <c:pt idx="17">
                  <c:v>22714.681440443212</c:v>
                </c:pt>
                <c:pt idx="18">
                  <c:v>24134.349030470912</c:v>
                </c:pt>
                <c:pt idx="19">
                  <c:v>25554.016620498616</c:v>
                </c:pt>
                <c:pt idx="20">
                  <c:v>26973.684210526313</c:v>
                </c:pt>
                <c:pt idx="21">
                  <c:v>28393.351800554014</c:v>
                </c:pt>
                <c:pt idx="22">
                  <c:v>29813.019390581718</c:v>
                </c:pt>
                <c:pt idx="23">
                  <c:v>31232.686980609422</c:v>
                </c:pt>
                <c:pt idx="24">
                  <c:v>32652.354570637119</c:v>
                </c:pt>
                <c:pt idx="25">
                  <c:v>34072.022160664812</c:v>
                </c:pt>
                <c:pt idx="26">
                  <c:v>35491.689750692516</c:v>
                </c:pt>
              </c:numCache>
            </c:numRef>
          </c:xVal>
          <c:yVal>
            <c:numRef>
              <c:f>'MMHSE P40 AVGS'!$U$8:$U$34</c:f>
              <c:numCache>
                <c:formatCode>0.00000</c:formatCode>
                <c:ptCount val="27"/>
                <c:pt idx="0">
                  <c:v>1.2886346846069841E-2</c:v>
                </c:pt>
                <c:pt idx="1">
                  <c:v>1.0836082868576138E-2</c:v>
                </c:pt>
                <c:pt idx="2">
                  <c:v>9.791506191327716E-3</c:v>
                </c:pt>
                <c:pt idx="3">
                  <c:v>9.1120232395778614E-3</c:v>
                </c:pt>
                <c:pt idx="4">
                  <c:v>8.6176195198726969E-3</c:v>
                </c:pt>
                <c:pt idx="7">
                  <c:v>8.2336424562220283E-3</c:v>
                </c:pt>
                <c:pt idx="8">
                  <c:v>7.922373375784629E-3</c:v>
                </c:pt>
                <c:pt idx="9">
                  <c:v>7.6622676778695638E-3</c:v>
                </c:pt>
                <c:pt idx="10">
                  <c:v>7.4399358204493057E-3</c:v>
                </c:pt>
                <c:pt idx="11">
                  <c:v>7.2465253622813882E-3</c:v>
                </c:pt>
                <c:pt idx="12">
                  <c:v>7.0758993259427711E-3</c:v>
                </c:pt>
                <c:pt idx="13">
                  <c:v>6.9236404259178912E-3</c:v>
                </c:pt>
                <c:pt idx="14">
                  <c:v>6.7864707009571276E-3</c:v>
                </c:pt>
                <c:pt idx="15">
                  <c:v>6.6618953719987627E-3</c:v>
                </c:pt>
                <c:pt idx="16">
                  <c:v>6.5479748365670186E-3</c:v>
                </c:pt>
                <c:pt idx="17">
                  <c:v>6.4431734230349204E-3</c:v>
                </c:pt>
                <c:pt idx="18">
                  <c:v>6.3462559880998722E-3</c:v>
                </c:pt>
                <c:pt idx="19">
                  <c:v>6.2562153611335257E-3</c:v>
                </c:pt>
                <c:pt idx="20">
                  <c:v>6.172220267585446E-3</c:v>
                </c:pt>
                <c:pt idx="21">
                  <c:v>6.0935772001875438E-3</c:v>
                </c:pt>
                <c:pt idx="22">
                  <c:v>6.0197020059772352E-3</c:v>
                </c:pt>
                <c:pt idx="23">
                  <c:v>5.950098377881451E-3</c:v>
                </c:pt>
                <c:pt idx="24">
                  <c:v>5.8843413415447347E-3</c:v>
                </c:pt>
                <c:pt idx="25">
                  <c:v>5.8220644146600564E-3</c:v>
                </c:pt>
                <c:pt idx="26">
                  <c:v>5.7629495058904362E-3</c:v>
                </c:pt>
              </c:numCache>
            </c:numRef>
          </c:yVal>
          <c:smooth val="0"/>
          <c:extLst>
            <c:ext xmlns:c16="http://schemas.microsoft.com/office/drawing/2014/chart" uri="{C3380CC4-5D6E-409C-BE32-E72D297353CC}">
              <c16:uniqueId val="{00000003-E44D-4F37-B9CD-F2BB482C40F8}"/>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layout>
            <c:manualLayout>
              <c:xMode val="edge"/>
              <c:yMode val="edge"/>
              <c:x val="7.0021878620840994E-3"/>
              <c:y val="0.21469018268617113"/>
            </c:manualLayout>
          </c:layout>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1"/>
          <c:order val="0"/>
          <c:tx>
            <c:v>1</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0.15274639653407465"/>
                  <c:y val="-0.1895182778780707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1 MMSHE P40'!$L$8:$L$13</c:f>
              <c:numCache>
                <c:formatCode>General</c:formatCode>
                <c:ptCount val="6"/>
                <c:pt idx="0">
                  <c:v>14226.42266636384</c:v>
                </c:pt>
                <c:pt idx="1">
                  <c:v>21555.185858127028</c:v>
                </c:pt>
                <c:pt idx="2">
                  <c:v>27590.637898402601</c:v>
                </c:pt>
                <c:pt idx="3">
                  <c:v>33194.986221515617</c:v>
                </c:pt>
                <c:pt idx="4">
                  <c:v>39661.541978953741</c:v>
                </c:pt>
                <c:pt idx="5">
                  <c:v>45265.890302066771</c:v>
                </c:pt>
              </c:numCache>
            </c:numRef>
          </c:xVal>
          <c:yVal>
            <c:numRef>
              <c:f>'[1] 1 MMSHE P40'!$O$8:$O$13</c:f>
              <c:numCache>
                <c:formatCode>General</c:formatCode>
                <c:ptCount val="6"/>
                <c:pt idx="0">
                  <c:v>9.4880276213178318E-3</c:v>
                </c:pt>
                <c:pt idx="1">
                  <c:v>1.2889776565117434E-2</c:v>
                </c:pt>
                <c:pt idx="2">
                  <c:v>1.2979666440668464E-2</c:v>
                </c:pt>
                <c:pt idx="3">
                  <c:v>1.1486121301006231E-2</c:v>
                </c:pt>
                <c:pt idx="4">
                  <c:v>9.4846696042035286E-3</c:v>
                </c:pt>
                <c:pt idx="5">
                  <c:v>7.3833398599201074E-3</c:v>
                </c:pt>
              </c:numCache>
            </c:numRef>
          </c:yVal>
          <c:smooth val="0"/>
          <c:extLst>
            <c:ext xmlns:c16="http://schemas.microsoft.com/office/drawing/2014/chart" uri="{C3380CC4-5D6E-409C-BE32-E72D297353CC}">
              <c16:uniqueId val="{00000001-B133-4C0F-A942-1D0AA62BA051}"/>
            </c:ext>
          </c:extLst>
        </c:ser>
        <c:ser>
          <c:idx val="2"/>
          <c:order val="1"/>
          <c:tx>
            <c:v>2</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wer"/>
            <c:dispRSqr val="0"/>
            <c:dispEq val="1"/>
            <c:trendlineLbl>
              <c:layout>
                <c:manualLayout>
                  <c:x val="0.24930793077852328"/>
                  <c:y val="8.3963801918802469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2 MMSHE P40'!$L$8:$L$12</c:f>
              <c:numCache>
                <c:formatCode>General</c:formatCode>
                <c:ptCount val="5"/>
                <c:pt idx="0">
                  <c:v>13211.657679269885</c:v>
                </c:pt>
                <c:pt idx="1">
                  <c:v>19817.486518904821</c:v>
                </c:pt>
                <c:pt idx="2">
                  <c:v>25597.586753585394</c:v>
                </c:pt>
                <c:pt idx="3">
                  <c:v>31377.68698826597</c:v>
                </c:pt>
                <c:pt idx="4">
                  <c:v>35093.465710560624</c:v>
                </c:pt>
              </c:numCache>
            </c:numRef>
          </c:xVal>
          <c:yVal>
            <c:numRef>
              <c:f>'[1] 2 MMSHE P40'!$O$8:$O$12</c:f>
              <c:numCache>
                <c:formatCode>General</c:formatCode>
                <c:ptCount val="5"/>
                <c:pt idx="0">
                  <c:v>1.3990997227028026E-2</c:v>
                </c:pt>
                <c:pt idx="1">
                  <c:v>1.2681780941031383E-2</c:v>
                </c:pt>
                <c:pt idx="2">
                  <c:v>1.3220890045313908E-2</c:v>
                </c:pt>
                <c:pt idx="3">
                  <c:v>1.3070354751098906E-2</c:v>
                </c:pt>
                <c:pt idx="4">
                  <c:v>1.1899619732092184E-2</c:v>
                </c:pt>
              </c:numCache>
            </c:numRef>
          </c:yVal>
          <c:smooth val="0"/>
          <c:extLst>
            <c:ext xmlns:c16="http://schemas.microsoft.com/office/drawing/2014/chart" uri="{C3380CC4-5D6E-409C-BE32-E72D297353CC}">
              <c16:uniqueId val="{00000003-B133-4C0F-A942-1D0AA62BA051}"/>
            </c:ext>
          </c:extLst>
        </c:ser>
        <c:ser>
          <c:idx val="3"/>
          <c:order val="2"/>
          <c:tx>
            <c:v>3</c:v>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power"/>
            <c:dispRSqr val="0"/>
            <c:dispEq val="1"/>
            <c:trendlineLbl>
              <c:layout>
                <c:manualLayout>
                  <c:x val="0.25204539938056447"/>
                  <c:y val="8.0741871189946038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3 MMSHE P40'!$L$8:$L$12</c:f>
              <c:numCache>
                <c:formatCode>General</c:formatCode>
                <c:ptCount val="5"/>
                <c:pt idx="0">
                  <c:v>12592.766475011058</c:v>
                </c:pt>
                <c:pt idx="1">
                  <c:v>18889.149712516588</c:v>
                </c:pt>
                <c:pt idx="2">
                  <c:v>23926.256302521011</c:v>
                </c:pt>
                <c:pt idx="3">
                  <c:v>30222.639540026539</c:v>
                </c:pt>
                <c:pt idx="4">
                  <c:v>36099.263895031705</c:v>
                </c:pt>
              </c:numCache>
            </c:numRef>
          </c:xVal>
          <c:yVal>
            <c:numRef>
              <c:f>'[1] 3 MMSHE P40'!$O$8:$O$12</c:f>
              <c:numCache>
                <c:formatCode>General</c:formatCode>
                <c:ptCount val="5"/>
                <c:pt idx="0">
                  <c:v>1.5446091921724915E-2</c:v>
                </c:pt>
                <c:pt idx="1">
                  <c:v>1.7513742732187219E-2</c:v>
                </c:pt>
                <c:pt idx="2">
                  <c:v>1.6265658045575192E-2</c:v>
                </c:pt>
                <c:pt idx="3">
                  <c:v>1.4978891062748368E-2</c:v>
                </c:pt>
                <c:pt idx="4">
                  <c:v>1.2849082508989036E-2</c:v>
                </c:pt>
              </c:numCache>
            </c:numRef>
          </c:yVal>
          <c:smooth val="0"/>
          <c:extLst>
            <c:ext xmlns:c16="http://schemas.microsoft.com/office/drawing/2014/chart" uri="{C3380CC4-5D6E-409C-BE32-E72D297353CC}">
              <c16:uniqueId val="{00000005-B133-4C0F-A942-1D0AA62BA051}"/>
            </c:ext>
          </c:extLst>
        </c:ser>
        <c:ser>
          <c:idx val="4"/>
          <c:order val="3"/>
          <c:tx>
            <c:v>4</c:v>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power"/>
            <c:dispRSqr val="0"/>
            <c:dispEq val="1"/>
            <c:trendlineLbl>
              <c:layout>
                <c:manualLayout>
                  <c:x val="0.22543612732327128"/>
                  <c:y val="0.1824827522758359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4 MMSHE P40'!$L$8:$L$12</c:f>
              <c:numCache>
                <c:formatCode>General</c:formatCode>
                <c:ptCount val="5"/>
                <c:pt idx="0">
                  <c:v>13852.043122512165</c:v>
                </c:pt>
                <c:pt idx="1">
                  <c:v>20148.426360017693</c:v>
                </c:pt>
                <c:pt idx="2">
                  <c:v>26444.809597523221</c:v>
                </c:pt>
                <c:pt idx="3">
                  <c:v>32321.433952528376</c:v>
                </c:pt>
                <c:pt idx="4">
                  <c:v>38198.058307533545</c:v>
                </c:pt>
              </c:numCache>
            </c:numRef>
          </c:xVal>
          <c:yVal>
            <c:numRef>
              <c:f>'[1] 4 MMSHE P40'!$O$8:$O$12</c:f>
              <c:numCache>
                <c:formatCode>General</c:formatCode>
                <c:ptCount val="5"/>
                <c:pt idx="0">
                  <c:v>1.26157023219332E-2</c:v>
                </c:pt>
                <c:pt idx="1">
                  <c:v>1.4626621544222252E-2</c:v>
                </c:pt>
                <c:pt idx="2">
                  <c:v>1.5085738685865062E-2</c:v>
                </c:pt>
                <c:pt idx="3">
                  <c:v>1.4657634146665214E-2</c:v>
                </c:pt>
                <c:pt idx="4">
                  <c:v>1.1621610462313142E-2</c:v>
                </c:pt>
              </c:numCache>
            </c:numRef>
          </c:yVal>
          <c:smooth val="0"/>
          <c:extLst>
            <c:ext xmlns:c16="http://schemas.microsoft.com/office/drawing/2014/chart" uri="{C3380CC4-5D6E-409C-BE32-E72D297353CC}">
              <c16:uniqueId val="{00000007-B133-4C0F-A942-1D0AA62BA051}"/>
            </c:ext>
          </c:extLst>
        </c:ser>
        <c:dLbls>
          <c:showLegendKey val="0"/>
          <c:showVal val="0"/>
          <c:showCatName val="0"/>
          <c:showSerName val="0"/>
          <c:showPercent val="0"/>
          <c:showBubbleSize val="0"/>
        </c:dLbls>
        <c:axId val="209418703"/>
        <c:axId val="47922319"/>
      </c:scatterChart>
      <c:valAx>
        <c:axId val="209418703"/>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922319"/>
        <c:crosses val="autoZero"/>
        <c:crossBetween val="midCat"/>
      </c:valAx>
      <c:valAx>
        <c:axId val="479223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9418703"/>
        <c:crosses val="autoZero"/>
        <c:crossBetween val="midCat"/>
      </c:valAx>
      <c:spPr>
        <a:noFill/>
        <a:ln>
          <a:noFill/>
        </a:ln>
        <a:effectLst/>
      </c:spPr>
    </c:plotArea>
    <c:legend>
      <c:legendPos val="r"/>
      <c:layout>
        <c:manualLayout>
          <c:xMode val="edge"/>
          <c:yMode val="edge"/>
          <c:x val="0.76831763866854919"/>
          <c:y val="0.27943175058259084"/>
          <c:w val="0.17992635393773559"/>
          <c:h val="0.536516170944214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Average</c:v>
          </c:tx>
          <c:spPr>
            <a:ln w="25400" cap="rnd">
              <a:noFill/>
              <a:round/>
            </a:ln>
            <a:effectLst/>
          </c:spPr>
          <c:marker>
            <c:symbol val="circle"/>
            <c:size val="5"/>
            <c:spPr>
              <a:solidFill>
                <a:schemeClr val="accent1"/>
              </a:solidFill>
              <a:ln w="9525">
                <a:solidFill>
                  <a:schemeClr val="accent1"/>
                </a:solidFill>
              </a:ln>
              <a:effectLst/>
            </c:spPr>
          </c:marker>
          <c:xVal>
            <c:numRef>
              <c:f>'[1]MMHSE P40 AVGS'!$L$8:$L$12</c:f>
              <c:numCache>
                <c:formatCode>General</c:formatCode>
                <c:ptCount val="5"/>
                <c:pt idx="0">
                  <c:v>13320.348538011694</c:v>
                </c:pt>
                <c:pt idx="1">
                  <c:v>19770.201514312095</c:v>
                </c:pt>
                <c:pt idx="2">
                  <c:v>25518.983514927677</c:v>
                </c:pt>
                <c:pt idx="3">
                  <c:v>31548.193905817174</c:v>
                </c:pt>
                <c:pt idx="4">
                  <c:v>36736.119125884892</c:v>
                </c:pt>
              </c:numCache>
            </c:numRef>
          </c:xVal>
          <c:yVal>
            <c:numRef>
              <c:f>'[1]MMHSE P40 AVGS'!$O$8:$O$12</c:f>
              <c:numCache>
                <c:formatCode>General</c:formatCode>
                <c:ptCount val="5"/>
                <c:pt idx="0">
                  <c:v>1.4202500335449595E-2</c:v>
                </c:pt>
                <c:pt idx="1">
                  <c:v>1.5008220187502492E-2</c:v>
                </c:pt>
                <c:pt idx="2">
                  <c:v>1.5006721088056956E-2</c:v>
                </c:pt>
                <c:pt idx="3">
                  <c:v>1.4420842650896113E-2</c:v>
                </c:pt>
                <c:pt idx="4">
                  <c:v>1.2274729939700709E-2</c:v>
                </c:pt>
              </c:numCache>
            </c:numRef>
          </c:yVal>
          <c:smooth val="0"/>
          <c:extLst>
            <c:ext xmlns:c16="http://schemas.microsoft.com/office/drawing/2014/chart" uri="{C3380CC4-5D6E-409C-BE32-E72D297353CC}">
              <c16:uniqueId val="{00000000-BBFB-419E-ACAF-094BDF3C7952}"/>
            </c:ext>
          </c:extLst>
        </c:ser>
        <c:dLbls>
          <c:showLegendKey val="0"/>
          <c:showVal val="0"/>
          <c:showCatName val="0"/>
          <c:showSerName val="0"/>
          <c:showPercent val="0"/>
          <c:showBubbleSize val="0"/>
        </c:dLbls>
        <c:axId val="207912895"/>
        <c:axId val="97777391"/>
      </c:scatterChart>
      <c:valAx>
        <c:axId val="20791289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777391"/>
        <c:crosses val="autoZero"/>
        <c:crossBetween val="midCat"/>
      </c:valAx>
      <c:valAx>
        <c:axId val="977773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791289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531738061873719E-2"/>
          <c:y val="6.9989069755222164E-2"/>
          <c:w val="0.87147208843029911"/>
          <c:h val="0.8116902254688043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 1 MMSHE P80'!$G$6:$G$11</c:f>
              <c:numCache>
                <c:formatCode>0.00</c:formatCode>
                <c:ptCount val="6"/>
                <c:pt idx="0">
                  <c:v>0</c:v>
                </c:pt>
                <c:pt idx="1">
                  <c:v>1.0373816323737777</c:v>
                </c:pt>
                <c:pt idx="2">
                  <c:v>1.8442340131089383</c:v>
                </c:pt>
                <c:pt idx="3">
                  <c:v>3.0949980932804455</c:v>
                </c:pt>
                <c:pt idx="4">
                  <c:v>4.8020576756622724</c:v>
                </c:pt>
                <c:pt idx="5">
                  <c:v>6.5624628699935315</c:v>
                </c:pt>
              </c:numCache>
            </c:numRef>
          </c:xVal>
          <c:yVal>
            <c:numRef>
              <c:f>' 1 MMSHE P80'!$K$6:$K$11</c:f>
              <c:numCache>
                <c:formatCode>0</c:formatCode>
                <c:ptCount val="6"/>
                <c:pt idx="0">
                  <c:v>0</c:v>
                </c:pt>
                <c:pt idx="1">
                  <c:v>2143.6000000000008</c:v>
                </c:pt>
                <c:pt idx="2">
                  <c:v>3231.0700000000006</c:v>
                </c:pt>
                <c:pt idx="3">
                  <c:v>5131.7650000000003</c:v>
                </c:pt>
                <c:pt idx="4">
                  <c:v>7664.5949999999984</c:v>
                </c:pt>
                <c:pt idx="5">
                  <c:v>9584.6949999999979</c:v>
                </c:pt>
              </c:numCache>
            </c:numRef>
          </c:yVal>
          <c:smooth val="0"/>
          <c:extLst>
            <c:ext xmlns:c16="http://schemas.microsoft.com/office/drawing/2014/chart" uri="{C3380CC4-5D6E-409C-BE32-E72D297353CC}">
              <c16:uniqueId val="{00000001-05F5-476E-AA24-787A8937FFA1}"/>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 1 MMSHE P80'!$O$5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 1 MMSHE P80'!$L$7:$L$22</c:f>
              <c:numCache>
                <c:formatCode>0.0E+00</c:formatCode>
                <c:ptCount val="16"/>
                <c:pt idx="0">
                  <c:v>12651.341840193705</c:v>
                </c:pt>
                <c:pt idx="1">
                  <c:v>16868.455786924937</c:v>
                </c:pt>
                <c:pt idx="2">
                  <c:v>21852.317723970948</c:v>
                </c:pt>
                <c:pt idx="3">
                  <c:v>27219.553656174339</c:v>
                </c:pt>
                <c:pt idx="4">
                  <c:v>31820.041598062955</c:v>
                </c:pt>
              </c:numCache>
            </c:numRef>
          </c:xVal>
          <c:yVal>
            <c:numRef>
              <c:f>' 1 MMSHE P80'!$O$7:$O$22</c:f>
              <c:numCache>
                <c:formatCode>0.000</c:formatCode>
                <c:ptCount val="16"/>
                <c:pt idx="0">
                  <c:v>1.9201198994747912E-2</c:v>
                </c:pt>
                <c:pt idx="1">
                  <c:v>1.6279966012888395E-2</c:v>
                </c:pt>
                <c:pt idx="2">
                  <c:v>1.5407406077529731E-2</c:v>
                </c:pt>
                <c:pt idx="3">
                  <c:v>1.4831497195858679E-2</c:v>
                </c:pt>
                <c:pt idx="4">
                  <c:v>1.3571710674437154E-2</c:v>
                </c:pt>
              </c:numCache>
            </c:numRef>
          </c:yVal>
          <c:smooth val="0"/>
          <c:extLst>
            <c:ext xmlns:c16="http://schemas.microsoft.com/office/drawing/2014/chart" uri="{C3380CC4-5D6E-409C-BE32-E72D297353CC}">
              <c16:uniqueId val="{00000001-8215-4C6F-AEF5-889526A0AAF3}"/>
            </c:ext>
          </c:extLst>
        </c:ser>
        <c:ser>
          <c:idx val="1"/>
          <c:order val="1"/>
          <c:tx>
            <c:strRef>
              <c:f>' 1 MMSHE P80'!$W$5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 1 MMSHE P80'!$V$7:$V$31</c:f>
              <c:numCache>
                <c:formatCode>0.00000</c:formatCode>
                <c:ptCount val="25"/>
                <c:pt idx="0">
                  <c:v>1242.130750605327</c:v>
                </c:pt>
                <c:pt idx="1">
                  <c:v>2484.2615012106539</c:v>
                </c:pt>
                <c:pt idx="2">
                  <c:v>3726.3922518159807</c:v>
                </c:pt>
                <c:pt idx="3">
                  <c:v>4968.5230024213079</c:v>
                </c:pt>
                <c:pt idx="4">
                  <c:v>6210.6537530266341</c:v>
                </c:pt>
                <c:pt idx="5">
                  <c:v>7452.7845036319613</c:v>
                </c:pt>
                <c:pt idx="6">
                  <c:v>8694.9152542372867</c:v>
                </c:pt>
                <c:pt idx="7">
                  <c:v>9937.0460048426157</c:v>
                </c:pt>
                <c:pt idx="8">
                  <c:v>11179.176755447941</c:v>
                </c:pt>
                <c:pt idx="9">
                  <c:v>12421.307506053268</c:v>
                </c:pt>
                <c:pt idx="10">
                  <c:v>13663.438256658595</c:v>
                </c:pt>
                <c:pt idx="11">
                  <c:v>14905.569007263923</c:v>
                </c:pt>
                <c:pt idx="12">
                  <c:v>16147.69975786925</c:v>
                </c:pt>
                <c:pt idx="13">
                  <c:v>17389.830508474573</c:v>
                </c:pt>
                <c:pt idx="14">
                  <c:v>18631.961259079904</c:v>
                </c:pt>
                <c:pt idx="15">
                  <c:v>19874.092009685231</c:v>
                </c:pt>
                <c:pt idx="16">
                  <c:v>21116.222760290555</c:v>
                </c:pt>
                <c:pt idx="17">
                  <c:v>22358.353510895882</c:v>
                </c:pt>
                <c:pt idx="18">
                  <c:v>23600.484261501209</c:v>
                </c:pt>
                <c:pt idx="19">
                  <c:v>24842.615012106537</c:v>
                </c:pt>
                <c:pt idx="20">
                  <c:v>26084.745762711867</c:v>
                </c:pt>
                <c:pt idx="21">
                  <c:v>27326.876513317191</c:v>
                </c:pt>
                <c:pt idx="22">
                  <c:v>28569.007263922515</c:v>
                </c:pt>
                <c:pt idx="23">
                  <c:v>29811.138014527845</c:v>
                </c:pt>
                <c:pt idx="24">
                  <c:v>31053.268765133169</c:v>
                </c:pt>
              </c:numCache>
            </c:numRef>
          </c:xVal>
          <c:yVal>
            <c:numRef>
              <c:f>' 1 MMSHE P80'!$X$7:$X$31</c:f>
              <c:numCache>
                <c:formatCode>0.00000</c:formatCode>
                <c:ptCount val="25"/>
                <c:pt idx="0">
                  <c:v>1.3324000954587443E-2</c:v>
                </c:pt>
                <c:pt idx="1">
                  <c:v>1.1204104639549651E-2</c:v>
                </c:pt>
                <c:pt idx="2">
                  <c:v>1.0124051400951423E-2</c:v>
                </c:pt>
                <c:pt idx="3">
                  <c:v>9.421491427524813E-3</c:v>
                </c:pt>
                <c:pt idx="4">
                  <c:v>8.9102964618769463E-3</c:v>
                </c:pt>
                <c:pt idx="5">
                  <c:v>8.5132785309043994E-3</c:v>
                </c:pt>
                <c:pt idx="6">
                  <c:v>8.1914379367916956E-3</c:v>
                </c:pt>
                <c:pt idx="7">
                  <c:v>7.9224983677492165E-3</c:v>
                </c:pt>
                <c:pt idx="8">
                  <c:v>7.6926155378138896E-3</c:v>
                </c:pt>
                <c:pt idx="9">
                  <c:v>7.4926363536401801E-3</c:v>
                </c:pt>
                <c:pt idx="10">
                  <c:v>7.3162154099693502E-3</c:v>
                </c:pt>
                <c:pt idx="11">
                  <c:v>7.1587853986939181E-3</c:v>
                </c:pt>
                <c:pt idx="12">
                  <c:v>7.0169570304100762E-3</c:v>
                </c:pt>
                <c:pt idx="13">
                  <c:v>6.8881507968214205E-3</c:v>
                </c:pt>
                <c:pt idx="14">
                  <c:v>6.7703612214692266E-3</c:v>
                </c:pt>
                <c:pt idx="15">
                  <c:v>6.6620004772937206E-3</c:v>
                </c:pt>
                <c:pt idx="16">
                  <c:v>6.5617914722889744E-3</c:v>
                </c:pt>
                <c:pt idx="17">
                  <c:v>6.4686928296727245E-3</c:v>
                </c:pt>
                <c:pt idx="18">
                  <c:v>6.3818450426323973E-3</c:v>
                </c:pt>
                <c:pt idx="19">
                  <c:v>6.3005310505756902E-3</c:v>
                </c:pt>
                <c:pt idx="20">
                  <c:v>6.2241468611745855E-3</c:v>
                </c:pt>
                <c:pt idx="21">
                  <c:v>6.1521793114672129E-3</c:v>
                </c:pt>
                <c:pt idx="22">
                  <c:v>6.0841889938553243E-3</c:v>
                </c:pt>
                <c:pt idx="23">
                  <c:v>6.0197969793323496E-3</c:v>
                </c:pt>
                <c:pt idx="24">
                  <c:v>5.9586743733459216E-3</c:v>
                </c:pt>
              </c:numCache>
            </c:numRef>
          </c:yVal>
          <c:smooth val="0"/>
          <c:extLst>
            <c:ext xmlns:c16="http://schemas.microsoft.com/office/drawing/2014/chart" uri="{C3380CC4-5D6E-409C-BE32-E72D297353CC}">
              <c16:uniqueId val="{00000003-8215-4C6F-AEF5-889526A0AAF3}"/>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 2 MMSHE P80'!$G$6:$G$10</c:f>
              <c:numCache>
                <c:formatCode>0.00</c:formatCode>
                <c:ptCount val="5"/>
                <c:pt idx="0">
                  <c:v>0</c:v>
                </c:pt>
                <c:pt idx="1">
                  <c:v>1.0473324783700833</c:v>
                </c:pt>
                <c:pt idx="2">
                  <c:v>1.9698400246242216</c:v>
                </c:pt>
                <c:pt idx="3">
                  <c:v>3.501937821554173</c:v>
                </c:pt>
                <c:pt idx="4">
                  <c:v>4.9382795061759985</c:v>
                </c:pt>
              </c:numCache>
            </c:numRef>
          </c:xVal>
          <c:yVal>
            <c:numRef>
              <c:f>' 2 MMSHE P80'!$K$6:$K$10</c:f>
              <c:numCache>
                <c:formatCode>0</c:formatCode>
                <c:ptCount val="5"/>
                <c:pt idx="0">
                  <c:v>0</c:v>
                </c:pt>
                <c:pt idx="1">
                  <c:v>1942.3412903225806</c:v>
                </c:pt>
                <c:pt idx="2">
                  <c:v>3780.3864516129038</c:v>
                </c:pt>
                <c:pt idx="3">
                  <c:v>6376.8767741935471</c:v>
                </c:pt>
                <c:pt idx="4">
                  <c:v>8043.8412903225808</c:v>
                </c:pt>
              </c:numCache>
            </c:numRef>
          </c:yVal>
          <c:smooth val="0"/>
          <c:extLst>
            <c:ext xmlns:c16="http://schemas.microsoft.com/office/drawing/2014/chart" uri="{C3380CC4-5D6E-409C-BE32-E72D297353CC}">
              <c16:uniqueId val="{00000001-4053-4C86-A6C3-7F9BCC4A04EE}"/>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 2 MMSHE P80'!$O$5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 2 MMSHE P80'!$L$7:$L$22</c:f>
              <c:numCache>
                <c:formatCode>0.0E+00</c:formatCode>
                <c:ptCount val="16"/>
                <c:pt idx="0">
                  <c:v>15507.758714596948</c:v>
                </c:pt>
                <c:pt idx="1">
                  <c:v>21267.783380018671</c:v>
                </c:pt>
                <c:pt idx="2">
                  <c:v>28357.044506691567</c:v>
                </c:pt>
                <c:pt idx="3">
                  <c:v>33673.990351696229</c:v>
                </c:pt>
              </c:numCache>
            </c:numRef>
          </c:xVal>
          <c:yVal>
            <c:numRef>
              <c:f>' 2 MMSHE P80'!$O$7:$O$22</c:f>
              <c:numCache>
                <c:formatCode>0.000</c:formatCode>
                <c:ptCount val="16"/>
                <c:pt idx="0">
                  <c:v>1.8055260657122776E-2</c:v>
                </c:pt>
                <c:pt idx="1">
                  <c:v>1.8683921418460054E-2</c:v>
                </c:pt>
                <c:pt idx="2">
                  <c:v>1.7728107870437052E-2</c:v>
                </c:pt>
                <c:pt idx="3">
                  <c:v>1.5858080470736099E-2</c:v>
                </c:pt>
              </c:numCache>
            </c:numRef>
          </c:yVal>
          <c:smooth val="0"/>
          <c:extLst>
            <c:ext xmlns:c16="http://schemas.microsoft.com/office/drawing/2014/chart" uri="{C3380CC4-5D6E-409C-BE32-E72D297353CC}">
              <c16:uniqueId val="{00000001-7FE6-438F-8440-C3F5305E77B4}"/>
            </c:ext>
          </c:extLst>
        </c:ser>
        <c:ser>
          <c:idx val="1"/>
          <c:order val="1"/>
          <c:tx>
            <c:strRef>
              <c:f>' 2 MMSHE P80'!$W$5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 2 MMSHE P80'!$V$7:$V$31</c:f>
              <c:numCache>
                <c:formatCode>0.00000</c:formatCode>
                <c:ptCount val="25"/>
                <c:pt idx="0">
                  <c:v>1515.3283535636474</c:v>
                </c:pt>
                <c:pt idx="1">
                  <c:v>3030.6567071272948</c:v>
                </c:pt>
                <c:pt idx="2">
                  <c:v>4545.9850606909422</c:v>
                </c:pt>
                <c:pt idx="3">
                  <c:v>6061.3134142545896</c:v>
                </c:pt>
                <c:pt idx="4">
                  <c:v>7576.641767818237</c:v>
                </c:pt>
                <c:pt idx="5">
                  <c:v>9091.9701213818844</c:v>
                </c:pt>
                <c:pt idx="6">
                  <c:v>10607.298474945532</c:v>
                </c:pt>
                <c:pt idx="7">
                  <c:v>12122.626828509179</c:v>
                </c:pt>
                <c:pt idx="8">
                  <c:v>13637.955182072828</c:v>
                </c:pt>
                <c:pt idx="9">
                  <c:v>15153.283535636474</c:v>
                </c:pt>
                <c:pt idx="10">
                  <c:v>16668.611889200121</c:v>
                </c:pt>
                <c:pt idx="11">
                  <c:v>18183.940242763769</c:v>
                </c:pt>
                <c:pt idx="12">
                  <c:v>19699.26859632742</c:v>
                </c:pt>
                <c:pt idx="13">
                  <c:v>21214.596949891064</c:v>
                </c:pt>
                <c:pt idx="14">
                  <c:v>22729.925303454711</c:v>
                </c:pt>
                <c:pt idx="15">
                  <c:v>24245.253657018358</c:v>
                </c:pt>
                <c:pt idx="16">
                  <c:v>25760.582010582006</c:v>
                </c:pt>
                <c:pt idx="17">
                  <c:v>27275.910364145657</c:v>
                </c:pt>
                <c:pt idx="18">
                  <c:v>28791.238717709301</c:v>
                </c:pt>
                <c:pt idx="19">
                  <c:v>30306.567071272948</c:v>
                </c:pt>
                <c:pt idx="20">
                  <c:v>31821.895424836599</c:v>
                </c:pt>
                <c:pt idx="21">
                  <c:v>33337.223778400243</c:v>
                </c:pt>
                <c:pt idx="22">
                  <c:v>34852.552131963886</c:v>
                </c:pt>
                <c:pt idx="23">
                  <c:v>36367.880485527538</c:v>
                </c:pt>
                <c:pt idx="24">
                  <c:v>37883.208839091189</c:v>
                </c:pt>
              </c:numCache>
            </c:numRef>
          </c:xVal>
          <c:yVal>
            <c:numRef>
              <c:f>' 2 MMSHE P80'!$X$7:$X$31</c:f>
              <c:numCache>
                <c:formatCode>0.00000</c:formatCode>
                <c:ptCount val="25"/>
                <c:pt idx="0">
                  <c:v>1.2677972229382332E-2</c:v>
                </c:pt>
                <c:pt idx="1">
                  <c:v>1.0660861400373745E-2</c:v>
                </c:pt>
                <c:pt idx="2">
                  <c:v>9.6331757215845741E-3</c:v>
                </c:pt>
                <c:pt idx="3">
                  <c:v>8.9646801350909775E-3</c:v>
                </c:pt>
                <c:pt idx="4">
                  <c:v>8.4782710151597475E-3</c:v>
                </c:pt>
                <c:pt idx="5">
                  <c:v>8.1005029317895837E-3</c:v>
                </c:pt>
                <c:pt idx="6">
                  <c:v>7.7942671300693864E-3</c:v>
                </c:pt>
                <c:pt idx="7">
                  <c:v>7.5383673894941893E-3</c:v>
                </c:pt>
                <c:pt idx="8">
                  <c:v>7.3196306794124878E-3</c:v>
                </c:pt>
                <c:pt idx="9">
                  <c:v>7.1293477041973032E-3</c:v>
                </c:pt>
                <c:pt idx="10">
                  <c:v>6.9614807224878733E-3</c:v>
                </c:pt>
                <c:pt idx="11">
                  <c:v>6.8116838770940664E-3</c:v>
                </c:pt>
                <c:pt idx="12">
                  <c:v>6.6767322120071517E-3</c:v>
                </c:pt>
                <c:pt idx="13">
                  <c:v>6.5541712892052051E-3</c:v>
                </c:pt>
                <c:pt idx="14">
                  <c:v>6.4420928699439311E-3</c:v>
                </c:pt>
                <c:pt idx="15">
                  <c:v>6.3389861146911659E-3</c:v>
                </c:pt>
                <c:pt idx="16">
                  <c:v>6.2436358526404244E-3</c:v>
                </c:pt>
                <c:pt idx="17">
                  <c:v>6.155051199299072E-3</c:v>
                </c:pt>
                <c:pt idx="18">
                  <c:v>6.072414321980215E-3</c:v>
                </c:pt>
                <c:pt idx="19">
                  <c:v>5.9950429275568134E-3</c:v>
                </c:pt>
                <c:pt idx="20">
                  <c:v>5.9223623089279436E-3</c:v>
                </c:pt>
                <c:pt idx="21">
                  <c:v>5.8538841843978912E-3</c:v>
                </c:pt>
                <c:pt idx="22">
                  <c:v>5.7891904515252873E-3</c:v>
                </c:pt>
                <c:pt idx="23">
                  <c:v>5.7279205540899233E-3</c:v>
                </c:pt>
                <c:pt idx="24">
                  <c:v>5.6697615443506901E-3</c:v>
                </c:pt>
              </c:numCache>
            </c:numRef>
          </c:yVal>
          <c:smooth val="0"/>
          <c:extLst>
            <c:ext xmlns:c16="http://schemas.microsoft.com/office/drawing/2014/chart" uri="{C3380CC4-5D6E-409C-BE32-E72D297353CC}">
              <c16:uniqueId val="{00000003-7FE6-438F-8440-C3F5305E77B4}"/>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93015451952431"/>
          <c:y val="7.6000885431489737E-2"/>
          <c:w val="0.83404386866049829"/>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 3 MMSHE P80'!$G$6:$G$12</c:f>
              <c:numCache>
                <c:formatCode>0.00</c:formatCode>
                <c:ptCount val="7"/>
                <c:pt idx="0">
                  <c:v>0</c:v>
                </c:pt>
                <c:pt idx="1">
                  <c:v>0.71902580759937973</c:v>
                </c:pt>
                <c:pt idx="2">
                  <c:v>1.5081587688529199</c:v>
                </c:pt>
                <c:pt idx="3">
                  <c:v>2.6811711446274127</c:v>
                </c:pt>
                <c:pt idx="4">
                  <c:v>4.189329913480333</c:v>
                </c:pt>
                <c:pt idx="5">
                  <c:v>5.7487865996411758</c:v>
                </c:pt>
                <c:pt idx="6">
                  <c:v>7.5544732888800441</c:v>
                </c:pt>
              </c:numCache>
            </c:numRef>
          </c:xVal>
          <c:yVal>
            <c:numRef>
              <c:f>' 3 MMSHE P80'!$K$6:$K$12</c:f>
              <c:numCache>
                <c:formatCode>0</c:formatCode>
                <c:ptCount val="7"/>
                <c:pt idx="0">
                  <c:v>0</c:v>
                </c:pt>
                <c:pt idx="1">
                  <c:v>1181.2864516129032</c:v>
                </c:pt>
                <c:pt idx="2">
                  <c:v>2332.3448390000003</c:v>
                </c:pt>
                <c:pt idx="3">
                  <c:v>4083.0477419354843</c:v>
                </c:pt>
                <c:pt idx="4">
                  <c:v>6346.7993548387103</c:v>
                </c:pt>
                <c:pt idx="5">
                  <c:v>7812.8154838709688</c:v>
                </c:pt>
                <c:pt idx="6">
                  <c:v>8693.6993548387127</c:v>
                </c:pt>
              </c:numCache>
            </c:numRef>
          </c:yVal>
          <c:smooth val="0"/>
          <c:extLst>
            <c:ext xmlns:c16="http://schemas.microsoft.com/office/drawing/2014/chart" uri="{C3380CC4-5D6E-409C-BE32-E72D297353CC}">
              <c16:uniqueId val="{00000001-421B-418F-BD11-30D29B101D9C}"/>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59670510951307"/>
          <c:y val="3.982445024934949E-2"/>
          <c:w val="0.67653582829050973"/>
          <c:h val="0.87708198326463538"/>
        </c:manualLayout>
      </c:layout>
      <c:scatterChart>
        <c:scatterStyle val="lineMarker"/>
        <c:varyColors val="0"/>
        <c:ser>
          <c:idx val="0"/>
          <c:order val="0"/>
          <c:tx>
            <c:strRef>
              <c:f>' 3 MMSHE P80'!$O$5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 3 MMSHE P80'!$L$7:$L$22</c:f>
              <c:numCache>
                <c:formatCode>0.0E+00</c:formatCode>
                <c:ptCount val="16"/>
                <c:pt idx="0">
                  <c:v>13216.408243297319</c:v>
                </c:pt>
                <c:pt idx="1">
                  <c:v>19141.005042016808</c:v>
                </c:pt>
                <c:pt idx="2">
                  <c:v>25521.340056022407</c:v>
                </c:pt>
                <c:pt idx="3">
                  <c:v>31901.67507002801</c:v>
                </c:pt>
                <c:pt idx="4">
                  <c:v>37370.533653461382</c:v>
                </c:pt>
                <c:pt idx="5">
                  <c:v>42839.392236894753</c:v>
                </c:pt>
                <c:pt idx="6">
                  <c:v>42839.392236894753</c:v>
                </c:pt>
                <c:pt idx="7">
                  <c:v>37370.533653461382</c:v>
                </c:pt>
                <c:pt idx="8">
                  <c:v>30990.198639455775</c:v>
                </c:pt>
                <c:pt idx="9">
                  <c:v>25521.340056022407</c:v>
                </c:pt>
                <c:pt idx="10">
                  <c:v>19141.005042016808</c:v>
                </c:pt>
                <c:pt idx="11">
                  <c:v>13216.408243297319</c:v>
                </c:pt>
              </c:numCache>
            </c:numRef>
          </c:xVal>
          <c:yVal>
            <c:numRef>
              <c:f>' 3 MMSHE P80'!$O$7:$O$22</c:f>
              <c:numCache>
                <c:formatCode>0.000</c:formatCode>
                <c:ptCount val="16"/>
                <c:pt idx="0">
                  <c:v>1.5994605613399372E-2</c:v>
                </c:pt>
                <c:pt idx="1">
                  <c:v>1.5055961293069698E-2</c:v>
                </c:pt>
                <c:pt idx="2">
                  <c:v>1.4825956200591297E-2</c:v>
                </c:pt>
                <c:pt idx="3">
                  <c:v>1.474935394477458E-2</c:v>
                </c:pt>
                <c:pt idx="4">
                  <c:v>1.3231045765295095E-2</c:v>
                </c:pt>
                <c:pt idx="5">
                  <c:v>1.1203745085139926E-2</c:v>
                </c:pt>
                <c:pt idx="6">
                  <c:v>1.1203745085139926E-2</c:v>
                </c:pt>
                <c:pt idx="7">
                  <c:v>1.2894344100149144E-2</c:v>
                </c:pt>
                <c:pt idx="8">
                  <c:v>1.4767830612489352E-2</c:v>
                </c:pt>
                <c:pt idx="9">
                  <c:v>1.5183935844989178E-2</c:v>
                </c:pt>
                <c:pt idx="10">
                  <c:v>1.6206645808457727E-2</c:v>
                </c:pt>
                <c:pt idx="11">
                  <c:v>1.6250991857566892E-2</c:v>
                </c:pt>
              </c:numCache>
            </c:numRef>
          </c:yVal>
          <c:smooth val="0"/>
          <c:extLst>
            <c:ext xmlns:c16="http://schemas.microsoft.com/office/drawing/2014/chart" uri="{C3380CC4-5D6E-409C-BE32-E72D297353CC}">
              <c16:uniqueId val="{00000001-55A4-40BB-A2EC-CF86265D032F}"/>
            </c:ext>
          </c:extLst>
        </c:ser>
        <c:ser>
          <c:idx val="1"/>
          <c:order val="1"/>
          <c:tx>
            <c:strRef>
              <c:f>' 3 MMSHE P80'!$W$5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 3 MMSHE P80'!$V$7:$V$31</c:f>
              <c:numCache>
                <c:formatCode>0.00000</c:formatCode>
                <c:ptCount val="25"/>
                <c:pt idx="0">
                  <c:v>1558.6234493797517</c:v>
                </c:pt>
                <c:pt idx="1">
                  <c:v>3117.2468987595034</c:v>
                </c:pt>
                <c:pt idx="2">
                  <c:v>4675.8703481392549</c:v>
                </c:pt>
                <c:pt idx="3">
                  <c:v>6234.4937975190069</c:v>
                </c:pt>
                <c:pt idx="4">
                  <c:v>7793.1172468987588</c:v>
                </c:pt>
                <c:pt idx="5">
                  <c:v>9351.7406962785099</c:v>
                </c:pt>
                <c:pt idx="6">
                  <c:v>10910.364145658263</c:v>
                </c:pt>
                <c:pt idx="7">
                  <c:v>12468.987595038014</c:v>
                </c:pt>
                <c:pt idx="8">
                  <c:v>14027.611044417767</c:v>
                </c:pt>
                <c:pt idx="9">
                  <c:v>15586.234493797518</c:v>
                </c:pt>
                <c:pt idx="10">
                  <c:v>17144.85794317727</c:v>
                </c:pt>
                <c:pt idx="11">
                  <c:v>18703.48139255702</c:v>
                </c:pt>
                <c:pt idx="12">
                  <c:v>20262.104841936776</c:v>
                </c:pt>
                <c:pt idx="13">
                  <c:v>21820.728291316525</c:v>
                </c:pt>
                <c:pt idx="14">
                  <c:v>23379.351740696278</c:v>
                </c:pt>
                <c:pt idx="15">
                  <c:v>24937.975190076028</c:v>
                </c:pt>
                <c:pt idx="16">
                  <c:v>26496.598639455777</c:v>
                </c:pt>
                <c:pt idx="17">
                  <c:v>28055.222088835533</c:v>
                </c:pt>
                <c:pt idx="18">
                  <c:v>29613.845538215282</c:v>
                </c:pt>
                <c:pt idx="19">
                  <c:v>31172.468987595035</c:v>
                </c:pt>
                <c:pt idx="20">
                  <c:v>32731.092436974792</c:v>
                </c:pt>
                <c:pt idx="21">
                  <c:v>34289.715886354541</c:v>
                </c:pt>
                <c:pt idx="22">
                  <c:v>35848.339335734287</c:v>
                </c:pt>
                <c:pt idx="23">
                  <c:v>37406.962785114039</c:v>
                </c:pt>
                <c:pt idx="24">
                  <c:v>38965.586234493792</c:v>
                </c:pt>
              </c:numCache>
            </c:numRef>
          </c:xVal>
          <c:yVal>
            <c:numRef>
              <c:f>' 3 MMSHE P80'!$X$7:$X$31</c:f>
              <c:numCache>
                <c:formatCode>0.00000</c:formatCode>
                <c:ptCount val="25"/>
                <c:pt idx="0">
                  <c:v>1.2588998506648567E-2</c:v>
                </c:pt>
                <c:pt idx="1">
                  <c:v>1.0586043715875147E-2</c:v>
                </c:pt>
                <c:pt idx="2">
                  <c:v>9.5655703119661879E-3</c:v>
                </c:pt>
                <c:pt idx="3">
                  <c:v>8.9017662123985226E-3</c:v>
                </c:pt>
                <c:pt idx="4">
                  <c:v>8.4187707006838832E-3</c:v>
                </c:pt>
                <c:pt idx="5">
                  <c:v>8.0436537851897236E-3</c:v>
                </c:pt>
                <c:pt idx="6">
                  <c:v>7.7395671394086983E-3</c:v>
                </c:pt>
                <c:pt idx="7">
                  <c:v>7.4854632974325538E-3</c:v>
                </c:pt>
                <c:pt idx="8">
                  <c:v>7.2682616766413478E-3</c:v>
                </c:pt>
                <c:pt idx="9">
                  <c:v>7.0793141030480802E-3</c:v>
                </c:pt>
                <c:pt idx="10">
                  <c:v>6.9126252080244817E-3</c:v>
                </c:pt>
                <c:pt idx="11">
                  <c:v>6.7638796335080095E-3</c:v>
                </c:pt>
                <c:pt idx="12">
                  <c:v>6.6298750561583691E-3</c:v>
                </c:pt>
                <c:pt idx="13">
                  <c:v>6.5081742631442211E-3</c:v>
                </c:pt>
                <c:pt idx="14">
                  <c:v>6.3968824076976781E-3</c:v>
                </c:pt>
                <c:pt idx="15">
                  <c:v>6.2944992533242846E-3</c:v>
                </c:pt>
                <c:pt idx="16">
                  <c:v>6.1998181572588285E-3</c:v>
                </c:pt>
                <c:pt idx="17">
                  <c:v>6.1118551890136617E-3</c:v>
                </c:pt>
                <c:pt idx="18">
                  <c:v>6.0297982554332096E-3</c:v>
                </c:pt>
                <c:pt idx="19">
                  <c:v>5.952969851708196E-3</c:v>
                </c:pt>
                <c:pt idx="20">
                  <c:v>5.8807993040191414E-3</c:v>
                </c:pt>
                <c:pt idx="21">
                  <c:v>5.8128017574202492E-3</c:v>
                </c:pt>
                <c:pt idx="22">
                  <c:v>5.7485620437036332E-3</c:v>
                </c:pt>
                <c:pt idx="23">
                  <c:v>5.6877221370244934E-3</c:v>
                </c:pt>
                <c:pt idx="24">
                  <c:v>5.6299712859019073E-3</c:v>
                </c:pt>
              </c:numCache>
            </c:numRef>
          </c:yVal>
          <c:smooth val="0"/>
          <c:extLst>
            <c:ext xmlns:c16="http://schemas.microsoft.com/office/drawing/2014/chart" uri="{C3380CC4-5D6E-409C-BE32-E72D297353CC}">
              <c16:uniqueId val="{00000003-55A4-40BB-A2EC-CF86265D032F}"/>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01103591706162"/>
          <c:y val="7.2988583718920211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'MMHSE P80 AVGS'!$G$6:$G$12</c:f>
              <c:numCache>
                <c:formatCode>0.00</c:formatCode>
                <c:ptCount val="7"/>
                <c:pt idx="0">
                  <c:v>0</c:v>
                </c:pt>
                <c:pt idx="1">
                  <c:v>0.92602582656269905</c:v>
                </c:pt>
                <c:pt idx="2">
                  <c:v>1.767214341774878</c:v>
                </c:pt>
                <c:pt idx="3">
                  <c:v>3.0833736975643324</c:v>
                </c:pt>
                <c:pt idx="4">
                  <c:v>4.6344595756202516</c:v>
                </c:pt>
                <c:pt idx="5">
                  <c:v>6.0287883450293691</c:v>
                </c:pt>
                <c:pt idx="6">
                  <c:v>7.8266848582816539</c:v>
                </c:pt>
              </c:numCache>
            </c:numRef>
          </c:xVal>
          <c:yVal>
            <c:numRef>
              <c:f>'MMHSE P80 AVGS'!$K$6:$K$11</c:f>
              <c:numCache>
                <c:formatCode>0</c:formatCode>
                <c:ptCount val="6"/>
                <c:pt idx="0">
                  <c:v>0</c:v>
                </c:pt>
                <c:pt idx="1">
                  <c:v>1755.7425806451611</c:v>
                </c:pt>
                <c:pt idx="2">
                  <c:v>3114.6004302043016</c:v>
                </c:pt>
                <c:pt idx="3">
                  <c:v>5197.2298387096771</c:v>
                </c:pt>
                <c:pt idx="4">
                  <c:v>7351.7452150537638</c:v>
                </c:pt>
                <c:pt idx="5">
                  <c:v>5799.1701612903225</c:v>
                </c:pt>
              </c:numCache>
            </c:numRef>
          </c:yVal>
          <c:smooth val="0"/>
          <c:extLst>
            <c:ext xmlns:c16="http://schemas.microsoft.com/office/drawing/2014/chart" uri="{C3380CC4-5D6E-409C-BE32-E72D297353CC}">
              <c16:uniqueId val="{00000001-7996-410D-88D5-38E458EC5C8A}"/>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4"/>
          <c:order val="4"/>
          <c:tx>
            <c:v>Smooth Control Elongation</c:v>
          </c:tx>
          <c:spPr>
            <a:ln w="25400" cap="rnd">
              <a:noFill/>
              <a:round/>
            </a:ln>
            <a:effectLst/>
          </c:spPr>
          <c:marker>
            <c:symbol val="circle"/>
            <c:size val="5"/>
            <c:spPr>
              <a:solidFill>
                <a:schemeClr val="accent5"/>
              </a:solidFill>
              <a:ln w="9525">
                <a:solidFill>
                  <a:schemeClr val="accent5"/>
                </a:solidFill>
              </a:ln>
              <a:effectLst/>
            </c:spPr>
          </c:marker>
          <c:xVal>
            <c:numRef>
              <c:f>'PLAIN PANEL AVGS'!$L$7:$L$9</c:f>
              <c:numCache>
                <c:formatCode>0.0E+00</c:formatCode>
                <c:ptCount val="3"/>
                <c:pt idx="0">
                  <c:v>17173.73507936508</c:v>
                </c:pt>
                <c:pt idx="1">
                  <c:v>25760.602619047622</c:v>
                </c:pt>
                <c:pt idx="2">
                  <c:v>31861.797976190479</c:v>
                </c:pt>
              </c:numCache>
              <c:extLst xmlns:c15="http://schemas.microsoft.com/office/drawing/2012/chart"/>
            </c:numRef>
          </c:xVal>
          <c:yVal>
            <c:numRef>
              <c:f>'PLAIN PANEL AVGS'!$T$7:$T$9</c:f>
              <c:numCache>
                <c:formatCode>General</c:formatCode>
                <c:ptCount val="3"/>
                <c:pt idx="0">
                  <c:v>238.71733333333333</c:v>
                </c:pt>
                <c:pt idx="1">
                  <c:v>238.2585</c:v>
                </c:pt>
                <c:pt idx="2">
                  <c:v>232.23649999999998</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6-1B28-43AE-8F81-2A02C405B5D0}"/>
            </c:ext>
          </c:extLst>
        </c:ser>
        <c:ser>
          <c:idx val="7"/>
          <c:order val="7"/>
          <c:tx>
            <c:v>P80 Control Elongation</c:v>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xVal>
            <c:numRef>
              <c:f>'P80 sandpaper AVGS'!$S$41:$S$46</c:f>
              <c:numCache>
                <c:formatCode>General</c:formatCode>
                <c:ptCount val="6"/>
              </c:numCache>
              <c:extLst xmlns:c15="http://schemas.microsoft.com/office/drawing/2012/chart"/>
            </c:numRef>
          </c:xVal>
          <c:yVal>
            <c:numRef>
              <c:f>'P80 sandpaper AVGS'!$V$41:$V$46</c:f>
              <c:numCache>
                <c:formatCode>General</c:formatCode>
                <c:ptCount val="6"/>
              </c:numCache>
              <c:extLst xmlns:c15="http://schemas.microsoft.com/office/drawing/2012/chart"/>
            </c:numRef>
          </c:yVal>
          <c:smooth val="0"/>
          <c:extLst>
            <c:ext xmlns:c16="http://schemas.microsoft.com/office/drawing/2014/chart" uri="{C3380CC4-5D6E-409C-BE32-E72D297353CC}">
              <c16:uniqueId val="{00000007-1B28-43AE-8F81-2A02C405B5D0}"/>
            </c:ext>
          </c:extLst>
        </c:ser>
        <c:ser>
          <c:idx val="8"/>
          <c:order val="8"/>
          <c:tx>
            <c:v>P240 Control Elongation</c:v>
          </c:tx>
          <c:spPr>
            <a:ln w="25400" cap="rnd">
              <a:noFill/>
              <a:round/>
            </a:ln>
            <a:effectLst/>
          </c:spPr>
          <c:marker>
            <c:symbol val="circle"/>
            <c:size val="5"/>
            <c:spPr>
              <a:solidFill>
                <a:schemeClr val="accent3">
                  <a:lumMod val="60000"/>
                </a:schemeClr>
              </a:solidFill>
              <a:ln w="9525">
                <a:solidFill>
                  <a:schemeClr val="accent3">
                    <a:lumMod val="60000"/>
                  </a:schemeClr>
                </a:solidFill>
              </a:ln>
              <a:effectLst/>
            </c:spPr>
          </c:marker>
          <c:xVal>
            <c:numRef>
              <c:f>'P240 sandpaper'!$L$7:$L$12</c:f>
              <c:numCache>
                <c:formatCode>0.0E+00</c:formatCode>
                <c:ptCount val="6"/>
                <c:pt idx="0">
                  <c:v>17029.859003236244</c:v>
                </c:pt>
                <c:pt idx="1">
                  <c:v>25314.655275080902</c:v>
                </c:pt>
                <c:pt idx="2">
                  <c:v>32218.652168284785</c:v>
                </c:pt>
                <c:pt idx="3">
                  <c:v>40043.181980582514</c:v>
                </c:pt>
                <c:pt idx="4">
                  <c:v>46026.645954692547</c:v>
                </c:pt>
                <c:pt idx="5">
                  <c:v>52930.642847896444</c:v>
                </c:pt>
              </c:numCache>
              <c:extLst xmlns:c15="http://schemas.microsoft.com/office/drawing/2012/chart"/>
            </c:numRef>
          </c:xVal>
          <c:yVal>
            <c:numRef>
              <c:f>'P240 sandpaper'!$S$7:$S$12</c:f>
              <c:numCache>
                <c:formatCode>0.00</c:formatCode>
                <c:ptCount val="6"/>
                <c:pt idx="0" formatCode="General">
                  <c:v>53.87566666666666</c:v>
                </c:pt>
                <c:pt idx="1">
                  <c:v>54.229333333333329</c:v>
                </c:pt>
                <c:pt idx="2" formatCode="0.000">
                  <c:v>56.719666666666662</c:v>
                </c:pt>
                <c:pt idx="3" formatCode="0.000">
                  <c:v>54.749000000000002</c:v>
                </c:pt>
                <c:pt idx="4" formatCode="General">
                  <c:v>54.546333333333337</c:v>
                </c:pt>
                <c:pt idx="5" formatCode="General">
                  <c:v>54.866999999999997</c:v>
                </c:pt>
              </c:numCache>
              <c:extLst xmlns:c15="http://schemas.microsoft.com/office/drawing/2012/chart"/>
            </c:numRef>
          </c:yVal>
          <c:smooth val="0"/>
          <c:extLst>
            <c:ext xmlns:c16="http://schemas.microsoft.com/office/drawing/2014/chart" uri="{C3380CC4-5D6E-409C-BE32-E72D297353CC}">
              <c16:uniqueId val="{00000008-1B28-43AE-8F81-2A02C405B5D0}"/>
            </c:ext>
          </c:extLst>
        </c:ser>
        <c:dLbls>
          <c:showLegendKey val="0"/>
          <c:showVal val="0"/>
          <c:showCatName val="0"/>
          <c:showSerName val="0"/>
          <c:showPercent val="0"/>
          <c:showBubbleSize val="0"/>
        </c:dLbls>
        <c:axId val="420696127"/>
        <c:axId val="651585247"/>
        <c:extLst>
          <c:ext xmlns:c15="http://schemas.microsoft.com/office/drawing/2012/chart" uri="{02D57815-91ED-43cb-92C2-25804820EDAC}">
            <c15:filteredScatterSeries>
              <c15:ser>
                <c:idx val="0"/>
                <c:order val="0"/>
                <c:tx>
                  <c:v>P240 Rigid Elongation</c:v>
                </c:tx>
                <c:spPr>
                  <a:ln w="25400" cap="rnd">
                    <a:noFill/>
                    <a:round/>
                  </a:ln>
                  <a:effectLst/>
                </c:spPr>
                <c:marker>
                  <c:symbol val="circle"/>
                  <c:size val="5"/>
                  <c:spPr>
                    <a:solidFill>
                      <a:schemeClr val="accent1"/>
                    </a:solidFill>
                    <a:ln w="9525">
                      <a:solidFill>
                        <a:schemeClr val="accent1"/>
                      </a:solidFill>
                    </a:ln>
                    <a:effectLst/>
                  </c:spPr>
                </c:marker>
                <c:xVal>
                  <c:numRef>
                    <c:extLst>
                      <c:ext uri="{02D57815-91ED-43cb-92C2-25804820EDAC}">
                        <c15:formulaRef>
                          <c15:sqref>'EF25 P240 AVGS'!$L$7:$L$12</c15:sqref>
                        </c15:formulaRef>
                      </c:ext>
                    </c:extLst>
                    <c:numCache>
                      <c:formatCode>0.0E+00</c:formatCode>
                      <c:ptCount val="6"/>
                      <c:pt idx="0">
                        <c:v>17255.906060606056</c:v>
                      </c:pt>
                      <c:pt idx="1">
                        <c:v>24959.435551948049</c:v>
                      </c:pt>
                      <c:pt idx="2">
                        <c:v>32971.106222943716</c:v>
                      </c:pt>
                      <c:pt idx="3">
                        <c:v>40212.423944805189</c:v>
                      </c:pt>
                      <c:pt idx="4">
                        <c:v>46837.459307359313</c:v>
                      </c:pt>
                      <c:pt idx="5">
                        <c:v>51767.718181818185</c:v>
                      </c:pt>
                    </c:numCache>
                  </c:numRef>
                </c:xVal>
                <c:yVal>
                  <c:numRef>
                    <c:extLst>
                      <c:ext uri="{02D57815-91ED-43cb-92C2-25804820EDAC}">
                        <c15:formulaRef>
                          <c15:sqref>'EF25 P240 AVGS'!$T$7:$T$12</c15:sqref>
                        </c15:formulaRef>
                      </c:ext>
                    </c:extLst>
                    <c:numCache>
                      <c:formatCode>0.00</c:formatCode>
                      <c:ptCount val="6"/>
                      <c:pt idx="0">
                        <c:v>65.287666666666667</c:v>
                      </c:pt>
                      <c:pt idx="1">
                        <c:v>64.590333333333334</c:v>
                      </c:pt>
                      <c:pt idx="2">
                        <c:v>65.329222222222214</c:v>
                      </c:pt>
                      <c:pt idx="3">
                        <c:v>64.043166666666664</c:v>
                      </c:pt>
                      <c:pt idx="4">
                        <c:v>64.469333333333338</c:v>
                      </c:pt>
                      <c:pt idx="5">
                        <c:v>64.34341666666667</c:v>
                      </c:pt>
                    </c:numCache>
                  </c:numRef>
                </c:yVal>
                <c:smooth val="0"/>
                <c:extLst>
                  <c:ext xmlns:c16="http://schemas.microsoft.com/office/drawing/2014/chart" uri="{C3380CC4-5D6E-409C-BE32-E72D297353CC}">
                    <c16:uniqueId val="{00000003-1B28-43AE-8F81-2A02C405B5D0}"/>
                  </c:ext>
                </c:extLst>
              </c15:ser>
            </c15:filteredScatterSeries>
            <c15:filteredScatterSeries>
              <c15:ser>
                <c:idx val="1"/>
                <c:order val="1"/>
                <c:tx>
                  <c:v>P80 Rigid Elongation</c:v>
                </c:tx>
                <c:spPr>
                  <a:ln w="25400" cap="rnd">
                    <a:noFill/>
                    <a:round/>
                  </a:ln>
                  <a:effectLst/>
                </c:spPr>
                <c:marker>
                  <c:symbol val="circle"/>
                  <c:size val="5"/>
                  <c:spPr>
                    <a:solidFill>
                      <a:schemeClr val="accent2"/>
                    </a:solidFill>
                    <a:ln w="9525">
                      <a:solidFill>
                        <a:schemeClr val="accent2"/>
                      </a:solidFill>
                    </a:ln>
                    <a:effectLst/>
                  </c:spPr>
                </c:marker>
                <c:xVal>
                  <c:numRef>
                    <c:extLst xmlns:c15="http://schemas.microsoft.com/office/drawing/2012/chart">
                      <c:ext xmlns:c15="http://schemas.microsoft.com/office/drawing/2012/chart" uri="{02D57815-91ED-43cb-92C2-25804820EDAC}">
                        <c15:formulaRef>
                          <c15:sqref>'EF25 P80 AVGS'!$M$7:$M$12</c15:sqref>
                        </c15:formulaRef>
                      </c:ext>
                    </c:extLst>
                    <c:numCache>
                      <c:formatCode>0.0E+00</c:formatCode>
                      <c:ptCount val="6"/>
                      <c:pt idx="0">
                        <c:v>16525.642491230723</c:v>
                      </c:pt>
                      <c:pt idx="1">
                        <c:v>23135.899487723014</c:v>
                      </c:pt>
                      <c:pt idx="2">
                        <c:v>30320.96144043202</c:v>
                      </c:pt>
                      <c:pt idx="3">
                        <c:v>36500.114719761768</c:v>
                      </c:pt>
                      <c:pt idx="4">
                        <c:v>43254.072955308235</c:v>
                      </c:pt>
                      <c:pt idx="5">
                        <c:v>49002.122517475444</c:v>
                      </c:pt>
                    </c:numCache>
                  </c:numRef>
                </c:xVal>
                <c:yVal>
                  <c:numRef>
                    <c:extLst xmlns:c15="http://schemas.microsoft.com/office/drawing/2012/chart">
                      <c:ext xmlns:c15="http://schemas.microsoft.com/office/drawing/2012/chart" uri="{02D57815-91ED-43cb-92C2-25804820EDAC}">
                        <c15:formulaRef>
                          <c15:sqref>'EF25 P80 AVGS'!$Z$7:$Z$12</c15:sqref>
                        </c15:formulaRef>
                      </c:ext>
                    </c:extLst>
                    <c:numCache>
                      <c:formatCode>0.00</c:formatCode>
                      <c:ptCount val="6"/>
                      <c:pt idx="0">
                        <c:v>41.160999999999994</c:v>
                      </c:pt>
                      <c:pt idx="1">
                        <c:v>42.672333333333334</c:v>
                      </c:pt>
                      <c:pt idx="2">
                        <c:v>43.121111111111112</c:v>
                      </c:pt>
                      <c:pt idx="3">
                        <c:v>42.555722222222222</c:v>
                      </c:pt>
                      <c:pt idx="4">
                        <c:v>42.906388888888891</c:v>
                      </c:pt>
                      <c:pt idx="5">
                        <c:v>42.489333333333327</c:v>
                      </c:pt>
                    </c:numCache>
                  </c:numRef>
                </c:yVal>
                <c:smooth val="0"/>
                <c:extLst xmlns:c15="http://schemas.microsoft.com/office/drawing/2012/chart">
                  <c:ext xmlns:c16="http://schemas.microsoft.com/office/drawing/2014/chart" uri="{C3380CC4-5D6E-409C-BE32-E72D297353CC}">
                    <c16:uniqueId val="{00000004-1B28-43AE-8F81-2A02C405B5D0}"/>
                  </c:ext>
                </c:extLst>
              </c15:ser>
            </c15:filteredScatterSeries>
            <c15:filteredScatterSeries>
              <c15:ser>
                <c:idx val="2"/>
                <c:order val="2"/>
                <c:tx>
                  <c:v>Smooth Rigid Elongation</c:v>
                </c:tx>
                <c:spPr>
                  <a:ln w="25400" cap="rnd">
                    <a:noFill/>
                    <a:round/>
                  </a:ln>
                  <a:effectLst/>
                </c:spPr>
                <c:marker>
                  <c:symbol val="circle"/>
                  <c:size val="5"/>
                  <c:spPr>
                    <a:solidFill>
                      <a:schemeClr val="accent3"/>
                    </a:solidFill>
                    <a:ln w="9525">
                      <a:solidFill>
                        <a:schemeClr val="accent3"/>
                      </a:solidFill>
                    </a:ln>
                    <a:effectLst/>
                  </c:spPr>
                </c:marker>
                <c:xVal>
                  <c:numRef>
                    <c:extLst xmlns:c15="http://schemas.microsoft.com/office/drawing/2012/chart">
                      <c:ext xmlns:c15="http://schemas.microsoft.com/office/drawing/2012/chart" uri="{02D57815-91ED-43cb-92C2-25804820EDAC}">
                        <c15:formulaRef>
                          <c15:sqref>'EF25 flat AVGS'!$L$7:$L$12</c15:sqref>
                        </c15:formulaRef>
                      </c:ext>
                    </c:extLst>
                    <c:numCache>
                      <c:formatCode>0.0E+00</c:formatCode>
                      <c:ptCount val="6"/>
                      <c:pt idx="0">
                        <c:v>17031.803384494291</c:v>
                      </c:pt>
                      <c:pt idx="1">
                        <c:v>24203.089020070838</c:v>
                      </c:pt>
                      <c:pt idx="2">
                        <c:v>30702.066627312077</c:v>
                      </c:pt>
                      <c:pt idx="3">
                        <c:v>38097.454939000396</c:v>
                      </c:pt>
                      <c:pt idx="4">
                        <c:v>45268.740574576928</c:v>
                      </c:pt>
                      <c:pt idx="5">
                        <c:v>51991.820857929946</c:v>
                      </c:pt>
                    </c:numCache>
                  </c:numRef>
                </c:xVal>
                <c:yVal>
                  <c:numRef>
                    <c:extLst xmlns:c15="http://schemas.microsoft.com/office/drawing/2012/chart">
                      <c:ext xmlns:c15="http://schemas.microsoft.com/office/drawing/2012/chart" uri="{02D57815-91ED-43cb-92C2-25804820EDAC}">
                        <c15:formulaRef>
                          <c15:sqref>'EF25 flat AVGS'!$T$7:$T$12</c15:sqref>
                        </c15:formulaRef>
                      </c:ext>
                    </c:extLst>
                    <c:numCache>
                      <c:formatCode>General</c:formatCode>
                      <c:ptCount val="6"/>
                      <c:pt idx="0">
                        <c:v>81.165666666666681</c:v>
                      </c:pt>
                      <c:pt idx="1">
                        <c:v>85.668166666666664</c:v>
                      </c:pt>
                      <c:pt idx="2">
                        <c:v>84.876666666666665</c:v>
                      </c:pt>
                      <c:pt idx="3">
                        <c:v>85.456333333333333</c:v>
                      </c:pt>
                      <c:pt idx="4">
                        <c:v>89.025333333333322</c:v>
                      </c:pt>
                      <c:pt idx="5">
                        <c:v>90.991500000000002</c:v>
                      </c:pt>
                    </c:numCache>
                  </c:numRef>
                </c:yVal>
                <c:smooth val="0"/>
                <c:extLst xmlns:c15="http://schemas.microsoft.com/office/drawing/2012/chart">
                  <c:ext xmlns:c16="http://schemas.microsoft.com/office/drawing/2014/chart" uri="{C3380CC4-5D6E-409C-BE32-E72D297353CC}">
                    <c16:uniqueId val="{00000005-1B28-43AE-8F81-2A02C405B5D0}"/>
                  </c:ext>
                </c:extLst>
              </c15:ser>
            </c15:filteredScatterSeries>
            <c15:filteredScatterSeries>
              <c15:ser>
                <c:idx val="3"/>
                <c:order val="3"/>
                <c:tx>
                  <c:v>Smooth Elastomer Elongation</c:v>
                </c:tx>
                <c:spPr>
                  <a:ln w="25400" cap="rnd">
                    <a:noFill/>
                    <a:round/>
                  </a:ln>
                  <a:effectLst/>
                </c:spPr>
                <c:marker>
                  <c:symbol val="circle"/>
                  <c:size val="5"/>
                  <c:spPr>
                    <a:solidFill>
                      <a:schemeClr val="accent4"/>
                    </a:solidFill>
                    <a:ln w="9525">
                      <a:solidFill>
                        <a:schemeClr val="accent4"/>
                      </a:solidFill>
                    </a:ln>
                    <a:effectLst/>
                  </c:spPr>
                </c:marker>
                <c:xVal>
                  <c:numRef>
                    <c:extLst xmlns:c15="http://schemas.microsoft.com/office/drawing/2012/chart">
                      <c:ext xmlns:c15="http://schemas.microsoft.com/office/drawing/2012/chart" uri="{02D57815-91ED-43cb-92C2-25804820EDAC}">
                        <c15:formulaRef>
                          <c15:sqref>'MMHSE flat AVG'!$L$7:$L$12</c15:sqref>
                        </c15:formulaRef>
                      </c:ext>
                    </c:extLst>
                    <c:numCache>
                      <c:formatCode>0.0E+00</c:formatCode>
                      <c:ptCount val="6"/>
                      <c:pt idx="0">
                        <c:v>16791.76035066746</c:v>
                      </c:pt>
                      <c:pt idx="1">
                        <c:v>24733.809165172341</c:v>
                      </c:pt>
                      <c:pt idx="2">
                        <c:v>31541.279577605099</c:v>
                      </c:pt>
                      <c:pt idx="3">
                        <c:v>38802.581350866705</c:v>
                      </c:pt>
                      <c:pt idx="4">
                        <c:v>46971.545845786015</c:v>
                      </c:pt>
                      <c:pt idx="5">
                        <c:v>52871.353536561066</c:v>
                      </c:pt>
                    </c:numCache>
                  </c:numRef>
                </c:xVal>
                <c:yVal>
                  <c:numRef>
                    <c:extLst xmlns:c15="http://schemas.microsoft.com/office/drawing/2012/chart">
                      <c:ext xmlns:c15="http://schemas.microsoft.com/office/drawing/2012/chart" uri="{02D57815-91ED-43cb-92C2-25804820EDAC}">
                        <c15:formulaRef>
                          <c15:sqref>'MMHSE flat AVG'!$T$7:$T$12</c15:sqref>
                        </c15:formulaRef>
                      </c:ext>
                    </c:extLst>
                    <c:numCache>
                      <c:formatCode>General</c:formatCode>
                      <c:ptCount val="6"/>
                      <c:pt idx="0">
                        <c:v>70.255666666666656</c:v>
                      </c:pt>
                      <c:pt idx="1">
                        <c:v>70.236333333333334</c:v>
                      </c:pt>
                      <c:pt idx="2">
                        <c:v>72.275749999999988</c:v>
                      </c:pt>
                      <c:pt idx="3">
                        <c:v>71.86399999999999</c:v>
                      </c:pt>
                      <c:pt idx="4">
                        <c:v>74.114500000000007</c:v>
                      </c:pt>
                      <c:pt idx="5">
                        <c:v>75.267499999999998</c:v>
                      </c:pt>
                    </c:numCache>
                  </c:numRef>
                </c:yVal>
                <c:smooth val="0"/>
                <c:extLst xmlns:c15="http://schemas.microsoft.com/office/drawing/2012/chart">
                  <c:ext xmlns:c16="http://schemas.microsoft.com/office/drawing/2014/chart" uri="{C3380CC4-5D6E-409C-BE32-E72D297353CC}">
                    <c16:uniqueId val="{00000000-1B28-43AE-8F81-2A02C405B5D0}"/>
                  </c:ext>
                </c:extLst>
              </c15:ser>
            </c15:filteredScatterSeries>
            <c15:filteredScatterSeries>
              <c15:ser>
                <c:idx val="5"/>
                <c:order val="5"/>
                <c:tx>
                  <c:v>P80 Elastomer Elongation</c:v>
                </c:tx>
                <c:spPr>
                  <a:ln w="25400" cap="rnd">
                    <a:noFill/>
                    <a:round/>
                  </a:ln>
                  <a:effectLst/>
                </c:spPr>
                <c:marker>
                  <c:symbol val="circle"/>
                  <c:size val="5"/>
                  <c:spPr>
                    <a:solidFill>
                      <a:schemeClr val="accent6"/>
                    </a:solidFill>
                    <a:ln w="9525">
                      <a:solidFill>
                        <a:schemeClr val="accent6"/>
                      </a:solidFill>
                    </a:ln>
                    <a:effectLst/>
                  </c:spPr>
                </c:marker>
                <c:xVal>
                  <c:numRef>
                    <c:extLst xmlns:c15="http://schemas.microsoft.com/office/drawing/2012/chart">
                      <c:ext xmlns:c15="http://schemas.microsoft.com/office/drawing/2012/chart" uri="{02D57815-91ED-43cb-92C2-25804820EDAC}">
                        <c15:formulaRef>
                          <c15:sqref>'MMHSE P80 AVGS'!$L$7:$L$12</c15:sqref>
                        </c15:formulaRef>
                      </c:ext>
                    </c:extLst>
                    <c:numCache>
                      <c:formatCode>0.0E+00</c:formatCode>
                      <c:ptCount val="6"/>
                      <c:pt idx="0">
                        <c:v>13610.328035679087</c:v>
                      </c:pt>
                      <c:pt idx="1">
                        <c:v>18801.896461659773</c:v>
                      </c:pt>
                      <c:pt idx="2">
                        <c:v>24835.340848610296</c:v>
                      </c:pt>
                      <c:pt idx="3">
                        <c:v>30447.8472550759</c:v>
                      </c:pt>
                      <c:pt idx="4">
                        <c:v>34727.383390005925</c:v>
                      </c:pt>
                      <c:pt idx="5">
                        <c:v>39568.170165582502</c:v>
                      </c:pt>
                    </c:numCache>
                  </c:numRef>
                </c:xVal>
                <c:yVal>
                  <c:numRef>
                    <c:extLst xmlns:c15="http://schemas.microsoft.com/office/drawing/2012/chart">
                      <c:ext xmlns:c15="http://schemas.microsoft.com/office/drawing/2012/chart" uri="{02D57815-91ED-43cb-92C2-25804820EDAC}">
                        <c15:formulaRef>
                          <c15:sqref>'MMHSE P80 AVGS'!$S$7:$S$12</c15:sqref>
                        </c15:formulaRef>
                      </c:ext>
                    </c:extLst>
                    <c:numCache>
                      <c:formatCode>General</c:formatCode>
                      <c:ptCount val="6"/>
                      <c:pt idx="0">
                        <c:v>46.262833333333333</c:v>
                      </c:pt>
                      <c:pt idx="1">
                        <c:v>45.570444444444441</c:v>
                      </c:pt>
                      <c:pt idx="2">
                        <c:v>45.556777777777775</c:v>
                      </c:pt>
                      <c:pt idx="3">
                        <c:v>46.690722222222227</c:v>
                      </c:pt>
                      <c:pt idx="4">
                        <c:v>50.249250000000004</c:v>
                      </c:pt>
                      <c:pt idx="5">
                        <c:v>56.551666666666669</c:v>
                      </c:pt>
                    </c:numCache>
                  </c:numRef>
                </c:yVal>
                <c:smooth val="0"/>
                <c:extLst xmlns:c15="http://schemas.microsoft.com/office/drawing/2012/chart">
                  <c:ext xmlns:c16="http://schemas.microsoft.com/office/drawing/2014/chart" uri="{C3380CC4-5D6E-409C-BE32-E72D297353CC}">
                    <c16:uniqueId val="{00000001-1B28-43AE-8F81-2A02C405B5D0}"/>
                  </c:ext>
                </c:extLst>
              </c15:ser>
            </c15:filteredScatterSeries>
            <c15:filteredScatterSeries>
              <c15:ser>
                <c:idx val="6"/>
                <c:order val="6"/>
                <c:tx>
                  <c:v>P240 Elastomer Elongation</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xVal>
                  <c:numRef>
                    <c:extLst xmlns:c15="http://schemas.microsoft.com/office/drawing/2012/chart">
                      <c:ext xmlns:c15="http://schemas.microsoft.com/office/drawing/2012/chart" uri="{02D57815-91ED-43cb-92C2-25804820EDAC}">
                        <c15:formulaRef>
                          <c15:sqref>'MMHSE P240 AVG'!$L$7:$L$10</c15:sqref>
                        </c15:formulaRef>
                      </c:ext>
                    </c:extLst>
                    <c:numCache>
                      <c:formatCode>0.0E+00</c:formatCode>
                      <c:ptCount val="4"/>
                      <c:pt idx="0">
                        <c:v>11807.649133593246</c:v>
                      </c:pt>
                      <c:pt idx="1">
                        <c:v>18828.41348329734</c:v>
                      </c:pt>
                      <c:pt idx="2">
                        <c:v>24891.800876223599</c:v>
                      </c:pt>
                      <c:pt idx="3">
                        <c:v>31832.783812862872</c:v>
                      </c:pt>
                    </c:numCache>
                  </c:numRef>
                </c:xVal>
                <c:yVal>
                  <c:numRef>
                    <c:extLst xmlns:c15="http://schemas.microsoft.com/office/drawing/2012/chart">
                      <c:ext xmlns:c15="http://schemas.microsoft.com/office/drawing/2012/chart" uri="{02D57815-91ED-43cb-92C2-25804820EDAC}">
                        <c15:formulaRef>
                          <c15:sqref>'MMHSE P240 AVG'!$T$7:$T$10</c15:sqref>
                        </c15:formulaRef>
                      </c:ext>
                    </c:extLst>
                    <c:numCache>
                      <c:formatCode>General</c:formatCode>
                      <c:ptCount val="4"/>
                      <c:pt idx="0">
                        <c:v>55.282222222222224</c:v>
                      </c:pt>
                      <c:pt idx="1">
                        <c:v>52.43588888888889</c:v>
                      </c:pt>
                      <c:pt idx="2">
                        <c:v>53.037888888888887</c:v>
                      </c:pt>
                      <c:pt idx="3">
                        <c:v>56.688333333333333</c:v>
                      </c:pt>
                    </c:numCache>
                  </c:numRef>
                </c:yVal>
                <c:smooth val="0"/>
                <c:extLst xmlns:c15="http://schemas.microsoft.com/office/drawing/2012/chart">
                  <c:ext xmlns:c16="http://schemas.microsoft.com/office/drawing/2014/chart" uri="{C3380CC4-5D6E-409C-BE32-E72D297353CC}">
                    <c16:uniqueId val="{00000002-1B28-43AE-8F81-2A02C405B5D0}"/>
                  </c:ext>
                </c:extLst>
              </c15:ser>
            </c15:filteredScatterSeries>
          </c:ext>
        </c:extLst>
      </c:scatterChart>
      <c:valAx>
        <c:axId val="420696127"/>
        <c:scaling>
          <c:orientation val="minMax"/>
        </c:scaling>
        <c:delete val="0"/>
        <c:axPos val="b"/>
        <c:majorGridlines>
          <c:spPr>
            <a:ln w="9525" cap="flat" cmpd="sng" algn="ctr">
              <a:solidFill>
                <a:schemeClr val="tx1">
                  <a:lumMod val="15000"/>
                  <a:lumOff val="85000"/>
                </a:schemeClr>
              </a:solidFill>
              <a:round/>
            </a:ln>
            <a:effectLst/>
          </c:spPr>
        </c:majorGridlines>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1585247"/>
        <c:crosses val="autoZero"/>
        <c:crossBetween val="midCat"/>
      </c:valAx>
      <c:valAx>
        <c:axId val="6515852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69612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'MMHSE P80 AVGS'!$O$5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1.0226054037279247E-2"/>
                  <c:y val="-0.16660861231449567"/>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'MMHSE P80 AVGS'!$L$7:$L$12</c:f>
              <c:numCache>
                <c:formatCode>0.0E+00</c:formatCode>
                <c:ptCount val="6"/>
                <c:pt idx="0">
                  <c:v>13610.328035679087</c:v>
                </c:pt>
                <c:pt idx="1">
                  <c:v>18801.896461659773</c:v>
                </c:pt>
                <c:pt idx="2">
                  <c:v>24835.340848610296</c:v>
                </c:pt>
                <c:pt idx="3">
                  <c:v>30447.8472550759</c:v>
                </c:pt>
                <c:pt idx="4">
                  <c:v>34727.383390005925</c:v>
                </c:pt>
                <c:pt idx="5">
                  <c:v>39568.170165582502</c:v>
                </c:pt>
              </c:numCache>
            </c:numRef>
          </c:xVal>
          <c:yVal>
            <c:numRef>
              <c:f>'MMHSE P80 AVGS'!$O$7:$O$12</c:f>
              <c:numCache>
                <c:formatCode>0.000</c:formatCode>
                <c:ptCount val="6"/>
                <c:pt idx="0">
                  <c:v>1.8185779610677532E-2</c:v>
                </c:pt>
                <c:pt idx="1">
                  <c:v>1.6904693184688124E-2</c:v>
                </c:pt>
                <c:pt idx="2">
                  <c:v>1.6167390968992418E-2</c:v>
                </c:pt>
                <c:pt idx="3">
                  <c:v>1.5215475539243689E-2</c:v>
                </c:pt>
                <c:pt idx="4">
                  <c:v>9.2263514973087574E-3</c:v>
                </c:pt>
                <c:pt idx="5">
                  <c:v>1.0654202599924757E-2</c:v>
                </c:pt>
              </c:numCache>
            </c:numRef>
          </c:yVal>
          <c:smooth val="0"/>
          <c:extLst>
            <c:ext xmlns:c16="http://schemas.microsoft.com/office/drawing/2014/chart" uri="{C3380CC4-5D6E-409C-BE32-E72D297353CC}">
              <c16:uniqueId val="{00000001-6926-4B81-AD36-6C4C9C58C08F}"/>
            </c:ext>
          </c:extLst>
        </c:ser>
        <c:ser>
          <c:idx val="1"/>
          <c:order val="1"/>
          <c:tx>
            <c:strRef>
              <c:f>'MMHSE P80 AVGS'!$W$5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'MMHSE P80 AVGS'!$V$7:$V$31</c:f>
              <c:numCache>
                <c:formatCode>0.00000</c:formatCode>
                <c:ptCount val="25"/>
                <c:pt idx="0">
                  <c:v>1414.3504829489457</c:v>
                </c:pt>
                <c:pt idx="1">
                  <c:v>2828.7009658978914</c:v>
                </c:pt>
                <c:pt idx="2">
                  <c:v>4243.051448846837</c:v>
                </c:pt>
                <c:pt idx="3">
                  <c:v>5657.4019317957827</c:v>
                </c:pt>
                <c:pt idx="4">
                  <c:v>7071.7524147447284</c:v>
                </c:pt>
                <c:pt idx="5">
                  <c:v>8486.1028976936741</c:v>
                </c:pt>
                <c:pt idx="6">
                  <c:v>9900.4533806426189</c:v>
                </c:pt>
                <c:pt idx="7">
                  <c:v>11314.803863591565</c:v>
                </c:pt>
                <c:pt idx="8">
                  <c:v>12729.15434654051</c:v>
                </c:pt>
                <c:pt idx="9">
                  <c:v>14143.504829489457</c:v>
                </c:pt>
                <c:pt idx="10">
                  <c:v>15557.855312438403</c:v>
                </c:pt>
                <c:pt idx="11">
                  <c:v>16972.205795387348</c:v>
                </c:pt>
                <c:pt idx="12">
                  <c:v>18386.556278336291</c:v>
                </c:pt>
                <c:pt idx="13">
                  <c:v>19800.906761285238</c:v>
                </c:pt>
                <c:pt idx="14">
                  <c:v>21215.257244234184</c:v>
                </c:pt>
                <c:pt idx="15">
                  <c:v>22629.607727183131</c:v>
                </c:pt>
                <c:pt idx="16">
                  <c:v>24043.958210132078</c:v>
                </c:pt>
                <c:pt idx="17">
                  <c:v>25458.30869308102</c:v>
                </c:pt>
                <c:pt idx="18">
                  <c:v>26872.659176029967</c:v>
                </c:pt>
                <c:pt idx="19">
                  <c:v>28287.009658978914</c:v>
                </c:pt>
                <c:pt idx="20">
                  <c:v>29701.36014192786</c:v>
                </c:pt>
                <c:pt idx="21">
                  <c:v>31115.710624876807</c:v>
                </c:pt>
                <c:pt idx="22">
                  <c:v>32530.06110782575</c:v>
                </c:pt>
                <c:pt idx="23">
                  <c:v>33944.411590774696</c:v>
                </c:pt>
                <c:pt idx="24">
                  <c:v>35358.762073723636</c:v>
                </c:pt>
              </c:numCache>
            </c:numRef>
          </c:xVal>
          <c:yVal>
            <c:numRef>
              <c:f>'MMHSE P80 AVGS'!$X$7:$X$31</c:f>
              <c:numCache>
                <c:formatCode>0.00000</c:formatCode>
                <c:ptCount val="25"/>
                <c:pt idx="0">
                  <c:v>1.2898441037555363E-2</c:v>
                </c:pt>
                <c:pt idx="1">
                  <c:v>1.0846252830841707E-2</c:v>
                </c:pt>
                <c:pt idx="2">
                  <c:v>9.8006957896075199E-3</c:v>
                </c:pt>
                <c:pt idx="3">
                  <c:v>9.1205751243902452E-3</c:v>
                </c:pt>
                <c:pt idx="4">
                  <c:v>8.6257073931751728E-3</c:v>
                </c:pt>
                <c:pt idx="5">
                  <c:v>8.2413699564731369E-3</c:v>
                </c:pt>
                <c:pt idx="6">
                  <c:v>7.9298087414294508E-3</c:v>
                </c:pt>
                <c:pt idx="7">
                  <c:v>7.669458927151959E-3</c:v>
                </c:pt>
                <c:pt idx="8">
                  <c:v>7.4469184051591071E-3</c:v>
                </c:pt>
                <c:pt idx="9">
                  <c:v>7.2533264259484649E-3</c:v>
                </c:pt>
                <c:pt idx="10">
                  <c:v>7.0825402523746342E-3</c:v>
                </c:pt>
                <c:pt idx="11">
                  <c:v>6.9301384531779212E-3</c:v>
                </c:pt>
                <c:pt idx="12">
                  <c:v>6.7928399906517709E-3</c:v>
                </c:pt>
                <c:pt idx="13">
                  <c:v>6.6681477443155954E-3</c:v>
                </c:pt>
                <c:pt idx="14">
                  <c:v>6.5541202913232659E-3</c:v>
                </c:pt>
                <c:pt idx="15">
                  <c:v>6.4492205187776817E-3</c:v>
                </c:pt>
                <c:pt idx="16">
                  <c:v>6.3522121241602388E-3</c:v>
                </c:pt>
                <c:pt idx="17">
                  <c:v>6.262086991585202E-3</c:v>
                </c:pt>
                <c:pt idx="18">
                  <c:v>6.1780130663280754E-3</c:v>
                </c:pt>
                <c:pt idx="19">
                  <c:v>6.0992961902451024E-3</c:v>
                </c:pt>
                <c:pt idx="20">
                  <c:v>6.02535166213004E-3</c:v>
                </c:pt>
                <c:pt idx="21">
                  <c:v>5.9556827091119683E-3</c:v>
                </c:pt>
                <c:pt idx="22">
                  <c:v>5.8898639579852913E-3</c:v>
                </c:pt>
                <c:pt idx="23">
                  <c:v>5.8275285824892368E-3</c:v>
                </c:pt>
                <c:pt idx="24">
                  <c:v>5.768358192749342E-3</c:v>
                </c:pt>
              </c:numCache>
            </c:numRef>
          </c:yVal>
          <c:smooth val="0"/>
          <c:extLst>
            <c:ext xmlns:c16="http://schemas.microsoft.com/office/drawing/2014/chart" uri="{C3380CC4-5D6E-409C-BE32-E72D297353CC}">
              <c16:uniqueId val="{00000003-6926-4B81-AD36-6C4C9C58C08F}"/>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1 MMHSE P80</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0"/>
            <c:dispEq val="1"/>
            <c:trendlineLbl>
              <c:layout>
                <c:manualLayout>
                  <c:x val="-0.30309657486345248"/>
                  <c:y val="-0.24414390258295648"/>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 1 MMSHE P80'!$L$7:$L$11</c:f>
              <c:numCache>
                <c:formatCode>0.0E+00</c:formatCode>
                <c:ptCount val="5"/>
                <c:pt idx="0">
                  <c:v>12651.341840193705</c:v>
                </c:pt>
                <c:pt idx="1">
                  <c:v>16868.455786924937</c:v>
                </c:pt>
                <c:pt idx="2">
                  <c:v>21852.317723970948</c:v>
                </c:pt>
                <c:pt idx="3">
                  <c:v>27219.553656174339</c:v>
                </c:pt>
                <c:pt idx="4">
                  <c:v>31820.041598062955</c:v>
                </c:pt>
              </c:numCache>
            </c:numRef>
          </c:xVal>
          <c:yVal>
            <c:numRef>
              <c:f>' 1 MMSHE P80'!$O$7:$O$11</c:f>
              <c:numCache>
                <c:formatCode>0.000</c:formatCode>
                <c:ptCount val="5"/>
                <c:pt idx="0">
                  <c:v>1.9201198994747912E-2</c:v>
                </c:pt>
                <c:pt idx="1">
                  <c:v>1.6279966012888395E-2</c:v>
                </c:pt>
                <c:pt idx="2">
                  <c:v>1.5407406077529731E-2</c:v>
                </c:pt>
                <c:pt idx="3">
                  <c:v>1.4831497195858679E-2</c:v>
                </c:pt>
                <c:pt idx="4">
                  <c:v>1.3571710674437154E-2</c:v>
                </c:pt>
              </c:numCache>
            </c:numRef>
          </c:yVal>
          <c:smooth val="0"/>
          <c:extLst>
            <c:ext xmlns:c16="http://schemas.microsoft.com/office/drawing/2014/chart" uri="{C3380CC4-5D6E-409C-BE32-E72D297353CC}">
              <c16:uniqueId val="{00000001-A6F6-42CA-8B80-051D9FF82D6F}"/>
            </c:ext>
          </c:extLst>
        </c:ser>
        <c:ser>
          <c:idx val="1"/>
          <c:order val="1"/>
          <c:tx>
            <c:v>2 MMHSE P80</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0.27354241737898949"/>
                  <c:y val="-8.7804363805951982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 2 MMSHE P80'!$L$7:$L$10</c:f>
              <c:numCache>
                <c:formatCode>0.0E+00</c:formatCode>
                <c:ptCount val="4"/>
                <c:pt idx="0">
                  <c:v>15507.758714596948</c:v>
                </c:pt>
                <c:pt idx="1">
                  <c:v>21267.783380018671</c:v>
                </c:pt>
                <c:pt idx="2">
                  <c:v>28357.044506691567</c:v>
                </c:pt>
                <c:pt idx="3">
                  <c:v>33673.990351696229</c:v>
                </c:pt>
              </c:numCache>
            </c:numRef>
          </c:xVal>
          <c:yVal>
            <c:numRef>
              <c:f>' 2 MMSHE P80'!$O$7:$O$10</c:f>
              <c:numCache>
                <c:formatCode>0.000</c:formatCode>
                <c:ptCount val="4"/>
                <c:pt idx="0">
                  <c:v>1.8055260657122776E-2</c:v>
                </c:pt>
                <c:pt idx="1">
                  <c:v>1.8683921418460054E-2</c:v>
                </c:pt>
                <c:pt idx="2">
                  <c:v>1.7728107870437052E-2</c:v>
                </c:pt>
                <c:pt idx="3">
                  <c:v>1.5858080470736099E-2</c:v>
                </c:pt>
              </c:numCache>
            </c:numRef>
          </c:yVal>
          <c:smooth val="0"/>
          <c:extLst>
            <c:ext xmlns:c16="http://schemas.microsoft.com/office/drawing/2014/chart" uri="{C3380CC4-5D6E-409C-BE32-E72D297353CC}">
              <c16:uniqueId val="{00000003-A6F6-42CA-8B80-051D9FF82D6F}"/>
            </c:ext>
          </c:extLst>
        </c:ser>
        <c:ser>
          <c:idx val="2"/>
          <c:order val="2"/>
          <c:tx>
            <c:v>3 MMHSE P80</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wer"/>
            <c:dispRSqr val="0"/>
            <c:dispEq val="1"/>
            <c:trendlineLbl>
              <c:layout>
                <c:manualLayout>
                  <c:x val="-0.35482435858904554"/>
                  <c:y val="-8.0222059175636878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 3 MMSHE P80'!$L$7:$L$12</c:f>
              <c:numCache>
                <c:formatCode>0.0E+00</c:formatCode>
                <c:ptCount val="6"/>
                <c:pt idx="0">
                  <c:v>13216.408243297319</c:v>
                </c:pt>
                <c:pt idx="1">
                  <c:v>19141.005042016808</c:v>
                </c:pt>
                <c:pt idx="2">
                  <c:v>25521.340056022407</c:v>
                </c:pt>
                <c:pt idx="3">
                  <c:v>31901.67507002801</c:v>
                </c:pt>
                <c:pt idx="4">
                  <c:v>37370.533653461382</c:v>
                </c:pt>
                <c:pt idx="5">
                  <c:v>42839.392236894753</c:v>
                </c:pt>
              </c:numCache>
            </c:numRef>
          </c:xVal>
          <c:yVal>
            <c:numRef>
              <c:f>' 3 MMSHE P80'!$O$7:$O$12</c:f>
              <c:numCache>
                <c:formatCode>0.000</c:formatCode>
                <c:ptCount val="6"/>
                <c:pt idx="0">
                  <c:v>1.5994605613399372E-2</c:v>
                </c:pt>
                <c:pt idx="1">
                  <c:v>1.5055961293069698E-2</c:v>
                </c:pt>
                <c:pt idx="2">
                  <c:v>1.4825956200591297E-2</c:v>
                </c:pt>
                <c:pt idx="3">
                  <c:v>1.474935394477458E-2</c:v>
                </c:pt>
                <c:pt idx="4">
                  <c:v>1.3231045765295095E-2</c:v>
                </c:pt>
                <c:pt idx="5">
                  <c:v>1.1203745085139926E-2</c:v>
                </c:pt>
              </c:numCache>
            </c:numRef>
          </c:yVal>
          <c:smooth val="0"/>
          <c:extLst>
            <c:ext xmlns:c16="http://schemas.microsoft.com/office/drawing/2014/chart" uri="{C3380CC4-5D6E-409C-BE32-E72D297353CC}">
              <c16:uniqueId val="{00000005-A6F6-42CA-8B80-051D9FF82D6F}"/>
            </c:ext>
          </c:extLst>
        </c:ser>
        <c:dLbls>
          <c:showLegendKey val="0"/>
          <c:showVal val="0"/>
          <c:showCatName val="0"/>
          <c:showSerName val="0"/>
          <c:showPercent val="0"/>
          <c:showBubbleSize val="0"/>
        </c:dLbls>
        <c:axId val="1408354767"/>
        <c:axId val="1074120591"/>
        <c:extLst>
          <c:ext xmlns:c15="http://schemas.microsoft.com/office/drawing/2012/chart" uri="{02D57815-91ED-43cb-92C2-25804820EDAC}">
            <c15:filteredScatterSeries>
              <c15:ser>
                <c:idx val="3"/>
                <c:order val="3"/>
                <c:tx>
                  <c:v>P80</c:v>
                </c:tx>
                <c:spPr>
                  <a:ln w="25400" cap="rnd">
                    <a:noFill/>
                    <a:round/>
                  </a:ln>
                  <a:effectLst/>
                </c:spPr>
                <c:marker>
                  <c:symbol val="circle"/>
                  <c:size val="5"/>
                  <c:spPr>
                    <a:solidFill>
                      <a:schemeClr val="accent4"/>
                    </a:solidFill>
                    <a:ln w="9525">
                      <a:solidFill>
                        <a:schemeClr val="accent4"/>
                      </a:solidFill>
                    </a:ln>
                    <a:effectLst/>
                  </c:spPr>
                </c:marker>
                <c:xVal>
                  <c:numRef>
                    <c:extLst>
                      <c:ext uri="{02D57815-91ED-43cb-92C2-25804820EDAC}">
                        <c15:formulaRef>
                          <c15:sqref>#REF!</c15:sqref>
                        </c15:formulaRef>
                      </c:ext>
                    </c:extLst>
                  </c:numRef>
                </c:xVal>
                <c:yVal>
                  <c:numRef>
                    <c:extLst>
                      <c:ext uri="{02D57815-91ED-43cb-92C2-25804820EDAC}">
                        <c15:formulaRef>
                          <c15:sqref>#REF!</c15:sqref>
                        </c15:formulaRef>
                      </c:ext>
                    </c:extLst>
                    <c:numCache>
                      <c:formatCode>General</c:formatCode>
                      <c:ptCount val="1"/>
                      <c:pt idx="0">
                        <c:v>1</c:v>
                      </c:pt>
                    </c:numCache>
                  </c:numRef>
                </c:yVal>
                <c:smooth val="0"/>
                <c:extLst>
                  <c:ext xmlns:c16="http://schemas.microsoft.com/office/drawing/2014/chart" uri="{C3380CC4-5D6E-409C-BE32-E72D297353CC}">
                    <c16:uniqueId val="{00000006-A6F6-42CA-8B80-051D9FF82D6F}"/>
                  </c:ext>
                </c:extLst>
              </c15:ser>
            </c15:filteredScatterSeries>
          </c:ext>
        </c:extLst>
      </c:scatterChart>
      <c:valAx>
        <c:axId val="14083547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4120591"/>
        <c:crosses val="autoZero"/>
        <c:crossBetween val="midCat"/>
      </c:valAx>
      <c:valAx>
        <c:axId val="10741205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35476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'1MMHSE P240'!$G$7:$G$9</c:f>
              <c:numCache>
                <c:formatCode>0.00</c:formatCode>
                <c:ptCount val="3"/>
                <c:pt idx="0">
                  <c:v>0.83728614464575779</c:v>
                </c:pt>
                <c:pt idx="1">
                  <c:v>1.9746710222576611</c:v>
                </c:pt>
                <c:pt idx="2">
                  <c:v>3.3491445785830312</c:v>
                </c:pt>
              </c:numCache>
            </c:numRef>
          </c:xVal>
          <c:yVal>
            <c:numRef>
              <c:f>'1MMHSE P240'!$K$7:$K$9</c:f>
              <c:numCache>
                <c:formatCode>0</c:formatCode>
                <c:ptCount val="3"/>
                <c:pt idx="0">
                  <c:v>1506.3096774193546</c:v>
                </c:pt>
                <c:pt idx="1">
                  <c:v>3451.8774193548397</c:v>
                </c:pt>
                <c:pt idx="2">
                  <c:v>5766.7967741935481</c:v>
                </c:pt>
              </c:numCache>
            </c:numRef>
          </c:yVal>
          <c:smooth val="0"/>
          <c:extLst>
            <c:ext xmlns:c16="http://schemas.microsoft.com/office/drawing/2014/chart" uri="{C3380CC4-5D6E-409C-BE32-E72D297353CC}">
              <c16:uniqueId val="{00000001-B03E-4AB8-BB5B-FD69EAFA449B}"/>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'1MMHSE P240'!$O$5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'1MMHSE P240'!$L$7:$L$22</c:f>
              <c:numCache>
                <c:formatCode>0.0E+00</c:formatCode>
                <c:ptCount val="16"/>
                <c:pt idx="0">
                  <c:v>12618.27888572333</c:v>
                </c:pt>
                <c:pt idx="1">
                  <c:v>19378.071145932256</c:v>
                </c:pt>
                <c:pt idx="2">
                  <c:v>25236.55777144666</c:v>
                </c:pt>
              </c:numCache>
            </c:numRef>
          </c:xVal>
          <c:yVal>
            <c:numRef>
              <c:f>'1MMHSE P240'!$O$7:$O$22</c:f>
              <c:numCache>
                <c:formatCode>0.000</c:formatCode>
                <c:ptCount val="16"/>
                <c:pt idx="0">
                  <c:v>1.5938945045226166E-2</c:v>
                </c:pt>
                <c:pt idx="1">
                  <c:v>1.5487446654014473E-2</c:v>
                </c:pt>
                <c:pt idx="2">
                  <c:v>1.5255272247259985E-2</c:v>
                </c:pt>
              </c:numCache>
            </c:numRef>
          </c:yVal>
          <c:smooth val="0"/>
          <c:extLst>
            <c:ext xmlns:c16="http://schemas.microsoft.com/office/drawing/2014/chart" uri="{C3380CC4-5D6E-409C-BE32-E72D297353CC}">
              <c16:uniqueId val="{00000001-1172-442F-A830-5AE0D0EE38A9}"/>
            </c:ext>
          </c:extLst>
        </c:ser>
        <c:ser>
          <c:idx val="1"/>
          <c:order val="1"/>
          <c:tx>
            <c:strRef>
              <c:f>'1MMHSE P240'!$W$5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'1MMHSE P240'!$V$7:$V$31</c:f>
              <c:numCache>
                <c:formatCode>0.00000</c:formatCode>
                <c:ptCount val="25"/>
                <c:pt idx="0">
                  <c:v>1378.9965178854068</c:v>
                </c:pt>
                <c:pt idx="1">
                  <c:v>2757.9930357708135</c:v>
                </c:pt>
                <c:pt idx="2">
                  <c:v>4136.9895536562199</c:v>
                </c:pt>
                <c:pt idx="3">
                  <c:v>5515.9860715416271</c:v>
                </c:pt>
                <c:pt idx="4">
                  <c:v>6894.9825894270334</c:v>
                </c:pt>
                <c:pt idx="5">
                  <c:v>8273.9791073124397</c:v>
                </c:pt>
                <c:pt idx="6">
                  <c:v>9652.9756251978451</c:v>
                </c:pt>
                <c:pt idx="7">
                  <c:v>11031.972143083254</c:v>
                </c:pt>
                <c:pt idx="8">
                  <c:v>12410.968660968661</c:v>
                </c:pt>
                <c:pt idx="9">
                  <c:v>13789.965178854067</c:v>
                </c:pt>
                <c:pt idx="10">
                  <c:v>15168.961696739474</c:v>
                </c:pt>
                <c:pt idx="11">
                  <c:v>16547.958214624879</c:v>
                </c:pt>
                <c:pt idx="12">
                  <c:v>17926.954732510287</c:v>
                </c:pt>
                <c:pt idx="13">
                  <c:v>19305.95125039569</c:v>
                </c:pt>
                <c:pt idx="14">
                  <c:v>20684.947768281098</c:v>
                </c:pt>
                <c:pt idx="15">
                  <c:v>22063.944286166508</c:v>
                </c:pt>
                <c:pt idx="16">
                  <c:v>23442.940804051916</c:v>
                </c:pt>
                <c:pt idx="17">
                  <c:v>24821.937321937323</c:v>
                </c:pt>
                <c:pt idx="18">
                  <c:v>26200.933839822726</c:v>
                </c:pt>
                <c:pt idx="19">
                  <c:v>27579.930357708134</c:v>
                </c:pt>
                <c:pt idx="20">
                  <c:v>28958.926875593541</c:v>
                </c:pt>
                <c:pt idx="21">
                  <c:v>30337.923393478948</c:v>
                </c:pt>
                <c:pt idx="22">
                  <c:v>31716.919911364352</c:v>
                </c:pt>
                <c:pt idx="23">
                  <c:v>33095.916429249759</c:v>
                </c:pt>
                <c:pt idx="24">
                  <c:v>34474.91294713517</c:v>
                </c:pt>
              </c:numCache>
            </c:numRef>
          </c:xVal>
          <c:yVal>
            <c:numRef>
              <c:f>'1MMHSE P240'!$X$7:$X$31</c:f>
              <c:numCache>
                <c:formatCode>0.00000</c:formatCode>
                <c:ptCount val="25"/>
                <c:pt idx="0">
                  <c:v>1.2980328726886788E-2</c:v>
                </c:pt>
                <c:pt idx="1">
                  <c:v>1.0915111895253913E-2</c:v>
                </c:pt>
                <c:pt idx="2">
                  <c:v>9.8629169781770873E-3</c:v>
                </c:pt>
                <c:pt idx="3">
                  <c:v>9.1784784648121925E-3</c:v>
                </c:pt>
                <c:pt idx="4">
                  <c:v>8.6804689915124834E-3</c:v>
                </c:pt>
                <c:pt idx="5">
                  <c:v>8.2936915308941105E-3</c:v>
                </c:pt>
                <c:pt idx="6">
                  <c:v>7.9801523227029658E-3</c:v>
                </c:pt>
                <c:pt idx="7">
                  <c:v>7.7181496385439899E-3</c:v>
                </c:pt>
                <c:pt idx="8">
                  <c:v>7.4941962846379181E-3</c:v>
                </c:pt>
                <c:pt idx="9">
                  <c:v>7.2993752576838745E-3</c:v>
                </c:pt>
                <c:pt idx="10">
                  <c:v>7.127504822447491E-3</c:v>
                </c:pt>
                <c:pt idx="11">
                  <c:v>6.9741354775489503E-3</c:v>
                </c:pt>
                <c:pt idx="12">
                  <c:v>6.8359653551212426E-3</c:v>
                </c:pt>
                <c:pt idx="13">
                  <c:v>6.7104814813395272E-3</c:v>
                </c:pt>
                <c:pt idx="14">
                  <c:v>6.5957301079432751E-3</c:v>
                </c:pt>
                <c:pt idx="15">
                  <c:v>6.490164363443394E-3</c:v>
                </c:pt>
                <c:pt idx="16">
                  <c:v>6.3925400964691377E-3</c:v>
                </c:pt>
                <c:pt idx="17">
                  <c:v>6.3018427909597319E-3</c:v>
                </c:pt>
                <c:pt idx="18">
                  <c:v>6.217235109766346E-3</c:v>
                </c:pt>
                <c:pt idx="19">
                  <c:v>6.1380184877780292E-3</c:v>
                </c:pt>
                <c:pt idx="20">
                  <c:v>6.0636045117251573E-3</c:v>
                </c:pt>
                <c:pt idx="21">
                  <c:v>5.9934932548996586E-3</c:v>
                </c:pt>
                <c:pt idx="22">
                  <c:v>5.9272566435502804E-3</c:v>
                </c:pt>
                <c:pt idx="23">
                  <c:v>5.8645255225646649E-3</c:v>
                </c:pt>
                <c:pt idx="24">
                  <c:v>5.8049794807224324E-3</c:v>
                </c:pt>
              </c:numCache>
            </c:numRef>
          </c:yVal>
          <c:smooth val="0"/>
          <c:extLst>
            <c:ext xmlns:c16="http://schemas.microsoft.com/office/drawing/2014/chart" uri="{C3380CC4-5D6E-409C-BE32-E72D297353CC}">
              <c16:uniqueId val="{00000003-1172-442F-A830-5AE0D0EE38A9}"/>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'2 MMHSE P240'!$G$8:$G$11</c:f>
              <c:numCache>
                <c:formatCode>0.00</c:formatCode>
                <c:ptCount val="4"/>
                <c:pt idx="0">
                  <c:v>0.46105850327723458</c:v>
                </c:pt>
                <c:pt idx="1">
                  <c:v>1.3041096921209383</c:v>
                </c:pt>
                <c:pt idx="2">
                  <c:v>2.3815005334567907</c:v>
                </c:pt>
                <c:pt idx="3">
                  <c:v>4.1495265294951107</c:v>
                </c:pt>
              </c:numCache>
            </c:numRef>
          </c:xVal>
          <c:yVal>
            <c:numRef>
              <c:f>'2 MMHSE P240'!$K$8:$K$11</c:f>
              <c:numCache>
                <c:formatCode>0</c:formatCode>
                <c:ptCount val="4"/>
                <c:pt idx="0">
                  <c:v>815.9032258064517</c:v>
                </c:pt>
                <c:pt idx="1">
                  <c:v>1842.2032258064512</c:v>
                </c:pt>
                <c:pt idx="2">
                  <c:v>3232.3870967741923</c:v>
                </c:pt>
                <c:pt idx="3">
                  <c:v>4547.8709677419374</c:v>
                </c:pt>
              </c:numCache>
            </c:numRef>
          </c:yVal>
          <c:smooth val="0"/>
          <c:extLst>
            <c:ext xmlns:c16="http://schemas.microsoft.com/office/drawing/2014/chart" uri="{C3380CC4-5D6E-409C-BE32-E72D297353CC}">
              <c16:uniqueId val="{00000001-CE89-4BED-BB60-FF4F6D0CE212}"/>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'2 MMHSE P240'!$O$6</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'2 MMHSE P240'!$L$8:$L$11</c:f>
              <c:numCache>
                <c:formatCode>0.0E+00</c:formatCode>
                <c:ptCount val="4"/>
                <c:pt idx="0">
                  <c:v>10822.868875821514</c:v>
                </c:pt>
                <c:pt idx="1">
                  <c:v>18202.09765479073</c:v>
                </c:pt>
                <c:pt idx="2">
                  <c:v>24597.429263230719</c:v>
                </c:pt>
                <c:pt idx="3">
                  <c:v>32468.606627464545</c:v>
                </c:pt>
              </c:numCache>
            </c:numRef>
          </c:xVal>
          <c:yVal>
            <c:numRef>
              <c:f>'2 MMHSE P240'!$O$8:$O$11</c:f>
              <c:numCache>
                <c:formatCode>0.000</c:formatCode>
                <c:ptCount val="4"/>
                <c:pt idx="0">
                  <c:v>1.6476052706574065E-2</c:v>
                </c:pt>
                <c:pt idx="1">
                  <c:v>1.315206584148307E-2</c:v>
                </c:pt>
                <c:pt idx="2">
                  <c:v>1.2636978302901523E-2</c:v>
                </c:pt>
                <c:pt idx="3">
                  <c:v>1.0204227848652193E-2</c:v>
                </c:pt>
              </c:numCache>
            </c:numRef>
          </c:yVal>
          <c:smooth val="0"/>
          <c:extLst>
            <c:ext xmlns:c16="http://schemas.microsoft.com/office/drawing/2014/chart" uri="{C3380CC4-5D6E-409C-BE32-E72D297353CC}">
              <c16:uniqueId val="{00000001-A4B4-43D5-A20C-5719C683C936}"/>
            </c:ext>
          </c:extLst>
        </c:ser>
        <c:ser>
          <c:idx val="1"/>
          <c:order val="1"/>
          <c:tx>
            <c:strRef>
              <c:f>'2 MMHSE P240'!$W$6</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MMHSE P240'!$V$8:$V$32</c:f>
              <c:numCache>
                <c:formatCode>0.00000</c:formatCode>
                <c:ptCount val="25"/>
                <c:pt idx="0">
                  <c:v>1593.9121411276376</c:v>
                </c:pt>
                <c:pt idx="1">
                  <c:v>3187.8242822552752</c:v>
                </c:pt>
                <c:pt idx="2">
                  <c:v>4781.7364233829121</c:v>
                </c:pt>
                <c:pt idx="3">
                  <c:v>6375.6485645105504</c:v>
                </c:pt>
                <c:pt idx="4">
                  <c:v>7969.5607056381868</c:v>
                </c:pt>
                <c:pt idx="5">
                  <c:v>9563.4728467658242</c:v>
                </c:pt>
                <c:pt idx="6">
                  <c:v>11157.384987893462</c:v>
                </c:pt>
                <c:pt idx="7">
                  <c:v>12751.297129021101</c:v>
                </c:pt>
                <c:pt idx="8">
                  <c:v>14345.209270148736</c:v>
                </c:pt>
                <c:pt idx="9">
                  <c:v>15939.121411276374</c:v>
                </c:pt>
                <c:pt idx="10">
                  <c:v>17533.033552404013</c:v>
                </c:pt>
                <c:pt idx="11">
                  <c:v>19126.945693531648</c:v>
                </c:pt>
                <c:pt idx="12">
                  <c:v>20720.857834659288</c:v>
                </c:pt>
                <c:pt idx="13">
                  <c:v>22314.769975786923</c:v>
                </c:pt>
                <c:pt idx="14">
                  <c:v>23908.682116914562</c:v>
                </c:pt>
                <c:pt idx="15">
                  <c:v>25502.594258042202</c:v>
                </c:pt>
                <c:pt idx="16">
                  <c:v>27096.506399169833</c:v>
                </c:pt>
                <c:pt idx="17">
                  <c:v>28690.418540297473</c:v>
                </c:pt>
                <c:pt idx="18">
                  <c:v>30284.330681425112</c:v>
                </c:pt>
                <c:pt idx="19">
                  <c:v>31878.242822552747</c:v>
                </c:pt>
                <c:pt idx="20">
                  <c:v>33472.15496368039</c:v>
                </c:pt>
                <c:pt idx="21">
                  <c:v>35066.067104808026</c:v>
                </c:pt>
                <c:pt idx="22">
                  <c:v>36659.979245935661</c:v>
                </c:pt>
                <c:pt idx="23">
                  <c:v>38253.891387063297</c:v>
                </c:pt>
                <c:pt idx="24">
                  <c:v>39847.803528190932</c:v>
                </c:pt>
              </c:numCache>
            </c:numRef>
          </c:xVal>
          <c:yVal>
            <c:numRef>
              <c:f>'2 MMHSE P240'!$X$8:$X$32</c:f>
              <c:numCache>
                <c:formatCode>0.00000</c:formatCode>
                <c:ptCount val="25"/>
                <c:pt idx="0">
                  <c:v>1.251873334389229E-2</c:v>
                </c:pt>
                <c:pt idx="1">
                  <c:v>1.0526957992396174E-2</c:v>
                </c:pt>
                <c:pt idx="2">
                  <c:v>9.512180333845854E-3</c:v>
                </c:pt>
                <c:pt idx="3">
                  <c:v>8.8520812393323815E-3</c:v>
                </c:pt>
                <c:pt idx="4">
                  <c:v>8.3717815543130313E-3</c:v>
                </c:pt>
                <c:pt idx="5">
                  <c:v>7.99875834397786E-3</c:v>
                </c:pt>
                <c:pt idx="6">
                  <c:v>7.6963689497809452E-3</c:v>
                </c:pt>
                <c:pt idx="7">
                  <c:v>7.4436833816892587E-3</c:v>
                </c:pt>
                <c:pt idx="8">
                  <c:v>7.2276940660093566E-3</c:v>
                </c:pt>
                <c:pt idx="9">
                  <c:v>7.0398010983090016E-3</c:v>
                </c:pt>
                <c:pt idx="10">
                  <c:v>6.8740425729516058E-3</c:v>
                </c:pt>
                <c:pt idx="11">
                  <c:v>6.7261272179317206E-3</c:v>
                </c:pt>
                <c:pt idx="12">
                  <c:v>6.5928705835922074E-3</c:v>
                </c:pt>
                <c:pt idx="13">
                  <c:v>6.471849060340794E-3</c:v>
                </c:pt>
                <c:pt idx="14">
                  <c:v>6.361178377446799E-3</c:v>
                </c:pt>
                <c:pt idx="15">
                  <c:v>6.2593666719461443E-3</c:v>
                </c:pt>
                <c:pt idx="16">
                  <c:v>6.165214035918353E-3</c:v>
                </c:pt>
                <c:pt idx="17">
                  <c:v>6.0777420306578119E-3</c:v>
                </c:pt>
                <c:pt idx="18">
                  <c:v>5.996143095685455E-3</c:v>
                </c:pt>
                <c:pt idx="19">
                  <c:v>5.9197435076672016E-3</c:v>
                </c:pt>
                <c:pt idx="20">
                  <c:v>5.8479757779844339E-3</c:v>
                </c:pt>
                <c:pt idx="21">
                  <c:v>5.7803577578964252E-3</c:v>
                </c:pt>
                <c:pt idx="22">
                  <c:v>5.7164765964456887E-3</c:v>
                </c:pt>
                <c:pt idx="23">
                  <c:v>5.6559762660992234E-3</c:v>
                </c:pt>
                <c:pt idx="24">
                  <c:v>5.5985477498272825E-3</c:v>
                </c:pt>
              </c:numCache>
            </c:numRef>
          </c:yVal>
          <c:smooth val="0"/>
          <c:extLst>
            <c:ext xmlns:c16="http://schemas.microsoft.com/office/drawing/2014/chart" uri="{C3380CC4-5D6E-409C-BE32-E72D297353CC}">
              <c16:uniqueId val="{00000003-A4B4-43D5-A20C-5719C683C936}"/>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'3 MMHSE P240'!$G$8:$G$12</c:f>
              <c:numCache>
                <c:formatCode>0.00</c:formatCode>
                <c:ptCount val="5"/>
                <c:pt idx="0">
                  <c:v>0.54869772290844454</c:v>
                </c:pt>
                <c:pt idx="1">
                  <c:v>1.375554708124642</c:v>
                </c:pt>
                <c:pt idx="2">
                  <c:v>2.3815005334567907</c:v>
                </c:pt>
                <c:pt idx="3">
                  <c:v>4.276222357875012</c:v>
                </c:pt>
                <c:pt idx="4">
                  <c:v>5.945177931721533</c:v>
                </c:pt>
              </c:numCache>
            </c:numRef>
          </c:xVal>
          <c:yVal>
            <c:numRef>
              <c:f>'3 MMHSE P240'!$K$8:$K$12</c:f>
              <c:numCache>
                <c:formatCode>0</c:formatCode>
                <c:ptCount val="5"/>
                <c:pt idx="0">
                  <c:v>1008.1741935483869</c:v>
                </c:pt>
                <c:pt idx="1">
                  <c:v>1910.941935483871</c:v>
                </c:pt>
                <c:pt idx="2">
                  <c:v>2969.9161290322581</c:v>
                </c:pt>
                <c:pt idx="3">
                  <c:v>4922.6903225806454</c:v>
                </c:pt>
                <c:pt idx="4">
                  <c:v>6739.0096774193553</c:v>
                </c:pt>
              </c:numCache>
            </c:numRef>
          </c:yVal>
          <c:smooth val="0"/>
          <c:extLst>
            <c:ext xmlns:c16="http://schemas.microsoft.com/office/drawing/2014/chart" uri="{C3380CC4-5D6E-409C-BE32-E72D297353CC}">
              <c16:uniqueId val="{00000001-5B92-4438-9D86-A0CD984D499F}"/>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'3 MMHSE P240'!$O$6</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'3 MMHSE P240'!$L$8:$L$23</c:f>
              <c:numCache>
                <c:formatCode>0.0E+00</c:formatCode>
                <c:ptCount val="16"/>
                <c:pt idx="0">
                  <c:v>11806.766046350744</c:v>
                </c:pt>
                <c:pt idx="1">
                  <c:v>18694.046240055344</c:v>
                </c:pt>
                <c:pt idx="2">
                  <c:v>24597.429263230719</c:v>
                </c:pt>
                <c:pt idx="3">
                  <c:v>32960.555212729159</c:v>
                </c:pt>
                <c:pt idx="4">
                  <c:v>38863.938235904534</c:v>
                </c:pt>
              </c:numCache>
            </c:numRef>
          </c:xVal>
          <c:yVal>
            <c:numRef>
              <c:f>'3 MMHSE P240'!$O$8:$O$23</c:f>
              <c:numCache>
                <c:formatCode>0.000</c:formatCode>
                <c:ptCount val="16"/>
                <c:pt idx="0">
                  <c:v>1.7106965405672366E-2</c:v>
                </c:pt>
                <c:pt idx="1">
                  <c:v>1.2934218161039507E-2</c:v>
                </c:pt>
                <c:pt idx="2">
                  <c:v>1.1610851225545451E-2</c:v>
                </c:pt>
                <c:pt idx="3">
                  <c:v>1.0717976354906761E-2</c:v>
                </c:pt>
                <c:pt idx="4">
                  <c:v>1.0553627991040346E-2</c:v>
                </c:pt>
              </c:numCache>
            </c:numRef>
          </c:yVal>
          <c:smooth val="0"/>
          <c:extLst>
            <c:ext xmlns:c16="http://schemas.microsoft.com/office/drawing/2014/chart" uri="{C3380CC4-5D6E-409C-BE32-E72D297353CC}">
              <c16:uniqueId val="{00000001-2C70-4F45-976E-62234E515FB7}"/>
            </c:ext>
          </c:extLst>
        </c:ser>
        <c:ser>
          <c:idx val="1"/>
          <c:order val="1"/>
          <c:tx>
            <c:strRef>
              <c:f>'3 MMHSE P240'!$W$6</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MMHSE P240'!$V$8:$V$32</c:f>
              <c:numCache>
                <c:formatCode>0.00000</c:formatCode>
                <c:ptCount val="25"/>
                <c:pt idx="0">
                  <c:v>1593.9121411276376</c:v>
                </c:pt>
                <c:pt idx="1">
                  <c:v>3187.8242822552752</c:v>
                </c:pt>
                <c:pt idx="2">
                  <c:v>4781.7364233829121</c:v>
                </c:pt>
                <c:pt idx="3">
                  <c:v>6375.6485645105504</c:v>
                </c:pt>
                <c:pt idx="4">
                  <c:v>7969.5607056381868</c:v>
                </c:pt>
                <c:pt idx="5">
                  <c:v>9563.4728467658242</c:v>
                </c:pt>
                <c:pt idx="6">
                  <c:v>11157.384987893462</c:v>
                </c:pt>
                <c:pt idx="7">
                  <c:v>12751.297129021101</c:v>
                </c:pt>
                <c:pt idx="8">
                  <c:v>14345.209270148736</c:v>
                </c:pt>
                <c:pt idx="9">
                  <c:v>15939.121411276374</c:v>
                </c:pt>
                <c:pt idx="10">
                  <c:v>17533.033552404013</c:v>
                </c:pt>
                <c:pt idx="11">
                  <c:v>19126.945693531648</c:v>
                </c:pt>
                <c:pt idx="12">
                  <c:v>20720.857834659288</c:v>
                </c:pt>
                <c:pt idx="13">
                  <c:v>22314.769975786923</c:v>
                </c:pt>
                <c:pt idx="14">
                  <c:v>23908.682116914562</c:v>
                </c:pt>
                <c:pt idx="15">
                  <c:v>25502.594258042202</c:v>
                </c:pt>
                <c:pt idx="16">
                  <c:v>27096.506399169833</c:v>
                </c:pt>
                <c:pt idx="17">
                  <c:v>28690.418540297473</c:v>
                </c:pt>
                <c:pt idx="18">
                  <c:v>30284.330681425112</c:v>
                </c:pt>
                <c:pt idx="19">
                  <c:v>31878.242822552747</c:v>
                </c:pt>
                <c:pt idx="20">
                  <c:v>33472.15496368039</c:v>
                </c:pt>
                <c:pt idx="21">
                  <c:v>35066.067104808026</c:v>
                </c:pt>
                <c:pt idx="22">
                  <c:v>36659.979245935661</c:v>
                </c:pt>
                <c:pt idx="23">
                  <c:v>38253.891387063297</c:v>
                </c:pt>
                <c:pt idx="24">
                  <c:v>39847.803528190932</c:v>
                </c:pt>
              </c:numCache>
            </c:numRef>
          </c:xVal>
          <c:yVal>
            <c:numRef>
              <c:f>'3 MMHSE P240'!$X$8:$X$32</c:f>
              <c:numCache>
                <c:formatCode>0.00000</c:formatCode>
                <c:ptCount val="25"/>
                <c:pt idx="0">
                  <c:v>1.251873334389229E-2</c:v>
                </c:pt>
                <c:pt idx="1">
                  <c:v>1.0526957992396174E-2</c:v>
                </c:pt>
                <c:pt idx="2">
                  <c:v>9.512180333845854E-3</c:v>
                </c:pt>
                <c:pt idx="3">
                  <c:v>8.8520812393323815E-3</c:v>
                </c:pt>
                <c:pt idx="4">
                  <c:v>8.3717815543130313E-3</c:v>
                </c:pt>
                <c:pt idx="5">
                  <c:v>7.99875834397786E-3</c:v>
                </c:pt>
                <c:pt idx="6">
                  <c:v>7.6963689497809452E-3</c:v>
                </c:pt>
                <c:pt idx="7">
                  <c:v>7.4436833816892587E-3</c:v>
                </c:pt>
                <c:pt idx="8">
                  <c:v>7.2276940660093566E-3</c:v>
                </c:pt>
                <c:pt idx="9">
                  <c:v>7.0398010983090016E-3</c:v>
                </c:pt>
                <c:pt idx="10">
                  <c:v>6.8740425729516058E-3</c:v>
                </c:pt>
                <c:pt idx="11">
                  <c:v>6.7261272179317206E-3</c:v>
                </c:pt>
                <c:pt idx="12">
                  <c:v>6.5928705835922074E-3</c:v>
                </c:pt>
                <c:pt idx="13">
                  <c:v>6.471849060340794E-3</c:v>
                </c:pt>
                <c:pt idx="14">
                  <c:v>6.361178377446799E-3</c:v>
                </c:pt>
                <c:pt idx="15">
                  <c:v>6.2593666719461443E-3</c:v>
                </c:pt>
                <c:pt idx="16">
                  <c:v>6.165214035918353E-3</c:v>
                </c:pt>
                <c:pt idx="17">
                  <c:v>6.0777420306578119E-3</c:v>
                </c:pt>
                <c:pt idx="18">
                  <c:v>5.996143095685455E-3</c:v>
                </c:pt>
                <c:pt idx="19">
                  <c:v>5.9197435076672016E-3</c:v>
                </c:pt>
                <c:pt idx="20">
                  <c:v>5.8479757779844339E-3</c:v>
                </c:pt>
                <c:pt idx="21">
                  <c:v>5.7803577578964252E-3</c:v>
                </c:pt>
                <c:pt idx="22">
                  <c:v>5.7164765964456887E-3</c:v>
                </c:pt>
                <c:pt idx="23">
                  <c:v>5.6559762660992234E-3</c:v>
                </c:pt>
                <c:pt idx="24">
                  <c:v>5.5985477498272825E-3</c:v>
                </c:pt>
              </c:numCache>
            </c:numRef>
          </c:yVal>
          <c:smooth val="0"/>
          <c:extLst>
            <c:ext xmlns:c16="http://schemas.microsoft.com/office/drawing/2014/chart" uri="{C3380CC4-5D6E-409C-BE32-E72D297353CC}">
              <c16:uniqueId val="{00000003-2C70-4F45-976E-62234E515FB7}"/>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'MMHSE P240 AVG'!$G$6:$G$11</c:f>
              <c:numCache>
                <c:formatCode>0.00</c:formatCode>
                <c:ptCount val="6"/>
                <c:pt idx="0">
                  <c:v>0</c:v>
                </c:pt>
                <c:pt idx="1">
                  <c:v>0.60168250658196354</c:v>
                </c:pt>
                <c:pt idx="2">
                  <c:v>1.5299173158596175</c:v>
                </c:pt>
                <c:pt idx="3">
                  <c:v>2.6739491380896037</c:v>
                </c:pt>
                <c:pt idx="4">
                  <c:v>4.3731033934603367</c:v>
                </c:pt>
                <c:pt idx="5">
                  <c:v>6.171640743645419</c:v>
                </c:pt>
              </c:numCache>
            </c:numRef>
          </c:xVal>
          <c:yVal>
            <c:numRef>
              <c:f>'MMHSE P240 AVG'!$K$6:$K$11</c:f>
              <c:numCache>
                <c:formatCode>0</c:formatCode>
                <c:ptCount val="6"/>
                <c:pt idx="0">
                  <c:v>0</c:v>
                </c:pt>
                <c:pt idx="1">
                  <c:v>1110.1290322580646</c:v>
                </c:pt>
                <c:pt idx="2">
                  <c:v>2401.6741935483874</c:v>
                </c:pt>
                <c:pt idx="3">
                  <c:v>3989.7</c:v>
                </c:pt>
                <c:pt idx="4">
                  <c:v>4735.2806451612905</c:v>
                </c:pt>
                <c:pt idx="5">
                  <c:v>6739.0096774193553</c:v>
                </c:pt>
              </c:numCache>
            </c:numRef>
          </c:yVal>
          <c:smooth val="0"/>
          <c:extLst>
            <c:ext xmlns:c16="http://schemas.microsoft.com/office/drawing/2014/chart" uri="{C3380CC4-5D6E-409C-BE32-E72D297353CC}">
              <c16:uniqueId val="{00000001-40A5-449B-B57A-809CD0418DD6}"/>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'MMHSE P240 AVG'!$O$5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'MMHSE P240 AVG'!$L$7:$L$12</c:f>
              <c:numCache>
                <c:formatCode>0.0E+00</c:formatCode>
                <c:ptCount val="6"/>
                <c:pt idx="0">
                  <c:v>11807.649133593246</c:v>
                </c:pt>
                <c:pt idx="1">
                  <c:v>18828.41348329734</c:v>
                </c:pt>
                <c:pt idx="2">
                  <c:v>24891.800876223599</c:v>
                </c:pt>
                <c:pt idx="3">
                  <c:v>31832.783812862872</c:v>
                </c:pt>
                <c:pt idx="4">
                  <c:v>37816.389792724316</c:v>
                </c:pt>
              </c:numCache>
            </c:numRef>
          </c:xVal>
          <c:yVal>
            <c:numRef>
              <c:f>'MMHSE P240 AVG'!$O$7:$O$12</c:f>
              <c:numCache>
                <c:formatCode>0.000</c:formatCode>
                <c:ptCount val="6"/>
                <c:pt idx="0">
                  <c:v>1.6907807729842409E-2</c:v>
                </c:pt>
                <c:pt idx="1">
                  <c:v>1.438557933187895E-2</c:v>
                </c:pt>
                <c:pt idx="2">
                  <c:v>1.3673141980240184E-2</c:v>
                </c:pt>
                <c:pt idx="3">
                  <c:v>9.9228677402318291E-3</c:v>
                </c:pt>
                <c:pt idx="4">
                  <c:v>1.000637253343376E-2</c:v>
                </c:pt>
              </c:numCache>
            </c:numRef>
          </c:yVal>
          <c:smooth val="0"/>
          <c:extLst>
            <c:ext xmlns:c16="http://schemas.microsoft.com/office/drawing/2014/chart" uri="{C3380CC4-5D6E-409C-BE32-E72D297353CC}">
              <c16:uniqueId val="{00000001-8027-47F7-B62A-B781940098FE}"/>
            </c:ext>
          </c:extLst>
        </c:ser>
        <c:ser>
          <c:idx val="1"/>
          <c:order val="1"/>
          <c:tx>
            <c:strRef>
              <c:f>'MMHSE P240 AVG'!$X$5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'MMHSE P240 AVG'!$W$7:$W$31</c:f>
              <c:numCache>
                <c:formatCode>0.00000</c:formatCode>
                <c:ptCount val="25"/>
                <c:pt idx="0">
                  <c:v>1522.2281434942363</c:v>
                </c:pt>
                <c:pt idx="1">
                  <c:v>3044.4562869884726</c:v>
                </c:pt>
                <c:pt idx="2">
                  <c:v>4566.6844304827082</c:v>
                </c:pt>
                <c:pt idx="3">
                  <c:v>6088.9125739769452</c:v>
                </c:pt>
                <c:pt idx="4">
                  <c:v>7611.1407174711803</c:v>
                </c:pt>
                <c:pt idx="5">
                  <c:v>9133.3688609654164</c:v>
                </c:pt>
                <c:pt idx="6">
                  <c:v>10655.597004459651</c:v>
                </c:pt>
                <c:pt idx="7">
                  <c:v>12177.82514795389</c:v>
                </c:pt>
                <c:pt idx="8">
                  <c:v>13700.053291448126</c:v>
                </c:pt>
                <c:pt idx="9">
                  <c:v>15222.281434942361</c:v>
                </c:pt>
                <c:pt idx="10">
                  <c:v>16744.509578436599</c:v>
                </c:pt>
                <c:pt idx="11">
                  <c:v>18266.737721930833</c:v>
                </c:pt>
                <c:pt idx="12">
                  <c:v>19788.965865425071</c:v>
                </c:pt>
                <c:pt idx="13">
                  <c:v>21311.194008919301</c:v>
                </c:pt>
                <c:pt idx="14">
                  <c:v>22833.422152413539</c:v>
                </c:pt>
                <c:pt idx="15">
                  <c:v>24355.650295907781</c:v>
                </c:pt>
                <c:pt idx="16">
                  <c:v>25877.878439402015</c:v>
                </c:pt>
                <c:pt idx="17">
                  <c:v>27400.106582896253</c:v>
                </c:pt>
                <c:pt idx="18">
                  <c:v>28922.334726390483</c:v>
                </c:pt>
                <c:pt idx="19">
                  <c:v>30444.562869884721</c:v>
                </c:pt>
                <c:pt idx="20">
                  <c:v>31966.791013378963</c:v>
                </c:pt>
                <c:pt idx="21">
                  <c:v>33489.019156873197</c:v>
                </c:pt>
                <c:pt idx="22">
                  <c:v>35011.247300367431</c:v>
                </c:pt>
                <c:pt idx="23">
                  <c:v>36533.475443861666</c:v>
                </c:pt>
                <c:pt idx="24">
                  <c:v>38055.703587355907</c:v>
                </c:pt>
              </c:numCache>
            </c:numRef>
          </c:xVal>
          <c:yVal>
            <c:numRef>
              <c:f>'MMHSE P240 AVG'!$Y$7:$Y$31</c:f>
              <c:numCache>
                <c:formatCode>0.00000</c:formatCode>
                <c:ptCount val="25"/>
                <c:pt idx="0">
                  <c:v>1.2663581412393104E-2</c:v>
                </c:pt>
                <c:pt idx="1">
                  <c:v>1.0648760213954932E-2</c:v>
                </c:pt>
                <c:pt idx="2">
                  <c:v>9.6222410652904763E-3</c:v>
                </c:pt>
                <c:pt idx="3">
                  <c:v>8.9545042908110804E-3</c:v>
                </c:pt>
                <c:pt idx="4">
                  <c:v>8.4686472958175139E-3</c:v>
                </c:pt>
                <c:pt idx="5">
                  <c:v>8.0913080185098449E-3</c:v>
                </c:pt>
                <c:pt idx="6">
                  <c:v>7.7854198262731194E-3</c:v>
                </c:pt>
                <c:pt idx="7">
                  <c:v>7.5298105585170421E-3</c:v>
                </c:pt>
                <c:pt idx="8">
                  <c:v>7.3113221373498983E-3</c:v>
                </c:pt>
                <c:pt idx="9">
                  <c:v>7.121255153101011E-3</c:v>
                </c:pt>
                <c:pt idx="10">
                  <c:v>6.9535787178739818E-3</c:v>
                </c:pt>
                <c:pt idx="11">
                  <c:v>6.8039519074785662E-3</c:v>
                </c:pt>
                <c:pt idx="12">
                  <c:v>6.6691534265664997E-3</c:v>
                </c:pt>
                <c:pt idx="13">
                  <c:v>6.5467316231582629E-3</c:v>
                </c:pt>
                <c:pt idx="14">
                  <c:v>6.4347804245590045E-3</c:v>
                </c:pt>
                <c:pt idx="15">
                  <c:v>6.3317907061965512E-3</c:v>
                </c:pt>
                <c:pt idx="16">
                  <c:v>6.2365486766096665E-3</c:v>
                </c:pt>
                <c:pt idx="17">
                  <c:v>6.1480645760626585E-3</c:v>
                </c:pt>
                <c:pt idx="18">
                  <c:v>6.0655215001937891E-3</c:v>
                </c:pt>
                <c:pt idx="19">
                  <c:v>5.9882379303496823E-3</c:v>
                </c:pt>
                <c:pt idx="20">
                  <c:v>5.9156398117817385E-3</c:v>
                </c:pt>
                <c:pt idx="21">
                  <c:v>5.8472394170447518E-3</c:v>
                </c:pt>
                <c:pt idx="22">
                  <c:v>5.7826191182871059E-3</c:v>
                </c:pt>
                <c:pt idx="23">
                  <c:v>5.721418768557399E-3</c:v>
                </c:pt>
                <c:pt idx="24">
                  <c:v>5.6633257753427547E-3</c:v>
                </c:pt>
              </c:numCache>
            </c:numRef>
          </c:yVal>
          <c:smooth val="0"/>
          <c:extLst>
            <c:ext xmlns:c16="http://schemas.microsoft.com/office/drawing/2014/chart" uri="{C3380CC4-5D6E-409C-BE32-E72D297353CC}">
              <c16:uniqueId val="{00000003-8027-47F7-B62A-B781940098FE}"/>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2"/>
          <c:tx>
            <c:v>Smooth Rigid Elongation</c:v>
          </c:tx>
          <c:spPr>
            <a:ln w="25400" cap="rnd">
              <a:noFill/>
              <a:round/>
            </a:ln>
            <a:effectLst/>
          </c:spPr>
          <c:marker>
            <c:symbol val="circle"/>
            <c:size val="5"/>
            <c:spPr>
              <a:solidFill>
                <a:schemeClr val="accent3"/>
              </a:solidFill>
              <a:ln w="9525">
                <a:solidFill>
                  <a:schemeClr val="accent3"/>
                </a:solidFill>
              </a:ln>
              <a:effectLst/>
            </c:spPr>
          </c:marker>
          <c:xVal>
            <c:numRef>
              <c:f>'EF25 flat AVGS'!$L$7:$L$12</c:f>
              <c:numCache>
                <c:formatCode>0.0E+00</c:formatCode>
                <c:ptCount val="6"/>
                <c:pt idx="0">
                  <c:v>17031.803384494291</c:v>
                </c:pt>
                <c:pt idx="1">
                  <c:v>24203.089020070838</c:v>
                </c:pt>
                <c:pt idx="2">
                  <c:v>30702.066627312077</c:v>
                </c:pt>
                <c:pt idx="3">
                  <c:v>38097.454939000396</c:v>
                </c:pt>
                <c:pt idx="4">
                  <c:v>45268.740574576928</c:v>
                </c:pt>
                <c:pt idx="5">
                  <c:v>51991.820857929946</c:v>
                </c:pt>
              </c:numCache>
              <c:extLst xmlns:c15="http://schemas.microsoft.com/office/drawing/2012/chart"/>
            </c:numRef>
          </c:xVal>
          <c:yVal>
            <c:numRef>
              <c:f>'EF25 flat AVGS'!$T$7:$T$12</c:f>
              <c:numCache>
                <c:formatCode>General</c:formatCode>
                <c:ptCount val="6"/>
                <c:pt idx="0">
                  <c:v>81.165666666666681</c:v>
                </c:pt>
                <c:pt idx="1">
                  <c:v>85.668166666666664</c:v>
                </c:pt>
                <c:pt idx="2">
                  <c:v>84.876666666666665</c:v>
                </c:pt>
                <c:pt idx="3">
                  <c:v>85.456333333333333</c:v>
                </c:pt>
                <c:pt idx="4">
                  <c:v>89.025333333333322</c:v>
                </c:pt>
                <c:pt idx="5">
                  <c:v>90.991500000000002</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5-FCEF-45ED-B684-4D6F1D035386}"/>
            </c:ext>
          </c:extLst>
        </c:ser>
        <c:ser>
          <c:idx val="3"/>
          <c:order val="3"/>
          <c:tx>
            <c:v>Smooth Elastomer Elongation</c:v>
          </c:tx>
          <c:spPr>
            <a:ln w="25400" cap="rnd">
              <a:noFill/>
              <a:round/>
            </a:ln>
            <a:effectLst/>
          </c:spPr>
          <c:marker>
            <c:symbol val="circle"/>
            <c:size val="5"/>
            <c:spPr>
              <a:solidFill>
                <a:schemeClr val="accent4"/>
              </a:solidFill>
              <a:ln w="9525">
                <a:solidFill>
                  <a:schemeClr val="accent4"/>
                </a:solidFill>
              </a:ln>
              <a:effectLst/>
            </c:spPr>
          </c:marker>
          <c:xVal>
            <c:numRef>
              <c:f>'MMHSE flat AVG'!$L$7:$L$12</c:f>
              <c:numCache>
                <c:formatCode>0.0E+00</c:formatCode>
                <c:ptCount val="6"/>
                <c:pt idx="0">
                  <c:v>16791.76035066746</c:v>
                </c:pt>
                <c:pt idx="1">
                  <c:v>24733.809165172341</c:v>
                </c:pt>
                <c:pt idx="2">
                  <c:v>31541.279577605099</c:v>
                </c:pt>
                <c:pt idx="3">
                  <c:v>38802.581350866705</c:v>
                </c:pt>
                <c:pt idx="4">
                  <c:v>46971.545845786015</c:v>
                </c:pt>
                <c:pt idx="5">
                  <c:v>52871.353536561066</c:v>
                </c:pt>
              </c:numCache>
              <c:extLst xmlns:c15="http://schemas.microsoft.com/office/drawing/2012/chart"/>
            </c:numRef>
          </c:xVal>
          <c:yVal>
            <c:numRef>
              <c:f>'MMHSE flat AVG'!$T$7:$T$12</c:f>
              <c:numCache>
                <c:formatCode>General</c:formatCode>
                <c:ptCount val="6"/>
                <c:pt idx="0">
                  <c:v>70.255666666666656</c:v>
                </c:pt>
                <c:pt idx="1">
                  <c:v>70.236333333333334</c:v>
                </c:pt>
                <c:pt idx="2">
                  <c:v>72.275749999999988</c:v>
                </c:pt>
                <c:pt idx="3">
                  <c:v>71.86399999999999</c:v>
                </c:pt>
                <c:pt idx="4">
                  <c:v>74.114500000000007</c:v>
                </c:pt>
                <c:pt idx="5">
                  <c:v>75.267499999999998</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0-FCEF-45ED-B684-4D6F1D035386}"/>
            </c:ext>
          </c:extLst>
        </c:ser>
        <c:ser>
          <c:idx val="4"/>
          <c:order val="4"/>
          <c:tx>
            <c:v>Smooth Control Elongation</c:v>
          </c:tx>
          <c:spPr>
            <a:ln w="25400" cap="rnd">
              <a:noFill/>
              <a:round/>
            </a:ln>
            <a:effectLst/>
          </c:spPr>
          <c:marker>
            <c:symbol val="circle"/>
            <c:size val="5"/>
            <c:spPr>
              <a:solidFill>
                <a:schemeClr val="accent5"/>
              </a:solidFill>
              <a:ln w="9525">
                <a:solidFill>
                  <a:schemeClr val="accent5"/>
                </a:solidFill>
              </a:ln>
              <a:effectLst/>
            </c:spPr>
          </c:marker>
          <c:xVal>
            <c:numRef>
              <c:f>'PLAIN PANEL AVGS'!$L$7:$L$9</c:f>
              <c:numCache>
                <c:formatCode>0.0E+00</c:formatCode>
                <c:ptCount val="3"/>
                <c:pt idx="0">
                  <c:v>17173.73507936508</c:v>
                </c:pt>
                <c:pt idx="1">
                  <c:v>25760.602619047622</c:v>
                </c:pt>
                <c:pt idx="2">
                  <c:v>31861.797976190479</c:v>
                </c:pt>
              </c:numCache>
              <c:extLst xmlns:c15="http://schemas.microsoft.com/office/drawing/2012/chart"/>
            </c:numRef>
          </c:xVal>
          <c:yVal>
            <c:numRef>
              <c:f>'PLAIN PANEL AVGS'!$T$7:$T$9</c:f>
              <c:numCache>
                <c:formatCode>General</c:formatCode>
                <c:ptCount val="3"/>
                <c:pt idx="0">
                  <c:v>238.71733333333333</c:v>
                </c:pt>
                <c:pt idx="1">
                  <c:v>238.2585</c:v>
                </c:pt>
                <c:pt idx="2">
                  <c:v>232.23649999999998</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6-FCEF-45ED-B684-4D6F1D035386}"/>
            </c:ext>
          </c:extLst>
        </c:ser>
        <c:dLbls>
          <c:showLegendKey val="0"/>
          <c:showVal val="0"/>
          <c:showCatName val="0"/>
          <c:showSerName val="0"/>
          <c:showPercent val="0"/>
          <c:showBubbleSize val="0"/>
        </c:dLbls>
        <c:axId val="420696127"/>
        <c:axId val="651585247"/>
        <c:extLst>
          <c:ext xmlns:c15="http://schemas.microsoft.com/office/drawing/2012/chart" uri="{02D57815-91ED-43cb-92C2-25804820EDAC}">
            <c15:filteredScatterSeries>
              <c15:ser>
                <c:idx val="0"/>
                <c:order val="0"/>
                <c:tx>
                  <c:v>P240 Rigid Elongation</c:v>
                </c:tx>
                <c:spPr>
                  <a:ln w="25400" cap="rnd">
                    <a:noFill/>
                    <a:round/>
                  </a:ln>
                  <a:effectLst/>
                </c:spPr>
                <c:marker>
                  <c:symbol val="circle"/>
                  <c:size val="5"/>
                  <c:spPr>
                    <a:solidFill>
                      <a:schemeClr val="accent1"/>
                    </a:solidFill>
                    <a:ln w="9525">
                      <a:solidFill>
                        <a:schemeClr val="accent1"/>
                      </a:solidFill>
                    </a:ln>
                    <a:effectLst/>
                  </c:spPr>
                </c:marker>
                <c:xVal>
                  <c:numRef>
                    <c:extLst>
                      <c:ext uri="{02D57815-91ED-43cb-92C2-25804820EDAC}">
                        <c15:formulaRef>
                          <c15:sqref>'EF25 P240 AVGS'!$L$7:$L$12</c15:sqref>
                        </c15:formulaRef>
                      </c:ext>
                    </c:extLst>
                    <c:numCache>
                      <c:formatCode>0.0E+00</c:formatCode>
                      <c:ptCount val="6"/>
                      <c:pt idx="0">
                        <c:v>17255.906060606056</c:v>
                      </c:pt>
                      <c:pt idx="1">
                        <c:v>24959.435551948049</c:v>
                      </c:pt>
                      <c:pt idx="2">
                        <c:v>32971.106222943716</c:v>
                      </c:pt>
                      <c:pt idx="3">
                        <c:v>40212.423944805189</c:v>
                      </c:pt>
                      <c:pt idx="4">
                        <c:v>46837.459307359313</c:v>
                      </c:pt>
                      <c:pt idx="5">
                        <c:v>51767.718181818185</c:v>
                      </c:pt>
                    </c:numCache>
                  </c:numRef>
                </c:xVal>
                <c:yVal>
                  <c:numRef>
                    <c:extLst>
                      <c:ext uri="{02D57815-91ED-43cb-92C2-25804820EDAC}">
                        <c15:formulaRef>
                          <c15:sqref>'EF25 P240 AVGS'!$T$7:$T$12</c15:sqref>
                        </c15:formulaRef>
                      </c:ext>
                    </c:extLst>
                    <c:numCache>
                      <c:formatCode>0.00</c:formatCode>
                      <c:ptCount val="6"/>
                      <c:pt idx="0">
                        <c:v>65.287666666666667</c:v>
                      </c:pt>
                      <c:pt idx="1">
                        <c:v>64.590333333333334</c:v>
                      </c:pt>
                      <c:pt idx="2">
                        <c:v>65.329222222222214</c:v>
                      </c:pt>
                      <c:pt idx="3">
                        <c:v>64.043166666666664</c:v>
                      </c:pt>
                      <c:pt idx="4">
                        <c:v>64.469333333333338</c:v>
                      </c:pt>
                      <c:pt idx="5">
                        <c:v>64.34341666666667</c:v>
                      </c:pt>
                    </c:numCache>
                  </c:numRef>
                </c:yVal>
                <c:smooth val="0"/>
                <c:extLst>
                  <c:ext xmlns:c16="http://schemas.microsoft.com/office/drawing/2014/chart" uri="{C3380CC4-5D6E-409C-BE32-E72D297353CC}">
                    <c16:uniqueId val="{00000003-FCEF-45ED-B684-4D6F1D035386}"/>
                  </c:ext>
                </c:extLst>
              </c15:ser>
            </c15:filteredScatterSeries>
            <c15:filteredScatterSeries>
              <c15:ser>
                <c:idx val="1"/>
                <c:order val="1"/>
                <c:tx>
                  <c:v>P80 Rigid Elongation</c:v>
                </c:tx>
                <c:spPr>
                  <a:ln w="25400" cap="rnd">
                    <a:noFill/>
                    <a:round/>
                  </a:ln>
                  <a:effectLst/>
                </c:spPr>
                <c:marker>
                  <c:symbol val="circle"/>
                  <c:size val="5"/>
                  <c:spPr>
                    <a:solidFill>
                      <a:schemeClr val="accent2"/>
                    </a:solidFill>
                    <a:ln w="9525">
                      <a:solidFill>
                        <a:schemeClr val="accent2"/>
                      </a:solidFill>
                    </a:ln>
                    <a:effectLst/>
                  </c:spPr>
                </c:marker>
                <c:xVal>
                  <c:numRef>
                    <c:extLst xmlns:c15="http://schemas.microsoft.com/office/drawing/2012/chart">
                      <c:ext xmlns:c15="http://schemas.microsoft.com/office/drawing/2012/chart" uri="{02D57815-91ED-43cb-92C2-25804820EDAC}">
                        <c15:formulaRef>
                          <c15:sqref>'EF25 P80 AVGS'!$M$7:$M$12</c15:sqref>
                        </c15:formulaRef>
                      </c:ext>
                    </c:extLst>
                    <c:numCache>
                      <c:formatCode>0.0E+00</c:formatCode>
                      <c:ptCount val="6"/>
                      <c:pt idx="0">
                        <c:v>16525.642491230723</c:v>
                      </c:pt>
                      <c:pt idx="1">
                        <c:v>23135.899487723014</c:v>
                      </c:pt>
                      <c:pt idx="2">
                        <c:v>30320.96144043202</c:v>
                      </c:pt>
                      <c:pt idx="3">
                        <c:v>36500.114719761768</c:v>
                      </c:pt>
                      <c:pt idx="4">
                        <c:v>43254.072955308235</c:v>
                      </c:pt>
                      <c:pt idx="5">
                        <c:v>49002.122517475444</c:v>
                      </c:pt>
                    </c:numCache>
                  </c:numRef>
                </c:xVal>
                <c:yVal>
                  <c:numRef>
                    <c:extLst xmlns:c15="http://schemas.microsoft.com/office/drawing/2012/chart">
                      <c:ext xmlns:c15="http://schemas.microsoft.com/office/drawing/2012/chart" uri="{02D57815-91ED-43cb-92C2-25804820EDAC}">
                        <c15:formulaRef>
                          <c15:sqref>'EF25 P80 AVGS'!$Z$7:$Z$12</c15:sqref>
                        </c15:formulaRef>
                      </c:ext>
                    </c:extLst>
                    <c:numCache>
                      <c:formatCode>0.00</c:formatCode>
                      <c:ptCount val="6"/>
                      <c:pt idx="0">
                        <c:v>41.160999999999994</c:v>
                      </c:pt>
                      <c:pt idx="1">
                        <c:v>42.672333333333334</c:v>
                      </c:pt>
                      <c:pt idx="2">
                        <c:v>43.121111111111112</c:v>
                      </c:pt>
                      <c:pt idx="3">
                        <c:v>42.555722222222222</c:v>
                      </c:pt>
                      <c:pt idx="4">
                        <c:v>42.906388888888891</c:v>
                      </c:pt>
                      <c:pt idx="5">
                        <c:v>42.489333333333327</c:v>
                      </c:pt>
                    </c:numCache>
                  </c:numRef>
                </c:yVal>
                <c:smooth val="0"/>
                <c:extLst xmlns:c15="http://schemas.microsoft.com/office/drawing/2012/chart">
                  <c:ext xmlns:c16="http://schemas.microsoft.com/office/drawing/2014/chart" uri="{C3380CC4-5D6E-409C-BE32-E72D297353CC}">
                    <c16:uniqueId val="{00000004-FCEF-45ED-B684-4D6F1D035386}"/>
                  </c:ext>
                </c:extLst>
              </c15:ser>
            </c15:filteredScatterSeries>
            <c15:filteredScatterSeries>
              <c15:ser>
                <c:idx val="5"/>
                <c:order val="5"/>
                <c:tx>
                  <c:v>P80 Elastomer Elongation</c:v>
                </c:tx>
                <c:spPr>
                  <a:ln w="25400" cap="rnd">
                    <a:noFill/>
                    <a:round/>
                  </a:ln>
                  <a:effectLst/>
                </c:spPr>
                <c:marker>
                  <c:symbol val="circle"/>
                  <c:size val="5"/>
                  <c:spPr>
                    <a:solidFill>
                      <a:schemeClr val="accent6"/>
                    </a:solidFill>
                    <a:ln w="9525">
                      <a:solidFill>
                        <a:schemeClr val="accent6"/>
                      </a:solidFill>
                    </a:ln>
                    <a:effectLst/>
                  </c:spPr>
                </c:marker>
                <c:xVal>
                  <c:numRef>
                    <c:extLst xmlns:c15="http://schemas.microsoft.com/office/drawing/2012/chart">
                      <c:ext xmlns:c15="http://schemas.microsoft.com/office/drawing/2012/chart" uri="{02D57815-91ED-43cb-92C2-25804820EDAC}">
                        <c15:formulaRef>
                          <c15:sqref>'MMHSE P80 AVGS'!$L$7:$L$12</c15:sqref>
                        </c15:formulaRef>
                      </c:ext>
                    </c:extLst>
                    <c:numCache>
                      <c:formatCode>0.0E+00</c:formatCode>
                      <c:ptCount val="6"/>
                      <c:pt idx="0">
                        <c:v>13610.328035679087</c:v>
                      </c:pt>
                      <c:pt idx="1">
                        <c:v>18801.896461659773</c:v>
                      </c:pt>
                      <c:pt idx="2">
                        <c:v>24835.340848610296</c:v>
                      </c:pt>
                      <c:pt idx="3">
                        <c:v>30447.8472550759</c:v>
                      </c:pt>
                      <c:pt idx="4">
                        <c:v>34727.383390005925</c:v>
                      </c:pt>
                      <c:pt idx="5">
                        <c:v>39568.170165582502</c:v>
                      </c:pt>
                    </c:numCache>
                  </c:numRef>
                </c:xVal>
                <c:yVal>
                  <c:numRef>
                    <c:extLst xmlns:c15="http://schemas.microsoft.com/office/drawing/2012/chart">
                      <c:ext xmlns:c15="http://schemas.microsoft.com/office/drawing/2012/chart" uri="{02D57815-91ED-43cb-92C2-25804820EDAC}">
                        <c15:formulaRef>
                          <c15:sqref>'MMHSE P80 AVGS'!$S$7:$S$12</c15:sqref>
                        </c15:formulaRef>
                      </c:ext>
                    </c:extLst>
                    <c:numCache>
                      <c:formatCode>General</c:formatCode>
                      <c:ptCount val="6"/>
                      <c:pt idx="0">
                        <c:v>46.262833333333333</c:v>
                      </c:pt>
                      <c:pt idx="1">
                        <c:v>45.570444444444441</c:v>
                      </c:pt>
                      <c:pt idx="2">
                        <c:v>45.556777777777775</c:v>
                      </c:pt>
                      <c:pt idx="3">
                        <c:v>46.690722222222227</c:v>
                      </c:pt>
                      <c:pt idx="4">
                        <c:v>50.249250000000004</c:v>
                      </c:pt>
                      <c:pt idx="5">
                        <c:v>56.551666666666669</c:v>
                      </c:pt>
                    </c:numCache>
                  </c:numRef>
                </c:yVal>
                <c:smooth val="0"/>
                <c:extLst xmlns:c15="http://schemas.microsoft.com/office/drawing/2012/chart">
                  <c:ext xmlns:c16="http://schemas.microsoft.com/office/drawing/2014/chart" uri="{C3380CC4-5D6E-409C-BE32-E72D297353CC}">
                    <c16:uniqueId val="{00000001-FCEF-45ED-B684-4D6F1D035386}"/>
                  </c:ext>
                </c:extLst>
              </c15:ser>
            </c15:filteredScatterSeries>
            <c15:filteredScatterSeries>
              <c15:ser>
                <c:idx val="6"/>
                <c:order val="6"/>
                <c:tx>
                  <c:v>P240 Elastomer Elongation</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xVal>
                  <c:numRef>
                    <c:extLst xmlns:c15="http://schemas.microsoft.com/office/drawing/2012/chart">
                      <c:ext xmlns:c15="http://schemas.microsoft.com/office/drawing/2012/chart" uri="{02D57815-91ED-43cb-92C2-25804820EDAC}">
                        <c15:formulaRef>
                          <c15:sqref>'MMHSE P240 AVG'!$L$7:$L$10</c15:sqref>
                        </c15:formulaRef>
                      </c:ext>
                    </c:extLst>
                    <c:numCache>
                      <c:formatCode>0.0E+00</c:formatCode>
                      <c:ptCount val="4"/>
                      <c:pt idx="0">
                        <c:v>11807.649133593246</c:v>
                      </c:pt>
                      <c:pt idx="1">
                        <c:v>18828.41348329734</c:v>
                      </c:pt>
                      <c:pt idx="2">
                        <c:v>24891.800876223599</c:v>
                      </c:pt>
                      <c:pt idx="3">
                        <c:v>31832.783812862872</c:v>
                      </c:pt>
                    </c:numCache>
                  </c:numRef>
                </c:xVal>
                <c:yVal>
                  <c:numRef>
                    <c:extLst xmlns:c15="http://schemas.microsoft.com/office/drawing/2012/chart">
                      <c:ext xmlns:c15="http://schemas.microsoft.com/office/drawing/2012/chart" uri="{02D57815-91ED-43cb-92C2-25804820EDAC}">
                        <c15:formulaRef>
                          <c15:sqref>'MMHSE P240 AVG'!$T$7:$T$10</c15:sqref>
                        </c15:formulaRef>
                      </c:ext>
                    </c:extLst>
                    <c:numCache>
                      <c:formatCode>General</c:formatCode>
                      <c:ptCount val="4"/>
                      <c:pt idx="0">
                        <c:v>55.282222222222224</c:v>
                      </c:pt>
                      <c:pt idx="1">
                        <c:v>52.43588888888889</c:v>
                      </c:pt>
                      <c:pt idx="2">
                        <c:v>53.037888888888887</c:v>
                      </c:pt>
                      <c:pt idx="3">
                        <c:v>56.688333333333333</c:v>
                      </c:pt>
                    </c:numCache>
                  </c:numRef>
                </c:yVal>
                <c:smooth val="0"/>
                <c:extLst xmlns:c15="http://schemas.microsoft.com/office/drawing/2012/chart">
                  <c:ext xmlns:c16="http://schemas.microsoft.com/office/drawing/2014/chart" uri="{C3380CC4-5D6E-409C-BE32-E72D297353CC}">
                    <c16:uniqueId val="{00000002-FCEF-45ED-B684-4D6F1D035386}"/>
                  </c:ext>
                </c:extLst>
              </c15:ser>
            </c15:filteredScatterSeries>
            <c15:filteredScatterSeries>
              <c15:ser>
                <c:idx val="7"/>
                <c:order val="7"/>
                <c:tx>
                  <c:v>P80 Control Elongation</c:v>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xVal>
                  <c:numRef>
                    <c:extLst xmlns:c15="http://schemas.microsoft.com/office/drawing/2012/chart">
                      <c:ext xmlns:c15="http://schemas.microsoft.com/office/drawing/2012/chart" uri="{02D57815-91ED-43cb-92C2-25804820EDAC}">
                        <c15:formulaRef>
                          <c15:sqref>'P80 sandpaper AVGS'!$S$41:$S$46</c15:sqref>
                        </c15:formulaRef>
                      </c:ext>
                    </c:extLst>
                    <c:numCache>
                      <c:formatCode>General</c:formatCode>
                      <c:ptCount val="6"/>
                    </c:numCache>
                  </c:numRef>
                </c:xVal>
                <c:yVal>
                  <c:numRef>
                    <c:extLst xmlns:c15="http://schemas.microsoft.com/office/drawing/2012/chart">
                      <c:ext xmlns:c15="http://schemas.microsoft.com/office/drawing/2012/chart" uri="{02D57815-91ED-43cb-92C2-25804820EDAC}">
                        <c15:formulaRef>
                          <c15:sqref>'P80 sandpaper AVGS'!$V$41:$V$46</c15:sqref>
                        </c15:formulaRef>
                      </c:ext>
                    </c:extLst>
                    <c:numCache>
                      <c:formatCode>General</c:formatCode>
                      <c:ptCount val="6"/>
                    </c:numCache>
                  </c:numRef>
                </c:yVal>
                <c:smooth val="0"/>
                <c:extLst xmlns:c15="http://schemas.microsoft.com/office/drawing/2012/chart">
                  <c:ext xmlns:c16="http://schemas.microsoft.com/office/drawing/2014/chart" uri="{C3380CC4-5D6E-409C-BE32-E72D297353CC}">
                    <c16:uniqueId val="{00000007-FCEF-45ED-B684-4D6F1D035386}"/>
                  </c:ext>
                </c:extLst>
              </c15:ser>
            </c15:filteredScatterSeries>
            <c15:filteredScatterSeries>
              <c15:ser>
                <c:idx val="8"/>
                <c:order val="8"/>
                <c:tx>
                  <c:v>P240 Control Elongation</c:v>
                </c:tx>
                <c:spPr>
                  <a:ln w="25400" cap="rnd">
                    <a:noFill/>
                    <a:round/>
                  </a:ln>
                  <a:effectLst/>
                </c:spPr>
                <c:marker>
                  <c:symbol val="circle"/>
                  <c:size val="5"/>
                  <c:spPr>
                    <a:solidFill>
                      <a:schemeClr val="accent3">
                        <a:lumMod val="60000"/>
                      </a:schemeClr>
                    </a:solidFill>
                    <a:ln w="9525">
                      <a:solidFill>
                        <a:schemeClr val="accent3">
                          <a:lumMod val="60000"/>
                        </a:schemeClr>
                      </a:solidFill>
                    </a:ln>
                    <a:effectLst/>
                  </c:spPr>
                </c:marker>
                <c:xVal>
                  <c:numRef>
                    <c:extLst xmlns:c15="http://schemas.microsoft.com/office/drawing/2012/chart">
                      <c:ext xmlns:c15="http://schemas.microsoft.com/office/drawing/2012/chart" uri="{02D57815-91ED-43cb-92C2-25804820EDAC}">
                        <c15:formulaRef>
                          <c15:sqref>'P240 sandpaper'!$L$7:$L$12</c15:sqref>
                        </c15:formulaRef>
                      </c:ext>
                    </c:extLst>
                    <c:numCache>
                      <c:formatCode>0.0E+00</c:formatCode>
                      <c:ptCount val="6"/>
                      <c:pt idx="0">
                        <c:v>17029.859003236244</c:v>
                      </c:pt>
                      <c:pt idx="1">
                        <c:v>25314.655275080902</c:v>
                      </c:pt>
                      <c:pt idx="2">
                        <c:v>32218.652168284785</c:v>
                      </c:pt>
                      <c:pt idx="3">
                        <c:v>40043.181980582514</c:v>
                      </c:pt>
                      <c:pt idx="4">
                        <c:v>46026.645954692547</c:v>
                      </c:pt>
                      <c:pt idx="5">
                        <c:v>52930.642847896444</c:v>
                      </c:pt>
                    </c:numCache>
                  </c:numRef>
                </c:xVal>
                <c:yVal>
                  <c:numRef>
                    <c:extLst xmlns:c15="http://schemas.microsoft.com/office/drawing/2012/chart">
                      <c:ext xmlns:c15="http://schemas.microsoft.com/office/drawing/2012/chart" uri="{02D57815-91ED-43cb-92C2-25804820EDAC}">
                        <c15:formulaRef>
                          <c15:sqref>'P240 sandpaper'!$S$7:$S$12</c15:sqref>
                        </c15:formulaRef>
                      </c:ext>
                    </c:extLst>
                    <c:numCache>
                      <c:formatCode>0.00</c:formatCode>
                      <c:ptCount val="6"/>
                      <c:pt idx="0" formatCode="General">
                        <c:v>53.87566666666666</c:v>
                      </c:pt>
                      <c:pt idx="1">
                        <c:v>54.229333333333329</c:v>
                      </c:pt>
                      <c:pt idx="2" formatCode="0.000">
                        <c:v>56.719666666666662</c:v>
                      </c:pt>
                      <c:pt idx="3" formatCode="0.000">
                        <c:v>54.749000000000002</c:v>
                      </c:pt>
                      <c:pt idx="4" formatCode="General">
                        <c:v>54.546333333333337</c:v>
                      </c:pt>
                      <c:pt idx="5" formatCode="General">
                        <c:v>54.866999999999997</c:v>
                      </c:pt>
                    </c:numCache>
                  </c:numRef>
                </c:yVal>
                <c:smooth val="0"/>
                <c:extLst xmlns:c15="http://schemas.microsoft.com/office/drawing/2012/chart">
                  <c:ext xmlns:c16="http://schemas.microsoft.com/office/drawing/2014/chart" uri="{C3380CC4-5D6E-409C-BE32-E72D297353CC}">
                    <c16:uniqueId val="{00000008-FCEF-45ED-B684-4D6F1D035386}"/>
                  </c:ext>
                </c:extLst>
              </c15:ser>
            </c15:filteredScatterSeries>
          </c:ext>
        </c:extLst>
      </c:scatterChart>
      <c:valAx>
        <c:axId val="420696127"/>
        <c:scaling>
          <c:orientation val="minMax"/>
        </c:scaling>
        <c:delete val="0"/>
        <c:axPos val="b"/>
        <c:majorGridlines>
          <c:spPr>
            <a:ln w="9525" cap="flat" cmpd="sng" algn="ctr">
              <a:solidFill>
                <a:schemeClr val="tx1">
                  <a:lumMod val="15000"/>
                  <a:lumOff val="85000"/>
                </a:schemeClr>
              </a:solidFill>
              <a:round/>
            </a:ln>
            <a:effectLst/>
          </c:spPr>
        </c:majorGridlines>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1585247"/>
        <c:crosses val="autoZero"/>
        <c:crossBetween val="midCat"/>
      </c:valAx>
      <c:valAx>
        <c:axId val="6515852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69612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4"/>
          <c:order val="1"/>
          <c:tx>
            <c:v>1 MMHSE P240</c:v>
          </c:tx>
          <c:spPr>
            <a:ln w="1905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power"/>
            <c:dispRSqr val="0"/>
            <c:dispEq val="1"/>
            <c:trendlineLbl>
              <c:layout>
                <c:manualLayout>
                  <c:x val="0.23722060171326456"/>
                  <c:y val="-4.98553327347101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'1MMHSE P240'!$L$7:$L$9</c:f>
              <c:numCache>
                <c:formatCode>0.0E+00</c:formatCode>
                <c:ptCount val="3"/>
                <c:pt idx="0">
                  <c:v>12618.27888572333</c:v>
                </c:pt>
                <c:pt idx="1">
                  <c:v>19378.071145932256</c:v>
                </c:pt>
                <c:pt idx="2">
                  <c:v>25236.55777144666</c:v>
                </c:pt>
              </c:numCache>
            </c:numRef>
          </c:xVal>
          <c:yVal>
            <c:numRef>
              <c:f>'1MMHSE P240'!$O$7:$O$9</c:f>
              <c:numCache>
                <c:formatCode>0.000</c:formatCode>
                <c:ptCount val="3"/>
                <c:pt idx="0">
                  <c:v>1.5938945045226166E-2</c:v>
                </c:pt>
                <c:pt idx="1">
                  <c:v>1.5487446654014473E-2</c:v>
                </c:pt>
                <c:pt idx="2">
                  <c:v>1.5255272247259985E-2</c:v>
                </c:pt>
              </c:numCache>
            </c:numRef>
          </c:yVal>
          <c:smooth val="0"/>
          <c:extLst>
            <c:ext xmlns:c16="http://schemas.microsoft.com/office/drawing/2014/chart" uri="{C3380CC4-5D6E-409C-BE32-E72D297353CC}">
              <c16:uniqueId val="{00000001-1FD1-4FAB-9367-F26F74D92C1B}"/>
            </c:ext>
          </c:extLst>
        </c:ser>
        <c:ser>
          <c:idx val="5"/>
          <c:order val="2"/>
          <c:tx>
            <c:v>2 MMHSE P240</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wer"/>
            <c:dispRSqr val="0"/>
            <c:dispEq val="1"/>
            <c:trendlineLbl>
              <c:layout>
                <c:manualLayout>
                  <c:x val="0.13328345791439056"/>
                  <c:y val="8.2563541354883765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MMHSE P240'!$L$8:$L$11</c:f>
              <c:numCache>
                <c:formatCode>0.0E+00</c:formatCode>
                <c:ptCount val="4"/>
                <c:pt idx="0">
                  <c:v>10822.868875821514</c:v>
                </c:pt>
                <c:pt idx="1">
                  <c:v>18202.09765479073</c:v>
                </c:pt>
                <c:pt idx="2">
                  <c:v>24597.429263230719</c:v>
                </c:pt>
                <c:pt idx="3">
                  <c:v>32468.606627464545</c:v>
                </c:pt>
              </c:numCache>
            </c:numRef>
          </c:xVal>
          <c:yVal>
            <c:numRef>
              <c:f>'2 MMHSE P240'!$O$8:$O$11</c:f>
              <c:numCache>
                <c:formatCode>0.000</c:formatCode>
                <c:ptCount val="4"/>
                <c:pt idx="0">
                  <c:v>1.6476052706574065E-2</c:v>
                </c:pt>
                <c:pt idx="1">
                  <c:v>1.315206584148307E-2</c:v>
                </c:pt>
                <c:pt idx="2">
                  <c:v>1.2636978302901523E-2</c:v>
                </c:pt>
                <c:pt idx="3">
                  <c:v>1.0204227848652193E-2</c:v>
                </c:pt>
              </c:numCache>
            </c:numRef>
          </c:yVal>
          <c:smooth val="0"/>
          <c:extLst>
            <c:ext xmlns:c16="http://schemas.microsoft.com/office/drawing/2014/chart" uri="{C3380CC4-5D6E-409C-BE32-E72D297353CC}">
              <c16:uniqueId val="{00000003-1FD1-4FAB-9367-F26F74D92C1B}"/>
            </c:ext>
          </c:extLst>
        </c:ser>
        <c:ser>
          <c:idx val="6"/>
          <c:order val="3"/>
          <c:tx>
            <c:v>3 MMHSE P240</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trendline>
            <c:spPr>
              <a:ln w="19050" cap="rnd">
                <a:solidFill>
                  <a:schemeClr val="accent1">
                    <a:lumMod val="60000"/>
                  </a:schemeClr>
                </a:solidFill>
                <a:prstDash val="sysDot"/>
              </a:ln>
              <a:effectLst/>
            </c:spPr>
            <c:trendlineType val="power"/>
            <c:dispRSqr val="0"/>
            <c:dispEq val="1"/>
            <c:trendlineLbl>
              <c:layout>
                <c:manualLayout>
                  <c:x val="0.10770936115049748"/>
                  <c:y val="-2.6017971166317471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MMHSE P240'!$L$8:$L$12</c:f>
              <c:numCache>
                <c:formatCode>0.0E+00</c:formatCode>
                <c:ptCount val="5"/>
                <c:pt idx="0">
                  <c:v>11806.766046350744</c:v>
                </c:pt>
                <c:pt idx="1">
                  <c:v>18694.046240055344</c:v>
                </c:pt>
                <c:pt idx="2">
                  <c:v>24597.429263230719</c:v>
                </c:pt>
                <c:pt idx="3">
                  <c:v>32960.555212729159</c:v>
                </c:pt>
                <c:pt idx="4">
                  <c:v>38863.938235904534</c:v>
                </c:pt>
              </c:numCache>
            </c:numRef>
          </c:xVal>
          <c:yVal>
            <c:numRef>
              <c:f>'3 MMHSE P240'!$O$8:$O$12</c:f>
              <c:numCache>
                <c:formatCode>0.000</c:formatCode>
                <c:ptCount val="5"/>
                <c:pt idx="0">
                  <c:v>1.7106965405672366E-2</c:v>
                </c:pt>
                <c:pt idx="1">
                  <c:v>1.2934218161039507E-2</c:v>
                </c:pt>
                <c:pt idx="2">
                  <c:v>1.1610851225545451E-2</c:v>
                </c:pt>
                <c:pt idx="3">
                  <c:v>1.0717976354906761E-2</c:v>
                </c:pt>
                <c:pt idx="4">
                  <c:v>1.0553627991040346E-2</c:v>
                </c:pt>
              </c:numCache>
            </c:numRef>
          </c:yVal>
          <c:smooth val="0"/>
          <c:extLst>
            <c:ext xmlns:c16="http://schemas.microsoft.com/office/drawing/2014/chart" uri="{C3380CC4-5D6E-409C-BE32-E72D297353CC}">
              <c16:uniqueId val="{00000005-1FD1-4FAB-9367-F26F74D92C1B}"/>
            </c:ext>
          </c:extLst>
        </c:ser>
        <c:dLbls>
          <c:showLegendKey val="0"/>
          <c:showVal val="0"/>
          <c:showCatName val="0"/>
          <c:showSerName val="0"/>
          <c:showPercent val="0"/>
          <c:showBubbleSize val="0"/>
        </c:dLbls>
        <c:axId val="1408354767"/>
        <c:axId val="1074120591"/>
        <c:extLst>
          <c:ext xmlns:c15="http://schemas.microsoft.com/office/drawing/2012/chart" uri="{02D57815-91ED-43cb-92C2-25804820EDAC}">
            <c15:filteredScatterSeries>
              <c15:ser>
                <c:idx val="3"/>
                <c:order val="0"/>
                <c:tx>
                  <c:v>P80</c:v>
                </c:tx>
                <c:spPr>
                  <a:ln w="25400" cap="rnd">
                    <a:noFill/>
                    <a:round/>
                  </a:ln>
                  <a:effectLst/>
                </c:spPr>
                <c:marker>
                  <c:symbol val="circle"/>
                  <c:size val="5"/>
                  <c:spPr>
                    <a:solidFill>
                      <a:schemeClr val="accent4"/>
                    </a:solidFill>
                    <a:ln w="9525">
                      <a:solidFill>
                        <a:schemeClr val="accent4"/>
                      </a:solidFill>
                    </a:ln>
                    <a:effectLst/>
                  </c:spPr>
                </c:marker>
                <c:xVal>
                  <c:numRef>
                    <c:extLst>
                      <c:ext uri="{02D57815-91ED-43cb-92C2-25804820EDAC}">
                        <c15:formulaRef>
                          <c15:sqref>#REF!</c15:sqref>
                        </c15:formulaRef>
                      </c:ext>
                    </c:extLst>
                  </c:numRef>
                </c:xVal>
                <c:yVal>
                  <c:numRef>
                    <c:extLst>
                      <c:ext uri="{02D57815-91ED-43cb-92C2-25804820EDAC}">
                        <c15:formulaRef>
                          <c15:sqref>#REF!</c15:sqref>
                        </c15:formulaRef>
                      </c:ext>
                    </c:extLst>
                    <c:numCache>
                      <c:formatCode>General</c:formatCode>
                      <c:ptCount val="1"/>
                      <c:pt idx="0">
                        <c:v>1</c:v>
                      </c:pt>
                    </c:numCache>
                  </c:numRef>
                </c:yVal>
                <c:smooth val="0"/>
                <c:extLst>
                  <c:ext xmlns:c16="http://schemas.microsoft.com/office/drawing/2014/chart" uri="{C3380CC4-5D6E-409C-BE32-E72D297353CC}">
                    <c16:uniqueId val="{00000006-1FD1-4FAB-9367-F26F74D92C1B}"/>
                  </c:ext>
                </c:extLst>
              </c15:ser>
            </c15:filteredScatterSeries>
          </c:ext>
        </c:extLst>
      </c:scatterChart>
      <c:valAx>
        <c:axId val="14083547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4120591"/>
        <c:crosses val="autoZero"/>
        <c:crossBetween val="midCat"/>
      </c:valAx>
      <c:valAx>
        <c:axId val="10741205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35476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'1MMHSE flat'!$O$5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'1MMHSE flat'!$L$7:$L$22</c:f>
              <c:numCache>
                <c:formatCode>0.0E+00</c:formatCode>
                <c:ptCount val="16"/>
                <c:pt idx="0">
                  <c:v>16176.729122151355</c:v>
                </c:pt>
                <c:pt idx="1">
                  <c:v>24033.997552910587</c:v>
                </c:pt>
                <c:pt idx="2">
                  <c:v>30504.689201771125</c:v>
                </c:pt>
                <c:pt idx="3">
                  <c:v>38361.957632530357</c:v>
                </c:pt>
                <c:pt idx="4">
                  <c:v>45757.033802656682</c:v>
                </c:pt>
                <c:pt idx="5">
                  <c:v>51765.533190884344</c:v>
                </c:pt>
                <c:pt idx="6">
                  <c:v>51765.533190884344</c:v>
                </c:pt>
                <c:pt idx="7">
                  <c:v>44832.649281390899</c:v>
                </c:pt>
                <c:pt idx="8">
                  <c:v>38361.957632530357</c:v>
                </c:pt>
                <c:pt idx="9">
                  <c:v>30504.689201771125</c:v>
                </c:pt>
                <c:pt idx="10">
                  <c:v>24033.997552910587</c:v>
                </c:pt>
                <c:pt idx="11">
                  <c:v>17101.113643417146</c:v>
                </c:pt>
              </c:numCache>
            </c:numRef>
          </c:xVal>
          <c:yVal>
            <c:numRef>
              <c:f>'1MMHSE flat'!$O$7:$O$22</c:f>
              <c:numCache>
                <c:formatCode>0.000</c:formatCode>
                <c:ptCount val="16"/>
                <c:pt idx="0">
                  <c:v>6.8181247408542157E-3</c:v>
                </c:pt>
                <c:pt idx="1">
                  <c:v>7.1467275029920953E-3</c:v>
                </c:pt>
                <c:pt idx="2">
                  <c:v>7.1107143811171792E-3</c:v>
                </c:pt>
                <c:pt idx="3">
                  <c:v>6.8827123502950126E-3</c:v>
                </c:pt>
                <c:pt idx="4">
                  <c:v>6.6862727019813993E-3</c:v>
                </c:pt>
                <c:pt idx="5">
                  <c:v>6.4131889899808076E-3</c:v>
                </c:pt>
                <c:pt idx="6">
                  <c:v>6.4131889899808076E-3</c:v>
                </c:pt>
                <c:pt idx="7">
                  <c:v>6.6783904082869036E-3</c:v>
                </c:pt>
                <c:pt idx="8">
                  <c:v>7.081053677241979E-3</c:v>
                </c:pt>
                <c:pt idx="9">
                  <c:v>7.1788199129551008E-3</c:v>
                </c:pt>
                <c:pt idx="10">
                  <c:v>7.0173831020024823E-3</c:v>
                </c:pt>
                <c:pt idx="11">
                  <c:v>6.4161626320599977E-3</c:v>
                </c:pt>
              </c:numCache>
            </c:numRef>
          </c:yVal>
          <c:smooth val="0"/>
          <c:extLst>
            <c:ext xmlns:c16="http://schemas.microsoft.com/office/drawing/2014/chart" uri="{C3380CC4-5D6E-409C-BE32-E72D297353CC}">
              <c16:uniqueId val="{00000001-5031-48E4-A9A8-FEDD2073C5C0}"/>
            </c:ext>
          </c:extLst>
        </c:ser>
        <c:ser>
          <c:idx val="1"/>
          <c:order val="1"/>
          <c:tx>
            <c:strRef>
              <c:f>'1MMHSE flat'!$W$5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'1MMHSE flat'!$V$7:$V$31</c:f>
              <c:numCache>
                <c:formatCode>0.00000</c:formatCode>
                <c:ptCount val="25"/>
                <c:pt idx="0">
                  <c:v>1622.2935369866352</c:v>
                </c:pt>
                <c:pt idx="1">
                  <c:v>3244.5870739732704</c:v>
                </c:pt>
                <c:pt idx="2">
                  <c:v>4866.8806109599045</c:v>
                </c:pt>
                <c:pt idx="3">
                  <c:v>6489.1741479465409</c:v>
                </c:pt>
                <c:pt idx="4">
                  <c:v>8111.4676849331745</c:v>
                </c:pt>
                <c:pt idx="5">
                  <c:v>9733.761221919809</c:v>
                </c:pt>
                <c:pt idx="6">
                  <c:v>11356.054758906443</c:v>
                </c:pt>
                <c:pt idx="7">
                  <c:v>12978.348295893082</c:v>
                </c:pt>
                <c:pt idx="8">
                  <c:v>14600.641832879715</c:v>
                </c:pt>
                <c:pt idx="9">
                  <c:v>16222.935369866349</c:v>
                </c:pt>
                <c:pt idx="10">
                  <c:v>17845.228906852986</c:v>
                </c:pt>
                <c:pt idx="11">
                  <c:v>19467.522443839618</c:v>
                </c:pt>
                <c:pt idx="12">
                  <c:v>21089.815980826254</c:v>
                </c:pt>
                <c:pt idx="13">
                  <c:v>22712.109517812885</c:v>
                </c:pt>
                <c:pt idx="14">
                  <c:v>24334.403054799528</c:v>
                </c:pt>
                <c:pt idx="15">
                  <c:v>25956.696591786163</c:v>
                </c:pt>
                <c:pt idx="16">
                  <c:v>27578.990128772795</c:v>
                </c:pt>
                <c:pt idx="17">
                  <c:v>29201.283665759431</c:v>
                </c:pt>
                <c:pt idx="18">
                  <c:v>30823.577202746063</c:v>
                </c:pt>
                <c:pt idx="19">
                  <c:v>32445.870739732698</c:v>
                </c:pt>
                <c:pt idx="20">
                  <c:v>34068.164276719333</c:v>
                </c:pt>
                <c:pt idx="21">
                  <c:v>35690.457813705973</c:v>
                </c:pt>
                <c:pt idx="22">
                  <c:v>37312.751350692604</c:v>
                </c:pt>
                <c:pt idx="23">
                  <c:v>38935.044887679236</c:v>
                </c:pt>
                <c:pt idx="24">
                  <c:v>40557.338424665875</c:v>
                </c:pt>
              </c:numCache>
            </c:numRef>
          </c:xVal>
          <c:yVal>
            <c:numRef>
              <c:f>'1MMHSE flat'!$X$7:$X$31</c:f>
              <c:numCache>
                <c:formatCode>0.00000</c:formatCode>
                <c:ptCount val="25"/>
                <c:pt idx="0">
                  <c:v>1.2463617834786892E-2</c:v>
                </c:pt>
                <c:pt idx="1">
                  <c:v>1.0480611558364564E-2</c:v>
                </c:pt>
                <c:pt idx="2">
                  <c:v>9.4703016031947151E-3</c:v>
                </c:pt>
                <c:pt idx="3">
                  <c:v>8.8131086890954075E-3</c:v>
                </c:pt>
                <c:pt idx="4">
                  <c:v>8.3349235919449594E-3</c:v>
                </c:pt>
                <c:pt idx="5">
                  <c:v>7.9635426694979403E-3</c:v>
                </c:pt>
                <c:pt idx="6">
                  <c:v>7.6624845877390716E-3</c:v>
                </c:pt>
                <c:pt idx="7">
                  <c:v>7.4109115039016913E-3</c:v>
                </c:pt>
                <c:pt idx="8">
                  <c:v>7.1958731119908335E-3</c:v>
                </c:pt>
                <c:pt idx="9">
                  <c:v>7.0088073698801297E-3</c:v>
                </c:pt>
                <c:pt idx="10">
                  <c:v>6.8437786200729201E-3</c:v>
                </c:pt>
                <c:pt idx="11">
                  <c:v>6.6965144835008147E-3</c:v>
                </c:pt>
                <c:pt idx="12">
                  <c:v>6.563844530500503E-3</c:v>
                </c:pt>
                <c:pt idx="13">
                  <c:v>6.4433558217666213E-3</c:v>
                </c:pt>
                <c:pt idx="14">
                  <c:v>6.3331723823391323E-3</c:v>
                </c:pt>
                <c:pt idx="15">
                  <c:v>6.2318089173934469E-3</c:v>
                </c:pt>
                <c:pt idx="16">
                  <c:v>6.1380708017748486E-3</c:v>
                </c:pt>
                <c:pt idx="17">
                  <c:v>6.0509839044936824E-3</c:v>
                </c:pt>
                <c:pt idx="18">
                  <c:v>5.9697442204710753E-3</c:v>
                </c:pt>
                <c:pt idx="19">
                  <c:v>5.8936809925360161E-3</c:v>
                </c:pt>
                <c:pt idx="20">
                  <c:v>5.8222292305194767E-3</c:v>
                </c:pt>
                <c:pt idx="21">
                  <c:v>5.7549089084093317E-3</c:v>
                </c:pt>
                <c:pt idx="22">
                  <c:v>5.6913089928833129E-3</c:v>
                </c:pt>
                <c:pt idx="23">
                  <c:v>5.6310750238704179E-3</c:v>
                </c:pt>
                <c:pt idx="24">
                  <c:v>5.5738993448324475E-3</c:v>
                </c:pt>
              </c:numCache>
            </c:numRef>
          </c:yVal>
          <c:smooth val="0"/>
          <c:extLst>
            <c:ext xmlns:c16="http://schemas.microsoft.com/office/drawing/2014/chart" uri="{C3380CC4-5D6E-409C-BE32-E72D297353CC}">
              <c16:uniqueId val="{00000003-5031-48E4-A9A8-FEDD2073C5C0}"/>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15387994293368"/>
          <c:y val="7.2843064401075991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'1MMHSE flat'!$G$6:$G$12</c:f>
              <c:numCache>
                <c:formatCode>0.00</c:formatCode>
                <c:ptCount val="7"/>
                <c:pt idx="0">
                  <c:v>0</c:v>
                </c:pt>
                <c:pt idx="1">
                  <c:v>0.99431170201604202</c:v>
                </c:pt>
                <c:pt idx="2">
                  <c:v>2.1947908916337782</c:v>
                </c:pt>
                <c:pt idx="3">
                  <c:v>3.53569124406684</c:v>
                </c:pt>
                <c:pt idx="4">
                  <c:v>5.5916843389294</c:v>
                </c:pt>
                <c:pt idx="5">
                  <c:v>7.955305299150389</c:v>
                </c:pt>
                <c:pt idx="6">
                  <c:v>10.181751828644272</c:v>
                </c:pt>
              </c:numCache>
            </c:numRef>
          </c:xVal>
          <c:yVal>
            <c:numRef>
              <c:f>'1MMHSE flat'!$K$6:$K$12</c:f>
              <c:numCache>
                <c:formatCode>0</c:formatCode>
                <c:ptCount val="7"/>
                <c:pt idx="0">
                  <c:v>0</c:v>
                </c:pt>
                <c:pt idx="1">
                  <c:v>680.67645200000004</c:v>
                </c:pt>
                <c:pt idx="2">
                  <c:v>1574.9022580000001</c:v>
                </c:pt>
                <c:pt idx="3">
                  <c:v>2524.2990319999999</c:v>
                </c:pt>
                <c:pt idx="4">
                  <c:v>3864.163548</c:v>
                </c:pt>
                <c:pt idx="5">
                  <c:v>5340.6506450000006</c:v>
                </c:pt>
                <c:pt idx="6">
                  <c:v>6556.1635479999995</c:v>
                </c:pt>
              </c:numCache>
            </c:numRef>
          </c:yVal>
          <c:smooth val="0"/>
          <c:extLst>
            <c:ext xmlns:c16="http://schemas.microsoft.com/office/drawing/2014/chart" uri="{C3380CC4-5D6E-409C-BE32-E72D297353CC}">
              <c16:uniqueId val="{00000001-BBCE-486F-A04F-DA5F2E644490}"/>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'2 MMHSE flat'!$G$6:$G$12</c:f>
              <c:numCache>
                <c:formatCode>0.00</c:formatCode>
                <c:ptCount val="7"/>
                <c:pt idx="0">
                  <c:v>0</c:v>
                </c:pt>
                <c:pt idx="1">
                  <c:v>1.2345698765440003</c:v>
                </c:pt>
                <c:pt idx="2">
                  <c:v>2.6371581386531604</c:v>
                </c:pt>
                <c:pt idx="3">
                  <c:v>4.3254588245252963</c:v>
                </c:pt>
                <c:pt idx="4">
                  <c:v>6.2856733227854935</c:v>
                </c:pt>
                <c:pt idx="5">
                  <c:v>9.4674707692368258</c:v>
                </c:pt>
                <c:pt idx="6">
                  <c:v>11.883851125891322</c:v>
                </c:pt>
              </c:numCache>
            </c:numRef>
          </c:xVal>
          <c:yVal>
            <c:numRef>
              <c:f>'2 MMHSE flat'!$K$6:$K$12</c:f>
              <c:numCache>
                <c:formatCode>0</c:formatCode>
                <c:ptCount val="7"/>
                <c:pt idx="0">
                  <c:v>0</c:v>
                </c:pt>
                <c:pt idx="1">
                  <c:v>1461.8548387096776</c:v>
                </c:pt>
                <c:pt idx="2">
                  <c:v>2298.0258064516124</c:v>
                </c:pt>
                <c:pt idx="3">
                  <c:v>3476.3225806451615</c:v>
                </c:pt>
                <c:pt idx="4">
                  <c:v>4806.5419354838696</c:v>
                </c:pt>
                <c:pt idx="5">
                  <c:v>6648.7774193548403</c:v>
                </c:pt>
                <c:pt idx="6">
                  <c:v>7966.1903225806473</c:v>
                </c:pt>
              </c:numCache>
            </c:numRef>
          </c:yVal>
          <c:smooth val="0"/>
          <c:extLst>
            <c:ext xmlns:c16="http://schemas.microsoft.com/office/drawing/2014/chart" uri="{C3380CC4-5D6E-409C-BE32-E72D297353CC}">
              <c16:uniqueId val="{00000001-EBA9-46A7-AF01-E506777434FB}"/>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'2 MMHSE flat'!$O$5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'2 MMHSE flat'!$L$7:$L$22</c:f>
              <c:numCache>
                <c:formatCode>0.0E+00</c:formatCode>
                <c:ptCount val="16"/>
                <c:pt idx="0">
                  <c:v>17207.772431427242</c:v>
                </c:pt>
                <c:pt idx="1">
                  <c:v>25149.821245932122</c:v>
                </c:pt>
                <c:pt idx="2">
                  <c:v>32209.420192158679</c:v>
                </c:pt>
                <c:pt idx="3">
                  <c:v>38827.794204246078</c:v>
                </c:pt>
                <c:pt idx="4">
                  <c:v>47652.292887029282</c:v>
                </c:pt>
                <c:pt idx="5">
                  <c:v>53388.217030838357</c:v>
                </c:pt>
                <c:pt idx="6">
                  <c:v>53388.217030838357</c:v>
                </c:pt>
                <c:pt idx="7">
                  <c:v>46328.6180846118</c:v>
                </c:pt>
                <c:pt idx="8">
                  <c:v>38386.569270106913</c:v>
                </c:pt>
                <c:pt idx="9">
                  <c:v>31768.195258019521</c:v>
                </c:pt>
                <c:pt idx="10">
                  <c:v>24708.596311792964</c:v>
                </c:pt>
                <c:pt idx="11">
                  <c:v>18090.222299705561</c:v>
                </c:pt>
              </c:numCache>
            </c:numRef>
          </c:xVal>
          <c:yVal>
            <c:numRef>
              <c:f>'2 MMHSE flat'!$O$7:$O$22</c:f>
              <c:numCache>
                <c:formatCode>0.000</c:formatCode>
                <c:ptCount val="16"/>
                <c:pt idx="0">
                  <c:v>1.1781794179747014E-2</c:v>
                </c:pt>
                <c:pt idx="1">
                  <c:v>8.6704489629329824E-3</c:v>
                </c:pt>
                <c:pt idx="2">
                  <c:v>7.9966989266313741E-3</c:v>
                </c:pt>
                <c:pt idx="3">
                  <c:v>7.6085830867193525E-3</c:v>
                </c:pt>
                <c:pt idx="4">
                  <c:v>6.9876425298029043E-3</c:v>
                </c:pt>
                <c:pt idx="5">
                  <c:v>6.669854092080485E-3</c:v>
                </c:pt>
                <c:pt idx="6">
                  <c:v>6.669854092080485E-3</c:v>
                </c:pt>
                <c:pt idx="7">
                  <c:v>7.0425634723737633E-3</c:v>
                </c:pt>
                <c:pt idx="8">
                  <c:v>7.6542592718716277E-3</c:v>
                </c:pt>
                <c:pt idx="9">
                  <c:v>8.0178719640742191E-3</c:v>
                </c:pt>
                <c:pt idx="10">
                  <c:v>8.8680755712247216E-3</c:v>
                </c:pt>
                <c:pt idx="11">
                  <c:v>9.9022148290449728E-3</c:v>
                </c:pt>
              </c:numCache>
            </c:numRef>
          </c:yVal>
          <c:smooth val="0"/>
          <c:extLst>
            <c:ext xmlns:c16="http://schemas.microsoft.com/office/drawing/2014/chart" uri="{C3380CC4-5D6E-409C-BE32-E72D297353CC}">
              <c16:uniqueId val="{00000001-6234-451B-BB30-69E4CBAA1BC2}"/>
            </c:ext>
          </c:extLst>
        </c:ser>
        <c:ser>
          <c:idx val="1"/>
          <c:order val="1"/>
          <c:tx>
            <c:strRef>
              <c:f>'2 MMHSE flat'!$W$5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MMHSE flat'!$V$7:$V$31</c:f>
              <c:numCache>
                <c:formatCode>0.00000</c:formatCode>
                <c:ptCount val="25"/>
                <c:pt idx="0">
                  <c:v>1548.698279869828</c:v>
                </c:pt>
                <c:pt idx="1">
                  <c:v>3097.3965597396559</c:v>
                </c:pt>
                <c:pt idx="2">
                  <c:v>4646.0948396094827</c:v>
                </c:pt>
                <c:pt idx="3">
                  <c:v>6194.7931194793118</c:v>
                </c:pt>
                <c:pt idx="4">
                  <c:v>7743.4913993491391</c:v>
                </c:pt>
                <c:pt idx="5">
                  <c:v>9292.1896792189655</c:v>
                </c:pt>
                <c:pt idx="6">
                  <c:v>10840.887959088794</c:v>
                </c:pt>
                <c:pt idx="7">
                  <c:v>12389.586238958624</c:v>
                </c:pt>
                <c:pt idx="8">
                  <c:v>13938.28451882845</c:v>
                </c:pt>
                <c:pt idx="9">
                  <c:v>15486.982798698278</c:v>
                </c:pt>
                <c:pt idx="10">
                  <c:v>17035.681078568105</c:v>
                </c:pt>
                <c:pt idx="11">
                  <c:v>18584.379358437931</c:v>
                </c:pt>
                <c:pt idx="12">
                  <c:v>20133.077638307761</c:v>
                </c:pt>
                <c:pt idx="13">
                  <c:v>21681.775918177587</c:v>
                </c:pt>
                <c:pt idx="14">
                  <c:v>23230.474198047417</c:v>
                </c:pt>
                <c:pt idx="15">
                  <c:v>24779.172477917247</c:v>
                </c:pt>
                <c:pt idx="16">
                  <c:v>26327.87075778707</c:v>
                </c:pt>
                <c:pt idx="17">
                  <c:v>27876.5690376569</c:v>
                </c:pt>
                <c:pt idx="18">
                  <c:v>29425.267317526726</c:v>
                </c:pt>
                <c:pt idx="19">
                  <c:v>30973.965597396556</c:v>
                </c:pt>
                <c:pt idx="20">
                  <c:v>32522.663877266383</c:v>
                </c:pt>
                <c:pt idx="21">
                  <c:v>34071.362157136209</c:v>
                </c:pt>
                <c:pt idx="22">
                  <c:v>35620.060437006032</c:v>
                </c:pt>
                <c:pt idx="23">
                  <c:v>37168.758716875862</c:v>
                </c:pt>
                <c:pt idx="24">
                  <c:v>38717.456996745692</c:v>
                </c:pt>
              </c:numCache>
            </c:numRef>
          </c:xVal>
          <c:yVal>
            <c:numRef>
              <c:f>'2 MMHSE flat'!$X$7:$X$31</c:f>
              <c:numCache>
                <c:formatCode>0.00000</c:formatCode>
                <c:ptCount val="25"/>
                <c:pt idx="0">
                  <c:v>1.2609120046767308E-2</c:v>
                </c:pt>
                <c:pt idx="1">
                  <c:v>1.0602963846830382E-2</c:v>
                </c:pt>
                <c:pt idx="2">
                  <c:v>9.5808593761986822E-3</c:v>
                </c:pt>
                <c:pt idx="3">
                  <c:v>8.9159942898644016E-3</c:v>
                </c:pt>
                <c:pt idx="4">
                  <c:v>8.4322267855594865E-3</c:v>
                </c:pt>
                <c:pt idx="5">
                  <c:v>8.0565103044954109E-3</c:v>
                </c:pt>
                <c:pt idx="6">
                  <c:v>7.7519376238928345E-3</c:v>
                </c:pt>
                <c:pt idx="7">
                  <c:v>7.4974276367695642E-3</c:v>
                </c:pt>
                <c:pt idx="8">
                  <c:v>7.2798788532454127E-3</c:v>
                </c:pt>
                <c:pt idx="9">
                  <c:v>7.0906292765833242E-3</c:v>
                </c:pt>
                <c:pt idx="10">
                  <c:v>6.923673955498367E-3</c:v>
                </c:pt>
                <c:pt idx="11">
                  <c:v>6.7746906345048036E-3</c:v>
                </c:pt>
                <c:pt idx="12">
                  <c:v>6.6404718718506041E-3</c:v>
                </c:pt>
                <c:pt idx="13">
                  <c:v>6.5185765592018826E-3</c:v>
                </c:pt>
                <c:pt idx="14">
                  <c:v>6.4071068211753171E-3</c:v>
                </c:pt>
                <c:pt idx="15">
                  <c:v>6.3045600233836551E-3</c:v>
                </c:pt>
                <c:pt idx="16">
                  <c:v>6.2097275944324294E-3</c:v>
                </c:pt>
                <c:pt idx="17">
                  <c:v>6.1216240311753895E-3</c:v>
                </c:pt>
                <c:pt idx="18">
                  <c:v>6.039435942453395E-3</c:v>
                </c:pt>
                <c:pt idx="19">
                  <c:v>5.9624847405719567E-3</c:v>
                </c:pt>
                <c:pt idx="20">
                  <c:v>5.8901988395789907E-3</c:v>
                </c:pt>
                <c:pt idx="21">
                  <c:v>5.8220926095640833E-3</c:v>
                </c:pt>
                <c:pt idx="22">
                  <c:v>5.7577502187380778E-3</c:v>
                </c:pt>
                <c:pt idx="23">
                  <c:v>5.6968130690080018E-3</c:v>
                </c:pt>
                <c:pt idx="24">
                  <c:v>5.6389699122054073E-3</c:v>
                </c:pt>
              </c:numCache>
            </c:numRef>
          </c:yVal>
          <c:smooth val="0"/>
          <c:extLst>
            <c:ext xmlns:c16="http://schemas.microsoft.com/office/drawing/2014/chart" uri="{C3380CC4-5D6E-409C-BE32-E72D297353CC}">
              <c16:uniqueId val="{00000003-6234-451B-BB30-69E4CBAA1BC2}"/>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'MMHSE flat AVG'!$G$6:$G$12</c:f>
              <c:numCache>
                <c:formatCode>0.00</c:formatCode>
                <c:ptCount val="7"/>
                <c:pt idx="0">
                  <c:v>0</c:v>
                </c:pt>
                <c:pt idx="1">
                  <c:v>1.1111940571918051</c:v>
                </c:pt>
                <c:pt idx="2">
                  <c:v>2.4109014962556312</c:v>
                </c:pt>
                <c:pt idx="3">
                  <c:v>3.9206319172759079</c:v>
                </c:pt>
                <c:pt idx="4">
                  <c:v>5.9336058119696089</c:v>
                </c:pt>
                <c:pt idx="5">
                  <c:v>8.6949514529970191</c:v>
                </c:pt>
                <c:pt idx="6">
                  <c:v>11.016364896071206</c:v>
                </c:pt>
              </c:numCache>
            </c:numRef>
          </c:xVal>
          <c:yVal>
            <c:numRef>
              <c:f>'MMHSE flat AVG'!$K$6:$K$12</c:f>
              <c:numCache>
                <c:formatCode>0</c:formatCode>
                <c:ptCount val="7"/>
                <c:pt idx="0">
                  <c:v>0</c:v>
                </c:pt>
                <c:pt idx="1">
                  <c:v>1071.2656453548386</c:v>
                </c:pt>
                <c:pt idx="2">
                  <c:v>1936.4640322258065</c:v>
                </c:pt>
                <c:pt idx="3">
                  <c:v>3000.3108063225809</c:v>
                </c:pt>
                <c:pt idx="4">
                  <c:v>4335.3527417419355</c:v>
                </c:pt>
                <c:pt idx="5">
                  <c:v>5994.7140321774195</c:v>
                </c:pt>
                <c:pt idx="6">
                  <c:v>7261.1769352903239</c:v>
                </c:pt>
              </c:numCache>
            </c:numRef>
          </c:yVal>
          <c:smooth val="0"/>
          <c:extLst>
            <c:ext xmlns:c16="http://schemas.microsoft.com/office/drawing/2014/chart" uri="{C3380CC4-5D6E-409C-BE32-E72D297353CC}">
              <c16:uniqueId val="{00000001-5B1F-47B8-BCA3-49C9310F9291}"/>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'MMHSE flat AVG'!$O$5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'MMHSE flat AVG'!$L$7:$L$12</c:f>
              <c:numCache>
                <c:formatCode>0.0E+00</c:formatCode>
                <c:ptCount val="6"/>
                <c:pt idx="0">
                  <c:v>16791.76035066746</c:v>
                </c:pt>
                <c:pt idx="1">
                  <c:v>24733.809165172341</c:v>
                </c:pt>
                <c:pt idx="2">
                  <c:v>31541.279577605099</c:v>
                </c:pt>
                <c:pt idx="3">
                  <c:v>38802.581350866705</c:v>
                </c:pt>
                <c:pt idx="4">
                  <c:v>46971.545845786015</c:v>
                </c:pt>
                <c:pt idx="5">
                  <c:v>52871.353536561066</c:v>
                </c:pt>
              </c:numCache>
            </c:numRef>
          </c:xVal>
          <c:yVal>
            <c:numRef>
              <c:f>'MMHSE flat AVG'!$O$7:$O$12</c:f>
              <c:numCache>
                <c:formatCode>0.000</c:formatCode>
                <c:ptCount val="6"/>
                <c:pt idx="0">
                  <c:v>9.5924628430963041E-3</c:v>
                </c:pt>
                <c:pt idx="1">
                  <c:v>7.9919512554307154E-3</c:v>
                </c:pt>
                <c:pt idx="2">
                  <c:v>7.6143534622810276E-3</c:v>
                </c:pt>
                <c:pt idx="3">
                  <c:v>7.2699028256832353E-3</c:v>
                </c:pt>
                <c:pt idx="4">
                  <c:v>6.8600008124494851E-3</c:v>
                </c:pt>
                <c:pt idx="5">
                  <c:v>6.5583043169987199E-3</c:v>
                </c:pt>
              </c:numCache>
            </c:numRef>
          </c:yVal>
          <c:smooth val="0"/>
          <c:extLst>
            <c:ext xmlns:c16="http://schemas.microsoft.com/office/drawing/2014/chart" uri="{C3380CC4-5D6E-409C-BE32-E72D297353CC}">
              <c16:uniqueId val="{00000001-4521-4F72-A001-3CB8F2587DA9}"/>
            </c:ext>
          </c:extLst>
        </c:ser>
        <c:ser>
          <c:idx val="1"/>
          <c:order val="1"/>
          <c:tx>
            <c:strRef>
              <c:f>'MMHSE flat AVG'!$X$5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'MMHSE flat AVG'!$W$7:$W$31</c:f>
              <c:numCache>
                <c:formatCode>0.00000</c:formatCode>
                <c:ptCount val="25"/>
                <c:pt idx="0">
                  <c:v>1592.946802151823</c:v>
                </c:pt>
                <c:pt idx="1">
                  <c:v>3185.893604303646</c:v>
                </c:pt>
                <c:pt idx="2">
                  <c:v>4778.8404064554688</c:v>
                </c:pt>
                <c:pt idx="3">
                  <c:v>6371.7872086072921</c:v>
                </c:pt>
                <c:pt idx="4">
                  <c:v>7964.7340107591144</c:v>
                </c:pt>
                <c:pt idx="5">
                  <c:v>9557.6808129109377</c:v>
                </c:pt>
                <c:pt idx="6">
                  <c:v>11150.62761506276</c:v>
                </c:pt>
                <c:pt idx="7">
                  <c:v>12743.574417214584</c:v>
                </c:pt>
                <c:pt idx="8">
                  <c:v>14336.521219366407</c:v>
                </c:pt>
                <c:pt idx="9">
                  <c:v>15929.468021518229</c:v>
                </c:pt>
                <c:pt idx="10">
                  <c:v>17522.414823670053</c:v>
                </c:pt>
                <c:pt idx="11">
                  <c:v>19115.361625821875</c:v>
                </c:pt>
                <c:pt idx="12">
                  <c:v>20708.308427973698</c:v>
                </c:pt>
                <c:pt idx="13">
                  <c:v>22301.25523012552</c:v>
                </c:pt>
                <c:pt idx="14">
                  <c:v>23894.202032277346</c:v>
                </c:pt>
                <c:pt idx="15">
                  <c:v>25487.148834429168</c:v>
                </c:pt>
                <c:pt idx="16">
                  <c:v>27080.095636580991</c:v>
                </c:pt>
                <c:pt idx="17">
                  <c:v>28673.042438732813</c:v>
                </c:pt>
                <c:pt idx="18">
                  <c:v>30265.989240884635</c:v>
                </c:pt>
                <c:pt idx="19">
                  <c:v>31858.936043036458</c:v>
                </c:pt>
                <c:pt idx="20">
                  <c:v>33451.88284518828</c:v>
                </c:pt>
                <c:pt idx="21">
                  <c:v>35044.829647340106</c:v>
                </c:pt>
                <c:pt idx="22">
                  <c:v>36637.776449491925</c:v>
                </c:pt>
                <c:pt idx="23">
                  <c:v>38230.723251643751</c:v>
                </c:pt>
                <c:pt idx="24">
                  <c:v>39823.670053795569</c:v>
                </c:pt>
              </c:numCache>
            </c:numRef>
          </c:xVal>
          <c:yVal>
            <c:numRef>
              <c:f>'MMHSE flat AVG'!$Y$7:$Y$31</c:f>
              <c:numCache>
                <c:formatCode>0.00000</c:formatCode>
                <c:ptCount val="25"/>
                <c:pt idx="0">
                  <c:v>1.2520629527095893E-2</c:v>
                </c:pt>
                <c:pt idx="1">
                  <c:v>1.052855248605475E-2</c:v>
                </c:pt>
                <c:pt idx="2">
                  <c:v>9.5136211215104838E-3</c:v>
                </c:pt>
                <c:pt idx="3">
                  <c:v>8.8534220433340253E-3</c:v>
                </c:pt>
                <c:pt idx="4">
                  <c:v>8.3730496084469027E-3</c:v>
                </c:pt>
                <c:pt idx="5">
                  <c:v>7.9999698971601873E-3</c:v>
                </c:pt>
                <c:pt idx="6">
                  <c:v>7.6975347007503482E-3</c:v>
                </c:pt>
                <c:pt idx="7">
                  <c:v>7.4448108589677967E-3</c:v>
                </c:pt>
                <c:pt idx="8">
                  <c:v>7.2287888278923917E-3</c:v>
                </c:pt>
                <c:pt idx="9">
                  <c:v>7.0408674004845189E-3</c:v>
                </c:pt>
                <c:pt idx="10">
                  <c:v>6.8750837680717231E-3</c:v>
                </c:pt>
                <c:pt idx="11">
                  <c:v>6.7271460086596301E-3</c:v>
                </c:pt>
                <c:pt idx="12">
                  <c:v>6.5938691902499829E-3</c:v>
                </c:pt>
                <c:pt idx="13">
                  <c:v>6.4728293361520422E-3</c:v>
                </c:pt>
                <c:pt idx="14">
                  <c:v>6.3621418902290519E-3</c:v>
                </c:pt>
                <c:pt idx="15">
                  <c:v>6.2603147635479474E-3</c:v>
                </c:pt>
                <c:pt idx="16">
                  <c:v>6.1661478664410112E-3</c:v>
                </c:pt>
                <c:pt idx="17">
                  <c:v>6.0786626120008123E-3</c:v>
                </c:pt>
                <c:pt idx="18">
                  <c:v>5.9970513174289891E-3</c:v>
                </c:pt>
                <c:pt idx="19">
                  <c:v>5.9206401573441711E-3</c:v>
                </c:pt>
                <c:pt idx="20">
                  <c:v>5.8488615571715653E-3</c:v>
                </c:pt>
                <c:pt idx="21">
                  <c:v>5.7812332951405121E-3</c:v>
                </c:pt>
                <c:pt idx="22">
                  <c:v>5.7173424577599474E-3</c:v>
                </c:pt>
                <c:pt idx="23">
                  <c:v>5.6568329635702163E-3</c:v>
                </c:pt>
                <c:pt idx="24">
                  <c:v>5.5993957487354938E-3</c:v>
                </c:pt>
              </c:numCache>
            </c:numRef>
          </c:yVal>
          <c:smooth val="0"/>
          <c:extLst>
            <c:ext xmlns:c16="http://schemas.microsoft.com/office/drawing/2014/chart" uri="{C3380CC4-5D6E-409C-BE32-E72D297353CC}">
              <c16:uniqueId val="{00000003-4521-4F72-A001-3CB8F2587DA9}"/>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1 MMHSE flat</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0"/>
            <c:dispEq val="1"/>
            <c:trendlineLbl>
              <c:layout>
                <c:manualLayout>
                  <c:x val="8.0579516939497567E-2"/>
                  <c:y val="0.1194446862182950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'1MMHSE flat'!$L$7:$L$12</c:f>
              <c:numCache>
                <c:formatCode>0.0E+00</c:formatCode>
                <c:ptCount val="6"/>
                <c:pt idx="0">
                  <c:v>16176.729122151355</c:v>
                </c:pt>
                <c:pt idx="1">
                  <c:v>24033.997552910587</c:v>
                </c:pt>
                <c:pt idx="2">
                  <c:v>30504.689201771125</c:v>
                </c:pt>
                <c:pt idx="3">
                  <c:v>38361.957632530357</c:v>
                </c:pt>
                <c:pt idx="4">
                  <c:v>45757.033802656682</c:v>
                </c:pt>
                <c:pt idx="5">
                  <c:v>51765.533190884344</c:v>
                </c:pt>
              </c:numCache>
            </c:numRef>
          </c:xVal>
          <c:yVal>
            <c:numRef>
              <c:f>'1MMHSE flat'!$O$7:$O$12</c:f>
              <c:numCache>
                <c:formatCode>0.000</c:formatCode>
                <c:ptCount val="6"/>
                <c:pt idx="0">
                  <c:v>6.8181247408542157E-3</c:v>
                </c:pt>
                <c:pt idx="1">
                  <c:v>7.1467275029920953E-3</c:v>
                </c:pt>
                <c:pt idx="2">
                  <c:v>7.1107143811171792E-3</c:v>
                </c:pt>
                <c:pt idx="3">
                  <c:v>6.8827123502950126E-3</c:v>
                </c:pt>
                <c:pt idx="4">
                  <c:v>6.6862727019813993E-3</c:v>
                </c:pt>
                <c:pt idx="5">
                  <c:v>6.4131889899808076E-3</c:v>
                </c:pt>
              </c:numCache>
            </c:numRef>
          </c:yVal>
          <c:smooth val="0"/>
          <c:extLst>
            <c:ext xmlns:c16="http://schemas.microsoft.com/office/drawing/2014/chart" uri="{C3380CC4-5D6E-409C-BE32-E72D297353CC}">
              <c16:uniqueId val="{00000001-4A15-4D01-AB40-76DCE1DB4880}"/>
            </c:ext>
          </c:extLst>
        </c:ser>
        <c:ser>
          <c:idx val="1"/>
          <c:order val="1"/>
          <c:tx>
            <c:v>2 MMHSE flat</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4.7270788737053308E-2"/>
                  <c:y val="-0.13504245696626058"/>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MMHSE flat'!$L$7:$L$12</c:f>
              <c:numCache>
                <c:formatCode>0.0E+00</c:formatCode>
                <c:ptCount val="6"/>
                <c:pt idx="0">
                  <c:v>17207.772431427242</c:v>
                </c:pt>
                <c:pt idx="1">
                  <c:v>25149.821245932122</c:v>
                </c:pt>
                <c:pt idx="2">
                  <c:v>32209.420192158679</c:v>
                </c:pt>
                <c:pt idx="3">
                  <c:v>38827.794204246078</c:v>
                </c:pt>
                <c:pt idx="4">
                  <c:v>47652.292887029282</c:v>
                </c:pt>
                <c:pt idx="5">
                  <c:v>53388.217030838357</c:v>
                </c:pt>
              </c:numCache>
            </c:numRef>
          </c:xVal>
          <c:yVal>
            <c:numRef>
              <c:f>'2 MMHSE flat'!$O$7:$O$12</c:f>
              <c:numCache>
                <c:formatCode>0.000</c:formatCode>
                <c:ptCount val="6"/>
                <c:pt idx="0">
                  <c:v>1.1781794179747014E-2</c:v>
                </c:pt>
                <c:pt idx="1">
                  <c:v>8.6704489629329824E-3</c:v>
                </c:pt>
                <c:pt idx="2">
                  <c:v>7.9966989266313741E-3</c:v>
                </c:pt>
                <c:pt idx="3">
                  <c:v>7.6085830867193525E-3</c:v>
                </c:pt>
                <c:pt idx="4">
                  <c:v>6.9876425298029043E-3</c:v>
                </c:pt>
                <c:pt idx="5">
                  <c:v>6.669854092080485E-3</c:v>
                </c:pt>
              </c:numCache>
            </c:numRef>
          </c:yVal>
          <c:smooth val="0"/>
          <c:extLst>
            <c:ext xmlns:c16="http://schemas.microsoft.com/office/drawing/2014/chart" uri="{C3380CC4-5D6E-409C-BE32-E72D297353CC}">
              <c16:uniqueId val="{00000003-4A15-4D01-AB40-76DCE1DB4880}"/>
            </c:ext>
          </c:extLst>
        </c:ser>
        <c:dLbls>
          <c:showLegendKey val="0"/>
          <c:showVal val="0"/>
          <c:showCatName val="0"/>
          <c:showSerName val="0"/>
          <c:showPercent val="0"/>
          <c:showBubbleSize val="0"/>
        </c:dLbls>
        <c:axId val="928473327"/>
        <c:axId val="809061023"/>
      </c:scatterChart>
      <c:valAx>
        <c:axId val="92847332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9061023"/>
        <c:crosses val="autoZero"/>
        <c:crossBetween val="midCat"/>
      </c:valAx>
      <c:valAx>
        <c:axId val="80906102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847332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'1 Plain Panel'!$G$6:$G$12</c:f>
              <c:numCache>
                <c:formatCode>0.00</c:formatCode>
                <c:ptCount val="7"/>
                <c:pt idx="0">
                  <c:v>0</c:v>
                </c:pt>
                <c:pt idx="1">
                  <c:v>1.05632885061796</c:v>
                </c:pt>
                <c:pt idx="2">
                  <c:v>2.3341086728409999</c:v>
                </c:pt>
                <c:pt idx="3">
                  <c:v>3.4637401098787599</c:v>
                </c:pt>
                <c:pt idx="4">
                  <c:v>5.3155949246947607</c:v>
                </c:pt>
                <c:pt idx="5">
                  <c:v>7.4105056839553596</c:v>
                </c:pt>
                <c:pt idx="6">
                  <c:v>9.8526392209939591</c:v>
                </c:pt>
              </c:numCache>
            </c:numRef>
          </c:xVal>
          <c:yVal>
            <c:numRef>
              <c:f>'1 Plain Panel'!$K$6:$K$12</c:f>
              <c:numCache>
                <c:formatCode>0</c:formatCode>
                <c:ptCount val="7"/>
                <c:pt idx="0">
                  <c:v>0</c:v>
                </c:pt>
                <c:pt idx="1">
                  <c:v>739.78064516129041</c:v>
                </c:pt>
                <c:pt idx="2">
                  <c:v>1763.0129032258058</c:v>
                </c:pt>
                <c:pt idx="3">
                  <c:v>2614.8999999999992</c:v>
                </c:pt>
                <c:pt idx="4">
                  <c:v>3871.4032258064522</c:v>
                </c:pt>
                <c:pt idx="5">
                  <c:v>5368.6870967741925</c:v>
                </c:pt>
                <c:pt idx="6">
                  <c:v>6752.4870967741917</c:v>
                </c:pt>
              </c:numCache>
            </c:numRef>
          </c:yVal>
          <c:smooth val="0"/>
          <c:extLst>
            <c:ext xmlns:c16="http://schemas.microsoft.com/office/drawing/2014/chart" uri="{C3380CC4-5D6E-409C-BE32-E72D297353CC}">
              <c16:uniqueId val="{00000001-3D03-4AAD-971D-05D50B16BCD5}"/>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'1 Plain Panel'!$O$5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'1 Plain Panel'!$L$7:$L$22</c:f>
              <c:numCache>
                <c:formatCode>0.0E+00</c:formatCode>
                <c:ptCount val="16"/>
                <c:pt idx="0">
                  <c:v>16257.300385802468</c:v>
                </c:pt>
                <c:pt idx="1">
                  <c:v>24166.25733024691</c:v>
                </c:pt>
                <c:pt idx="2">
                  <c:v>29438.895293209873</c:v>
                </c:pt>
                <c:pt idx="3">
                  <c:v>36469.07924382716</c:v>
                </c:pt>
                <c:pt idx="4">
                  <c:v>43059.876697530861</c:v>
                </c:pt>
                <c:pt idx="5">
                  <c:v>49650.674151234562</c:v>
                </c:pt>
                <c:pt idx="6">
                  <c:v>49650.674151234562</c:v>
                </c:pt>
                <c:pt idx="7">
                  <c:v>43059.876697530861</c:v>
                </c:pt>
                <c:pt idx="8">
                  <c:v>36908.465740740736</c:v>
                </c:pt>
                <c:pt idx="9">
                  <c:v>29438.895293209873</c:v>
                </c:pt>
                <c:pt idx="10">
                  <c:v>23287.484336419751</c:v>
                </c:pt>
                <c:pt idx="11">
                  <c:v>15817.913888888887</c:v>
                </c:pt>
              </c:numCache>
            </c:numRef>
          </c:xVal>
          <c:yVal>
            <c:numRef>
              <c:f>'1 Plain Panel'!$O$7:$O$22</c:f>
              <c:numCache>
                <c:formatCode>0.000</c:formatCode>
                <c:ptCount val="16"/>
                <c:pt idx="0">
                  <c:v>7.1171927028342999E-3</c:v>
                </c:pt>
                <c:pt idx="1">
                  <c:v>7.6760769562637743E-3</c:v>
                </c:pt>
                <c:pt idx="2">
                  <c:v>7.6721076492081491E-3</c:v>
                </c:pt>
                <c:pt idx="3">
                  <c:v>7.401528761111247E-3</c:v>
                </c:pt>
                <c:pt idx="4">
                  <c:v>7.3624973174743723E-3</c:v>
                </c:pt>
                <c:pt idx="5">
                  <c:v>6.9649192272371024E-3</c:v>
                </c:pt>
                <c:pt idx="6">
                  <c:v>6.9649192272371024E-3</c:v>
                </c:pt>
                <c:pt idx="7">
                  <c:v>7.2951007432943962E-3</c:v>
                </c:pt>
                <c:pt idx="8">
                  <c:v>7.3651112910111047E-3</c:v>
                </c:pt>
                <c:pt idx="9">
                  <c:v>7.4036280334020951E-3</c:v>
                </c:pt>
                <c:pt idx="10">
                  <c:v>7.4408260889926442E-3</c:v>
                </c:pt>
                <c:pt idx="11">
                  <c:v>6.7344830616966429E-3</c:v>
                </c:pt>
              </c:numCache>
            </c:numRef>
          </c:yVal>
          <c:smooth val="0"/>
          <c:extLst>
            <c:ext xmlns:c16="http://schemas.microsoft.com/office/drawing/2014/chart" uri="{C3380CC4-5D6E-409C-BE32-E72D297353CC}">
              <c16:uniqueId val="{00000001-225D-4284-937C-64FAC37D0E70}"/>
            </c:ext>
          </c:extLst>
        </c:ser>
        <c:ser>
          <c:idx val="1"/>
          <c:order val="1"/>
          <c:tx>
            <c:strRef>
              <c:f>'1 Plain Panel'!$W$5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Plain Panel'!$V$7:$V$31</c:f>
              <c:numCache>
                <c:formatCode>0.00000</c:formatCode>
                <c:ptCount val="25"/>
                <c:pt idx="0">
                  <c:v>1581.7901234567901</c:v>
                </c:pt>
                <c:pt idx="1">
                  <c:v>3163.5802469135801</c:v>
                </c:pt>
                <c:pt idx="2">
                  <c:v>4745.3703703703704</c:v>
                </c:pt>
                <c:pt idx="3">
                  <c:v>6327.1604938271603</c:v>
                </c:pt>
                <c:pt idx="4">
                  <c:v>7908.9506172839501</c:v>
                </c:pt>
                <c:pt idx="5">
                  <c:v>9490.7407407407409</c:v>
                </c:pt>
                <c:pt idx="6">
                  <c:v>11072.530864197528</c:v>
                </c:pt>
                <c:pt idx="7">
                  <c:v>12654.320987654321</c:v>
                </c:pt>
                <c:pt idx="8">
                  <c:v>14236.111111111109</c:v>
                </c:pt>
                <c:pt idx="9">
                  <c:v>15817.9012345679</c:v>
                </c:pt>
                <c:pt idx="10">
                  <c:v>17399.691358024691</c:v>
                </c:pt>
                <c:pt idx="11">
                  <c:v>18981.481481481482</c:v>
                </c:pt>
                <c:pt idx="12">
                  <c:v>20563.271604938269</c:v>
                </c:pt>
                <c:pt idx="13">
                  <c:v>22145.061728395056</c:v>
                </c:pt>
                <c:pt idx="14">
                  <c:v>23726.85185185185</c:v>
                </c:pt>
                <c:pt idx="15">
                  <c:v>25308.641975308641</c:v>
                </c:pt>
                <c:pt idx="16">
                  <c:v>26890.432098765428</c:v>
                </c:pt>
                <c:pt idx="17">
                  <c:v>28472.222222222219</c:v>
                </c:pt>
                <c:pt idx="18">
                  <c:v>30054.012345679006</c:v>
                </c:pt>
                <c:pt idx="19">
                  <c:v>31635.8024691358</c:v>
                </c:pt>
                <c:pt idx="20">
                  <c:v>33217.592592592591</c:v>
                </c:pt>
                <c:pt idx="21">
                  <c:v>34799.382716049382</c:v>
                </c:pt>
                <c:pt idx="22">
                  <c:v>36381.172839506165</c:v>
                </c:pt>
                <c:pt idx="23">
                  <c:v>37962.962962962964</c:v>
                </c:pt>
                <c:pt idx="24">
                  <c:v>39544.753086419747</c:v>
                </c:pt>
              </c:numCache>
            </c:numRef>
          </c:xVal>
          <c:yVal>
            <c:numRef>
              <c:f>'1 Plain Panel'!$X$7:$X$31</c:f>
              <c:numCache>
                <c:formatCode>0.00000</c:formatCode>
                <c:ptCount val="25"/>
                <c:pt idx="0">
                  <c:v>1.2542648991320215E-2</c:v>
                </c:pt>
                <c:pt idx="1">
                  <c:v>1.0547068574586788E-2</c:v>
                </c:pt>
                <c:pt idx="2">
                  <c:v>9.5303522962070491E-3</c:v>
                </c:pt>
                <c:pt idx="3">
                  <c:v>8.8689921558051353E-3</c:v>
                </c:pt>
                <c:pt idx="4">
                  <c:v>8.3877749116676916E-3</c:v>
                </c:pt>
                <c:pt idx="5">
                  <c:v>8.0140390819855144E-3</c:v>
                </c:pt>
                <c:pt idx="6">
                  <c:v>7.7110720064897942E-3</c:v>
                </c:pt>
                <c:pt idx="7">
                  <c:v>7.4579037107298501E-3</c:v>
                </c:pt>
                <c:pt idx="8">
                  <c:v>7.2415017714897124E-3</c:v>
                </c:pt>
                <c:pt idx="9">
                  <c:v>7.0532498551764029E-3</c:v>
                </c:pt>
                <c:pt idx="10">
                  <c:v>6.8871746665958456E-3</c:v>
                </c:pt>
                <c:pt idx="11">
                  <c:v>6.7389767357447913E-3</c:v>
                </c:pt>
                <c:pt idx="12">
                  <c:v>6.6054655294292847E-3</c:v>
                </c:pt>
                <c:pt idx="13">
                  <c:v>6.4842128080205355E-3</c:v>
                </c:pt>
                <c:pt idx="14">
                  <c:v>6.3733307010982463E-3</c:v>
                </c:pt>
                <c:pt idx="15">
                  <c:v>6.2713244956601067E-3</c:v>
                </c:pt>
                <c:pt idx="16">
                  <c:v>6.1769919914950368E-3</c:v>
                </c:pt>
                <c:pt idx="17">
                  <c:v>6.0893528806991231E-3</c:v>
                </c:pt>
                <c:pt idx="18">
                  <c:v>6.0075980600388388E-3</c:v>
                </c:pt>
                <c:pt idx="19">
                  <c:v>5.931052519106618E-3</c:v>
                </c:pt>
                <c:pt idx="20">
                  <c:v>5.8591476851599751E-3</c:v>
                </c:pt>
                <c:pt idx="21">
                  <c:v>5.7914004883666435E-3</c:v>
                </c:pt>
                <c:pt idx="22">
                  <c:v>5.7273972890633075E-3</c:v>
                </c:pt>
                <c:pt idx="23">
                  <c:v>5.6667813795659733E-3</c:v>
                </c:pt>
                <c:pt idx="24">
                  <c:v>5.6092431525022338E-3</c:v>
                </c:pt>
              </c:numCache>
            </c:numRef>
          </c:yVal>
          <c:smooth val="0"/>
          <c:extLst>
            <c:ext xmlns:c16="http://schemas.microsoft.com/office/drawing/2014/chart" uri="{C3380CC4-5D6E-409C-BE32-E72D297353CC}">
              <c16:uniqueId val="{00000003-225D-4284-937C-64FAC37D0E70}"/>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P240 Rigid Elongation</c:v>
          </c:tx>
          <c:spPr>
            <a:ln w="25400" cap="rnd">
              <a:noFill/>
              <a:round/>
            </a:ln>
            <a:effectLst/>
          </c:spPr>
          <c:marker>
            <c:symbol val="circle"/>
            <c:size val="5"/>
            <c:spPr>
              <a:solidFill>
                <a:schemeClr val="accent1"/>
              </a:solidFill>
              <a:ln w="9525">
                <a:solidFill>
                  <a:schemeClr val="accent1"/>
                </a:solidFill>
              </a:ln>
              <a:effectLst/>
            </c:spPr>
          </c:marker>
          <c:xVal>
            <c:numRef>
              <c:f>'EF25 P240 AVGS'!$L$7:$L$12</c:f>
              <c:numCache>
                <c:formatCode>0.0E+00</c:formatCode>
                <c:ptCount val="6"/>
                <c:pt idx="0">
                  <c:v>17255.906060606056</c:v>
                </c:pt>
                <c:pt idx="1">
                  <c:v>24959.435551948049</c:v>
                </c:pt>
                <c:pt idx="2">
                  <c:v>32971.106222943716</c:v>
                </c:pt>
                <c:pt idx="3">
                  <c:v>40212.423944805189</c:v>
                </c:pt>
                <c:pt idx="4">
                  <c:v>46837.459307359313</c:v>
                </c:pt>
                <c:pt idx="5">
                  <c:v>51767.718181818185</c:v>
                </c:pt>
              </c:numCache>
              <c:extLst xmlns:c15="http://schemas.microsoft.com/office/drawing/2012/chart"/>
            </c:numRef>
          </c:xVal>
          <c:yVal>
            <c:numRef>
              <c:f>'EF25 P240 AVGS'!$T$7:$T$12</c:f>
              <c:numCache>
                <c:formatCode>0.00</c:formatCode>
                <c:ptCount val="6"/>
                <c:pt idx="0">
                  <c:v>65.287666666666667</c:v>
                </c:pt>
                <c:pt idx="1">
                  <c:v>64.590333333333334</c:v>
                </c:pt>
                <c:pt idx="2">
                  <c:v>65.329222222222214</c:v>
                </c:pt>
                <c:pt idx="3">
                  <c:v>64.043166666666664</c:v>
                </c:pt>
                <c:pt idx="4">
                  <c:v>64.469333333333338</c:v>
                </c:pt>
                <c:pt idx="5">
                  <c:v>64.34341666666667</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3-3E62-4529-9435-6C36048F70C7}"/>
            </c:ext>
          </c:extLst>
        </c:ser>
        <c:ser>
          <c:idx val="6"/>
          <c:order val="6"/>
          <c:tx>
            <c:v>P240 Elastomer Elongation</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xVal>
            <c:numRef>
              <c:f>'MMHSE P240 AVG'!$L$7:$L$10</c:f>
              <c:numCache>
                <c:formatCode>0.0E+00</c:formatCode>
                <c:ptCount val="4"/>
                <c:pt idx="0">
                  <c:v>11807.649133593246</c:v>
                </c:pt>
                <c:pt idx="1">
                  <c:v>18828.41348329734</c:v>
                </c:pt>
                <c:pt idx="2">
                  <c:v>24891.800876223599</c:v>
                </c:pt>
                <c:pt idx="3">
                  <c:v>31832.783812862872</c:v>
                </c:pt>
              </c:numCache>
              <c:extLst xmlns:c15="http://schemas.microsoft.com/office/drawing/2012/chart"/>
            </c:numRef>
          </c:xVal>
          <c:yVal>
            <c:numRef>
              <c:f>'MMHSE P240 AVG'!$T$7:$T$10</c:f>
              <c:numCache>
                <c:formatCode>General</c:formatCode>
                <c:ptCount val="4"/>
                <c:pt idx="0">
                  <c:v>55.282222222222224</c:v>
                </c:pt>
                <c:pt idx="1">
                  <c:v>52.43588888888889</c:v>
                </c:pt>
                <c:pt idx="2">
                  <c:v>53.037888888888887</c:v>
                </c:pt>
                <c:pt idx="3">
                  <c:v>56.688333333333333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2-3E62-4529-9435-6C36048F70C7}"/>
            </c:ext>
          </c:extLst>
        </c:ser>
        <c:ser>
          <c:idx val="8"/>
          <c:order val="8"/>
          <c:tx>
            <c:v>P240 Control Elongation</c:v>
          </c:tx>
          <c:spPr>
            <a:ln w="25400" cap="rnd">
              <a:noFill/>
              <a:round/>
            </a:ln>
            <a:effectLst/>
          </c:spPr>
          <c:marker>
            <c:symbol val="circle"/>
            <c:size val="5"/>
            <c:spPr>
              <a:solidFill>
                <a:schemeClr val="accent3">
                  <a:lumMod val="60000"/>
                </a:schemeClr>
              </a:solidFill>
              <a:ln w="9525">
                <a:solidFill>
                  <a:schemeClr val="accent3">
                    <a:lumMod val="60000"/>
                  </a:schemeClr>
                </a:solidFill>
              </a:ln>
              <a:effectLst/>
            </c:spPr>
          </c:marker>
          <c:xVal>
            <c:numRef>
              <c:f>'P240 sandpaper'!$L$7:$L$12</c:f>
              <c:numCache>
                <c:formatCode>0.0E+00</c:formatCode>
                <c:ptCount val="6"/>
                <c:pt idx="0">
                  <c:v>17029.859003236244</c:v>
                </c:pt>
                <c:pt idx="1">
                  <c:v>25314.655275080902</c:v>
                </c:pt>
                <c:pt idx="2">
                  <c:v>32218.652168284785</c:v>
                </c:pt>
                <c:pt idx="3">
                  <c:v>40043.181980582514</c:v>
                </c:pt>
                <c:pt idx="4">
                  <c:v>46026.645954692547</c:v>
                </c:pt>
                <c:pt idx="5">
                  <c:v>52930.642847896444</c:v>
                </c:pt>
              </c:numCache>
              <c:extLst xmlns:c15="http://schemas.microsoft.com/office/drawing/2012/chart"/>
            </c:numRef>
          </c:xVal>
          <c:yVal>
            <c:numRef>
              <c:f>'P240 sandpaper'!$S$7:$S$12</c:f>
              <c:numCache>
                <c:formatCode>0.00</c:formatCode>
                <c:ptCount val="6"/>
                <c:pt idx="0" formatCode="General">
                  <c:v>53.87566666666666</c:v>
                </c:pt>
                <c:pt idx="1">
                  <c:v>54.229333333333329</c:v>
                </c:pt>
                <c:pt idx="2" formatCode="0.000">
                  <c:v>56.719666666666662</c:v>
                </c:pt>
                <c:pt idx="3" formatCode="0.000">
                  <c:v>54.749000000000002</c:v>
                </c:pt>
                <c:pt idx="4" formatCode="General">
                  <c:v>54.546333333333337</c:v>
                </c:pt>
                <c:pt idx="5" formatCode="General">
                  <c:v>54.866999999999997</c:v>
                </c:pt>
              </c:numCache>
              <c:extLst xmlns:c15="http://schemas.microsoft.com/office/drawing/2012/chart"/>
            </c:numRef>
          </c:yVal>
          <c:smooth val="0"/>
          <c:extLst>
            <c:ext xmlns:c16="http://schemas.microsoft.com/office/drawing/2014/chart" uri="{C3380CC4-5D6E-409C-BE32-E72D297353CC}">
              <c16:uniqueId val="{00000008-3E62-4529-9435-6C36048F70C7}"/>
            </c:ext>
          </c:extLst>
        </c:ser>
        <c:dLbls>
          <c:showLegendKey val="0"/>
          <c:showVal val="0"/>
          <c:showCatName val="0"/>
          <c:showSerName val="0"/>
          <c:showPercent val="0"/>
          <c:showBubbleSize val="0"/>
        </c:dLbls>
        <c:axId val="420696127"/>
        <c:axId val="651585247"/>
        <c:extLst>
          <c:ext xmlns:c15="http://schemas.microsoft.com/office/drawing/2012/chart" uri="{02D57815-91ED-43cb-92C2-25804820EDAC}">
            <c15:filteredScatterSeries>
              <c15:ser>
                <c:idx val="1"/>
                <c:order val="1"/>
                <c:tx>
                  <c:v>P80 Rigid Elongation</c:v>
                </c:tx>
                <c:spPr>
                  <a:ln w="25400" cap="rnd">
                    <a:noFill/>
                    <a:round/>
                  </a:ln>
                  <a:effectLst/>
                </c:spPr>
                <c:marker>
                  <c:symbol val="circle"/>
                  <c:size val="5"/>
                  <c:spPr>
                    <a:solidFill>
                      <a:schemeClr val="accent2"/>
                    </a:solidFill>
                    <a:ln w="9525">
                      <a:solidFill>
                        <a:schemeClr val="accent2"/>
                      </a:solidFill>
                    </a:ln>
                    <a:effectLst/>
                  </c:spPr>
                </c:marker>
                <c:xVal>
                  <c:numRef>
                    <c:extLst>
                      <c:ext uri="{02D57815-91ED-43cb-92C2-25804820EDAC}">
                        <c15:formulaRef>
                          <c15:sqref>'EF25 P80 AVGS'!$M$7:$M$12</c15:sqref>
                        </c15:formulaRef>
                      </c:ext>
                    </c:extLst>
                    <c:numCache>
                      <c:formatCode>0.0E+00</c:formatCode>
                      <c:ptCount val="6"/>
                      <c:pt idx="0">
                        <c:v>16525.642491230723</c:v>
                      </c:pt>
                      <c:pt idx="1">
                        <c:v>23135.899487723014</c:v>
                      </c:pt>
                      <c:pt idx="2">
                        <c:v>30320.96144043202</c:v>
                      </c:pt>
                      <c:pt idx="3">
                        <c:v>36500.114719761768</c:v>
                      </c:pt>
                      <c:pt idx="4">
                        <c:v>43254.072955308235</c:v>
                      </c:pt>
                      <c:pt idx="5">
                        <c:v>49002.122517475444</c:v>
                      </c:pt>
                    </c:numCache>
                  </c:numRef>
                </c:xVal>
                <c:yVal>
                  <c:numRef>
                    <c:extLst>
                      <c:ext uri="{02D57815-91ED-43cb-92C2-25804820EDAC}">
                        <c15:formulaRef>
                          <c15:sqref>'EF25 P80 AVGS'!$Z$7:$Z$12</c15:sqref>
                        </c15:formulaRef>
                      </c:ext>
                    </c:extLst>
                    <c:numCache>
                      <c:formatCode>0.00</c:formatCode>
                      <c:ptCount val="6"/>
                      <c:pt idx="0">
                        <c:v>41.160999999999994</c:v>
                      </c:pt>
                      <c:pt idx="1">
                        <c:v>42.672333333333334</c:v>
                      </c:pt>
                      <c:pt idx="2">
                        <c:v>43.121111111111112</c:v>
                      </c:pt>
                      <c:pt idx="3">
                        <c:v>42.555722222222222</c:v>
                      </c:pt>
                      <c:pt idx="4">
                        <c:v>42.906388888888891</c:v>
                      </c:pt>
                      <c:pt idx="5">
                        <c:v>42.489333333333327</c:v>
                      </c:pt>
                    </c:numCache>
                  </c:numRef>
                </c:yVal>
                <c:smooth val="0"/>
                <c:extLst>
                  <c:ext xmlns:c16="http://schemas.microsoft.com/office/drawing/2014/chart" uri="{C3380CC4-5D6E-409C-BE32-E72D297353CC}">
                    <c16:uniqueId val="{00000004-3E62-4529-9435-6C36048F70C7}"/>
                  </c:ext>
                </c:extLst>
              </c15:ser>
            </c15:filteredScatterSeries>
            <c15:filteredScatterSeries>
              <c15:ser>
                <c:idx val="2"/>
                <c:order val="2"/>
                <c:tx>
                  <c:v>Smooth Rigid Elongation</c:v>
                </c:tx>
                <c:spPr>
                  <a:ln w="25400" cap="rnd">
                    <a:noFill/>
                    <a:round/>
                  </a:ln>
                  <a:effectLst/>
                </c:spPr>
                <c:marker>
                  <c:symbol val="circle"/>
                  <c:size val="5"/>
                  <c:spPr>
                    <a:solidFill>
                      <a:schemeClr val="accent3"/>
                    </a:solidFill>
                    <a:ln w="9525">
                      <a:solidFill>
                        <a:schemeClr val="accent3"/>
                      </a:solidFill>
                    </a:ln>
                    <a:effectLst/>
                  </c:spPr>
                </c:marker>
                <c:xVal>
                  <c:numRef>
                    <c:extLst xmlns:c15="http://schemas.microsoft.com/office/drawing/2012/chart">
                      <c:ext xmlns:c15="http://schemas.microsoft.com/office/drawing/2012/chart" uri="{02D57815-91ED-43cb-92C2-25804820EDAC}">
                        <c15:formulaRef>
                          <c15:sqref>'EF25 flat AVGS'!$L$7:$L$12</c15:sqref>
                        </c15:formulaRef>
                      </c:ext>
                    </c:extLst>
                    <c:numCache>
                      <c:formatCode>0.0E+00</c:formatCode>
                      <c:ptCount val="6"/>
                      <c:pt idx="0">
                        <c:v>17031.803384494291</c:v>
                      </c:pt>
                      <c:pt idx="1">
                        <c:v>24203.089020070838</c:v>
                      </c:pt>
                      <c:pt idx="2">
                        <c:v>30702.066627312077</c:v>
                      </c:pt>
                      <c:pt idx="3">
                        <c:v>38097.454939000396</c:v>
                      </c:pt>
                      <c:pt idx="4">
                        <c:v>45268.740574576928</c:v>
                      </c:pt>
                      <c:pt idx="5">
                        <c:v>51991.820857929946</c:v>
                      </c:pt>
                    </c:numCache>
                  </c:numRef>
                </c:xVal>
                <c:yVal>
                  <c:numRef>
                    <c:extLst xmlns:c15="http://schemas.microsoft.com/office/drawing/2012/chart">
                      <c:ext xmlns:c15="http://schemas.microsoft.com/office/drawing/2012/chart" uri="{02D57815-91ED-43cb-92C2-25804820EDAC}">
                        <c15:formulaRef>
                          <c15:sqref>'EF25 flat AVGS'!$T$7:$T$12</c15:sqref>
                        </c15:formulaRef>
                      </c:ext>
                    </c:extLst>
                    <c:numCache>
                      <c:formatCode>General</c:formatCode>
                      <c:ptCount val="6"/>
                      <c:pt idx="0">
                        <c:v>81.165666666666681</c:v>
                      </c:pt>
                      <c:pt idx="1">
                        <c:v>85.668166666666664</c:v>
                      </c:pt>
                      <c:pt idx="2">
                        <c:v>84.876666666666665</c:v>
                      </c:pt>
                      <c:pt idx="3">
                        <c:v>85.456333333333333</c:v>
                      </c:pt>
                      <c:pt idx="4">
                        <c:v>89.025333333333322</c:v>
                      </c:pt>
                      <c:pt idx="5">
                        <c:v>90.991500000000002</c:v>
                      </c:pt>
                    </c:numCache>
                  </c:numRef>
                </c:yVal>
                <c:smooth val="0"/>
                <c:extLst xmlns:c15="http://schemas.microsoft.com/office/drawing/2012/chart">
                  <c:ext xmlns:c16="http://schemas.microsoft.com/office/drawing/2014/chart" uri="{C3380CC4-5D6E-409C-BE32-E72D297353CC}">
                    <c16:uniqueId val="{00000005-3E62-4529-9435-6C36048F70C7}"/>
                  </c:ext>
                </c:extLst>
              </c15:ser>
            </c15:filteredScatterSeries>
            <c15:filteredScatterSeries>
              <c15:ser>
                <c:idx val="3"/>
                <c:order val="3"/>
                <c:tx>
                  <c:v>Smooth Elastomer Elongation</c:v>
                </c:tx>
                <c:spPr>
                  <a:ln w="25400" cap="rnd">
                    <a:noFill/>
                    <a:round/>
                  </a:ln>
                  <a:effectLst/>
                </c:spPr>
                <c:marker>
                  <c:symbol val="circle"/>
                  <c:size val="5"/>
                  <c:spPr>
                    <a:solidFill>
                      <a:schemeClr val="accent4"/>
                    </a:solidFill>
                    <a:ln w="9525">
                      <a:solidFill>
                        <a:schemeClr val="accent4"/>
                      </a:solidFill>
                    </a:ln>
                    <a:effectLst/>
                  </c:spPr>
                </c:marker>
                <c:xVal>
                  <c:numRef>
                    <c:extLst xmlns:c15="http://schemas.microsoft.com/office/drawing/2012/chart">
                      <c:ext xmlns:c15="http://schemas.microsoft.com/office/drawing/2012/chart" uri="{02D57815-91ED-43cb-92C2-25804820EDAC}">
                        <c15:formulaRef>
                          <c15:sqref>'MMHSE flat AVG'!$L$7:$L$12</c15:sqref>
                        </c15:formulaRef>
                      </c:ext>
                    </c:extLst>
                    <c:numCache>
                      <c:formatCode>0.0E+00</c:formatCode>
                      <c:ptCount val="6"/>
                      <c:pt idx="0">
                        <c:v>16791.76035066746</c:v>
                      </c:pt>
                      <c:pt idx="1">
                        <c:v>24733.809165172341</c:v>
                      </c:pt>
                      <c:pt idx="2">
                        <c:v>31541.279577605099</c:v>
                      </c:pt>
                      <c:pt idx="3">
                        <c:v>38802.581350866705</c:v>
                      </c:pt>
                      <c:pt idx="4">
                        <c:v>46971.545845786015</c:v>
                      </c:pt>
                      <c:pt idx="5">
                        <c:v>52871.353536561066</c:v>
                      </c:pt>
                    </c:numCache>
                  </c:numRef>
                </c:xVal>
                <c:yVal>
                  <c:numRef>
                    <c:extLst xmlns:c15="http://schemas.microsoft.com/office/drawing/2012/chart">
                      <c:ext xmlns:c15="http://schemas.microsoft.com/office/drawing/2012/chart" uri="{02D57815-91ED-43cb-92C2-25804820EDAC}">
                        <c15:formulaRef>
                          <c15:sqref>'MMHSE flat AVG'!$T$7:$T$12</c15:sqref>
                        </c15:formulaRef>
                      </c:ext>
                    </c:extLst>
                    <c:numCache>
                      <c:formatCode>General</c:formatCode>
                      <c:ptCount val="6"/>
                      <c:pt idx="0">
                        <c:v>70.255666666666656</c:v>
                      </c:pt>
                      <c:pt idx="1">
                        <c:v>70.236333333333334</c:v>
                      </c:pt>
                      <c:pt idx="2">
                        <c:v>72.275749999999988</c:v>
                      </c:pt>
                      <c:pt idx="3">
                        <c:v>71.86399999999999</c:v>
                      </c:pt>
                      <c:pt idx="4">
                        <c:v>74.114500000000007</c:v>
                      </c:pt>
                      <c:pt idx="5">
                        <c:v>75.267499999999998</c:v>
                      </c:pt>
                    </c:numCache>
                  </c:numRef>
                </c:yVal>
                <c:smooth val="0"/>
                <c:extLst xmlns:c15="http://schemas.microsoft.com/office/drawing/2012/chart">
                  <c:ext xmlns:c16="http://schemas.microsoft.com/office/drawing/2014/chart" uri="{C3380CC4-5D6E-409C-BE32-E72D297353CC}">
                    <c16:uniqueId val="{00000000-3E62-4529-9435-6C36048F70C7}"/>
                  </c:ext>
                </c:extLst>
              </c15:ser>
            </c15:filteredScatterSeries>
            <c15:filteredScatterSeries>
              <c15:ser>
                <c:idx val="4"/>
                <c:order val="4"/>
                <c:tx>
                  <c:v>Smooth Control Elongation</c:v>
                </c:tx>
                <c:spPr>
                  <a:ln w="25400" cap="rnd">
                    <a:noFill/>
                    <a:round/>
                  </a:ln>
                  <a:effectLst/>
                </c:spPr>
                <c:marker>
                  <c:symbol val="circle"/>
                  <c:size val="5"/>
                  <c:spPr>
                    <a:solidFill>
                      <a:schemeClr val="accent5"/>
                    </a:solidFill>
                    <a:ln w="9525">
                      <a:solidFill>
                        <a:schemeClr val="accent5"/>
                      </a:solidFill>
                    </a:ln>
                    <a:effectLst/>
                  </c:spPr>
                </c:marker>
                <c:xVal>
                  <c:numRef>
                    <c:extLst xmlns:c15="http://schemas.microsoft.com/office/drawing/2012/chart">
                      <c:ext xmlns:c15="http://schemas.microsoft.com/office/drawing/2012/chart" uri="{02D57815-91ED-43cb-92C2-25804820EDAC}">
                        <c15:formulaRef>
                          <c15:sqref>'PLAIN PANEL AVGS'!$L$7:$L$9</c15:sqref>
                        </c15:formulaRef>
                      </c:ext>
                    </c:extLst>
                    <c:numCache>
                      <c:formatCode>0.0E+00</c:formatCode>
                      <c:ptCount val="3"/>
                      <c:pt idx="0">
                        <c:v>17173.73507936508</c:v>
                      </c:pt>
                      <c:pt idx="1">
                        <c:v>25760.602619047622</c:v>
                      </c:pt>
                      <c:pt idx="2">
                        <c:v>31861.797976190479</c:v>
                      </c:pt>
                    </c:numCache>
                  </c:numRef>
                </c:xVal>
                <c:yVal>
                  <c:numRef>
                    <c:extLst xmlns:c15="http://schemas.microsoft.com/office/drawing/2012/chart">
                      <c:ext xmlns:c15="http://schemas.microsoft.com/office/drawing/2012/chart" uri="{02D57815-91ED-43cb-92C2-25804820EDAC}">
                        <c15:formulaRef>
                          <c15:sqref>'PLAIN PANEL AVGS'!$T$7:$T$9</c15:sqref>
                        </c15:formulaRef>
                      </c:ext>
                    </c:extLst>
                    <c:numCache>
                      <c:formatCode>General</c:formatCode>
                      <c:ptCount val="3"/>
                      <c:pt idx="0">
                        <c:v>238.71733333333333</c:v>
                      </c:pt>
                      <c:pt idx="1">
                        <c:v>238.2585</c:v>
                      </c:pt>
                      <c:pt idx="2">
                        <c:v>232.23649999999998</c:v>
                      </c:pt>
                    </c:numCache>
                  </c:numRef>
                </c:yVal>
                <c:smooth val="0"/>
                <c:extLst xmlns:c15="http://schemas.microsoft.com/office/drawing/2012/chart">
                  <c:ext xmlns:c16="http://schemas.microsoft.com/office/drawing/2014/chart" uri="{C3380CC4-5D6E-409C-BE32-E72D297353CC}">
                    <c16:uniqueId val="{00000006-3E62-4529-9435-6C36048F70C7}"/>
                  </c:ext>
                </c:extLst>
              </c15:ser>
            </c15:filteredScatterSeries>
            <c15:filteredScatterSeries>
              <c15:ser>
                <c:idx val="5"/>
                <c:order val="5"/>
                <c:tx>
                  <c:v>P80 Elastomer Elongation</c:v>
                </c:tx>
                <c:spPr>
                  <a:ln w="25400" cap="rnd">
                    <a:noFill/>
                    <a:round/>
                  </a:ln>
                  <a:effectLst/>
                </c:spPr>
                <c:marker>
                  <c:symbol val="circle"/>
                  <c:size val="5"/>
                  <c:spPr>
                    <a:solidFill>
                      <a:schemeClr val="accent6"/>
                    </a:solidFill>
                    <a:ln w="9525">
                      <a:solidFill>
                        <a:schemeClr val="accent6"/>
                      </a:solidFill>
                    </a:ln>
                    <a:effectLst/>
                  </c:spPr>
                </c:marker>
                <c:xVal>
                  <c:numRef>
                    <c:extLst xmlns:c15="http://schemas.microsoft.com/office/drawing/2012/chart">
                      <c:ext xmlns:c15="http://schemas.microsoft.com/office/drawing/2012/chart" uri="{02D57815-91ED-43cb-92C2-25804820EDAC}">
                        <c15:formulaRef>
                          <c15:sqref>'MMHSE P80 AVGS'!$L$7:$L$12</c15:sqref>
                        </c15:formulaRef>
                      </c:ext>
                    </c:extLst>
                    <c:numCache>
                      <c:formatCode>0.0E+00</c:formatCode>
                      <c:ptCount val="6"/>
                      <c:pt idx="0">
                        <c:v>13610.328035679087</c:v>
                      </c:pt>
                      <c:pt idx="1">
                        <c:v>18801.896461659773</c:v>
                      </c:pt>
                      <c:pt idx="2">
                        <c:v>24835.340848610296</c:v>
                      </c:pt>
                      <c:pt idx="3">
                        <c:v>30447.8472550759</c:v>
                      </c:pt>
                      <c:pt idx="4">
                        <c:v>34727.383390005925</c:v>
                      </c:pt>
                      <c:pt idx="5">
                        <c:v>39568.170165582502</c:v>
                      </c:pt>
                    </c:numCache>
                  </c:numRef>
                </c:xVal>
                <c:yVal>
                  <c:numRef>
                    <c:extLst xmlns:c15="http://schemas.microsoft.com/office/drawing/2012/chart">
                      <c:ext xmlns:c15="http://schemas.microsoft.com/office/drawing/2012/chart" uri="{02D57815-91ED-43cb-92C2-25804820EDAC}">
                        <c15:formulaRef>
                          <c15:sqref>'MMHSE P80 AVGS'!$S$7:$S$12</c15:sqref>
                        </c15:formulaRef>
                      </c:ext>
                    </c:extLst>
                    <c:numCache>
                      <c:formatCode>General</c:formatCode>
                      <c:ptCount val="6"/>
                      <c:pt idx="0">
                        <c:v>46.262833333333333</c:v>
                      </c:pt>
                      <c:pt idx="1">
                        <c:v>45.570444444444441</c:v>
                      </c:pt>
                      <c:pt idx="2">
                        <c:v>45.556777777777775</c:v>
                      </c:pt>
                      <c:pt idx="3">
                        <c:v>46.690722222222227</c:v>
                      </c:pt>
                      <c:pt idx="4">
                        <c:v>50.249250000000004</c:v>
                      </c:pt>
                      <c:pt idx="5">
                        <c:v>56.551666666666669</c:v>
                      </c:pt>
                    </c:numCache>
                  </c:numRef>
                </c:yVal>
                <c:smooth val="0"/>
                <c:extLst xmlns:c15="http://schemas.microsoft.com/office/drawing/2012/chart">
                  <c:ext xmlns:c16="http://schemas.microsoft.com/office/drawing/2014/chart" uri="{C3380CC4-5D6E-409C-BE32-E72D297353CC}">
                    <c16:uniqueId val="{00000001-3E62-4529-9435-6C36048F70C7}"/>
                  </c:ext>
                </c:extLst>
              </c15:ser>
            </c15:filteredScatterSeries>
            <c15:filteredScatterSeries>
              <c15:ser>
                <c:idx val="7"/>
                <c:order val="7"/>
                <c:tx>
                  <c:v>P80 Control Elongation</c:v>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xVal>
                  <c:numRef>
                    <c:extLst xmlns:c15="http://schemas.microsoft.com/office/drawing/2012/chart">
                      <c:ext xmlns:c15="http://schemas.microsoft.com/office/drawing/2012/chart" uri="{02D57815-91ED-43cb-92C2-25804820EDAC}">
                        <c15:formulaRef>
                          <c15:sqref>'P80 sandpaper AVGS'!$S$41:$S$46</c15:sqref>
                        </c15:formulaRef>
                      </c:ext>
                    </c:extLst>
                    <c:numCache>
                      <c:formatCode>General</c:formatCode>
                      <c:ptCount val="6"/>
                    </c:numCache>
                  </c:numRef>
                </c:xVal>
                <c:yVal>
                  <c:numRef>
                    <c:extLst xmlns:c15="http://schemas.microsoft.com/office/drawing/2012/chart">
                      <c:ext xmlns:c15="http://schemas.microsoft.com/office/drawing/2012/chart" uri="{02D57815-91ED-43cb-92C2-25804820EDAC}">
                        <c15:formulaRef>
                          <c15:sqref>'P80 sandpaper AVGS'!$V$41:$V$46</c15:sqref>
                        </c15:formulaRef>
                      </c:ext>
                    </c:extLst>
                    <c:numCache>
                      <c:formatCode>General</c:formatCode>
                      <c:ptCount val="6"/>
                    </c:numCache>
                  </c:numRef>
                </c:yVal>
                <c:smooth val="0"/>
                <c:extLst xmlns:c15="http://schemas.microsoft.com/office/drawing/2012/chart">
                  <c:ext xmlns:c16="http://schemas.microsoft.com/office/drawing/2014/chart" uri="{C3380CC4-5D6E-409C-BE32-E72D297353CC}">
                    <c16:uniqueId val="{00000007-3E62-4529-9435-6C36048F70C7}"/>
                  </c:ext>
                </c:extLst>
              </c15:ser>
            </c15:filteredScatterSeries>
          </c:ext>
        </c:extLst>
      </c:scatterChart>
      <c:valAx>
        <c:axId val="420696127"/>
        <c:scaling>
          <c:orientation val="minMax"/>
        </c:scaling>
        <c:delete val="0"/>
        <c:axPos val="b"/>
        <c:majorGridlines>
          <c:spPr>
            <a:ln w="9525" cap="flat" cmpd="sng" algn="ctr">
              <a:solidFill>
                <a:schemeClr val="tx1">
                  <a:lumMod val="15000"/>
                  <a:lumOff val="85000"/>
                </a:schemeClr>
              </a:solidFill>
              <a:round/>
            </a:ln>
            <a:effectLst/>
          </c:spPr>
        </c:majorGridlines>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1585247"/>
        <c:crosses val="autoZero"/>
        <c:crossBetween val="midCat"/>
      </c:valAx>
      <c:valAx>
        <c:axId val="65158524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69612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'2 Plain Panel'!$G$6:$G$12</c:f>
              <c:numCache>
                <c:formatCode>0.00</c:formatCode>
                <c:ptCount val="7"/>
                <c:pt idx="0">
                  <c:v>0</c:v>
                </c:pt>
                <c:pt idx="1">
                  <c:v>1.1736129888896403</c:v>
                </c:pt>
                <c:pt idx="2">
                  <c:v>2.68596108765604</c:v>
                </c:pt>
                <c:pt idx="3">
                  <c:v>4.22531540247184</c:v>
                </c:pt>
                <c:pt idx="4">
                  <c:v>6.3896707172880411</c:v>
                </c:pt>
                <c:pt idx="5">
                  <c:v>8.5069580555610003</c:v>
                </c:pt>
                <c:pt idx="6">
                  <c:v>11.111128888896001</c:v>
                </c:pt>
              </c:numCache>
            </c:numRef>
          </c:xVal>
          <c:yVal>
            <c:numRef>
              <c:f>'2 Plain Panel'!$K$6:$K$12</c:f>
              <c:numCache>
                <c:formatCode>0</c:formatCode>
                <c:ptCount val="7"/>
                <c:pt idx="0">
                  <c:v>0</c:v>
                </c:pt>
                <c:pt idx="1">
                  <c:v>1053.355161290322</c:v>
                </c:pt>
                <c:pt idx="2">
                  <c:v>2112.2035483870968</c:v>
                </c:pt>
                <c:pt idx="3">
                  <c:v>3227.9680645161279</c:v>
                </c:pt>
                <c:pt idx="4">
                  <c:v>4747.0067741935491</c:v>
                </c:pt>
                <c:pt idx="5">
                  <c:v>6097.6454838709697</c:v>
                </c:pt>
                <c:pt idx="6">
                  <c:v>7385.5325806451601</c:v>
                </c:pt>
              </c:numCache>
            </c:numRef>
          </c:yVal>
          <c:smooth val="0"/>
          <c:extLst>
            <c:ext xmlns:c16="http://schemas.microsoft.com/office/drawing/2014/chart" uri="{C3380CC4-5D6E-409C-BE32-E72D297353CC}">
              <c16:uniqueId val="{00000001-AE33-4806-8813-F1785C9E7B77}"/>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'2 Plain Panel'!$O$5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'2 Plain Panel'!$L$7:$L$22</c:f>
              <c:numCache>
                <c:formatCode>0.0E+00</c:formatCode>
                <c:ptCount val="16"/>
                <c:pt idx="0">
                  <c:v>17136.07337962963</c:v>
                </c:pt>
                <c:pt idx="1">
                  <c:v>25923.803317901235</c:v>
                </c:pt>
                <c:pt idx="2">
                  <c:v>32514.600771604935</c:v>
                </c:pt>
                <c:pt idx="3">
                  <c:v>39984.171219135802</c:v>
                </c:pt>
                <c:pt idx="4">
                  <c:v>46135.582175925927</c:v>
                </c:pt>
                <c:pt idx="5">
                  <c:v>52726.379629629628</c:v>
                </c:pt>
                <c:pt idx="6">
                  <c:v>52726.379629629628</c:v>
                </c:pt>
                <c:pt idx="7">
                  <c:v>45256.809182098768</c:v>
                </c:pt>
                <c:pt idx="8">
                  <c:v>38666.01172839506</c:v>
                </c:pt>
                <c:pt idx="9">
                  <c:v>31635.827777777773</c:v>
                </c:pt>
                <c:pt idx="10">
                  <c:v>24605.643827160489</c:v>
                </c:pt>
                <c:pt idx="11">
                  <c:v>17575.459876543209</c:v>
                </c:pt>
              </c:numCache>
            </c:numRef>
          </c:xVal>
          <c:yVal>
            <c:numRef>
              <c:f>'2 Plain Panel'!$O$7:$O$22</c:f>
              <c:numCache>
                <c:formatCode>0.000</c:formatCode>
                <c:ptCount val="16"/>
                <c:pt idx="0">
                  <c:v>9.1212597135871213E-3</c:v>
                </c:pt>
                <c:pt idx="1">
                  <c:v>7.9917327596314234E-3</c:v>
                </c:pt>
                <c:pt idx="2">
                  <c:v>7.7638117812434213E-3</c:v>
                </c:pt>
                <c:pt idx="3">
                  <c:v>7.5499882382992064E-3</c:v>
                </c:pt>
                <c:pt idx="4">
                  <c:v>7.2843831490093406E-3</c:v>
                </c:pt>
                <c:pt idx="5">
                  <c:v>6.7550494790919605E-3</c:v>
                </c:pt>
                <c:pt idx="6">
                  <c:v>6.7550494790919605E-3</c:v>
                </c:pt>
                <c:pt idx="7">
                  <c:v>7.4656390665130993E-3</c:v>
                </c:pt>
                <c:pt idx="8">
                  <c:v>7.7835380913919743E-3</c:v>
                </c:pt>
                <c:pt idx="9">
                  <c:v>7.929710463520338E-3</c:v>
                </c:pt>
                <c:pt idx="10">
                  <c:v>8.1121896188793164E-3</c:v>
                </c:pt>
                <c:pt idx="11">
                  <c:v>8.6328989528950909E-3</c:v>
                </c:pt>
              </c:numCache>
            </c:numRef>
          </c:yVal>
          <c:smooth val="0"/>
          <c:extLst>
            <c:ext xmlns:c16="http://schemas.microsoft.com/office/drawing/2014/chart" uri="{C3380CC4-5D6E-409C-BE32-E72D297353CC}">
              <c16:uniqueId val="{00000001-E7F7-413C-A96E-19A1926FF680}"/>
            </c:ext>
          </c:extLst>
        </c:ser>
        <c:ser>
          <c:idx val="1"/>
          <c:order val="1"/>
          <c:tx>
            <c:strRef>
              <c:f>'2 Plain Panel'!$W$5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Plain Panel'!$V$7:$V$31</c:f>
              <c:numCache>
                <c:formatCode>0.00000</c:formatCode>
                <c:ptCount val="25"/>
                <c:pt idx="0">
                  <c:v>1581.7901234567901</c:v>
                </c:pt>
                <c:pt idx="1">
                  <c:v>3163.5802469135801</c:v>
                </c:pt>
                <c:pt idx="2">
                  <c:v>4745.3703703703704</c:v>
                </c:pt>
                <c:pt idx="3">
                  <c:v>6327.1604938271603</c:v>
                </c:pt>
                <c:pt idx="4">
                  <c:v>7908.9506172839501</c:v>
                </c:pt>
                <c:pt idx="5">
                  <c:v>9490.7407407407409</c:v>
                </c:pt>
                <c:pt idx="6">
                  <c:v>11072.530864197528</c:v>
                </c:pt>
                <c:pt idx="7">
                  <c:v>12654.320987654321</c:v>
                </c:pt>
                <c:pt idx="8">
                  <c:v>14236.111111111109</c:v>
                </c:pt>
                <c:pt idx="9">
                  <c:v>15817.9012345679</c:v>
                </c:pt>
                <c:pt idx="10">
                  <c:v>17399.691358024691</c:v>
                </c:pt>
                <c:pt idx="11">
                  <c:v>18981.481481481482</c:v>
                </c:pt>
                <c:pt idx="12">
                  <c:v>20563.271604938269</c:v>
                </c:pt>
                <c:pt idx="13">
                  <c:v>22145.061728395056</c:v>
                </c:pt>
                <c:pt idx="14">
                  <c:v>23726.85185185185</c:v>
                </c:pt>
                <c:pt idx="15">
                  <c:v>25308.641975308641</c:v>
                </c:pt>
                <c:pt idx="16">
                  <c:v>26890.432098765428</c:v>
                </c:pt>
                <c:pt idx="17">
                  <c:v>28472.222222222219</c:v>
                </c:pt>
                <c:pt idx="18">
                  <c:v>30054.012345679006</c:v>
                </c:pt>
                <c:pt idx="19">
                  <c:v>31635.8024691358</c:v>
                </c:pt>
                <c:pt idx="20">
                  <c:v>33217.592592592591</c:v>
                </c:pt>
                <c:pt idx="21">
                  <c:v>34799.382716049382</c:v>
                </c:pt>
                <c:pt idx="22">
                  <c:v>36381.172839506165</c:v>
                </c:pt>
                <c:pt idx="23">
                  <c:v>37962.962962962964</c:v>
                </c:pt>
                <c:pt idx="24">
                  <c:v>39544.753086419747</c:v>
                </c:pt>
              </c:numCache>
            </c:numRef>
          </c:xVal>
          <c:yVal>
            <c:numRef>
              <c:f>'2 Plain Panel'!$X$7:$X$31</c:f>
              <c:numCache>
                <c:formatCode>0.00000</c:formatCode>
                <c:ptCount val="25"/>
                <c:pt idx="0">
                  <c:v>1.2542648991320215E-2</c:v>
                </c:pt>
                <c:pt idx="1">
                  <c:v>1.0547068574586788E-2</c:v>
                </c:pt>
                <c:pt idx="2">
                  <c:v>9.5303522962070491E-3</c:v>
                </c:pt>
                <c:pt idx="3">
                  <c:v>8.8689921558051353E-3</c:v>
                </c:pt>
                <c:pt idx="4">
                  <c:v>8.3877749116676916E-3</c:v>
                </c:pt>
                <c:pt idx="5">
                  <c:v>8.0140390819855144E-3</c:v>
                </c:pt>
                <c:pt idx="6">
                  <c:v>7.7110720064897942E-3</c:v>
                </c:pt>
                <c:pt idx="7">
                  <c:v>7.4579037107298501E-3</c:v>
                </c:pt>
                <c:pt idx="8">
                  <c:v>7.2415017714897124E-3</c:v>
                </c:pt>
                <c:pt idx="9">
                  <c:v>7.0532498551764029E-3</c:v>
                </c:pt>
                <c:pt idx="10">
                  <c:v>6.8871746665958456E-3</c:v>
                </c:pt>
                <c:pt idx="11">
                  <c:v>6.7389767357447913E-3</c:v>
                </c:pt>
                <c:pt idx="12">
                  <c:v>6.6054655294292847E-3</c:v>
                </c:pt>
                <c:pt idx="13">
                  <c:v>6.4842128080205355E-3</c:v>
                </c:pt>
                <c:pt idx="14">
                  <c:v>6.3733307010982463E-3</c:v>
                </c:pt>
                <c:pt idx="15">
                  <c:v>6.2713244956601067E-3</c:v>
                </c:pt>
                <c:pt idx="16">
                  <c:v>6.1769919914950368E-3</c:v>
                </c:pt>
                <c:pt idx="17">
                  <c:v>6.0893528806991231E-3</c:v>
                </c:pt>
                <c:pt idx="18">
                  <c:v>6.0075980600388388E-3</c:v>
                </c:pt>
                <c:pt idx="19">
                  <c:v>5.931052519106618E-3</c:v>
                </c:pt>
                <c:pt idx="20">
                  <c:v>5.8591476851599751E-3</c:v>
                </c:pt>
                <c:pt idx="21">
                  <c:v>5.7914004883666435E-3</c:v>
                </c:pt>
                <c:pt idx="22">
                  <c:v>5.7273972890633075E-3</c:v>
                </c:pt>
                <c:pt idx="23">
                  <c:v>5.6667813795659733E-3</c:v>
                </c:pt>
                <c:pt idx="24">
                  <c:v>5.6092431525022338E-3</c:v>
                </c:pt>
              </c:numCache>
            </c:numRef>
          </c:yVal>
          <c:smooth val="0"/>
          <c:extLst>
            <c:ext xmlns:c16="http://schemas.microsoft.com/office/drawing/2014/chart" uri="{C3380CC4-5D6E-409C-BE32-E72D297353CC}">
              <c16:uniqueId val="{00000003-E7F7-413C-A96E-19A1926FF680}"/>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31078568971533"/>
          <c:y val="5.8467614363121236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'3 Plain Panel'!$G$6:$G$12</c:f>
              <c:numCache>
                <c:formatCode>0.00</c:formatCode>
                <c:ptCount val="7"/>
                <c:pt idx="0">
                  <c:v>0</c:v>
                </c:pt>
                <c:pt idx="1">
                  <c:v>1.1141993135809598</c:v>
                </c:pt>
                <c:pt idx="2">
                  <c:v>2.3341086728409999</c:v>
                </c:pt>
                <c:pt idx="3">
                  <c:v>3.8896667172864405</c:v>
                </c:pt>
                <c:pt idx="4">
                  <c:v>5.7067992543246397</c:v>
                </c:pt>
                <c:pt idx="5">
                  <c:v>8.0277906222273625</c:v>
                </c:pt>
                <c:pt idx="6">
                  <c:v>10.74384435062416</c:v>
                </c:pt>
              </c:numCache>
            </c:numRef>
          </c:xVal>
          <c:yVal>
            <c:numRef>
              <c:f>'3 Plain Panel'!$K$6:$K$12</c:f>
              <c:numCache>
                <c:formatCode>0</c:formatCode>
                <c:ptCount val="7"/>
                <c:pt idx="0">
                  <c:v>0</c:v>
                </c:pt>
                <c:pt idx="1">
                  <c:v>670.90322580645159</c:v>
                </c:pt>
                <c:pt idx="2">
                  <c:v>1365.838709677419</c:v>
                </c:pt>
                <c:pt idx="3">
                  <c:v>2311.9741935483871</c:v>
                </c:pt>
                <c:pt idx="4">
                  <c:v>3385.909677419354</c:v>
                </c:pt>
                <c:pt idx="5">
                  <c:v>4889.8935483870964</c:v>
                </c:pt>
                <c:pt idx="6">
                  <c:v>6489.409677419354</c:v>
                </c:pt>
              </c:numCache>
            </c:numRef>
          </c:yVal>
          <c:smooth val="0"/>
          <c:extLst>
            <c:ext xmlns:c16="http://schemas.microsoft.com/office/drawing/2014/chart" uri="{C3380CC4-5D6E-409C-BE32-E72D297353CC}">
              <c16:uniqueId val="{00000001-2EAE-4220-AA3F-C1FF27C01168}"/>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'3 Plain Panel'!$O$5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'3 Plain Panel'!$L$7:$L$22</c:f>
              <c:numCache>
                <c:formatCode>0.0E+00</c:formatCode>
                <c:ptCount val="16"/>
                <c:pt idx="0">
                  <c:v>17490.125462783169</c:v>
                </c:pt>
                <c:pt idx="1">
                  <c:v>25314.655275080902</c:v>
                </c:pt>
                <c:pt idx="2">
                  <c:v>32678.918627831714</c:v>
                </c:pt>
                <c:pt idx="3">
                  <c:v>39582.915521035597</c:v>
                </c:pt>
                <c:pt idx="4">
                  <c:v>46947.178873786404</c:v>
                </c:pt>
                <c:pt idx="5">
                  <c:v>54311.442226537212</c:v>
                </c:pt>
                <c:pt idx="6">
                  <c:v>54311.442226537212</c:v>
                </c:pt>
                <c:pt idx="7">
                  <c:v>46026.645954692547</c:v>
                </c:pt>
                <c:pt idx="8">
                  <c:v>38202.116142394822</c:v>
                </c:pt>
                <c:pt idx="9">
                  <c:v>31758.385708737864</c:v>
                </c:pt>
                <c:pt idx="10">
                  <c:v>24394.122355987052</c:v>
                </c:pt>
                <c:pt idx="11">
                  <c:v>16569.592543689319</c:v>
                </c:pt>
              </c:numCache>
            </c:numRef>
          </c:xVal>
          <c:yVal>
            <c:numRef>
              <c:f>'3 Plain Panel'!$O$7:$O$22</c:f>
              <c:numCache>
                <c:formatCode>0.000</c:formatCode>
                <c:ptCount val="16"/>
                <c:pt idx="0">
                  <c:v>6.1252779935933787E-3</c:v>
                </c:pt>
                <c:pt idx="1">
                  <c:v>5.9526062366233312E-3</c:v>
                </c:pt>
                <c:pt idx="2">
                  <c:v>6.0464351835109453E-3</c:v>
                </c:pt>
                <c:pt idx="3">
                  <c:v>6.0354767766148936E-3</c:v>
                </c:pt>
                <c:pt idx="4">
                  <c:v>6.1962963164756977E-3</c:v>
                </c:pt>
                <c:pt idx="5">
                  <c:v>6.1443266287413232E-3</c:v>
                </c:pt>
                <c:pt idx="6">
                  <c:v>6.1443266287413232E-3</c:v>
                </c:pt>
                <c:pt idx="7">
                  <c:v>6.3406732911585944E-3</c:v>
                </c:pt>
                <c:pt idx="8">
                  <c:v>6.2559110800410522E-3</c:v>
                </c:pt>
                <c:pt idx="9">
                  <c:v>6.2962454856028624E-3</c:v>
                </c:pt>
                <c:pt idx="10">
                  <c:v>6.2386821512896637E-3</c:v>
                </c:pt>
                <c:pt idx="11">
                  <c:v>6.224361838312098E-3</c:v>
                </c:pt>
              </c:numCache>
            </c:numRef>
          </c:yVal>
          <c:smooth val="0"/>
          <c:extLst>
            <c:ext xmlns:c16="http://schemas.microsoft.com/office/drawing/2014/chart" uri="{C3380CC4-5D6E-409C-BE32-E72D297353CC}">
              <c16:uniqueId val="{00000001-98C0-4B45-9702-B920E99D7C97}"/>
            </c:ext>
          </c:extLst>
        </c:ser>
        <c:ser>
          <c:idx val="1"/>
          <c:order val="1"/>
          <c:tx>
            <c:strRef>
              <c:f>'3 Plain Panel'!$W$5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Plain Panel'!$V$7:$V$31</c:f>
              <c:numCache>
                <c:formatCode>0.00000</c:formatCode>
                <c:ptCount val="25"/>
                <c:pt idx="0">
                  <c:v>1656.9579288025889</c:v>
                </c:pt>
                <c:pt idx="1">
                  <c:v>3313.9158576051777</c:v>
                </c:pt>
                <c:pt idx="2">
                  <c:v>4970.8737864077666</c:v>
                </c:pt>
                <c:pt idx="3">
                  <c:v>6627.8317152103555</c:v>
                </c:pt>
                <c:pt idx="4">
                  <c:v>8284.7896440129443</c:v>
                </c:pt>
                <c:pt idx="5">
                  <c:v>9941.7475728155332</c:v>
                </c:pt>
                <c:pt idx="6">
                  <c:v>11598.70550161812</c:v>
                </c:pt>
                <c:pt idx="7">
                  <c:v>13255.663430420711</c:v>
                </c:pt>
                <c:pt idx="8">
                  <c:v>14912.6213592233</c:v>
                </c:pt>
                <c:pt idx="9">
                  <c:v>16569.579288025889</c:v>
                </c:pt>
                <c:pt idx="10">
                  <c:v>18226.537216828478</c:v>
                </c:pt>
                <c:pt idx="11">
                  <c:v>19883.495145631066</c:v>
                </c:pt>
                <c:pt idx="12">
                  <c:v>21540.453074433655</c:v>
                </c:pt>
                <c:pt idx="13">
                  <c:v>23197.411003236241</c:v>
                </c:pt>
                <c:pt idx="14">
                  <c:v>24854.368932038833</c:v>
                </c:pt>
                <c:pt idx="15">
                  <c:v>26511.326860841422</c:v>
                </c:pt>
                <c:pt idx="16">
                  <c:v>28168.284789644007</c:v>
                </c:pt>
                <c:pt idx="17">
                  <c:v>29825.2427184466</c:v>
                </c:pt>
                <c:pt idx="18">
                  <c:v>31482.200647249185</c:v>
                </c:pt>
                <c:pt idx="19">
                  <c:v>33139.158576051777</c:v>
                </c:pt>
                <c:pt idx="20">
                  <c:v>34796.11650485437</c:v>
                </c:pt>
                <c:pt idx="21">
                  <c:v>36453.074433656955</c:v>
                </c:pt>
                <c:pt idx="22">
                  <c:v>38110.03236245954</c:v>
                </c:pt>
                <c:pt idx="23">
                  <c:v>39766.990291262133</c:v>
                </c:pt>
                <c:pt idx="24">
                  <c:v>41423.948220064718</c:v>
                </c:pt>
              </c:numCache>
            </c:numRef>
          </c:xVal>
          <c:yVal>
            <c:numRef>
              <c:f>'3 Plain Panel'!$X$7:$X$31</c:f>
              <c:numCache>
                <c:formatCode>0.00000</c:formatCode>
                <c:ptCount val="25"/>
                <c:pt idx="0">
                  <c:v>1.2397913818242142E-2</c:v>
                </c:pt>
                <c:pt idx="1">
                  <c:v>1.0425361286384313E-2</c:v>
                </c:pt>
                <c:pt idx="2">
                  <c:v>9.4203773467333701E-3</c:v>
                </c:pt>
                <c:pt idx="3">
                  <c:v>8.7666489334454218E-3</c:v>
                </c:pt>
                <c:pt idx="4">
                  <c:v>8.290984667882648E-3</c:v>
                </c:pt>
                <c:pt idx="5">
                  <c:v>7.9215615412053901E-3</c:v>
                </c:pt>
                <c:pt idx="6">
                  <c:v>7.6220905367660454E-3</c:v>
                </c:pt>
                <c:pt idx="7">
                  <c:v>7.3718436619220548E-3</c:v>
                </c:pt>
                <c:pt idx="8">
                  <c:v>7.1579388803518825E-3</c:v>
                </c:pt>
                <c:pt idx="9">
                  <c:v>6.9718592861460265E-3</c:v>
                </c:pt>
                <c:pt idx="10">
                  <c:v>6.8077005126050529E-3</c:v>
                </c:pt>
                <c:pt idx="11">
                  <c:v>6.6612127032113022E-3</c:v>
                </c:pt>
                <c:pt idx="12">
                  <c:v>6.5292421417442103E-3</c:v>
                </c:pt>
                <c:pt idx="13">
                  <c:v>6.4093886091058285E-3</c:v>
                </c:pt>
                <c:pt idx="14">
                  <c:v>6.2997860198474526E-3</c:v>
                </c:pt>
                <c:pt idx="15">
                  <c:v>6.1989569091210721E-3</c:v>
                </c:pt>
                <c:pt idx="16">
                  <c:v>6.1057129494354557E-3</c:v>
                </c:pt>
                <c:pt idx="17">
                  <c:v>6.0190851450930847E-3</c:v>
                </c:pt>
                <c:pt idx="18">
                  <c:v>5.9382737294604322E-3</c:v>
                </c:pt>
                <c:pt idx="19">
                  <c:v>5.862611481373515E-3</c:v>
                </c:pt>
                <c:pt idx="20">
                  <c:v>5.7915363891021419E-3</c:v>
                </c:pt>
                <c:pt idx="21">
                  <c:v>5.7245709571704627E-3</c:v>
                </c:pt>
                <c:pt idx="22">
                  <c:v>5.6613063190861443E-3</c:v>
                </c:pt>
                <c:pt idx="23">
                  <c:v>5.6013898833728905E-3</c:v>
                </c:pt>
                <c:pt idx="24">
                  <c:v>5.544515615354682E-3</c:v>
                </c:pt>
              </c:numCache>
            </c:numRef>
          </c:yVal>
          <c:smooth val="0"/>
          <c:extLst>
            <c:ext xmlns:c16="http://schemas.microsoft.com/office/drawing/2014/chart" uri="{C3380CC4-5D6E-409C-BE32-E72D297353CC}">
              <c16:uniqueId val="{00000003-98C0-4B45-9702-B920E99D7C97}"/>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'PLAIN PANEL AVGS'!$G$6:$G$12</c:f>
              <c:numCache>
                <c:formatCode>0.00</c:formatCode>
                <c:ptCount val="7"/>
                <c:pt idx="0">
                  <c:v>0</c:v>
                </c:pt>
                <c:pt idx="1">
                  <c:v>1.1141993135809598</c:v>
                </c:pt>
                <c:pt idx="2">
                  <c:v>2.5069484555571604</c:v>
                </c:pt>
                <c:pt idx="3">
                  <c:v>3.8350755805580103</c:v>
                </c:pt>
                <c:pt idx="4">
                  <c:v>5.84028712222596</c:v>
                </c:pt>
                <c:pt idx="5">
                  <c:v>7.9492796941408921</c:v>
                </c:pt>
                <c:pt idx="6">
                  <c:v>10.472431879327692</c:v>
                </c:pt>
              </c:numCache>
            </c:numRef>
          </c:xVal>
          <c:yVal>
            <c:numRef>
              <c:f>'PLAIN PANEL AVGS'!$K$6:$K$12</c:f>
              <c:numCache>
                <c:formatCode>0</c:formatCode>
                <c:ptCount val="7"/>
                <c:pt idx="0">
                  <c:v>0</c:v>
                </c:pt>
                <c:pt idx="1">
                  <c:v>896.56790322580628</c:v>
                </c:pt>
                <c:pt idx="2">
                  <c:v>1937.6082258064514</c:v>
                </c:pt>
                <c:pt idx="3">
                  <c:v>2921.4340322580638</c:v>
                </c:pt>
                <c:pt idx="4">
                  <c:v>4309.2049999999999</c:v>
                </c:pt>
                <c:pt idx="5">
                  <c:v>5733.1662903225806</c:v>
                </c:pt>
                <c:pt idx="6">
                  <c:v>7069.009838709675</c:v>
                </c:pt>
              </c:numCache>
            </c:numRef>
          </c:yVal>
          <c:smooth val="0"/>
          <c:extLst>
            <c:ext xmlns:c16="http://schemas.microsoft.com/office/drawing/2014/chart" uri="{C3380CC4-5D6E-409C-BE32-E72D297353CC}">
              <c16:uniqueId val="{00000001-F757-47E8-A988-1BE019ADD15D}"/>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'PLAIN PANEL AVGS'!$O$5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1.4635400229540942E-2"/>
                  <c:y val="-8.7050702676934003E-2"/>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'PLAIN PANEL AVGS'!$L$7:$L$12</c:f>
              <c:numCache>
                <c:formatCode>0.0E+00</c:formatCode>
                <c:ptCount val="6"/>
                <c:pt idx="0">
                  <c:v>17173.73507936508</c:v>
                </c:pt>
                <c:pt idx="1">
                  <c:v>25760.602619047622</c:v>
                </c:pt>
                <c:pt idx="2">
                  <c:v>31861.797976190479</c:v>
                </c:pt>
                <c:pt idx="3">
                  <c:v>39318.814523809524</c:v>
                </c:pt>
                <c:pt idx="4">
                  <c:v>45871.950277777782</c:v>
                </c:pt>
                <c:pt idx="5">
                  <c:v>52651.056230158734</c:v>
                </c:pt>
              </c:numCache>
            </c:numRef>
          </c:xVal>
          <c:yVal>
            <c:numRef>
              <c:f>'PLAIN PANEL AVGS'!$O$7:$O$12</c:f>
              <c:numCache>
                <c:formatCode>0.000</c:formatCode>
                <c:ptCount val="6"/>
                <c:pt idx="0">
                  <c:v>8.177587546588011E-3</c:v>
                </c:pt>
                <c:pt idx="1">
                  <c:v>7.8546251968259328E-3</c:v>
                </c:pt>
                <c:pt idx="2">
                  <c:v>7.7415345859246877E-3</c:v>
                </c:pt>
                <c:pt idx="3">
                  <c:v>7.4983871209308439E-3</c:v>
                </c:pt>
                <c:pt idx="4">
                  <c:v>7.3294546557718847E-3</c:v>
                </c:pt>
                <c:pt idx="5">
                  <c:v>6.8598709171845025E-3</c:v>
                </c:pt>
              </c:numCache>
            </c:numRef>
          </c:yVal>
          <c:smooth val="0"/>
          <c:extLst>
            <c:ext xmlns:c16="http://schemas.microsoft.com/office/drawing/2014/chart" uri="{C3380CC4-5D6E-409C-BE32-E72D297353CC}">
              <c16:uniqueId val="{00000001-6BDE-45CE-811B-3B57CDEAC8B6}"/>
            </c:ext>
          </c:extLst>
        </c:ser>
        <c:ser>
          <c:idx val="1"/>
          <c:order val="1"/>
          <c:tx>
            <c:strRef>
              <c:f>'PLAIN PANEL AVGS'!$X$5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'PLAIN PANEL AVGS'!$W$7:$W$31</c:f>
              <c:numCache>
                <c:formatCode>0.00000</c:formatCode>
                <c:ptCount val="25"/>
                <c:pt idx="0">
                  <c:v>1626.984126984127</c:v>
                </c:pt>
                <c:pt idx="1">
                  <c:v>3253.968253968254</c:v>
                </c:pt>
                <c:pt idx="2">
                  <c:v>4880.9523809523807</c:v>
                </c:pt>
                <c:pt idx="3">
                  <c:v>6507.936507936508</c:v>
                </c:pt>
                <c:pt idx="4">
                  <c:v>8134.9206349206352</c:v>
                </c:pt>
                <c:pt idx="5">
                  <c:v>9761.9047619047615</c:v>
                </c:pt>
                <c:pt idx="6">
                  <c:v>11388.888888888887</c:v>
                </c:pt>
                <c:pt idx="7">
                  <c:v>13015.873015873016</c:v>
                </c:pt>
                <c:pt idx="8">
                  <c:v>14642.857142857143</c:v>
                </c:pt>
                <c:pt idx="9">
                  <c:v>16269.84126984127</c:v>
                </c:pt>
                <c:pt idx="10">
                  <c:v>17896.825396825396</c:v>
                </c:pt>
                <c:pt idx="11">
                  <c:v>19523.809523809523</c:v>
                </c:pt>
                <c:pt idx="12">
                  <c:v>21150.79365079365</c:v>
                </c:pt>
                <c:pt idx="13">
                  <c:v>22777.777777777774</c:v>
                </c:pt>
                <c:pt idx="14">
                  <c:v>24404.761904761905</c:v>
                </c:pt>
                <c:pt idx="15">
                  <c:v>26031.746031746032</c:v>
                </c:pt>
                <c:pt idx="16">
                  <c:v>27658.730158730159</c:v>
                </c:pt>
                <c:pt idx="17">
                  <c:v>29285.714285714286</c:v>
                </c:pt>
                <c:pt idx="18">
                  <c:v>30912.69841269841</c:v>
                </c:pt>
                <c:pt idx="19">
                  <c:v>32539.682539682541</c:v>
                </c:pt>
                <c:pt idx="20">
                  <c:v>34166.666666666672</c:v>
                </c:pt>
                <c:pt idx="21">
                  <c:v>35793.650793650791</c:v>
                </c:pt>
                <c:pt idx="22">
                  <c:v>37420.634920634919</c:v>
                </c:pt>
                <c:pt idx="23">
                  <c:v>39047.619047619046</c:v>
                </c:pt>
                <c:pt idx="24">
                  <c:v>40674.603174603173</c:v>
                </c:pt>
              </c:numCache>
            </c:numRef>
          </c:xVal>
          <c:yVal>
            <c:numRef>
              <c:f>'PLAIN PANEL AVGS'!$Y$7:$Y$31</c:f>
              <c:numCache>
                <c:formatCode>0.00000</c:formatCode>
                <c:ptCount val="25"/>
                <c:pt idx="0">
                  <c:v>1.2454624964014468E-2</c:v>
                </c:pt>
                <c:pt idx="1">
                  <c:v>1.0473049485569191E-2</c:v>
                </c:pt>
                <c:pt idx="2">
                  <c:v>9.4634684990653733E-3</c:v>
                </c:pt>
                <c:pt idx="3">
                  <c:v>8.8067497691898915E-3</c:v>
                </c:pt>
                <c:pt idx="4">
                  <c:v>8.3289096968019935E-3</c:v>
                </c:pt>
                <c:pt idx="5">
                  <c:v>7.9577967367305217E-3</c:v>
                </c:pt>
                <c:pt idx="6">
                  <c:v>7.6569558773271623E-3</c:v>
                </c:pt>
                <c:pt idx="7">
                  <c:v>7.4055643109482575E-3</c:v>
                </c:pt>
                <c:pt idx="8">
                  <c:v>7.1906810756295868E-3</c:v>
                </c:pt>
                <c:pt idx="9">
                  <c:v>7.0037503070126987E-3</c:v>
                </c:pt>
                <c:pt idx="10">
                  <c:v>6.8388406303542667E-3</c:v>
                </c:pt>
                <c:pt idx="11">
                  <c:v>6.6916827492344037E-3</c:v>
                </c:pt>
                <c:pt idx="12">
                  <c:v>6.5591085215490471E-3</c:v>
                </c:pt>
                <c:pt idx="13">
                  <c:v>6.4387067490002722E-3</c:v>
                </c:pt>
                <c:pt idx="14">
                  <c:v>6.3286028101997415E-3</c:v>
                </c:pt>
                <c:pt idx="15">
                  <c:v>6.2273124820072341E-3</c:v>
                </c:pt>
                <c:pt idx="16">
                  <c:v>6.1336420012255977E-3</c:v>
                </c:pt>
                <c:pt idx="17">
                  <c:v>6.0466179397296429E-3</c:v>
                </c:pt>
                <c:pt idx="18">
                  <c:v>5.9654368725540596E-3</c:v>
                </c:pt>
                <c:pt idx="19">
                  <c:v>5.8894285264990808E-3</c:v>
                </c:pt>
                <c:pt idx="20">
                  <c:v>5.8180283190528738E-3</c:v>
                </c:pt>
                <c:pt idx="21">
                  <c:v>5.7507565705563566E-3</c:v>
                </c:pt>
                <c:pt idx="22">
                  <c:v>5.6872025442600178E-3</c:v>
                </c:pt>
                <c:pt idx="23">
                  <c:v>5.6270120358463309E-3</c:v>
                </c:pt>
                <c:pt idx="24">
                  <c:v>5.5698776107604448E-3</c:v>
                </c:pt>
              </c:numCache>
            </c:numRef>
          </c:yVal>
          <c:smooth val="0"/>
          <c:extLst>
            <c:ext xmlns:c16="http://schemas.microsoft.com/office/drawing/2014/chart" uri="{C3380CC4-5D6E-409C-BE32-E72D297353CC}">
              <c16:uniqueId val="{00000003-6BDE-45CE-811B-3B57CDEAC8B6}"/>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5843929647043"/>
          <c:y val="5.5555555555555552E-2"/>
          <c:w val="0.562562398594185"/>
          <c:h val="0.75973778218340282"/>
        </c:manualLayout>
      </c:layout>
      <c:scatterChart>
        <c:scatterStyle val="lineMarker"/>
        <c:varyColors val="0"/>
        <c:ser>
          <c:idx val="0"/>
          <c:order val="0"/>
          <c:tx>
            <c:v>1 Plain</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0"/>
            <c:dispEq val="1"/>
            <c:trendlineLbl>
              <c:layout>
                <c:manualLayout>
                  <c:x val="0.11536894504489069"/>
                  <c:y val="-4.286309421045915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Plain Panel'!$L$7:$L$12</c:f>
              <c:numCache>
                <c:formatCode>0.0E+00</c:formatCode>
                <c:ptCount val="6"/>
                <c:pt idx="0">
                  <c:v>16257.300385802468</c:v>
                </c:pt>
                <c:pt idx="1">
                  <c:v>24166.25733024691</c:v>
                </c:pt>
                <c:pt idx="2">
                  <c:v>29438.895293209873</c:v>
                </c:pt>
                <c:pt idx="3">
                  <c:v>36469.07924382716</c:v>
                </c:pt>
                <c:pt idx="4">
                  <c:v>43059.876697530861</c:v>
                </c:pt>
                <c:pt idx="5">
                  <c:v>49650.674151234562</c:v>
                </c:pt>
              </c:numCache>
            </c:numRef>
          </c:xVal>
          <c:yVal>
            <c:numRef>
              <c:f>'1 Plain Panel'!$O$7:$O$12</c:f>
              <c:numCache>
                <c:formatCode>0.000</c:formatCode>
                <c:ptCount val="6"/>
                <c:pt idx="0">
                  <c:v>7.1171927028342999E-3</c:v>
                </c:pt>
                <c:pt idx="1">
                  <c:v>7.6760769562637743E-3</c:v>
                </c:pt>
                <c:pt idx="2">
                  <c:v>7.6721076492081491E-3</c:v>
                </c:pt>
                <c:pt idx="3">
                  <c:v>7.401528761111247E-3</c:v>
                </c:pt>
                <c:pt idx="4">
                  <c:v>7.3624973174743723E-3</c:v>
                </c:pt>
                <c:pt idx="5">
                  <c:v>6.9649192272371024E-3</c:v>
                </c:pt>
              </c:numCache>
            </c:numRef>
          </c:yVal>
          <c:smooth val="0"/>
          <c:extLst>
            <c:ext xmlns:c16="http://schemas.microsoft.com/office/drawing/2014/chart" uri="{C3380CC4-5D6E-409C-BE32-E72D297353CC}">
              <c16:uniqueId val="{00000001-9A0B-4D5C-BC83-B2C0F97EAE56}"/>
            </c:ext>
          </c:extLst>
        </c:ser>
        <c:ser>
          <c:idx val="1"/>
          <c:order val="1"/>
          <c:tx>
            <c:v>2 Plain</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0.18512211838111928"/>
                  <c:y val="-0.3255432620493458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Plain Panel'!$L$7:$L$12</c:f>
              <c:numCache>
                <c:formatCode>0.0E+00</c:formatCode>
                <c:ptCount val="6"/>
                <c:pt idx="0">
                  <c:v>17136.07337962963</c:v>
                </c:pt>
                <c:pt idx="1">
                  <c:v>25923.803317901235</c:v>
                </c:pt>
                <c:pt idx="2">
                  <c:v>32514.600771604935</c:v>
                </c:pt>
                <c:pt idx="3">
                  <c:v>39984.171219135802</c:v>
                </c:pt>
                <c:pt idx="4">
                  <c:v>46135.582175925927</c:v>
                </c:pt>
                <c:pt idx="5">
                  <c:v>52726.379629629628</c:v>
                </c:pt>
              </c:numCache>
            </c:numRef>
          </c:xVal>
          <c:yVal>
            <c:numRef>
              <c:f>'2 Plain Panel'!$O$7:$O$12</c:f>
              <c:numCache>
                <c:formatCode>0.000</c:formatCode>
                <c:ptCount val="6"/>
                <c:pt idx="0">
                  <c:v>9.1212597135871213E-3</c:v>
                </c:pt>
                <c:pt idx="1">
                  <c:v>7.9917327596314234E-3</c:v>
                </c:pt>
                <c:pt idx="2">
                  <c:v>7.7638117812434213E-3</c:v>
                </c:pt>
                <c:pt idx="3">
                  <c:v>7.5499882382992064E-3</c:v>
                </c:pt>
                <c:pt idx="4">
                  <c:v>7.2843831490093406E-3</c:v>
                </c:pt>
                <c:pt idx="5">
                  <c:v>6.7550494790919605E-3</c:v>
                </c:pt>
              </c:numCache>
            </c:numRef>
          </c:yVal>
          <c:smooth val="0"/>
          <c:extLst>
            <c:ext xmlns:c16="http://schemas.microsoft.com/office/drawing/2014/chart" uri="{C3380CC4-5D6E-409C-BE32-E72D297353CC}">
              <c16:uniqueId val="{00000003-9A0B-4D5C-BC83-B2C0F97EAE56}"/>
            </c:ext>
          </c:extLst>
        </c:ser>
        <c:ser>
          <c:idx val="2"/>
          <c:order val="2"/>
          <c:tx>
            <c:v>3 Plain</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wer"/>
            <c:dispRSqr val="0"/>
            <c:dispEq val="1"/>
            <c:trendlineLbl>
              <c:layout>
                <c:manualLayout>
                  <c:x val="9.720980520886878E-2"/>
                  <c:y val="4.9662220487453369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Plain Panel'!$L$7:$L$12</c:f>
              <c:numCache>
                <c:formatCode>0.0E+00</c:formatCode>
                <c:ptCount val="6"/>
                <c:pt idx="0">
                  <c:v>17490.125462783169</c:v>
                </c:pt>
                <c:pt idx="1">
                  <c:v>25314.655275080902</c:v>
                </c:pt>
                <c:pt idx="2">
                  <c:v>32678.918627831714</c:v>
                </c:pt>
                <c:pt idx="3">
                  <c:v>39582.915521035597</c:v>
                </c:pt>
                <c:pt idx="4">
                  <c:v>46947.178873786404</c:v>
                </c:pt>
                <c:pt idx="5">
                  <c:v>54311.442226537212</c:v>
                </c:pt>
              </c:numCache>
            </c:numRef>
          </c:xVal>
          <c:yVal>
            <c:numRef>
              <c:f>'3 Plain Panel'!$O$7:$O$12</c:f>
              <c:numCache>
                <c:formatCode>0.000</c:formatCode>
                <c:ptCount val="6"/>
                <c:pt idx="0">
                  <c:v>6.1252779935933787E-3</c:v>
                </c:pt>
                <c:pt idx="1">
                  <c:v>5.9526062366233312E-3</c:v>
                </c:pt>
                <c:pt idx="2">
                  <c:v>6.0464351835109453E-3</c:v>
                </c:pt>
                <c:pt idx="3">
                  <c:v>6.0354767766148936E-3</c:v>
                </c:pt>
                <c:pt idx="4">
                  <c:v>6.1962963164756977E-3</c:v>
                </c:pt>
                <c:pt idx="5">
                  <c:v>6.1443266287413232E-3</c:v>
                </c:pt>
              </c:numCache>
            </c:numRef>
          </c:yVal>
          <c:smooth val="0"/>
          <c:extLst>
            <c:ext xmlns:c16="http://schemas.microsoft.com/office/drawing/2014/chart" uri="{C3380CC4-5D6E-409C-BE32-E72D297353CC}">
              <c16:uniqueId val="{00000005-9A0B-4D5C-BC83-B2C0F97EAE56}"/>
            </c:ext>
          </c:extLst>
        </c:ser>
        <c:dLbls>
          <c:showLegendKey val="0"/>
          <c:showVal val="0"/>
          <c:showCatName val="0"/>
          <c:showSerName val="0"/>
          <c:showPercent val="0"/>
          <c:showBubbleSize val="0"/>
        </c:dLbls>
        <c:axId val="928471327"/>
        <c:axId val="923932383"/>
      </c:scatterChart>
      <c:valAx>
        <c:axId val="92847132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3932383"/>
        <c:crosses val="autoZero"/>
        <c:crossBetween val="midCat"/>
      </c:valAx>
      <c:valAx>
        <c:axId val="923932383"/>
        <c:scaling>
          <c:orientation val="minMax"/>
          <c:min val="5.000000000000001E-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847132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'Rigid data'!$F$29:$F$33</c:f>
              <c:numCache>
                <c:formatCode>General</c:formatCode>
                <c:ptCount val="5"/>
                <c:pt idx="0">
                  <c:v>21722.522169394077</c:v>
                </c:pt>
                <c:pt idx="1">
                  <c:v>27809.02596564942</c:v>
                </c:pt>
                <c:pt idx="2">
                  <c:v>34000.469482529857</c:v>
                </c:pt>
                <c:pt idx="3">
                  <c:v>40017.013465035139</c:v>
                </c:pt>
                <c:pt idx="4">
                  <c:v>44494.441545039066</c:v>
                </c:pt>
              </c:numCache>
            </c:numRef>
          </c:xVal>
          <c:yVal>
            <c:numRef>
              <c:f>'Rigid data'!$G$29:$G$33</c:f>
              <c:numCache>
                <c:formatCode>General</c:formatCode>
                <c:ptCount val="5"/>
                <c:pt idx="0">
                  <c:v>1.512538070955566E-2</c:v>
                </c:pt>
                <c:pt idx="1">
                  <c:v>1.5215090833516069E-2</c:v>
                </c:pt>
                <c:pt idx="2">
                  <c:v>1.3945610093808108E-2</c:v>
                </c:pt>
                <c:pt idx="3">
                  <c:v>1.0595984233301277E-2</c:v>
                </c:pt>
                <c:pt idx="4">
                  <c:v>8.6969785125901831E-3</c:v>
                </c:pt>
              </c:numCache>
            </c:numRef>
          </c:yVal>
          <c:smooth val="0"/>
          <c:extLst>
            <c:ext xmlns:c16="http://schemas.microsoft.com/office/drawing/2014/chart" uri="{C3380CC4-5D6E-409C-BE32-E72D297353CC}">
              <c16:uniqueId val="{00000000-1CF0-46C6-94E3-EF637A5B3844}"/>
            </c:ext>
          </c:extLst>
        </c:ser>
        <c:ser>
          <c:idx val="1"/>
          <c:order val="1"/>
          <c:tx>
            <c:v>P80</c:v>
          </c:tx>
          <c:spPr>
            <a:ln w="25400" cap="rnd">
              <a:noFill/>
              <a:round/>
            </a:ln>
            <a:effectLst/>
          </c:spPr>
          <c:marker>
            <c:symbol val="circle"/>
            <c:size val="5"/>
            <c:spPr>
              <a:solidFill>
                <a:schemeClr val="accent2"/>
              </a:solidFill>
              <a:ln w="9525">
                <a:solidFill>
                  <a:schemeClr val="accent2"/>
                </a:solidFill>
              </a:ln>
              <a:effectLst/>
            </c:spPr>
          </c:marker>
          <c:xVal>
            <c:numRef>
              <c:f>'Rigid data'!$F$21:$F$25</c:f>
              <c:numCache>
                <c:formatCode>General</c:formatCode>
                <c:ptCount val="5"/>
                <c:pt idx="0">
                  <c:v>23742.310705312753</c:v>
                </c:pt>
                <c:pt idx="1">
                  <c:v>31285.462126111706</c:v>
                </c:pt>
                <c:pt idx="2">
                  <c:v>37841.909768044148</c:v>
                </c:pt>
                <c:pt idx="3">
                  <c:v>44605.134981055482</c:v>
                </c:pt>
                <c:pt idx="4">
                  <c:v>50744.46849683296</c:v>
                </c:pt>
              </c:numCache>
            </c:numRef>
          </c:xVal>
          <c:yVal>
            <c:numRef>
              <c:f>'Rigid data'!$G$21:$G$25</c:f>
              <c:numCache>
                <c:formatCode>General</c:formatCode>
                <c:ptCount val="5"/>
                <c:pt idx="0">
                  <c:v>1.1790104593465946E-2</c:v>
                </c:pt>
                <c:pt idx="1">
                  <c:v>1.1624438801028699E-2</c:v>
                </c:pt>
                <c:pt idx="2">
                  <c:v>1.1558497860050348E-2</c:v>
                </c:pt>
                <c:pt idx="3">
                  <c:v>1.09188912506272E-2</c:v>
                </c:pt>
                <c:pt idx="4">
                  <c:v>9.0196022706357099E-3</c:v>
                </c:pt>
              </c:numCache>
            </c:numRef>
          </c:yVal>
          <c:smooth val="0"/>
          <c:extLst>
            <c:ext xmlns:c16="http://schemas.microsoft.com/office/drawing/2014/chart" uri="{C3380CC4-5D6E-409C-BE32-E72D297353CC}">
              <c16:uniqueId val="{00000001-1CF0-46C6-94E3-EF637A5B3844}"/>
            </c:ext>
          </c:extLst>
        </c:ser>
        <c:ser>
          <c:idx val="2"/>
          <c:order val="2"/>
          <c:tx>
            <c:v>P240</c:v>
          </c:tx>
          <c:spPr>
            <a:ln w="25400" cap="rnd">
              <a:noFill/>
              <a:round/>
            </a:ln>
            <a:effectLst/>
          </c:spPr>
          <c:marker>
            <c:symbol val="circle"/>
            <c:size val="5"/>
            <c:spPr>
              <a:solidFill>
                <a:schemeClr val="accent3"/>
              </a:solidFill>
              <a:ln w="9525">
                <a:solidFill>
                  <a:schemeClr val="accent3"/>
                </a:solidFill>
              </a:ln>
              <a:effectLst/>
            </c:spPr>
          </c:marker>
          <c:xVal>
            <c:numRef>
              <c:f>'Rigid data'!$F$13:$F$17</c:f>
              <c:numCache>
                <c:formatCode>General</c:formatCode>
                <c:ptCount val="5"/>
                <c:pt idx="0">
                  <c:v>25290.467566696789</c:v>
                </c:pt>
                <c:pt idx="1">
                  <c:v>32978.434578570021</c:v>
                </c:pt>
                <c:pt idx="2">
                  <c:v>40511.358345649627</c:v>
                </c:pt>
                <c:pt idx="3">
                  <c:v>46815.608013981706</c:v>
                </c:pt>
                <c:pt idx="4">
                  <c:v>52656.02482122193</c:v>
                </c:pt>
              </c:numCache>
            </c:numRef>
          </c:xVal>
          <c:yVal>
            <c:numRef>
              <c:f>'Rigid data'!$G$13:$G$17</c:f>
              <c:numCache>
                <c:formatCode>General</c:formatCode>
                <c:ptCount val="5"/>
                <c:pt idx="0">
                  <c:v>7.8343058133838392E-3</c:v>
                </c:pt>
                <c:pt idx="1">
                  <c:v>7.8074196943544068E-3</c:v>
                </c:pt>
                <c:pt idx="2">
                  <c:v>7.7908973348861411E-3</c:v>
                </c:pt>
                <c:pt idx="3">
                  <c:v>7.4998239369390065E-3</c:v>
                </c:pt>
                <c:pt idx="4">
                  <c:v>6.8547267988590902E-3</c:v>
                </c:pt>
              </c:numCache>
            </c:numRef>
          </c:yVal>
          <c:smooth val="0"/>
          <c:extLst>
            <c:ext xmlns:c16="http://schemas.microsoft.com/office/drawing/2014/chart" uri="{C3380CC4-5D6E-409C-BE32-E72D297353CC}">
              <c16:uniqueId val="{00000002-1CF0-46C6-94E3-EF637A5B3844}"/>
            </c:ext>
          </c:extLst>
        </c:ser>
        <c:ser>
          <c:idx val="3"/>
          <c:order val="3"/>
          <c:tx>
            <c:v>SMOOTH</c:v>
          </c:tx>
          <c:spPr>
            <a:ln w="25400" cap="rnd">
              <a:noFill/>
              <a:round/>
            </a:ln>
            <a:effectLst/>
          </c:spPr>
          <c:marker>
            <c:symbol val="circle"/>
            <c:size val="5"/>
            <c:spPr>
              <a:solidFill>
                <a:schemeClr val="accent4"/>
              </a:solidFill>
              <a:ln w="9525">
                <a:solidFill>
                  <a:schemeClr val="accent4"/>
                </a:solidFill>
              </a:ln>
              <a:effectLst/>
            </c:spPr>
          </c:marker>
          <c:xVal>
            <c:numRef>
              <c:f>'Rigid data'!$F$5:$F$9</c:f>
              <c:numCache>
                <c:formatCode>General</c:formatCode>
                <c:ptCount val="5"/>
                <c:pt idx="0">
                  <c:v>25082.692023809526</c:v>
                </c:pt>
                <c:pt idx="1">
                  <c:v>31409.857579365082</c:v>
                </c:pt>
                <c:pt idx="2">
                  <c:v>38866.874126984127</c:v>
                </c:pt>
                <c:pt idx="3">
                  <c:v>45758.96517857143</c:v>
                </c:pt>
                <c:pt idx="4">
                  <c:v>52538.071130952383</c:v>
                </c:pt>
              </c:numCache>
            </c:numRef>
          </c:xVal>
          <c:yVal>
            <c:numRef>
              <c:f>'Rigid data'!$G$5:$G$9</c:f>
              <c:numCache>
                <c:formatCode>General</c:formatCode>
                <c:ptCount val="5"/>
                <c:pt idx="0">
                  <c:v>7.1839706304657261E-3</c:v>
                </c:pt>
                <c:pt idx="1">
                  <c:v>7.0274521052176592E-3</c:v>
                </c:pt>
                <c:pt idx="2">
                  <c:v>6.7889378576837765E-3</c:v>
                </c:pt>
                <c:pt idx="3">
                  <c:v>6.5846611642014757E-3</c:v>
                </c:pt>
                <c:pt idx="4">
                  <c:v>6.2573312953811393E-3</c:v>
                </c:pt>
              </c:numCache>
            </c:numRef>
          </c:yVal>
          <c:smooth val="0"/>
          <c:extLst>
            <c:ext xmlns:c16="http://schemas.microsoft.com/office/drawing/2014/chart" uri="{C3380CC4-5D6E-409C-BE32-E72D297353CC}">
              <c16:uniqueId val="{00000003-1CF0-46C6-94E3-EF637A5B3844}"/>
            </c:ext>
          </c:extLst>
        </c:ser>
        <c:dLbls>
          <c:showLegendKey val="0"/>
          <c:showVal val="0"/>
          <c:showCatName val="0"/>
          <c:showSerName val="0"/>
          <c:showPercent val="0"/>
          <c:showBubbleSize val="0"/>
        </c:dLbls>
        <c:axId val="166852752"/>
        <c:axId val="166733776"/>
      </c:scatterChart>
      <c:valAx>
        <c:axId val="1668527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733776"/>
        <c:crosses val="autoZero"/>
        <c:crossBetween val="midCat"/>
      </c:valAx>
      <c:valAx>
        <c:axId val="1667337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8527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1"/>
          <c:tx>
            <c:v>P80 Rigid Elongation</c:v>
          </c:tx>
          <c:spPr>
            <a:ln w="25400" cap="rnd">
              <a:noFill/>
              <a:round/>
            </a:ln>
            <a:effectLst/>
          </c:spPr>
          <c:marker>
            <c:symbol val="circle"/>
            <c:size val="5"/>
            <c:spPr>
              <a:solidFill>
                <a:schemeClr val="accent2"/>
              </a:solidFill>
              <a:ln w="9525">
                <a:solidFill>
                  <a:schemeClr val="accent2"/>
                </a:solidFill>
              </a:ln>
              <a:effectLst/>
            </c:spPr>
          </c:marker>
          <c:xVal>
            <c:numRef>
              <c:f>'EF25 P80 AVGS'!$M$7:$M$12</c:f>
              <c:numCache>
                <c:formatCode>0.0E+00</c:formatCode>
                <c:ptCount val="6"/>
                <c:pt idx="0">
                  <c:v>16525.642491230723</c:v>
                </c:pt>
                <c:pt idx="1">
                  <c:v>23135.899487723014</c:v>
                </c:pt>
                <c:pt idx="2">
                  <c:v>30320.96144043202</c:v>
                </c:pt>
                <c:pt idx="3">
                  <c:v>36500.114719761768</c:v>
                </c:pt>
                <c:pt idx="4">
                  <c:v>43254.072955308235</c:v>
                </c:pt>
                <c:pt idx="5">
                  <c:v>49002.122517475444</c:v>
                </c:pt>
              </c:numCache>
              <c:extLst xmlns:c15="http://schemas.microsoft.com/office/drawing/2012/chart"/>
            </c:numRef>
          </c:xVal>
          <c:yVal>
            <c:numRef>
              <c:f>'EF25 P80 AVGS'!$Z$7:$Z$12</c:f>
              <c:numCache>
                <c:formatCode>0.00</c:formatCode>
                <c:ptCount val="6"/>
                <c:pt idx="0">
                  <c:v>41.160999999999994</c:v>
                </c:pt>
                <c:pt idx="1">
                  <c:v>42.672333333333334</c:v>
                </c:pt>
                <c:pt idx="2">
                  <c:v>43.121111111111112</c:v>
                </c:pt>
                <c:pt idx="3">
                  <c:v>42.555722222222222</c:v>
                </c:pt>
                <c:pt idx="4">
                  <c:v>42.906388888888891</c:v>
                </c:pt>
                <c:pt idx="5">
                  <c:v>42.489333333333327</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4-58C4-40C1-937D-12999D19D4FA}"/>
            </c:ext>
          </c:extLst>
        </c:ser>
        <c:ser>
          <c:idx val="5"/>
          <c:order val="5"/>
          <c:tx>
            <c:v>P80 Elastomer Elongation</c:v>
          </c:tx>
          <c:spPr>
            <a:ln w="25400" cap="rnd">
              <a:noFill/>
              <a:round/>
            </a:ln>
            <a:effectLst/>
          </c:spPr>
          <c:marker>
            <c:symbol val="circle"/>
            <c:size val="5"/>
            <c:spPr>
              <a:solidFill>
                <a:schemeClr val="accent6"/>
              </a:solidFill>
              <a:ln w="9525">
                <a:solidFill>
                  <a:schemeClr val="accent6"/>
                </a:solidFill>
              </a:ln>
              <a:effectLst/>
            </c:spPr>
          </c:marker>
          <c:xVal>
            <c:numRef>
              <c:f>'MMHSE P80 AVGS'!$L$7:$L$12</c:f>
              <c:numCache>
                <c:formatCode>0.0E+00</c:formatCode>
                <c:ptCount val="6"/>
                <c:pt idx="0">
                  <c:v>13610.328035679087</c:v>
                </c:pt>
                <c:pt idx="1">
                  <c:v>18801.896461659773</c:v>
                </c:pt>
                <c:pt idx="2">
                  <c:v>24835.340848610296</c:v>
                </c:pt>
                <c:pt idx="3">
                  <c:v>30447.8472550759</c:v>
                </c:pt>
                <c:pt idx="4">
                  <c:v>34727.383390005925</c:v>
                </c:pt>
                <c:pt idx="5">
                  <c:v>39568.170165582502</c:v>
                </c:pt>
              </c:numCache>
              <c:extLst xmlns:c15="http://schemas.microsoft.com/office/drawing/2012/chart"/>
            </c:numRef>
          </c:xVal>
          <c:yVal>
            <c:numRef>
              <c:f>'MMHSE P80 AVGS'!$S$7:$S$12</c:f>
              <c:numCache>
                <c:formatCode>General</c:formatCode>
                <c:ptCount val="6"/>
                <c:pt idx="0">
                  <c:v>46.262833333333333</c:v>
                </c:pt>
                <c:pt idx="1">
                  <c:v>45.570444444444441</c:v>
                </c:pt>
                <c:pt idx="2">
                  <c:v>45.556777777777775</c:v>
                </c:pt>
                <c:pt idx="3">
                  <c:v>46.690722222222227</c:v>
                </c:pt>
                <c:pt idx="4">
                  <c:v>50.249250000000004</c:v>
                </c:pt>
                <c:pt idx="5">
                  <c:v>56.551666666666669</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1-58C4-40C1-937D-12999D19D4FA}"/>
            </c:ext>
          </c:extLst>
        </c:ser>
        <c:ser>
          <c:idx val="7"/>
          <c:order val="7"/>
          <c:tx>
            <c:v>P80 Control Elongation</c:v>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xVal>
            <c:numRef>
              <c:f>'P80 sandpaper AVGS'!$S$41:$S$46</c:f>
              <c:numCache>
                <c:formatCode>General</c:formatCode>
                <c:ptCount val="6"/>
              </c:numCache>
              <c:extLst xmlns:c15="http://schemas.microsoft.com/office/drawing/2012/chart"/>
            </c:numRef>
          </c:xVal>
          <c:yVal>
            <c:numRef>
              <c:f>'P80 sandpaper AVGS'!$V$41:$V$46</c:f>
              <c:numCache>
                <c:formatCode>General</c:formatCode>
                <c:ptCount val="6"/>
              </c:numCache>
              <c:extLst xmlns:c15="http://schemas.microsoft.com/office/drawing/2012/chart"/>
            </c:numRef>
          </c:yVal>
          <c:smooth val="0"/>
          <c:extLst>
            <c:ext xmlns:c16="http://schemas.microsoft.com/office/drawing/2014/chart" uri="{C3380CC4-5D6E-409C-BE32-E72D297353CC}">
              <c16:uniqueId val="{00000007-58C4-40C1-937D-12999D19D4FA}"/>
            </c:ext>
          </c:extLst>
        </c:ser>
        <c:dLbls>
          <c:showLegendKey val="0"/>
          <c:showVal val="0"/>
          <c:showCatName val="0"/>
          <c:showSerName val="0"/>
          <c:showPercent val="0"/>
          <c:showBubbleSize val="0"/>
        </c:dLbls>
        <c:axId val="420696127"/>
        <c:axId val="651585247"/>
        <c:extLst>
          <c:ext xmlns:c15="http://schemas.microsoft.com/office/drawing/2012/chart" uri="{02D57815-91ED-43cb-92C2-25804820EDAC}">
            <c15:filteredScatterSeries>
              <c15:ser>
                <c:idx val="0"/>
                <c:order val="0"/>
                <c:tx>
                  <c:v>P240 Rigid Elongation</c:v>
                </c:tx>
                <c:spPr>
                  <a:ln w="25400" cap="rnd">
                    <a:noFill/>
                    <a:round/>
                  </a:ln>
                  <a:effectLst/>
                </c:spPr>
                <c:marker>
                  <c:symbol val="circle"/>
                  <c:size val="5"/>
                  <c:spPr>
                    <a:solidFill>
                      <a:schemeClr val="accent1"/>
                    </a:solidFill>
                    <a:ln w="9525">
                      <a:solidFill>
                        <a:schemeClr val="accent1"/>
                      </a:solidFill>
                    </a:ln>
                    <a:effectLst/>
                  </c:spPr>
                </c:marker>
                <c:xVal>
                  <c:numRef>
                    <c:extLst>
                      <c:ext uri="{02D57815-91ED-43cb-92C2-25804820EDAC}">
                        <c15:formulaRef>
                          <c15:sqref>'EF25 P240 AVGS'!$L$7:$L$12</c15:sqref>
                        </c15:formulaRef>
                      </c:ext>
                    </c:extLst>
                    <c:numCache>
                      <c:formatCode>0.0E+00</c:formatCode>
                      <c:ptCount val="6"/>
                      <c:pt idx="0">
                        <c:v>17255.906060606056</c:v>
                      </c:pt>
                      <c:pt idx="1">
                        <c:v>24959.435551948049</c:v>
                      </c:pt>
                      <c:pt idx="2">
                        <c:v>32971.106222943716</c:v>
                      </c:pt>
                      <c:pt idx="3">
                        <c:v>40212.423944805189</c:v>
                      </c:pt>
                      <c:pt idx="4">
                        <c:v>46837.459307359313</c:v>
                      </c:pt>
                      <c:pt idx="5">
                        <c:v>51767.718181818185</c:v>
                      </c:pt>
                    </c:numCache>
                  </c:numRef>
                </c:xVal>
                <c:yVal>
                  <c:numRef>
                    <c:extLst>
                      <c:ext uri="{02D57815-91ED-43cb-92C2-25804820EDAC}">
                        <c15:formulaRef>
                          <c15:sqref>'EF25 P240 AVGS'!$T$7:$T$12</c15:sqref>
                        </c15:formulaRef>
                      </c:ext>
                    </c:extLst>
                    <c:numCache>
                      <c:formatCode>0.00</c:formatCode>
                      <c:ptCount val="6"/>
                      <c:pt idx="0">
                        <c:v>65.287666666666667</c:v>
                      </c:pt>
                      <c:pt idx="1">
                        <c:v>64.590333333333334</c:v>
                      </c:pt>
                      <c:pt idx="2">
                        <c:v>65.329222222222214</c:v>
                      </c:pt>
                      <c:pt idx="3">
                        <c:v>64.043166666666664</c:v>
                      </c:pt>
                      <c:pt idx="4">
                        <c:v>64.469333333333338</c:v>
                      </c:pt>
                      <c:pt idx="5">
                        <c:v>64.34341666666667</c:v>
                      </c:pt>
                    </c:numCache>
                  </c:numRef>
                </c:yVal>
                <c:smooth val="0"/>
                <c:extLst>
                  <c:ext xmlns:c16="http://schemas.microsoft.com/office/drawing/2014/chart" uri="{C3380CC4-5D6E-409C-BE32-E72D297353CC}">
                    <c16:uniqueId val="{00000003-58C4-40C1-937D-12999D19D4FA}"/>
                  </c:ext>
                </c:extLst>
              </c15:ser>
            </c15:filteredScatterSeries>
            <c15:filteredScatterSeries>
              <c15:ser>
                <c:idx val="2"/>
                <c:order val="2"/>
                <c:tx>
                  <c:v>Smooth Rigid Elongation</c:v>
                </c:tx>
                <c:spPr>
                  <a:ln w="25400" cap="rnd">
                    <a:noFill/>
                    <a:round/>
                  </a:ln>
                  <a:effectLst/>
                </c:spPr>
                <c:marker>
                  <c:symbol val="circle"/>
                  <c:size val="5"/>
                  <c:spPr>
                    <a:solidFill>
                      <a:schemeClr val="accent3"/>
                    </a:solidFill>
                    <a:ln w="9525">
                      <a:solidFill>
                        <a:schemeClr val="accent3"/>
                      </a:solidFill>
                    </a:ln>
                    <a:effectLst/>
                  </c:spPr>
                </c:marker>
                <c:xVal>
                  <c:numRef>
                    <c:extLst xmlns:c15="http://schemas.microsoft.com/office/drawing/2012/chart">
                      <c:ext xmlns:c15="http://schemas.microsoft.com/office/drawing/2012/chart" uri="{02D57815-91ED-43cb-92C2-25804820EDAC}">
                        <c15:formulaRef>
                          <c15:sqref>'EF25 flat AVGS'!$L$7:$L$12</c15:sqref>
                        </c15:formulaRef>
                      </c:ext>
                    </c:extLst>
                    <c:numCache>
                      <c:formatCode>0.0E+00</c:formatCode>
                      <c:ptCount val="6"/>
                      <c:pt idx="0">
                        <c:v>17031.803384494291</c:v>
                      </c:pt>
                      <c:pt idx="1">
                        <c:v>24203.089020070838</c:v>
                      </c:pt>
                      <c:pt idx="2">
                        <c:v>30702.066627312077</c:v>
                      </c:pt>
                      <c:pt idx="3">
                        <c:v>38097.454939000396</c:v>
                      </c:pt>
                      <c:pt idx="4">
                        <c:v>45268.740574576928</c:v>
                      </c:pt>
                      <c:pt idx="5">
                        <c:v>51991.820857929946</c:v>
                      </c:pt>
                    </c:numCache>
                  </c:numRef>
                </c:xVal>
                <c:yVal>
                  <c:numRef>
                    <c:extLst xmlns:c15="http://schemas.microsoft.com/office/drawing/2012/chart">
                      <c:ext xmlns:c15="http://schemas.microsoft.com/office/drawing/2012/chart" uri="{02D57815-91ED-43cb-92C2-25804820EDAC}">
                        <c15:formulaRef>
                          <c15:sqref>'EF25 flat AVGS'!$T$7:$T$12</c15:sqref>
                        </c15:formulaRef>
                      </c:ext>
                    </c:extLst>
                    <c:numCache>
                      <c:formatCode>General</c:formatCode>
                      <c:ptCount val="6"/>
                      <c:pt idx="0">
                        <c:v>81.165666666666681</c:v>
                      </c:pt>
                      <c:pt idx="1">
                        <c:v>85.668166666666664</c:v>
                      </c:pt>
                      <c:pt idx="2">
                        <c:v>84.876666666666665</c:v>
                      </c:pt>
                      <c:pt idx="3">
                        <c:v>85.456333333333333</c:v>
                      </c:pt>
                      <c:pt idx="4">
                        <c:v>89.025333333333322</c:v>
                      </c:pt>
                      <c:pt idx="5">
                        <c:v>90.991500000000002</c:v>
                      </c:pt>
                    </c:numCache>
                  </c:numRef>
                </c:yVal>
                <c:smooth val="0"/>
                <c:extLst xmlns:c15="http://schemas.microsoft.com/office/drawing/2012/chart">
                  <c:ext xmlns:c16="http://schemas.microsoft.com/office/drawing/2014/chart" uri="{C3380CC4-5D6E-409C-BE32-E72D297353CC}">
                    <c16:uniqueId val="{00000005-58C4-40C1-937D-12999D19D4FA}"/>
                  </c:ext>
                </c:extLst>
              </c15:ser>
            </c15:filteredScatterSeries>
            <c15:filteredScatterSeries>
              <c15:ser>
                <c:idx val="3"/>
                <c:order val="3"/>
                <c:tx>
                  <c:v>Smooth Elastomer Elongation</c:v>
                </c:tx>
                <c:spPr>
                  <a:ln w="25400" cap="rnd">
                    <a:noFill/>
                    <a:round/>
                  </a:ln>
                  <a:effectLst/>
                </c:spPr>
                <c:marker>
                  <c:symbol val="circle"/>
                  <c:size val="5"/>
                  <c:spPr>
                    <a:solidFill>
                      <a:schemeClr val="accent4"/>
                    </a:solidFill>
                    <a:ln w="9525">
                      <a:solidFill>
                        <a:schemeClr val="accent4"/>
                      </a:solidFill>
                    </a:ln>
                    <a:effectLst/>
                  </c:spPr>
                </c:marker>
                <c:xVal>
                  <c:numRef>
                    <c:extLst xmlns:c15="http://schemas.microsoft.com/office/drawing/2012/chart">
                      <c:ext xmlns:c15="http://schemas.microsoft.com/office/drawing/2012/chart" uri="{02D57815-91ED-43cb-92C2-25804820EDAC}">
                        <c15:formulaRef>
                          <c15:sqref>'MMHSE flat AVG'!$L$7:$L$12</c15:sqref>
                        </c15:formulaRef>
                      </c:ext>
                    </c:extLst>
                    <c:numCache>
                      <c:formatCode>0.0E+00</c:formatCode>
                      <c:ptCount val="6"/>
                      <c:pt idx="0">
                        <c:v>16791.76035066746</c:v>
                      </c:pt>
                      <c:pt idx="1">
                        <c:v>24733.809165172341</c:v>
                      </c:pt>
                      <c:pt idx="2">
                        <c:v>31541.279577605099</c:v>
                      </c:pt>
                      <c:pt idx="3">
                        <c:v>38802.581350866705</c:v>
                      </c:pt>
                      <c:pt idx="4">
                        <c:v>46971.545845786015</c:v>
                      </c:pt>
                      <c:pt idx="5">
                        <c:v>52871.353536561066</c:v>
                      </c:pt>
                    </c:numCache>
                  </c:numRef>
                </c:xVal>
                <c:yVal>
                  <c:numRef>
                    <c:extLst xmlns:c15="http://schemas.microsoft.com/office/drawing/2012/chart">
                      <c:ext xmlns:c15="http://schemas.microsoft.com/office/drawing/2012/chart" uri="{02D57815-91ED-43cb-92C2-25804820EDAC}">
                        <c15:formulaRef>
                          <c15:sqref>'MMHSE flat AVG'!$T$7:$T$12</c15:sqref>
                        </c15:formulaRef>
                      </c:ext>
                    </c:extLst>
                    <c:numCache>
                      <c:formatCode>General</c:formatCode>
                      <c:ptCount val="6"/>
                      <c:pt idx="0">
                        <c:v>70.255666666666656</c:v>
                      </c:pt>
                      <c:pt idx="1">
                        <c:v>70.236333333333334</c:v>
                      </c:pt>
                      <c:pt idx="2">
                        <c:v>72.275749999999988</c:v>
                      </c:pt>
                      <c:pt idx="3">
                        <c:v>71.86399999999999</c:v>
                      </c:pt>
                      <c:pt idx="4">
                        <c:v>74.114500000000007</c:v>
                      </c:pt>
                      <c:pt idx="5">
                        <c:v>75.267499999999998</c:v>
                      </c:pt>
                    </c:numCache>
                  </c:numRef>
                </c:yVal>
                <c:smooth val="0"/>
                <c:extLst xmlns:c15="http://schemas.microsoft.com/office/drawing/2012/chart">
                  <c:ext xmlns:c16="http://schemas.microsoft.com/office/drawing/2014/chart" uri="{C3380CC4-5D6E-409C-BE32-E72D297353CC}">
                    <c16:uniqueId val="{00000000-58C4-40C1-937D-12999D19D4FA}"/>
                  </c:ext>
                </c:extLst>
              </c15:ser>
            </c15:filteredScatterSeries>
            <c15:filteredScatterSeries>
              <c15:ser>
                <c:idx val="4"/>
                <c:order val="4"/>
                <c:tx>
                  <c:v>Smooth Control Elongation</c:v>
                </c:tx>
                <c:spPr>
                  <a:ln w="25400" cap="rnd">
                    <a:noFill/>
                    <a:round/>
                  </a:ln>
                  <a:effectLst/>
                </c:spPr>
                <c:marker>
                  <c:symbol val="circle"/>
                  <c:size val="5"/>
                  <c:spPr>
                    <a:solidFill>
                      <a:schemeClr val="accent5"/>
                    </a:solidFill>
                    <a:ln w="9525">
                      <a:solidFill>
                        <a:schemeClr val="accent5"/>
                      </a:solidFill>
                    </a:ln>
                    <a:effectLst/>
                  </c:spPr>
                </c:marker>
                <c:xVal>
                  <c:numRef>
                    <c:extLst xmlns:c15="http://schemas.microsoft.com/office/drawing/2012/chart">
                      <c:ext xmlns:c15="http://schemas.microsoft.com/office/drawing/2012/chart" uri="{02D57815-91ED-43cb-92C2-25804820EDAC}">
                        <c15:formulaRef>
                          <c15:sqref>'PLAIN PANEL AVGS'!$L$7:$L$9</c15:sqref>
                        </c15:formulaRef>
                      </c:ext>
                    </c:extLst>
                    <c:numCache>
                      <c:formatCode>0.0E+00</c:formatCode>
                      <c:ptCount val="3"/>
                      <c:pt idx="0">
                        <c:v>17173.73507936508</c:v>
                      </c:pt>
                      <c:pt idx="1">
                        <c:v>25760.602619047622</c:v>
                      </c:pt>
                      <c:pt idx="2">
                        <c:v>31861.797976190479</c:v>
                      </c:pt>
                    </c:numCache>
                  </c:numRef>
                </c:xVal>
                <c:yVal>
                  <c:numRef>
                    <c:extLst xmlns:c15="http://schemas.microsoft.com/office/drawing/2012/chart">
                      <c:ext xmlns:c15="http://schemas.microsoft.com/office/drawing/2012/chart" uri="{02D57815-91ED-43cb-92C2-25804820EDAC}">
                        <c15:formulaRef>
                          <c15:sqref>'PLAIN PANEL AVGS'!$T$7:$T$9</c15:sqref>
                        </c15:formulaRef>
                      </c:ext>
                    </c:extLst>
                    <c:numCache>
                      <c:formatCode>General</c:formatCode>
                      <c:ptCount val="3"/>
                      <c:pt idx="0">
                        <c:v>238.71733333333333</c:v>
                      </c:pt>
                      <c:pt idx="1">
                        <c:v>238.2585</c:v>
                      </c:pt>
                      <c:pt idx="2">
                        <c:v>232.23649999999998</c:v>
                      </c:pt>
                    </c:numCache>
                  </c:numRef>
                </c:yVal>
                <c:smooth val="0"/>
                <c:extLst xmlns:c15="http://schemas.microsoft.com/office/drawing/2012/chart">
                  <c:ext xmlns:c16="http://schemas.microsoft.com/office/drawing/2014/chart" uri="{C3380CC4-5D6E-409C-BE32-E72D297353CC}">
                    <c16:uniqueId val="{00000006-58C4-40C1-937D-12999D19D4FA}"/>
                  </c:ext>
                </c:extLst>
              </c15:ser>
            </c15:filteredScatterSeries>
            <c15:filteredScatterSeries>
              <c15:ser>
                <c:idx val="6"/>
                <c:order val="6"/>
                <c:tx>
                  <c:v>P240 Elastomer Elongation</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xVal>
                  <c:numRef>
                    <c:extLst xmlns:c15="http://schemas.microsoft.com/office/drawing/2012/chart">
                      <c:ext xmlns:c15="http://schemas.microsoft.com/office/drawing/2012/chart" uri="{02D57815-91ED-43cb-92C2-25804820EDAC}">
                        <c15:formulaRef>
                          <c15:sqref>'MMHSE P240 AVG'!$L$7:$L$10</c15:sqref>
                        </c15:formulaRef>
                      </c:ext>
                    </c:extLst>
                    <c:numCache>
                      <c:formatCode>0.0E+00</c:formatCode>
                      <c:ptCount val="4"/>
                      <c:pt idx="0">
                        <c:v>11807.649133593246</c:v>
                      </c:pt>
                      <c:pt idx="1">
                        <c:v>18828.41348329734</c:v>
                      </c:pt>
                      <c:pt idx="2">
                        <c:v>24891.800876223599</c:v>
                      </c:pt>
                      <c:pt idx="3">
                        <c:v>31832.783812862872</c:v>
                      </c:pt>
                    </c:numCache>
                  </c:numRef>
                </c:xVal>
                <c:yVal>
                  <c:numRef>
                    <c:extLst xmlns:c15="http://schemas.microsoft.com/office/drawing/2012/chart">
                      <c:ext xmlns:c15="http://schemas.microsoft.com/office/drawing/2012/chart" uri="{02D57815-91ED-43cb-92C2-25804820EDAC}">
                        <c15:formulaRef>
                          <c15:sqref>'MMHSE P240 AVG'!$T$7:$T$10</c15:sqref>
                        </c15:formulaRef>
                      </c:ext>
                    </c:extLst>
                    <c:numCache>
                      <c:formatCode>General</c:formatCode>
                      <c:ptCount val="4"/>
                      <c:pt idx="0">
                        <c:v>55.282222222222224</c:v>
                      </c:pt>
                      <c:pt idx="1">
                        <c:v>52.43588888888889</c:v>
                      </c:pt>
                      <c:pt idx="2">
                        <c:v>53.037888888888887</c:v>
                      </c:pt>
                      <c:pt idx="3">
                        <c:v>56.688333333333333</c:v>
                      </c:pt>
                    </c:numCache>
                  </c:numRef>
                </c:yVal>
                <c:smooth val="0"/>
                <c:extLst xmlns:c15="http://schemas.microsoft.com/office/drawing/2012/chart">
                  <c:ext xmlns:c16="http://schemas.microsoft.com/office/drawing/2014/chart" uri="{C3380CC4-5D6E-409C-BE32-E72D297353CC}">
                    <c16:uniqueId val="{00000002-58C4-40C1-937D-12999D19D4FA}"/>
                  </c:ext>
                </c:extLst>
              </c15:ser>
            </c15:filteredScatterSeries>
            <c15:filteredScatterSeries>
              <c15:ser>
                <c:idx val="8"/>
                <c:order val="8"/>
                <c:tx>
                  <c:v>P240 Control Elongation</c:v>
                </c:tx>
                <c:spPr>
                  <a:ln w="25400" cap="rnd">
                    <a:noFill/>
                    <a:round/>
                  </a:ln>
                  <a:effectLst/>
                </c:spPr>
                <c:marker>
                  <c:symbol val="circle"/>
                  <c:size val="5"/>
                  <c:spPr>
                    <a:solidFill>
                      <a:schemeClr val="accent3">
                        <a:lumMod val="60000"/>
                      </a:schemeClr>
                    </a:solidFill>
                    <a:ln w="9525">
                      <a:solidFill>
                        <a:schemeClr val="accent3">
                          <a:lumMod val="60000"/>
                        </a:schemeClr>
                      </a:solidFill>
                    </a:ln>
                    <a:effectLst/>
                  </c:spPr>
                </c:marker>
                <c:xVal>
                  <c:numRef>
                    <c:extLst xmlns:c15="http://schemas.microsoft.com/office/drawing/2012/chart">
                      <c:ext xmlns:c15="http://schemas.microsoft.com/office/drawing/2012/chart" uri="{02D57815-91ED-43cb-92C2-25804820EDAC}">
                        <c15:formulaRef>
                          <c15:sqref>'P240 sandpaper'!$L$7:$L$12</c15:sqref>
                        </c15:formulaRef>
                      </c:ext>
                    </c:extLst>
                    <c:numCache>
                      <c:formatCode>0.0E+00</c:formatCode>
                      <c:ptCount val="6"/>
                      <c:pt idx="0">
                        <c:v>17029.859003236244</c:v>
                      </c:pt>
                      <c:pt idx="1">
                        <c:v>25314.655275080902</c:v>
                      </c:pt>
                      <c:pt idx="2">
                        <c:v>32218.652168284785</c:v>
                      </c:pt>
                      <c:pt idx="3">
                        <c:v>40043.181980582514</c:v>
                      </c:pt>
                      <c:pt idx="4">
                        <c:v>46026.645954692547</c:v>
                      </c:pt>
                      <c:pt idx="5">
                        <c:v>52930.642847896444</c:v>
                      </c:pt>
                    </c:numCache>
                  </c:numRef>
                </c:xVal>
                <c:yVal>
                  <c:numRef>
                    <c:extLst xmlns:c15="http://schemas.microsoft.com/office/drawing/2012/chart">
                      <c:ext xmlns:c15="http://schemas.microsoft.com/office/drawing/2012/chart" uri="{02D57815-91ED-43cb-92C2-25804820EDAC}">
                        <c15:formulaRef>
                          <c15:sqref>'P240 sandpaper'!$S$7:$S$12</c15:sqref>
                        </c15:formulaRef>
                      </c:ext>
                    </c:extLst>
                    <c:numCache>
                      <c:formatCode>0.00</c:formatCode>
                      <c:ptCount val="6"/>
                      <c:pt idx="0" formatCode="General">
                        <c:v>53.87566666666666</c:v>
                      </c:pt>
                      <c:pt idx="1">
                        <c:v>54.229333333333329</c:v>
                      </c:pt>
                      <c:pt idx="2" formatCode="0.000">
                        <c:v>56.719666666666662</c:v>
                      </c:pt>
                      <c:pt idx="3" formatCode="0.000">
                        <c:v>54.749000000000002</c:v>
                      </c:pt>
                      <c:pt idx="4" formatCode="General">
                        <c:v>54.546333333333337</c:v>
                      </c:pt>
                      <c:pt idx="5" formatCode="General">
                        <c:v>54.866999999999997</c:v>
                      </c:pt>
                    </c:numCache>
                  </c:numRef>
                </c:yVal>
                <c:smooth val="0"/>
                <c:extLst xmlns:c15="http://schemas.microsoft.com/office/drawing/2012/chart">
                  <c:ext xmlns:c16="http://schemas.microsoft.com/office/drawing/2014/chart" uri="{C3380CC4-5D6E-409C-BE32-E72D297353CC}">
                    <c16:uniqueId val="{00000008-58C4-40C1-937D-12999D19D4FA}"/>
                  </c:ext>
                </c:extLst>
              </c15:ser>
            </c15:filteredScatterSeries>
          </c:ext>
        </c:extLst>
      </c:scatterChart>
      <c:valAx>
        <c:axId val="420696127"/>
        <c:scaling>
          <c:orientation val="minMax"/>
        </c:scaling>
        <c:delete val="0"/>
        <c:axPos val="b"/>
        <c:majorGridlines>
          <c:spPr>
            <a:ln w="9525" cap="flat" cmpd="sng" algn="ctr">
              <a:solidFill>
                <a:schemeClr val="tx1">
                  <a:lumMod val="15000"/>
                  <a:lumOff val="85000"/>
                </a:schemeClr>
              </a:solidFill>
              <a:round/>
            </a:ln>
            <a:effectLst/>
          </c:spPr>
        </c:majorGridlines>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1585247"/>
        <c:crosses val="autoZero"/>
        <c:crossBetween val="midCat"/>
      </c:valAx>
      <c:valAx>
        <c:axId val="65158524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69612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'P80 sandpaper '!$G$6:$G$12</c:f>
              <c:numCache>
                <c:formatCode>0.00</c:formatCode>
                <c:ptCount val="7"/>
                <c:pt idx="0">
                  <c:v>0</c:v>
                </c:pt>
                <c:pt idx="1">
                  <c:v>1.05632885061796</c:v>
                </c:pt>
                <c:pt idx="2">
                  <c:v>2.0864230913593604</c:v>
                </c:pt>
                <c:pt idx="3">
                  <c:v>3.6736169888912404</c:v>
                </c:pt>
                <c:pt idx="4">
                  <c:v>5.3155949246947607</c:v>
                </c:pt>
                <c:pt idx="5">
                  <c:v>7.4105056839553596</c:v>
                </c:pt>
                <c:pt idx="6">
                  <c:v>10.027793822228642</c:v>
                </c:pt>
              </c:numCache>
            </c:numRef>
          </c:xVal>
          <c:yVal>
            <c:numRef>
              <c:f>'P80 sandpaper '!$K$6:$K$12</c:f>
              <c:numCache>
                <c:formatCode>0</c:formatCode>
                <c:ptCount val="7"/>
                <c:pt idx="0">
                  <c:v>0</c:v>
                </c:pt>
                <c:pt idx="1">
                  <c:v>1061.0967739999999</c:v>
                </c:pt>
                <c:pt idx="2">
                  <c:v>2306.4870970000002</c:v>
                </c:pt>
                <c:pt idx="3">
                  <c:v>4230.2387100000005</c:v>
                </c:pt>
                <c:pt idx="4">
                  <c:v>6277.125806</c:v>
                </c:pt>
                <c:pt idx="5">
                  <c:v>8179.454839</c:v>
                </c:pt>
                <c:pt idx="6">
                  <c:v>8600.0032259999989</c:v>
                </c:pt>
              </c:numCache>
            </c:numRef>
          </c:yVal>
          <c:smooth val="0"/>
          <c:extLst>
            <c:ext xmlns:c16="http://schemas.microsoft.com/office/drawing/2014/chart" uri="{C3380CC4-5D6E-409C-BE32-E72D297353CC}">
              <c16:uniqueId val="{00000001-6900-48ED-B809-130D80C1EC0C}"/>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'P80 sandpaper '!$O$5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'P80 sandpaper '!$L$7:$L$12</c:f>
              <c:numCache>
                <c:formatCode>0.0E+00</c:formatCode>
                <c:ptCount val="6"/>
                <c:pt idx="0">
                  <c:v>18253.776177083331</c:v>
                </c:pt>
                <c:pt idx="1">
                  <c:v>25653.955708333335</c:v>
                </c:pt>
                <c:pt idx="2">
                  <c:v>34040.825843750004</c:v>
                </c:pt>
                <c:pt idx="3">
                  <c:v>40947.660072916668</c:v>
                </c:pt>
                <c:pt idx="4">
                  <c:v>48347.839604166664</c:v>
                </c:pt>
                <c:pt idx="5">
                  <c:v>56241.3644375</c:v>
                </c:pt>
              </c:numCache>
            </c:numRef>
          </c:xVal>
          <c:yVal>
            <c:numRef>
              <c:f>'P80 sandpaper '!$O$7:$O$12</c:f>
              <c:numCache>
                <c:formatCode>0.000</c:formatCode>
                <c:ptCount val="6"/>
                <c:pt idx="0">
                  <c:v>1.0228430202734607E-2</c:v>
                </c:pt>
                <c:pt idx="1">
                  <c:v>1.1256458694638146E-2</c:v>
                </c:pt>
                <c:pt idx="2">
                  <c:v>1.1725304596250839E-2</c:v>
                </c:pt>
                <c:pt idx="3">
                  <c:v>1.2024363261652805E-2</c:v>
                </c:pt>
                <c:pt idx="4">
                  <c:v>1.123905114178227E-2</c:v>
                </c:pt>
                <c:pt idx="5">
                  <c:v>8.7326559755925501E-3</c:v>
                </c:pt>
              </c:numCache>
            </c:numRef>
          </c:yVal>
          <c:smooth val="0"/>
          <c:extLst>
            <c:ext xmlns:c16="http://schemas.microsoft.com/office/drawing/2014/chart" uri="{C3380CC4-5D6E-409C-BE32-E72D297353CC}">
              <c16:uniqueId val="{00000001-C17D-48A4-979E-FF6EE953C534}"/>
            </c:ext>
          </c:extLst>
        </c:ser>
        <c:ser>
          <c:idx val="1"/>
          <c:order val="1"/>
          <c:tx>
            <c:strRef>
              <c:f>'P80 sandpaper '!$W$5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'P80 sandpaper '!$V$7:$V$31</c:f>
              <c:numCache>
                <c:formatCode>0.00000</c:formatCode>
                <c:ptCount val="25"/>
                <c:pt idx="0">
                  <c:v>1776.0416666666667</c:v>
                </c:pt>
                <c:pt idx="1">
                  <c:v>3552.0833333333335</c:v>
                </c:pt>
                <c:pt idx="2">
                  <c:v>5328.125</c:v>
                </c:pt>
                <c:pt idx="3">
                  <c:v>7104.166666666667</c:v>
                </c:pt>
                <c:pt idx="4">
                  <c:v>8880.2083333333321</c:v>
                </c:pt>
                <c:pt idx="5">
                  <c:v>10656.25</c:v>
                </c:pt>
                <c:pt idx="6">
                  <c:v>12432.291666666664</c:v>
                </c:pt>
                <c:pt idx="7">
                  <c:v>14208.333333333334</c:v>
                </c:pt>
                <c:pt idx="8">
                  <c:v>15984.374999999998</c:v>
                </c:pt>
                <c:pt idx="9">
                  <c:v>17760.416666666664</c:v>
                </c:pt>
                <c:pt idx="10">
                  <c:v>19536.458333333332</c:v>
                </c:pt>
                <c:pt idx="11">
                  <c:v>21312.5</c:v>
                </c:pt>
                <c:pt idx="12">
                  <c:v>23088.541666666668</c:v>
                </c:pt>
                <c:pt idx="13">
                  <c:v>24864.583333333328</c:v>
                </c:pt>
                <c:pt idx="14">
                  <c:v>26640.625</c:v>
                </c:pt>
                <c:pt idx="15">
                  <c:v>28416.666666666668</c:v>
                </c:pt>
                <c:pt idx="16">
                  <c:v>30192.708333333332</c:v>
                </c:pt>
                <c:pt idx="17">
                  <c:v>31968.749999999996</c:v>
                </c:pt>
                <c:pt idx="18">
                  <c:v>33744.791666666657</c:v>
                </c:pt>
                <c:pt idx="19">
                  <c:v>35520.833333333328</c:v>
                </c:pt>
                <c:pt idx="20">
                  <c:v>37296.875</c:v>
                </c:pt>
                <c:pt idx="21">
                  <c:v>39072.916666666664</c:v>
                </c:pt>
                <c:pt idx="22">
                  <c:v>40848.958333333328</c:v>
                </c:pt>
                <c:pt idx="23">
                  <c:v>42625</c:v>
                </c:pt>
                <c:pt idx="24">
                  <c:v>44401.041666666664</c:v>
                </c:pt>
              </c:numCache>
            </c:numRef>
          </c:xVal>
          <c:yVal>
            <c:numRef>
              <c:f>'P80 sandpaper '!$X$7:$X$31</c:f>
              <c:numCache>
                <c:formatCode>0.00000</c:formatCode>
                <c:ptCount val="25"/>
                <c:pt idx="0">
                  <c:v>1.2184653849013301E-2</c:v>
                </c:pt>
                <c:pt idx="1">
                  <c:v>1.0246031742742663E-2</c:v>
                </c:pt>
                <c:pt idx="2">
                  <c:v>9.2583348117923365E-3</c:v>
                </c:pt>
                <c:pt idx="3">
                  <c:v>8.615851363048075E-3</c:v>
                </c:pt>
                <c:pt idx="4">
                  <c:v>8.1483691310212901E-3</c:v>
                </c:pt>
                <c:pt idx="5">
                  <c:v>7.7853005544548503E-3</c:v>
                </c:pt>
                <c:pt idx="6">
                  <c:v>7.4909808341854026E-3</c:v>
                </c:pt>
                <c:pt idx="7">
                  <c:v>7.2450385255459562E-3</c:v>
                </c:pt>
                <c:pt idx="8">
                  <c:v>7.0348131797102406E-3</c:v>
                </c:pt>
                <c:pt idx="9">
                  <c:v>6.8519343924398277E-3</c:v>
                </c:pt>
                <c:pt idx="10">
                  <c:v>6.6905993596916369E-3</c:v>
                </c:pt>
                <c:pt idx="11">
                  <c:v>6.54663132791384E-3</c:v>
                </c:pt>
                <c:pt idx="12">
                  <c:v>6.4169308288370966E-3</c:v>
                </c:pt>
                <c:pt idx="13">
                  <c:v>6.2991389302007855E-3</c:v>
                </c:pt>
                <c:pt idx="14">
                  <c:v>6.1914216456118339E-3</c:v>
                </c:pt>
                <c:pt idx="15">
                  <c:v>6.0923269245066513E-3</c:v>
                </c:pt>
                <c:pt idx="16">
                  <c:v>6.0006868801462145E-3</c:v>
                </c:pt>
                <c:pt idx="17">
                  <c:v>5.9155491847979261E-3</c:v>
                </c:pt>
                <c:pt idx="18">
                  <c:v>5.8361278288369088E-3</c:v>
                </c:pt>
                <c:pt idx="19">
                  <c:v>5.7617670681562889E-3</c:v>
                </c:pt>
                <c:pt idx="20">
                  <c:v>5.6919145583462028E-3</c:v>
                </c:pt>
                <c:pt idx="21">
                  <c:v>5.6261010174634956E-3</c:v>
                </c:pt>
                <c:pt idx="22">
                  <c:v>5.563924612042262E-3</c:v>
                </c:pt>
                <c:pt idx="23">
                  <c:v>5.5050388156304125E-3</c:v>
                </c:pt>
                <c:pt idx="24">
                  <c:v>5.4491428577396412E-3</c:v>
                </c:pt>
              </c:numCache>
            </c:numRef>
          </c:yVal>
          <c:smooth val="0"/>
          <c:extLst>
            <c:ext xmlns:c16="http://schemas.microsoft.com/office/drawing/2014/chart" uri="{C3380CC4-5D6E-409C-BE32-E72D297353CC}">
              <c16:uniqueId val="{00000003-C17D-48A4-979E-FF6EE953C534}"/>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0"/>
            <c:dispEq val="1"/>
            <c:trendlineLbl>
              <c:layout>
                <c:manualLayout>
                  <c:x val="-1.2229036274102455E-2"/>
                  <c:y val="-4.2143755798142056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'P80 sandpaper '!$F$7:$F$12</c:f>
              <c:numCache>
                <c:formatCode>0.00</c:formatCode>
                <c:ptCount val="6"/>
                <c:pt idx="0">
                  <c:v>1.0277786</c:v>
                </c:pt>
                <c:pt idx="1">
                  <c:v>1.4444456000000001</c:v>
                </c:pt>
                <c:pt idx="2">
                  <c:v>1.9166682000000002</c:v>
                </c:pt>
                <c:pt idx="3">
                  <c:v>2.3055574000000001</c:v>
                </c:pt>
                <c:pt idx="4">
                  <c:v>2.7222244</c:v>
                </c:pt>
                <c:pt idx="5">
                  <c:v>3.1666692000000003</c:v>
                </c:pt>
              </c:numCache>
            </c:numRef>
          </c:xVal>
          <c:yVal>
            <c:numRef>
              <c:f>'P80 sandpaper '!$K$7:$K$12</c:f>
              <c:numCache>
                <c:formatCode>0</c:formatCode>
                <c:ptCount val="6"/>
                <c:pt idx="0">
                  <c:v>1061.0967739999999</c:v>
                </c:pt>
                <c:pt idx="1">
                  <c:v>2306.4870970000002</c:v>
                </c:pt>
                <c:pt idx="2">
                  <c:v>4230.2387100000005</c:v>
                </c:pt>
                <c:pt idx="3">
                  <c:v>6277.125806</c:v>
                </c:pt>
                <c:pt idx="4">
                  <c:v>8179.454839</c:v>
                </c:pt>
                <c:pt idx="5">
                  <c:v>8600.0032259999989</c:v>
                </c:pt>
              </c:numCache>
            </c:numRef>
          </c:yVal>
          <c:smooth val="0"/>
          <c:extLst>
            <c:ext xmlns:c16="http://schemas.microsoft.com/office/drawing/2014/chart" uri="{C3380CC4-5D6E-409C-BE32-E72D297353CC}">
              <c16:uniqueId val="{00000001-D5A7-42E1-A820-2AF4E205CEF6}"/>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2"/>
          <c:tx>
            <c:v>Elongation Loading</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1"/>
            <c:dispEq val="1"/>
            <c:trendlineLbl>
              <c:layout>
                <c:manualLayout>
                  <c:x val="-0.14622927977074651"/>
                  <c:y val="-8.4985440943072185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'P80 sandpaper '!$L$7:$L$12</c:f>
              <c:numCache>
                <c:formatCode>0.0E+00</c:formatCode>
                <c:ptCount val="6"/>
                <c:pt idx="0">
                  <c:v>18253.776177083331</c:v>
                </c:pt>
                <c:pt idx="1">
                  <c:v>25653.955708333335</c:v>
                </c:pt>
                <c:pt idx="2">
                  <c:v>34040.825843750004</c:v>
                </c:pt>
                <c:pt idx="3">
                  <c:v>40947.660072916668</c:v>
                </c:pt>
                <c:pt idx="4">
                  <c:v>48347.839604166664</c:v>
                </c:pt>
                <c:pt idx="5">
                  <c:v>56241.3644375</c:v>
                </c:pt>
              </c:numCache>
              <c:extLst xmlns:c15="http://schemas.microsoft.com/office/drawing/2012/chart"/>
            </c:numRef>
          </c:xVal>
          <c:yVal>
            <c:numRef>
              <c:f>'P80 sandpaper '!$S$7:$S$12</c:f>
              <c:numCache>
                <c:formatCode>0.00</c:formatCode>
                <c:ptCount val="6"/>
                <c:pt idx="0" formatCode="General">
                  <c:v>33.562333333333335</c:v>
                </c:pt>
                <c:pt idx="1">
                  <c:v>30.494333333333334</c:v>
                </c:pt>
                <c:pt idx="2" formatCode="General">
                  <c:v>23.527000000000001</c:v>
                </c:pt>
                <c:pt idx="3" formatCode="General">
                  <c:v>25.102333333333334</c:v>
                </c:pt>
                <c:pt idx="4">
                  <c:v>29.385000000000002</c:v>
                </c:pt>
                <c:pt idx="5">
                  <c:v>28.850999999999999</c:v>
                </c:pt>
              </c:numCache>
              <c:extLst xmlns:c15="http://schemas.microsoft.com/office/drawing/2012/chart"/>
            </c:numRef>
          </c:yVal>
          <c:smooth val="0"/>
          <c:extLst>
            <c:ext xmlns:c16="http://schemas.microsoft.com/office/drawing/2014/chart" uri="{C3380CC4-5D6E-409C-BE32-E72D297353CC}">
              <c16:uniqueId val="{00000005-76C1-4AB1-910A-82B469C5E9AB}"/>
            </c:ext>
          </c:extLst>
        </c:ser>
        <c:ser>
          <c:idx val="5"/>
          <c:order val="5"/>
          <c:tx>
            <c:v>Elongation Unloading</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1"/>
            <c:dispEq val="1"/>
            <c:trendlineLbl>
              <c:layout>
                <c:manualLayout>
                  <c:x val="-0.20588426029384058"/>
                  <c:y val="0.1876516756940661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'P80 sandpaper '!$L$13:$L$17</c:f>
              <c:numCache>
                <c:formatCode>0.0E+00</c:formatCode>
                <c:ptCount val="5"/>
                <c:pt idx="0">
                  <c:v>56241.3644375</c:v>
                </c:pt>
                <c:pt idx="1">
                  <c:v>47361.148999999998</c:v>
                </c:pt>
                <c:pt idx="2">
                  <c:v>40454.314770833334</c:v>
                </c:pt>
                <c:pt idx="3">
                  <c:v>33054.135239583331</c:v>
                </c:pt>
                <c:pt idx="4">
                  <c:v>24667.265104166661</c:v>
                </c:pt>
              </c:numCache>
              <c:extLst xmlns:c15="http://schemas.microsoft.com/office/drawing/2012/chart"/>
            </c:numRef>
          </c:xVal>
          <c:yVal>
            <c:numRef>
              <c:f>'P80 sandpaper '!$S$13:$S$17</c:f>
              <c:numCache>
                <c:formatCode>0.00</c:formatCode>
                <c:ptCount val="5"/>
                <c:pt idx="0">
                  <c:v>28.850999999999999</c:v>
                </c:pt>
                <c:pt idx="1">
                  <c:v>28.748666666666669</c:v>
                </c:pt>
                <c:pt idx="2" formatCode="0.000">
                  <c:v>25.405000000000001</c:v>
                </c:pt>
                <c:pt idx="3" formatCode="0.000">
                  <c:v>24.877333333333336</c:v>
                </c:pt>
                <c:pt idx="4" formatCode="0.000">
                  <c:v>25.089333333333332</c:v>
                </c:pt>
              </c:numCache>
              <c:extLst xmlns:c15="http://schemas.microsoft.com/office/drawing/2012/chart"/>
            </c:numRef>
          </c:yVal>
          <c:smooth val="0"/>
          <c:extLst>
            <c:ext xmlns:c16="http://schemas.microsoft.com/office/drawing/2014/chart" uri="{C3380CC4-5D6E-409C-BE32-E72D297353CC}">
              <c16:uniqueId val="{00000007-76C1-4AB1-910A-82B469C5E9AB}"/>
            </c:ext>
          </c:extLst>
        </c:ser>
        <c:dLbls>
          <c:showLegendKey val="0"/>
          <c:showVal val="0"/>
          <c:showCatName val="0"/>
          <c:showSerName val="0"/>
          <c:showPercent val="0"/>
          <c:showBubbleSize val="0"/>
        </c:dLbls>
        <c:axId val="1044579839"/>
        <c:axId val="1149006767"/>
        <c:extLst>
          <c:ext xmlns:c15="http://schemas.microsoft.com/office/drawing/2012/chart" uri="{02D57815-91ED-43cb-92C2-25804820EDAC}">
            <c15:filteredScatterSeries>
              <c15:ser>
                <c:idx val="0"/>
                <c:order val="0"/>
                <c:tx>
                  <c:v>Area Loading</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1"/>
                  <c:dispEq val="1"/>
                  <c:trendlineLbl>
                    <c:layout>
                      <c:manualLayout>
                        <c:x val="-0.22141192426197562"/>
                        <c:y val="0.14558691200619928"/>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extLst>
                      <c:ext uri="{02D57815-91ED-43cb-92C2-25804820EDAC}">
                        <c15:formulaRef>
                          <c15:sqref>'P80 sandpaper '!$L$7:$L$12</c15:sqref>
                        </c15:formulaRef>
                      </c:ext>
                    </c:extLst>
                    <c:numCache>
                      <c:formatCode>0.0E+00</c:formatCode>
                      <c:ptCount val="6"/>
                      <c:pt idx="0">
                        <c:v>18253.776177083331</c:v>
                      </c:pt>
                      <c:pt idx="1">
                        <c:v>25653.955708333335</c:v>
                      </c:pt>
                      <c:pt idx="2">
                        <c:v>34040.825843750004</c:v>
                      </c:pt>
                      <c:pt idx="3">
                        <c:v>40947.660072916668</c:v>
                      </c:pt>
                      <c:pt idx="4">
                        <c:v>48347.839604166664</c:v>
                      </c:pt>
                      <c:pt idx="5">
                        <c:v>56241.3644375</c:v>
                      </c:pt>
                    </c:numCache>
                  </c:numRef>
                </c:xVal>
                <c:yVal>
                  <c:numRef>
                    <c:extLst>
                      <c:ext uri="{02D57815-91ED-43cb-92C2-25804820EDAC}">
                        <c15:formulaRef>
                          <c15:sqref>'P80 sandpaper '!$Q$7:$Q$12</c15:sqref>
                        </c15:formulaRef>
                      </c:ext>
                    </c:extLst>
                    <c:numCache>
                      <c:formatCode>0.00</c:formatCode>
                      <c:ptCount val="6"/>
                      <c:pt idx="0" formatCode="General">
                        <c:v>727672.08933333342</c:v>
                      </c:pt>
                      <c:pt idx="1">
                        <c:v>535013.34766666673</c:v>
                      </c:pt>
                      <c:pt idx="2" formatCode="General">
                        <c:v>510334.59</c:v>
                      </c:pt>
                      <c:pt idx="3" formatCode="General">
                        <c:v>535924.91266666667</c:v>
                      </c:pt>
                      <c:pt idx="4">
                        <c:v>561388.92099999997</c:v>
                      </c:pt>
                      <c:pt idx="5">
                        <c:v>506774.23566666665</c:v>
                      </c:pt>
                    </c:numCache>
                  </c:numRef>
                </c:yVal>
                <c:smooth val="0"/>
                <c:extLst>
                  <c:ext xmlns:c16="http://schemas.microsoft.com/office/drawing/2014/chart" uri="{C3380CC4-5D6E-409C-BE32-E72D297353CC}">
                    <c16:uniqueId val="{00000001-76C1-4AB1-910A-82B469C5E9AB}"/>
                  </c:ext>
                </c:extLst>
              </c15:ser>
            </c15:filteredScatterSeries>
            <c15:filteredScatterSeries>
              <c15:ser>
                <c:idx val="1"/>
                <c:order val="1"/>
                <c:tx>
                  <c:v>Perimeter Loading</c:v>
                </c:tx>
                <c:spPr>
                  <a:ln w="25400" cap="rnd">
                    <a:noFill/>
                    <a:round/>
                  </a:ln>
                  <a:effectLst/>
                </c:spPr>
                <c:marker>
                  <c:symbol val="circle"/>
                  <c:size val="5"/>
                  <c:spPr>
                    <a:solidFill>
                      <a:schemeClr val="accent2"/>
                    </a:solidFill>
                    <a:ln w="9525">
                      <a:solidFill>
                        <a:schemeClr val="accent2"/>
                      </a:solidFill>
                    </a:ln>
                    <a:effectLst/>
                  </c:spPr>
                </c:marker>
                <c:xVal>
                  <c:numRef>
                    <c:extLst xmlns:c15="http://schemas.microsoft.com/office/drawing/2012/chart">
                      <c:ext xmlns:c15="http://schemas.microsoft.com/office/drawing/2012/chart" uri="{02D57815-91ED-43cb-92C2-25804820EDAC}">
                        <c15:formulaRef>
                          <c15:sqref>'P80 sandpaper '!$L$7:$L$12</c15:sqref>
                        </c15:formulaRef>
                      </c:ext>
                    </c:extLst>
                    <c:numCache>
                      <c:formatCode>0.0E+00</c:formatCode>
                      <c:ptCount val="6"/>
                      <c:pt idx="0">
                        <c:v>18253.776177083331</c:v>
                      </c:pt>
                      <c:pt idx="1">
                        <c:v>25653.955708333335</c:v>
                      </c:pt>
                      <c:pt idx="2">
                        <c:v>34040.825843750004</c:v>
                      </c:pt>
                      <c:pt idx="3">
                        <c:v>40947.660072916668</c:v>
                      </c:pt>
                      <c:pt idx="4">
                        <c:v>48347.839604166664</c:v>
                      </c:pt>
                      <c:pt idx="5">
                        <c:v>56241.3644375</c:v>
                      </c:pt>
                    </c:numCache>
                  </c:numRef>
                </c:xVal>
                <c:yVal>
                  <c:numRef>
                    <c:extLst xmlns:c15="http://schemas.microsoft.com/office/drawing/2012/chart">
                      <c:ext xmlns:c15="http://schemas.microsoft.com/office/drawing/2012/chart" uri="{02D57815-91ED-43cb-92C2-25804820EDAC}">
                        <c15:formulaRef>
                          <c15:sqref>'P80 sandpaper '!$R$7:$R$12</c15:sqref>
                        </c15:formulaRef>
                      </c:ext>
                    </c:extLst>
                    <c:numCache>
                      <c:formatCode>0.00</c:formatCode>
                      <c:ptCount val="6"/>
                      <c:pt idx="0" formatCode="General">
                        <c:v>23606.464333333333</c:v>
                      </c:pt>
                      <c:pt idx="1">
                        <c:v>18942.995999999999</c:v>
                      </c:pt>
                      <c:pt idx="2" formatCode="General">
                        <c:v>17779.214333333333</c:v>
                      </c:pt>
                      <c:pt idx="3" formatCode="General">
                        <c:v>19056.686666666665</c:v>
                      </c:pt>
                      <c:pt idx="4">
                        <c:v>18308.754333333334</c:v>
                      </c:pt>
                      <c:pt idx="5">
                        <c:v>16835.628000000001</c:v>
                      </c:pt>
                    </c:numCache>
                  </c:numRef>
                </c:yVal>
                <c:smooth val="0"/>
                <c:extLst xmlns:c15="http://schemas.microsoft.com/office/drawing/2012/chart">
                  <c:ext xmlns:c16="http://schemas.microsoft.com/office/drawing/2014/chart" uri="{C3380CC4-5D6E-409C-BE32-E72D297353CC}">
                    <c16:uniqueId val="{00000004-76C1-4AB1-910A-82B469C5E9AB}"/>
                  </c:ext>
                </c:extLst>
              </c15:ser>
            </c15:filteredScatterSeries>
            <c15:filteredScatterSeries>
              <c15:ser>
                <c:idx val="3"/>
                <c:order val="3"/>
                <c:tx>
                  <c:v>Area Unloading</c:v>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poly"/>
                  <c:order val="2"/>
                  <c:dispRSqr val="1"/>
                  <c:dispEq val="1"/>
                  <c:trendlineLbl>
                    <c:layout>
                      <c:manualLayout>
                        <c:x val="-5.2331042231761162E-3"/>
                        <c:y val="-0.1685937395328458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extLst xmlns:c15="http://schemas.microsoft.com/office/drawing/2012/chart">
                      <c:ext xmlns:c15="http://schemas.microsoft.com/office/drawing/2012/chart" uri="{02D57815-91ED-43cb-92C2-25804820EDAC}">
                        <c15:formulaRef>
                          <c15:sqref>'P80 sandpaper '!$L$13:$L$17</c15:sqref>
                        </c15:formulaRef>
                      </c:ext>
                    </c:extLst>
                    <c:numCache>
                      <c:formatCode>0.0E+00</c:formatCode>
                      <c:ptCount val="5"/>
                      <c:pt idx="0">
                        <c:v>56241.3644375</c:v>
                      </c:pt>
                      <c:pt idx="1">
                        <c:v>47361.148999999998</c:v>
                      </c:pt>
                      <c:pt idx="2">
                        <c:v>40454.314770833334</c:v>
                      </c:pt>
                      <c:pt idx="3">
                        <c:v>33054.135239583331</c:v>
                      </c:pt>
                      <c:pt idx="4">
                        <c:v>24667.265104166661</c:v>
                      </c:pt>
                    </c:numCache>
                  </c:numRef>
                </c:xVal>
                <c:yVal>
                  <c:numRef>
                    <c:extLst xmlns:c15="http://schemas.microsoft.com/office/drawing/2012/chart">
                      <c:ext xmlns:c15="http://schemas.microsoft.com/office/drawing/2012/chart" uri="{02D57815-91ED-43cb-92C2-25804820EDAC}">
                        <c15:formulaRef>
                          <c15:sqref>'P80 sandpaper '!$Q$13:$Q$17</c15:sqref>
                        </c15:formulaRef>
                      </c:ext>
                    </c:extLst>
                    <c:numCache>
                      <c:formatCode>0.00</c:formatCode>
                      <c:ptCount val="5"/>
                      <c:pt idx="0">
                        <c:v>506774.23566666665</c:v>
                      </c:pt>
                      <c:pt idx="1">
                        <c:v>497436.18166666664</c:v>
                      </c:pt>
                      <c:pt idx="2" formatCode="0.000">
                        <c:v>551534.15399999998</c:v>
                      </c:pt>
                      <c:pt idx="3" formatCode="0.000">
                        <c:v>577721.36899999995</c:v>
                      </c:pt>
                      <c:pt idx="4" formatCode="0.000">
                        <c:v>593091.34366666665</c:v>
                      </c:pt>
                    </c:numCache>
                  </c:numRef>
                </c:yVal>
                <c:smooth val="0"/>
                <c:extLst xmlns:c15="http://schemas.microsoft.com/office/drawing/2012/chart">
                  <c:ext xmlns:c16="http://schemas.microsoft.com/office/drawing/2014/chart" uri="{C3380CC4-5D6E-409C-BE32-E72D297353CC}">
                    <c16:uniqueId val="{00000003-76C1-4AB1-910A-82B469C5E9AB}"/>
                  </c:ext>
                </c:extLst>
              </c15:ser>
            </c15:filteredScatterSeries>
            <c15:filteredScatterSeries>
              <c15:ser>
                <c:idx val="4"/>
                <c:order val="4"/>
                <c:tx>
                  <c:v>Perimeter Unloading</c:v>
                </c:tx>
                <c:spPr>
                  <a:ln w="25400" cap="rnd">
                    <a:noFill/>
                    <a:round/>
                  </a:ln>
                  <a:effectLst/>
                </c:spPr>
                <c:marker>
                  <c:symbol val="circle"/>
                  <c:size val="5"/>
                  <c:spPr>
                    <a:solidFill>
                      <a:schemeClr val="accent5"/>
                    </a:solidFill>
                    <a:ln w="9525">
                      <a:solidFill>
                        <a:schemeClr val="accent5"/>
                      </a:solidFill>
                    </a:ln>
                    <a:effectLst/>
                  </c:spPr>
                </c:marker>
                <c:xVal>
                  <c:numRef>
                    <c:extLst xmlns:c15="http://schemas.microsoft.com/office/drawing/2012/chart">
                      <c:ext xmlns:c15="http://schemas.microsoft.com/office/drawing/2012/chart" uri="{02D57815-91ED-43cb-92C2-25804820EDAC}">
                        <c15:formulaRef>
                          <c15:sqref>'P80 sandpaper '!$L$13:$L$17</c15:sqref>
                        </c15:formulaRef>
                      </c:ext>
                    </c:extLst>
                    <c:numCache>
                      <c:formatCode>0.0E+00</c:formatCode>
                      <c:ptCount val="5"/>
                      <c:pt idx="0">
                        <c:v>56241.3644375</c:v>
                      </c:pt>
                      <c:pt idx="1">
                        <c:v>47361.148999999998</c:v>
                      </c:pt>
                      <c:pt idx="2">
                        <c:v>40454.314770833334</c:v>
                      </c:pt>
                      <c:pt idx="3">
                        <c:v>33054.135239583331</c:v>
                      </c:pt>
                      <c:pt idx="4">
                        <c:v>24667.265104166661</c:v>
                      </c:pt>
                    </c:numCache>
                  </c:numRef>
                </c:xVal>
                <c:yVal>
                  <c:numRef>
                    <c:extLst xmlns:c15="http://schemas.microsoft.com/office/drawing/2012/chart">
                      <c:ext xmlns:c15="http://schemas.microsoft.com/office/drawing/2012/chart" uri="{02D57815-91ED-43cb-92C2-25804820EDAC}">
                        <c15:formulaRef>
                          <c15:sqref>'P80 sandpaper '!$R$13:$R$17</c15:sqref>
                        </c15:formulaRef>
                      </c:ext>
                    </c:extLst>
                    <c:numCache>
                      <c:formatCode>0.00</c:formatCode>
                      <c:ptCount val="5"/>
                      <c:pt idx="0">
                        <c:v>16835.628000000001</c:v>
                      </c:pt>
                      <c:pt idx="1">
                        <c:v>16774.868666666665</c:v>
                      </c:pt>
                      <c:pt idx="2" formatCode="0.000">
                        <c:v>17814.46</c:v>
                      </c:pt>
                      <c:pt idx="3" formatCode="0.000">
                        <c:v>18302.283666666666</c:v>
                      </c:pt>
                      <c:pt idx="4" formatCode="0.000">
                        <c:v>18219.378333333334</c:v>
                      </c:pt>
                    </c:numCache>
                  </c:numRef>
                </c:yVal>
                <c:smooth val="0"/>
                <c:extLst xmlns:c15="http://schemas.microsoft.com/office/drawing/2012/chart">
                  <c:ext xmlns:c16="http://schemas.microsoft.com/office/drawing/2014/chart" uri="{C3380CC4-5D6E-409C-BE32-E72D297353CC}">
                    <c16:uniqueId val="{00000006-76C1-4AB1-910A-82B469C5E9AB}"/>
                  </c:ext>
                </c:extLst>
              </c15:ser>
            </c15:filteredScatterSeries>
          </c:ext>
        </c:extLst>
      </c:scatterChart>
      <c:valAx>
        <c:axId val="1044579839"/>
        <c:scaling>
          <c:orientation val="minMax"/>
        </c:scaling>
        <c:delete val="0"/>
        <c:axPos val="b"/>
        <c:majorGridlines>
          <c:spPr>
            <a:ln w="9525" cap="flat" cmpd="sng" algn="ctr">
              <a:solidFill>
                <a:schemeClr val="tx1">
                  <a:lumMod val="15000"/>
                  <a:lumOff val="85000"/>
                </a:schemeClr>
              </a:solidFill>
              <a:round/>
            </a:ln>
            <a:effectLst/>
          </c:spPr>
        </c:majorGridlines>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9006767"/>
        <c:crosses val="autoZero"/>
        <c:crossBetween val="midCat"/>
      </c:valAx>
      <c:valAx>
        <c:axId val="11490067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457983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032076486009666E-2"/>
          <c:y val="2.3029555310331913E-2"/>
          <c:w val="0.80778976829664328"/>
          <c:h val="0.89885491841734699"/>
        </c:manualLayout>
      </c:layout>
      <c:scatterChart>
        <c:scatterStyle val="lineMarker"/>
        <c:varyColors val="0"/>
        <c:ser>
          <c:idx val="0"/>
          <c:order val="0"/>
          <c:tx>
            <c:v>P40</c:v>
          </c:tx>
          <c:spPr>
            <a:ln w="25400" cap="rnd">
              <a:noFill/>
              <a:round/>
            </a:ln>
            <a:effectLst/>
          </c:spPr>
          <c:marker>
            <c:symbol val="diamond"/>
            <c:size val="6"/>
            <c:spPr>
              <a:solidFill>
                <a:schemeClr val="accent1"/>
              </a:solidFill>
              <a:ln w="9525">
                <a:solidFill>
                  <a:schemeClr val="accent1"/>
                </a:solidFill>
                <a:round/>
              </a:ln>
              <a:effectLst/>
            </c:spPr>
          </c:marker>
          <c:trendline>
            <c:spPr>
              <a:ln w="9525" cap="rnd">
                <a:solidFill>
                  <a:schemeClr val="accent1"/>
                </a:solidFill>
              </a:ln>
              <a:effectLst/>
            </c:spPr>
            <c:trendlineType val="power"/>
            <c:dispRSqr val="0"/>
            <c:dispEq val="0"/>
          </c:trendline>
          <c:xVal>
            <c:numRef>
              <c:f>#REF!</c:f>
              <c:extLst xmlns:c15="http://schemas.microsoft.com/office/drawing/2012/chart"/>
            </c:numRef>
          </c:xVal>
          <c:yVal>
            <c:numRef>
              <c:f>#REF!</c:f>
              <c:numCache>
                <c:formatCode>General</c:formatCode>
                <c:ptCount val="1"/>
                <c:pt idx="0">
                  <c:v>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9-409C-4749-AA33-329AEF888647}"/>
            </c:ext>
          </c:extLst>
        </c:ser>
        <c:ser>
          <c:idx val="1"/>
          <c:order val="1"/>
          <c:tx>
            <c:v>P80</c:v>
          </c:tx>
          <c:spPr>
            <a:ln w="25400" cap="rnd">
              <a:noFill/>
              <a:round/>
            </a:ln>
            <a:effectLst/>
          </c:spPr>
          <c:marker>
            <c:symbol val="square"/>
            <c:size val="6"/>
            <c:spPr>
              <a:solidFill>
                <a:schemeClr val="accent2"/>
              </a:solidFill>
              <a:ln w="9525">
                <a:solidFill>
                  <a:schemeClr val="accent2"/>
                </a:solidFill>
                <a:round/>
              </a:ln>
              <a:effectLst/>
            </c:spPr>
          </c:marker>
          <c:trendline>
            <c:spPr>
              <a:ln w="9525" cap="rnd">
                <a:solidFill>
                  <a:schemeClr val="accent2"/>
                </a:solidFill>
              </a:ln>
              <a:effectLst/>
            </c:spPr>
            <c:trendlineType val="power"/>
            <c:dispRSqr val="0"/>
            <c:dispEq val="0"/>
          </c:trendline>
          <c:xVal>
            <c:numRef>
              <c:f>#REF!</c:f>
              <c:extLst xmlns:c15="http://schemas.microsoft.com/office/drawing/2012/chart"/>
            </c:numRef>
          </c:xVal>
          <c:yVal>
            <c:numRef>
              <c:f>#REF!</c:f>
              <c:numCache>
                <c:formatCode>General</c:formatCode>
                <c:ptCount val="1"/>
                <c:pt idx="0">
                  <c:v>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B-409C-4749-AA33-329AEF888647}"/>
            </c:ext>
          </c:extLst>
        </c:ser>
        <c:ser>
          <c:idx val="2"/>
          <c:order val="2"/>
          <c:tx>
            <c:v>P120</c:v>
          </c:tx>
          <c:spPr>
            <a:ln w="25400" cap="rnd">
              <a:noFill/>
              <a:round/>
            </a:ln>
            <a:effectLst/>
          </c:spPr>
          <c:marker>
            <c:symbol val="triangle"/>
            <c:size val="6"/>
            <c:spPr>
              <a:solidFill>
                <a:schemeClr val="accent3"/>
              </a:solidFill>
              <a:ln w="9525">
                <a:solidFill>
                  <a:schemeClr val="accent3"/>
                </a:solidFill>
                <a:round/>
              </a:ln>
              <a:effectLst/>
            </c:spPr>
          </c:marker>
          <c:trendline>
            <c:spPr>
              <a:ln w="9525" cap="rnd">
                <a:solidFill>
                  <a:schemeClr val="accent3"/>
                </a:solidFill>
              </a:ln>
              <a:effectLst/>
            </c:spPr>
            <c:trendlineType val="power"/>
            <c:dispRSqr val="0"/>
            <c:dispEq val="0"/>
          </c:trendline>
          <c:xVal>
            <c:numRef>
              <c:f>#REF!</c:f>
              <c:extLst xmlns:c15="http://schemas.microsoft.com/office/drawing/2012/chart"/>
            </c:numRef>
          </c:xVal>
          <c:yVal>
            <c:numRef>
              <c:f>#REF!</c:f>
              <c:numCache>
                <c:formatCode>General</c:formatCode>
                <c:ptCount val="1"/>
                <c:pt idx="0">
                  <c:v>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D-409C-4749-AA33-329AEF888647}"/>
            </c:ext>
          </c:extLst>
        </c:ser>
        <c:ser>
          <c:idx val="5"/>
          <c:order val="3"/>
          <c:tx>
            <c:v>Spray Applied Coating</c:v>
          </c:tx>
          <c:spPr>
            <a:ln w="25400" cap="rnd">
              <a:noFill/>
              <a:round/>
            </a:ln>
            <a:effectLst/>
          </c:spPr>
          <c:marker>
            <c:symbol val="circle"/>
            <c:size val="6"/>
            <c:spPr>
              <a:solidFill>
                <a:schemeClr val="accent6"/>
              </a:solidFill>
              <a:ln w="9525">
                <a:solidFill>
                  <a:schemeClr val="accent6"/>
                </a:solidFill>
                <a:round/>
              </a:ln>
              <a:effectLst/>
            </c:spPr>
          </c:marker>
          <c:trendline>
            <c:spPr>
              <a:ln w="9525" cap="rnd">
                <a:solidFill>
                  <a:schemeClr val="accent6"/>
                </a:solidFill>
              </a:ln>
              <a:effectLst/>
            </c:spPr>
            <c:trendlineType val="power"/>
            <c:dispRSqr val="0"/>
            <c:dispEq val="0"/>
          </c:trendline>
          <c:xVal>
            <c:numRef>
              <c:f>#REF!</c:f>
              <c:extLst xmlns:c15="http://schemas.microsoft.com/office/drawing/2012/chart"/>
            </c:numRef>
          </c:xVal>
          <c:yVal>
            <c:numRef>
              <c:f>#REF!</c:f>
              <c:numCache>
                <c:formatCode>General</c:formatCode>
                <c:ptCount val="1"/>
                <c:pt idx="0">
                  <c:v>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F-409C-4749-AA33-329AEF888647}"/>
            </c:ext>
          </c:extLst>
        </c:ser>
        <c:ser>
          <c:idx val="9"/>
          <c:order val="4"/>
          <c:tx>
            <c:v>PVC panel</c:v>
          </c:tx>
          <c:spPr>
            <a:ln w="25400" cap="rnd">
              <a:noFill/>
              <a:round/>
            </a:ln>
            <a:effectLst/>
          </c:spPr>
          <c:marker>
            <c:symbol val="diamond"/>
            <c:size val="6"/>
            <c:spPr>
              <a:solidFill>
                <a:schemeClr val="accent4">
                  <a:lumMod val="60000"/>
                </a:schemeClr>
              </a:solidFill>
              <a:ln w="9525">
                <a:solidFill>
                  <a:schemeClr val="accent4">
                    <a:lumMod val="60000"/>
                  </a:schemeClr>
                </a:solidFill>
                <a:round/>
              </a:ln>
              <a:effectLst/>
            </c:spPr>
          </c:marker>
          <c:trendline>
            <c:spPr>
              <a:ln w="9525" cap="rnd">
                <a:solidFill>
                  <a:schemeClr val="accent4">
                    <a:lumMod val="60000"/>
                  </a:schemeClr>
                </a:solidFill>
              </a:ln>
              <a:effectLst/>
            </c:spPr>
            <c:trendlineType val="power"/>
            <c:dispRSqr val="0"/>
            <c:dispEq val="0"/>
          </c:trendline>
          <c:xVal>
            <c:numRef>
              <c:f>'1 Plain Panel'!$L$8:$L$12</c:f>
              <c:numCache>
                <c:formatCode>0.0E+00</c:formatCode>
                <c:ptCount val="5"/>
                <c:pt idx="0">
                  <c:v>24166.25733024691</c:v>
                </c:pt>
                <c:pt idx="1">
                  <c:v>29438.895293209873</c:v>
                </c:pt>
                <c:pt idx="2">
                  <c:v>36469.07924382716</c:v>
                </c:pt>
                <c:pt idx="3">
                  <c:v>43059.876697530861</c:v>
                </c:pt>
                <c:pt idx="4">
                  <c:v>49650.674151234562</c:v>
                </c:pt>
              </c:numCache>
              <c:extLst xmlns:c15="http://schemas.microsoft.com/office/drawing/2012/chart"/>
            </c:numRef>
          </c:xVal>
          <c:yVal>
            <c:numRef>
              <c:f>'1 Plain Panel'!$O$8:$O$12</c:f>
              <c:numCache>
                <c:formatCode>0.000</c:formatCode>
                <c:ptCount val="5"/>
                <c:pt idx="0">
                  <c:v>7.6760769562637743E-3</c:v>
                </c:pt>
                <c:pt idx="1">
                  <c:v>7.6721076492081491E-3</c:v>
                </c:pt>
                <c:pt idx="2">
                  <c:v>7.401528761111247E-3</c:v>
                </c:pt>
                <c:pt idx="3">
                  <c:v>7.3624973174743723E-3</c:v>
                </c:pt>
                <c:pt idx="4">
                  <c:v>6.9649192272371024E-3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5-409C-4749-AA33-329AEF888647}"/>
            </c:ext>
          </c:extLst>
        </c:ser>
        <c:ser>
          <c:idx val="15"/>
          <c:order val="5"/>
          <c:tx>
            <c:v>Sandpaper P240</c:v>
          </c:tx>
          <c:spPr>
            <a:ln w="25400" cap="rnd">
              <a:noFill/>
              <a:round/>
            </a:ln>
            <a:effectLst/>
          </c:spPr>
          <c:marker>
            <c:symbol val="plus"/>
            <c:size val="6"/>
            <c:spPr>
              <a:noFill/>
              <a:ln w="9525">
                <a:solidFill>
                  <a:schemeClr val="accent4">
                    <a:lumMod val="80000"/>
                    <a:lumOff val="20000"/>
                  </a:schemeClr>
                </a:solidFill>
                <a:round/>
              </a:ln>
              <a:effectLst/>
            </c:spPr>
          </c:marker>
          <c:trendline>
            <c:spPr>
              <a:ln w="9525" cap="rnd">
                <a:solidFill>
                  <a:schemeClr val="accent4">
                    <a:lumMod val="80000"/>
                    <a:lumOff val="20000"/>
                  </a:schemeClr>
                </a:solidFill>
              </a:ln>
              <a:effectLst/>
            </c:spPr>
            <c:trendlineType val="power"/>
            <c:dispRSqr val="0"/>
            <c:dispEq val="0"/>
          </c:trendline>
          <c:xVal>
            <c:numRef>
              <c:f>'P240 sandpaper AVGS'!$L$8:$L$12</c:f>
              <c:numCache>
                <c:formatCode>0.0E+00</c:formatCode>
                <c:ptCount val="5"/>
                <c:pt idx="0">
                  <c:v>25621.499581445525</c:v>
                </c:pt>
                <c:pt idx="1">
                  <c:v>32985.762934196326</c:v>
                </c:pt>
                <c:pt idx="2">
                  <c:v>40810.292746494059</c:v>
                </c:pt>
                <c:pt idx="3">
                  <c:v>46793.756720604091</c:v>
                </c:pt>
                <c:pt idx="4">
                  <c:v>53544.331460625675</c:v>
                </c:pt>
              </c:numCache>
            </c:numRef>
          </c:xVal>
          <c:yVal>
            <c:numRef>
              <c:f>'P240 sandpaper AVGS'!$O$8:$O$12</c:f>
              <c:numCache>
                <c:formatCode>0.000</c:formatCode>
                <c:ptCount val="5"/>
                <c:pt idx="0">
                  <c:v>7.3768057355044943E-3</c:v>
                </c:pt>
                <c:pt idx="1">
                  <c:v>7.6045020159216286E-3</c:v>
                </c:pt>
                <c:pt idx="2">
                  <c:v>7.6823078619262667E-3</c:v>
                </c:pt>
                <c:pt idx="3">
                  <c:v>7.8456121937399356E-3</c:v>
                </c:pt>
                <c:pt idx="4">
                  <c:v>7.5893012677243025E-3</c:v>
                </c:pt>
              </c:numCache>
            </c:numRef>
          </c:yVal>
          <c:smooth val="0"/>
          <c:extLst>
            <c:ext xmlns:c16="http://schemas.microsoft.com/office/drawing/2014/chart" uri="{C3380CC4-5D6E-409C-BE32-E72D297353CC}">
              <c16:uniqueId val="{00000010-82BB-4D31-9551-8A231645E289}"/>
            </c:ext>
          </c:extLst>
        </c:ser>
        <c:ser>
          <c:idx val="10"/>
          <c:order val="6"/>
          <c:tx>
            <c:v>Sandpaper P80</c:v>
          </c:tx>
          <c:spPr>
            <a:ln w="25400" cap="rnd">
              <a:noFill/>
              <a:round/>
            </a:ln>
            <a:effectLst/>
          </c:spPr>
          <c:marker>
            <c:symbol val="square"/>
            <c:size val="6"/>
            <c:spPr>
              <a:solidFill>
                <a:schemeClr val="accent5">
                  <a:lumMod val="60000"/>
                </a:schemeClr>
              </a:solidFill>
              <a:ln w="9525">
                <a:solidFill>
                  <a:schemeClr val="accent5">
                    <a:lumMod val="60000"/>
                  </a:schemeClr>
                </a:solidFill>
                <a:round/>
              </a:ln>
              <a:effectLst/>
            </c:spPr>
          </c:marker>
          <c:trendline>
            <c:spPr>
              <a:ln w="9525" cap="rnd">
                <a:solidFill>
                  <a:schemeClr val="accent5">
                    <a:lumMod val="60000"/>
                  </a:schemeClr>
                </a:solidFill>
              </a:ln>
              <a:effectLst/>
            </c:spPr>
            <c:trendlineType val="power"/>
            <c:dispRSqr val="0"/>
            <c:dispEq val="0"/>
          </c:trendline>
          <c:xVal>
            <c:numRef>
              <c:f>'P80 sandpaper AVGS'!$M$8:$M$12</c:f>
              <c:numCache>
                <c:formatCode>0.0E+00</c:formatCode>
                <c:ptCount val="5"/>
                <c:pt idx="0">
                  <c:v>24348.721922902492</c:v>
                </c:pt>
                <c:pt idx="1">
                  <c:v>32249.962811791389</c:v>
                </c:pt>
                <c:pt idx="2">
                  <c:v>39183.704816326535</c:v>
                </c:pt>
                <c:pt idx="3">
                  <c:v>45956.197006802722</c:v>
                </c:pt>
                <c:pt idx="4">
                  <c:v>52486.814476190477</c:v>
                </c:pt>
              </c:numCache>
            </c:numRef>
          </c:xVal>
          <c:yVal>
            <c:numRef>
              <c:f>'P80 sandpaper AVGS'!$P$8:$P$12</c:f>
              <c:numCache>
                <c:formatCode>0.000</c:formatCode>
                <c:ptCount val="5"/>
                <c:pt idx="0">
                  <c:v>1.2423623758869535E-2</c:v>
                </c:pt>
                <c:pt idx="1">
                  <c:v>1.256604135507821E-2</c:v>
                </c:pt>
                <c:pt idx="2">
                  <c:v>1.2688328481080976E-2</c:v>
                </c:pt>
                <c:pt idx="3">
                  <c:v>1.2236436649216273E-2</c:v>
                </c:pt>
                <c:pt idx="4">
                  <c:v>9.7314080436958095E-3</c:v>
                </c:pt>
              </c:numCache>
            </c:numRef>
          </c:yVal>
          <c:smooth val="0"/>
          <c:extLst>
            <c:ext xmlns:c16="http://schemas.microsoft.com/office/drawing/2014/chart" uri="{C3380CC4-5D6E-409C-BE32-E72D297353CC}">
              <c16:uniqueId val="{0000000E-82BB-4D31-9551-8A231645E289}"/>
            </c:ext>
          </c:extLst>
        </c:ser>
        <c:ser>
          <c:idx val="11"/>
          <c:order val="7"/>
          <c:tx>
            <c:v>Filler Smooth</c:v>
          </c:tx>
          <c:spPr>
            <a:ln w="25400" cap="rnd">
              <a:noFill/>
              <a:round/>
            </a:ln>
            <a:effectLst/>
          </c:spPr>
          <c:marker>
            <c:symbol val="triangle"/>
            <c:size val="6"/>
            <c:spPr>
              <a:solidFill>
                <a:schemeClr val="accent6">
                  <a:lumMod val="60000"/>
                </a:schemeClr>
              </a:solidFill>
              <a:ln w="9525">
                <a:solidFill>
                  <a:schemeClr val="accent6">
                    <a:lumMod val="60000"/>
                  </a:schemeClr>
                </a:solidFill>
                <a:round/>
              </a:ln>
              <a:effectLst/>
            </c:spPr>
          </c:marker>
          <c:trendline>
            <c:spPr>
              <a:ln w="9525" cap="rnd">
                <a:solidFill>
                  <a:schemeClr val="accent6">
                    <a:lumMod val="60000"/>
                  </a:schemeClr>
                </a:solidFill>
              </a:ln>
              <a:effectLst/>
            </c:spPr>
            <c:trendlineType val="power"/>
            <c:dispRSqr val="0"/>
            <c:dispEq val="1"/>
            <c:trendlineLbl>
              <c:layout>
                <c:manualLayout>
                  <c:x val="-0.3602347342455508"/>
                  <c:y val="-2.319364670191899E-2"/>
                </c:manualLayout>
              </c:layout>
              <c:numFmt formatCode="General" sourceLinked="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trendlineLbl>
          </c:trendline>
          <c:xVal>
            <c:numRef>
              <c:f>'EF25 flat AVGS'!$L$8:$L$12</c:f>
              <c:numCache>
                <c:formatCode>0.0E+00</c:formatCode>
                <c:ptCount val="5"/>
                <c:pt idx="0">
                  <c:v>24203.089020070838</c:v>
                </c:pt>
                <c:pt idx="1">
                  <c:v>30702.066627312077</c:v>
                </c:pt>
                <c:pt idx="2">
                  <c:v>38097.454939000396</c:v>
                </c:pt>
                <c:pt idx="3">
                  <c:v>45268.740574576928</c:v>
                </c:pt>
                <c:pt idx="4">
                  <c:v>51991.820857929946</c:v>
                </c:pt>
              </c:numCache>
              <c:extLst xmlns:c15="http://schemas.microsoft.com/office/drawing/2012/chart"/>
            </c:numRef>
          </c:xVal>
          <c:yVal>
            <c:numRef>
              <c:f>'EF25 flat AVGS'!$O$8:$O$12</c:f>
              <c:numCache>
                <c:formatCode>0.000</c:formatCode>
                <c:ptCount val="5"/>
                <c:pt idx="0">
                  <c:v>7.4776636450018044E-3</c:v>
                </c:pt>
                <c:pt idx="1">
                  <c:v>7.2481135651974752E-3</c:v>
                </c:pt>
                <c:pt idx="2">
                  <c:v>6.9796046123650861E-3</c:v>
                </c:pt>
                <c:pt idx="3">
                  <c:v>6.7045059317648341E-3</c:v>
                </c:pt>
                <c:pt idx="4">
                  <c:v>6.4920279779756753E-3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7-409C-4749-AA33-329AEF888647}"/>
            </c:ext>
          </c:extLst>
        </c:ser>
        <c:ser>
          <c:idx val="6"/>
          <c:order val="8"/>
          <c:tx>
            <c:v>Filler P240</c:v>
          </c:tx>
          <c:spPr>
            <a:ln w="25400" cap="rnd">
              <a:noFill/>
              <a:round/>
            </a:ln>
            <a:effectLst/>
          </c:spPr>
          <c:marker>
            <c:symbol val="plus"/>
            <c:size val="6"/>
            <c:spPr>
              <a:noFill/>
              <a:ln w="9525">
                <a:solidFill>
                  <a:schemeClr val="accent1">
                    <a:lumMod val="60000"/>
                  </a:schemeClr>
                </a:solidFill>
                <a:round/>
              </a:ln>
              <a:effectLst/>
            </c:spPr>
          </c:marker>
          <c:trendline>
            <c:spPr>
              <a:ln w="9525" cap="rnd">
                <a:solidFill>
                  <a:schemeClr val="accent1">
                    <a:lumMod val="60000"/>
                  </a:schemeClr>
                </a:solidFill>
              </a:ln>
              <a:effectLst/>
            </c:spPr>
            <c:trendlineType val="power"/>
            <c:dispRSqr val="0"/>
            <c:dispEq val="0"/>
          </c:trendline>
          <c:xVal>
            <c:numRef>
              <c:f>'EF25 P240 AVGS'!$L$8:$L$12</c:f>
              <c:numCache>
                <c:formatCode>0.0E+00</c:formatCode>
                <c:ptCount val="5"/>
                <c:pt idx="0">
                  <c:v>24959.435551948049</c:v>
                </c:pt>
                <c:pt idx="1">
                  <c:v>32971.106222943716</c:v>
                </c:pt>
                <c:pt idx="2">
                  <c:v>40212.423944805189</c:v>
                </c:pt>
                <c:pt idx="3">
                  <c:v>46837.459307359313</c:v>
                </c:pt>
                <c:pt idx="4">
                  <c:v>51767.718181818185</c:v>
                </c:pt>
              </c:numCache>
              <c:extLst xmlns:c15="http://schemas.microsoft.com/office/drawing/2012/chart"/>
            </c:numRef>
          </c:xVal>
          <c:yVal>
            <c:numRef>
              <c:f>'EF25 P240 AVGS'!$O$8:$O$12</c:f>
              <c:numCache>
                <c:formatCode>0.000</c:formatCode>
                <c:ptCount val="5"/>
                <c:pt idx="0">
                  <c:v>8.2918058912631841E-3</c:v>
                </c:pt>
                <c:pt idx="1">
                  <c:v>8.0103373727871859E-3</c:v>
                </c:pt>
                <c:pt idx="2">
                  <c:v>7.8994868078460165E-3</c:v>
                </c:pt>
                <c:pt idx="3">
                  <c:v>7.1540356801380782E-3</c:v>
                </c:pt>
                <c:pt idx="4">
                  <c:v>6.1201523299938771E-3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3-409C-4749-AA33-329AEF888647}"/>
            </c:ext>
          </c:extLst>
        </c:ser>
        <c:ser>
          <c:idx val="3"/>
          <c:order val="9"/>
          <c:tx>
            <c:v>Filler P80</c:v>
          </c:tx>
          <c:spPr>
            <a:ln w="25400" cap="rnd">
              <a:noFill/>
              <a:round/>
            </a:ln>
            <a:effectLst/>
          </c:spPr>
          <c:marker>
            <c:symbol val="x"/>
            <c:size val="6"/>
            <c:spPr>
              <a:solidFill>
                <a:sysClr val="window" lastClr="FFFFFF"/>
              </a:solidFill>
              <a:ln w="9525">
                <a:solidFill>
                  <a:srgbClr val="00B050"/>
                </a:solidFill>
                <a:round/>
              </a:ln>
              <a:effectLst/>
            </c:spPr>
          </c:marker>
          <c:trendline>
            <c:spPr>
              <a:ln w="9525" cap="rnd">
                <a:solidFill>
                  <a:srgbClr val="00B050"/>
                </a:solidFill>
              </a:ln>
              <a:effectLst/>
            </c:spPr>
            <c:trendlineType val="power"/>
            <c:dispRSqr val="0"/>
            <c:dispEq val="0"/>
          </c:trendline>
          <c:xVal>
            <c:numRef>
              <c:f>'EF25 P80 AVGS'!$M$8:$M$12</c:f>
              <c:numCache>
                <c:formatCode>0.0E+00</c:formatCode>
                <c:ptCount val="5"/>
                <c:pt idx="0">
                  <c:v>23135.899487723014</c:v>
                </c:pt>
                <c:pt idx="1">
                  <c:v>30320.96144043202</c:v>
                </c:pt>
                <c:pt idx="2">
                  <c:v>36500.114719761768</c:v>
                </c:pt>
                <c:pt idx="3">
                  <c:v>43254.072955308235</c:v>
                </c:pt>
                <c:pt idx="4">
                  <c:v>49002.122517475444</c:v>
                </c:pt>
              </c:numCache>
              <c:extLst xmlns:c15="http://schemas.microsoft.com/office/drawing/2012/chart"/>
            </c:numRef>
          </c:xVal>
          <c:yVal>
            <c:numRef>
              <c:f>'EF25 P80 AVGS'!$P$8:$P$12</c:f>
              <c:numCache>
                <c:formatCode>0.000</c:formatCode>
                <c:ptCount val="5"/>
                <c:pt idx="0">
                  <c:v>1.1156585428062358E-2</c:v>
                </c:pt>
                <c:pt idx="1">
                  <c:v>1.0682836246979188E-2</c:v>
                </c:pt>
                <c:pt idx="2">
                  <c:v>1.042866723901972E-2</c:v>
                </c:pt>
                <c:pt idx="3">
                  <c:v>9.6013458520381265E-3</c:v>
                </c:pt>
                <c:pt idx="4">
                  <c:v>8.3077964975756102E-3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1-409C-4749-AA33-329AEF888647}"/>
            </c:ext>
          </c:extLst>
        </c:ser>
        <c:ser>
          <c:idx val="14"/>
          <c:order val="10"/>
          <c:tx>
            <c:v>Filler P40</c:v>
          </c:tx>
          <c:spPr>
            <a:ln w="25400" cap="rnd">
              <a:noFill/>
              <a:round/>
            </a:ln>
            <a:effectLst/>
          </c:spPr>
          <c:marker>
            <c:symbol val="circle"/>
            <c:size val="6"/>
            <c:spPr>
              <a:solidFill>
                <a:schemeClr val="accent3">
                  <a:lumMod val="80000"/>
                  <a:lumOff val="20000"/>
                </a:schemeClr>
              </a:solidFill>
              <a:ln w="9525">
                <a:solidFill>
                  <a:schemeClr val="accent3">
                    <a:lumMod val="80000"/>
                    <a:lumOff val="20000"/>
                  </a:schemeClr>
                </a:solidFill>
                <a:round/>
              </a:ln>
              <a:effectLst/>
            </c:spPr>
          </c:marker>
          <c:trendline>
            <c:spPr>
              <a:ln w="9525" cap="rnd">
                <a:solidFill>
                  <a:schemeClr val="accent3">
                    <a:lumMod val="80000"/>
                    <a:lumOff val="20000"/>
                  </a:schemeClr>
                </a:solidFill>
              </a:ln>
              <a:effectLst/>
            </c:spPr>
            <c:trendlineType val="power"/>
            <c:dispRSqr val="0"/>
            <c:dispEq val="0"/>
          </c:trendline>
          <c:xVal>
            <c:numRef>
              <c:f>'EF25 P40 AVGS'!$L$9:$L$13</c:f>
              <c:numCache>
                <c:formatCode>0.0E+00</c:formatCode>
                <c:ptCount val="5"/>
                <c:pt idx="0">
                  <c:v>21722.522169394077</c:v>
                </c:pt>
                <c:pt idx="1">
                  <c:v>27809.02596564942</c:v>
                </c:pt>
                <c:pt idx="2">
                  <c:v>34000.469482529857</c:v>
                </c:pt>
                <c:pt idx="3">
                  <c:v>40017.013465035139</c:v>
                </c:pt>
                <c:pt idx="4">
                  <c:v>44494.441545039066</c:v>
                </c:pt>
              </c:numCache>
              <c:extLst xmlns:c15="http://schemas.microsoft.com/office/drawing/2012/chart"/>
            </c:numRef>
          </c:xVal>
          <c:yVal>
            <c:numRef>
              <c:f>'EF25 P40 AVGS'!$O$9:$O$13</c:f>
              <c:numCache>
                <c:formatCode>0.000</c:formatCode>
                <c:ptCount val="5"/>
                <c:pt idx="0">
                  <c:v>1.512538070955566E-2</c:v>
                </c:pt>
                <c:pt idx="1">
                  <c:v>1.5215090833516069E-2</c:v>
                </c:pt>
                <c:pt idx="2">
                  <c:v>1.3945610093808108E-2</c:v>
                </c:pt>
                <c:pt idx="3">
                  <c:v>1.0595984233301277E-2</c:v>
                </c:pt>
                <c:pt idx="4">
                  <c:v>8.6969785125901831E-3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A-409C-4749-AA33-329AEF888647}"/>
            </c:ext>
          </c:extLst>
        </c:ser>
        <c:ser>
          <c:idx val="8"/>
          <c:order val="11"/>
          <c:tx>
            <c:v>Elastomer Smooth</c:v>
          </c:tx>
          <c:spPr>
            <a:ln w="25400" cap="rnd">
              <a:noFill/>
              <a:round/>
            </a:ln>
            <a:effectLst/>
          </c:spPr>
          <c:marker>
            <c:symbol val="dash"/>
            <c:size val="6"/>
            <c:spPr>
              <a:solidFill>
                <a:schemeClr val="accent3">
                  <a:lumMod val="60000"/>
                </a:schemeClr>
              </a:solidFill>
              <a:ln w="9525">
                <a:solidFill>
                  <a:schemeClr val="accent3">
                    <a:lumMod val="60000"/>
                  </a:schemeClr>
                </a:solidFill>
                <a:round/>
              </a:ln>
              <a:effectLst/>
            </c:spPr>
          </c:marker>
          <c:trendline>
            <c:spPr>
              <a:ln w="9525" cap="rnd">
                <a:solidFill>
                  <a:schemeClr val="accent3">
                    <a:lumMod val="60000"/>
                  </a:schemeClr>
                </a:solidFill>
              </a:ln>
              <a:effectLst/>
            </c:spPr>
            <c:trendlineType val="power"/>
            <c:dispRSqr val="0"/>
            <c:dispEq val="0"/>
          </c:trendline>
          <c:xVal>
            <c:numRef>
              <c:f>'MMHSE flat AVG'!$L$8:$L$12</c:f>
              <c:numCache>
                <c:formatCode>0.0E+00</c:formatCode>
                <c:ptCount val="5"/>
                <c:pt idx="0">
                  <c:v>24733.809165172341</c:v>
                </c:pt>
                <c:pt idx="1">
                  <c:v>31541.279577605099</c:v>
                </c:pt>
                <c:pt idx="2">
                  <c:v>38802.581350866705</c:v>
                </c:pt>
                <c:pt idx="3">
                  <c:v>46971.545845786015</c:v>
                </c:pt>
                <c:pt idx="4">
                  <c:v>52871.353536561066</c:v>
                </c:pt>
              </c:numCache>
              <c:extLst xmlns:c15="http://schemas.microsoft.com/office/drawing/2012/chart"/>
            </c:numRef>
          </c:xVal>
          <c:yVal>
            <c:numRef>
              <c:f>'MMHSE flat AVG'!$O$8:$O$12</c:f>
              <c:numCache>
                <c:formatCode>0.000</c:formatCode>
                <c:ptCount val="5"/>
                <c:pt idx="0">
                  <c:v>7.9919512554307154E-3</c:v>
                </c:pt>
                <c:pt idx="1">
                  <c:v>7.6143534622810276E-3</c:v>
                </c:pt>
                <c:pt idx="2">
                  <c:v>7.2699028256832353E-3</c:v>
                </c:pt>
                <c:pt idx="3">
                  <c:v>6.8600008124494851E-3</c:v>
                </c:pt>
                <c:pt idx="4">
                  <c:v>6.5583043169987199E-3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3-409C-4749-AA33-329AEF888647}"/>
            </c:ext>
          </c:extLst>
        </c:ser>
        <c:ser>
          <c:idx val="4"/>
          <c:order val="13"/>
          <c:tx>
            <c:v>Elastomer P240</c:v>
          </c:tx>
          <c:spPr>
            <a:ln w="25400" cap="rnd">
              <a:noFill/>
              <a:round/>
            </a:ln>
            <a:effectLst/>
          </c:spPr>
          <c:marker>
            <c:symbol val="star"/>
            <c:size val="6"/>
            <c:spPr>
              <a:noFill/>
              <a:ln w="9525">
                <a:solidFill>
                  <a:schemeClr val="accent5"/>
                </a:solidFill>
                <a:round/>
              </a:ln>
              <a:effectLst/>
            </c:spPr>
          </c:marker>
          <c:trendline>
            <c:spPr>
              <a:ln w="9525" cap="rnd">
                <a:solidFill>
                  <a:schemeClr val="accent5"/>
                </a:solidFill>
              </a:ln>
              <a:effectLst/>
            </c:spPr>
            <c:trendlineType val="power"/>
            <c:dispRSqr val="0"/>
            <c:dispEq val="0"/>
          </c:trendline>
          <c:xVal>
            <c:numRef>
              <c:f>'MMHSE P240 AVG'!$L$8:$L$11</c:f>
              <c:numCache>
                <c:formatCode>0.0E+00</c:formatCode>
                <c:ptCount val="4"/>
                <c:pt idx="0">
                  <c:v>18828.41348329734</c:v>
                </c:pt>
                <c:pt idx="1">
                  <c:v>24891.800876223599</c:v>
                </c:pt>
                <c:pt idx="2">
                  <c:v>31832.783812862872</c:v>
                </c:pt>
                <c:pt idx="3">
                  <c:v>37816.389792724316</c:v>
                </c:pt>
              </c:numCache>
              <c:extLst xmlns:c15="http://schemas.microsoft.com/office/drawing/2012/chart"/>
            </c:numRef>
          </c:xVal>
          <c:yVal>
            <c:numRef>
              <c:f>'MMHSE P240 AVG'!$O$8:$O$11</c:f>
              <c:numCache>
                <c:formatCode>0.000</c:formatCode>
                <c:ptCount val="4"/>
                <c:pt idx="0">
                  <c:v>1.438557933187895E-2</c:v>
                </c:pt>
                <c:pt idx="1">
                  <c:v>1.3673141980240184E-2</c:v>
                </c:pt>
                <c:pt idx="2">
                  <c:v>9.9228677402318291E-3</c:v>
                </c:pt>
                <c:pt idx="3">
                  <c:v>1.000637253343376E-2</c:v>
                </c:pt>
              </c:numCache>
              <c:extLst xmlns:c15="http://schemas.microsoft.com/office/drawing/2012/chart"/>
            </c:numRef>
          </c:yVal>
          <c:smooth val="0"/>
          <c:extLst>
            <c:ext xmlns:c16="http://schemas.microsoft.com/office/drawing/2014/chart" uri="{C3380CC4-5D6E-409C-BE32-E72D297353CC}">
              <c16:uniqueId val="{00000007-409C-4749-AA33-329AEF888647}"/>
            </c:ext>
          </c:extLst>
        </c:ser>
        <c:ser>
          <c:idx val="7"/>
          <c:order val="14"/>
          <c:tx>
            <c:v>Elastomer P80</c:v>
          </c:tx>
          <c:spPr>
            <a:ln w="25400" cap="rnd">
              <a:noFill/>
              <a:round/>
            </a:ln>
            <a:effectLst/>
          </c:spPr>
          <c:marker>
            <c:symbol val="dot"/>
            <c:size val="6"/>
            <c:spPr>
              <a:solidFill>
                <a:schemeClr val="accent2">
                  <a:lumMod val="60000"/>
                </a:schemeClr>
              </a:solidFill>
              <a:ln w="9525">
                <a:solidFill>
                  <a:schemeClr val="accent2">
                    <a:lumMod val="60000"/>
                  </a:schemeClr>
                </a:solidFill>
                <a:round/>
              </a:ln>
              <a:effectLst/>
            </c:spPr>
          </c:marker>
          <c:trendline>
            <c:spPr>
              <a:ln w="9525" cap="rnd">
                <a:solidFill>
                  <a:schemeClr val="accent2">
                    <a:lumMod val="60000"/>
                  </a:schemeClr>
                </a:solidFill>
              </a:ln>
              <a:effectLst/>
            </c:spPr>
            <c:trendlineType val="power"/>
            <c:dispRSqr val="0"/>
            <c:dispEq val="0"/>
          </c:trendline>
          <c:xVal>
            <c:numRef>
              <c:f>'MMHSE P80 AVGS'!$L$8:$L$12</c:f>
              <c:numCache>
                <c:formatCode>0.0E+00</c:formatCode>
                <c:ptCount val="5"/>
                <c:pt idx="0">
                  <c:v>18801.896461659773</c:v>
                </c:pt>
                <c:pt idx="1">
                  <c:v>24835.340848610296</c:v>
                </c:pt>
                <c:pt idx="2">
                  <c:v>30447.8472550759</c:v>
                </c:pt>
                <c:pt idx="3">
                  <c:v>34727.383390005925</c:v>
                </c:pt>
                <c:pt idx="4">
                  <c:v>39568.170165582502</c:v>
                </c:pt>
              </c:numCache>
              <c:extLst xmlns:c15="http://schemas.microsoft.com/office/drawing/2012/chart"/>
            </c:numRef>
          </c:xVal>
          <c:yVal>
            <c:numRef>
              <c:f>'MMHSE P80 AVGS'!$O$8:$O$12</c:f>
              <c:numCache>
                <c:formatCode>0.000</c:formatCode>
                <c:ptCount val="5"/>
                <c:pt idx="0">
                  <c:v>1.6904693184688124E-2</c:v>
                </c:pt>
                <c:pt idx="1">
                  <c:v>1.6167390968992418E-2</c:v>
                </c:pt>
                <c:pt idx="2">
                  <c:v>1.5215475539243689E-2</c:v>
                </c:pt>
                <c:pt idx="3">
                  <c:v>9.2263514973087574E-3</c:v>
                </c:pt>
                <c:pt idx="4">
                  <c:v>1.0654202599924757E-2</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1-409C-4749-AA33-329AEF888647}"/>
            </c:ext>
          </c:extLst>
        </c:ser>
        <c:ser>
          <c:idx val="13"/>
          <c:order val="15"/>
          <c:tx>
            <c:v>Elastomer P40</c:v>
          </c:tx>
          <c:spPr>
            <a:ln w="25400" cap="rnd">
              <a:noFill/>
              <a:round/>
            </a:ln>
            <a:effectLst/>
          </c:spPr>
          <c:marker>
            <c:symbol val="star"/>
            <c:size val="6"/>
            <c:spPr>
              <a:noFill/>
              <a:ln w="9525">
                <a:solidFill>
                  <a:schemeClr val="accent2">
                    <a:lumMod val="80000"/>
                    <a:lumOff val="20000"/>
                  </a:schemeClr>
                </a:solidFill>
                <a:round/>
              </a:ln>
              <a:effectLst/>
            </c:spPr>
          </c:marker>
          <c:trendline>
            <c:spPr>
              <a:ln w="9525" cap="rnd">
                <a:solidFill>
                  <a:schemeClr val="accent2">
                    <a:lumMod val="80000"/>
                    <a:lumOff val="20000"/>
                  </a:schemeClr>
                </a:solidFill>
              </a:ln>
              <a:effectLst/>
            </c:spPr>
            <c:trendlineType val="power"/>
            <c:dispRSqr val="0"/>
            <c:dispEq val="0"/>
          </c:trendline>
          <c:xVal>
            <c:numRef>
              <c:f>#REF!</c:f>
              <c:extLst xmlns:c15="http://schemas.microsoft.com/office/drawing/2012/chart"/>
            </c:numRef>
          </c:xVal>
          <c:yVal>
            <c:numRef>
              <c:f>#REF!</c:f>
              <c:numCache>
                <c:formatCode>General</c:formatCode>
                <c:ptCount val="1"/>
                <c:pt idx="0">
                  <c:v>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5-409C-4749-AA33-329AEF888647}"/>
            </c:ext>
          </c:extLst>
        </c:ser>
        <c:dLbls>
          <c:showLegendKey val="0"/>
          <c:showVal val="0"/>
          <c:showCatName val="0"/>
          <c:showSerName val="0"/>
          <c:showPercent val="0"/>
          <c:showBubbleSize val="0"/>
        </c:dLbls>
        <c:axId val="727497488"/>
        <c:axId val="727498144"/>
        <c:extLst>
          <c:ext xmlns:c15="http://schemas.microsoft.com/office/drawing/2012/chart" uri="{02D57815-91ED-43cb-92C2-25804820EDAC}">
            <c15:filteredScatterSeries>
              <c15:ser>
                <c:idx val="12"/>
                <c:order val="12"/>
                <c:tx>
                  <c:v>P240 (me)</c:v>
                </c:tx>
                <c:spPr>
                  <a:ln w="25400" cap="rnd">
                    <a:noFill/>
                    <a:round/>
                  </a:ln>
                  <a:effectLst/>
                </c:spPr>
                <c:marker>
                  <c:symbol val="x"/>
                  <c:size val="6"/>
                  <c:spPr>
                    <a:noFill/>
                    <a:ln w="9525">
                      <a:solidFill>
                        <a:schemeClr val="accent1">
                          <a:lumMod val="80000"/>
                          <a:lumOff val="20000"/>
                        </a:schemeClr>
                      </a:solidFill>
                      <a:round/>
                    </a:ln>
                    <a:effectLst/>
                  </c:spPr>
                </c:marker>
                <c:xVal>
                  <c:numRef>
                    <c:extLst>
                      <c:ext uri="{02D57815-91ED-43cb-92C2-25804820EDAC}">
                        <c15:formulaRef>
                          <c15:sqref>'P240 sandpaper'!$L$7:$L$12</c15:sqref>
                        </c15:formulaRef>
                      </c:ext>
                    </c:extLst>
                    <c:numCache>
                      <c:formatCode>0.0E+00</c:formatCode>
                      <c:ptCount val="6"/>
                      <c:pt idx="0">
                        <c:v>17029.859003236244</c:v>
                      </c:pt>
                      <c:pt idx="1">
                        <c:v>25314.655275080902</c:v>
                      </c:pt>
                      <c:pt idx="2">
                        <c:v>32218.652168284785</c:v>
                      </c:pt>
                      <c:pt idx="3">
                        <c:v>40043.181980582514</c:v>
                      </c:pt>
                      <c:pt idx="4">
                        <c:v>46026.645954692547</c:v>
                      </c:pt>
                      <c:pt idx="5">
                        <c:v>52930.642847896444</c:v>
                      </c:pt>
                    </c:numCache>
                  </c:numRef>
                </c:xVal>
                <c:yVal>
                  <c:numRef>
                    <c:extLst>
                      <c:ext uri="{02D57815-91ED-43cb-92C2-25804820EDAC}">
                        <c15:formulaRef>
                          <c15:sqref>'P240 sandpaper'!$O$7:$O$12</c15:sqref>
                        </c15:formulaRef>
                      </c:ext>
                    </c:extLst>
                    <c:numCache>
                      <c:formatCode>0.000</c:formatCode>
                      <c:ptCount val="6"/>
                      <c:pt idx="0">
                        <c:v>7.5458471764600207E-3</c:v>
                      </c:pt>
                      <c:pt idx="1">
                        <c:v>7.231500651335202E-3</c:v>
                      </c:pt>
                      <c:pt idx="2">
                        <c:v>7.4001328761873712E-3</c:v>
                      </c:pt>
                      <c:pt idx="3">
                        <c:v>7.3765617250750549E-3</c:v>
                      </c:pt>
                      <c:pt idx="4">
                        <c:v>7.7238171844782886E-3</c:v>
                      </c:pt>
                      <c:pt idx="5">
                        <c:v>7.4970352713403894E-3</c:v>
                      </c:pt>
                    </c:numCache>
                  </c:numRef>
                </c:yVal>
                <c:smooth val="0"/>
                <c:extLst>
                  <c:ext xmlns:c16="http://schemas.microsoft.com/office/drawing/2014/chart" uri="{C3380CC4-5D6E-409C-BE32-E72D297353CC}">
                    <c16:uniqueId val="{00000018-409C-4749-AA33-329AEF888647}"/>
                  </c:ext>
                </c:extLst>
              </c15:ser>
            </c15:filteredScatterSeries>
          </c:ext>
        </c:extLst>
      </c:scatterChart>
      <c:valAx>
        <c:axId val="727497488"/>
        <c:scaling>
          <c:orientation val="minMax"/>
          <c:min val="10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a:t>Re</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7498144"/>
        <c:crosses val="autoZero"/>
        <c:crossBetween val="midCat"/>
      </c:valAx>
      <c:valAx>
        <c:axId val="727498144"/>
        <c:scaling>
          <c:orientation val="minMax"/>
          <c:min val="4.000000000000001E-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US"/>
                  <a:t>Cf </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749748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'2 P80 sandpaper'!$G$6:$G$12</c:f>
              <c:numCache>
                <c:formatCode>0.00</c:formatCode>
                <c:ptCount val="7"/>
                <c:pt idx="0">
                  <c:v>0</c:v>
                </c:pt>
                <c:pt idx="1">
                  <c:v>0.79012472098816011</c:v>
                </c:pt>
                <c:pt idx="2">
                  <c:v>1.7044780358035603</c:v>
                </c:pt>
                <c:pt idx="3">
                  <c:v>2.8711465691376401</c:v>
                </c:pt>
                <c:pt idx="4">
                  <c:v>4.4567972543238392</c:v>
                </c:pt>
                <c:pt idx="5">
                  <c:v>6.2500100000040018</c:v>
                </c:pt>
                <c:pt idx="6">
                  <c:v>8.1859698876595619</c:v>
                </c:pt>
              </c:numCache>
            </c:numRef>
          </c:xVal>
          <c:yVal>
            <c:numRef>
              <c:f>'2 P80 sandpaper'!$K$6:$K$12</c:f>
              <c:numCache>
                <c:formatCode>0</c:formatCode>
                <c:ptCount val="7"/>
                <c:pt idx="0">
                  <c:v>0</c:v>
                </c:pt>
                <c:pt idx="1">
                  <c:v>1128.6741935483865</c:v>
                </c:pt>
                <c:pt idx="2">
                  <c:v>2184.025806451612</c:v>
                </c:pt>
                <c:pt idx="3">
                  <c:v>3725.2258064516127</c:v>
                </c:pt>
                <c:pt idx="4">
                  <c:v>5723.7999999999984</c:v>
                </c:pt>
                <c:pt idx="5">
                  <c:v>7792.2580645161306</c:v>
                </c:pt>
                <c:pt idx="6">
                  <c:v>8779.287096774191</c:v>
                </c:pt>
              </c:numCache>
            </c:numRef>
          </c:yVal>
          <c:smooth val="0"/>
          <c:extLst>
            <c:ext xmlns:c16="http://schemas.microsoft.com/office/drawing/2014/chart" uri="{C3380CC4-5D6E-409C-BE32-E72D297353CC}">
              <c16:uniqueId val="{00000001-2FB4-4BD8-9862-50C623E3B8A1}"/>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'2 P80 sandpaper'!$O$5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'2 P80 sandpaper'!$L$7:$L$12</c:f>
              <c:numCache>
                <c:formatCode>0.0E+00</c:formatCode>
                <c:ptCount val="6"/>
                <c:pt idx="0">
                  <c:v>15787.049666666668</c:v>
                </c:pt>
                <c:pt idx="1">
                  <c:v>23187.229197916666</c:v>
                </c:pt>
                <c:pt idx="2">
                  <c:v>30094.063427083329</c:v>
                </c:pt>
                <c:pt idx="3">
                  <c:v>37494.242958333329</c:v>
                </c:pt>
                <c:pt idx="4">
                  <c:v>44401.077187499999</c:v>
                </c:pt>
                <c:pt idx="5">
                  <c:v>50814.566114583336</c:v>
                </c:pt>
              </c:numCache>
            </c:numRef>
          </c:xVal>
          <c:yVal>
            <c:numRef>
              <c:f>'2 P80 sandpaper'!$O$7:$O$12</c:f>
              <c:numCache>
                <c:formatCode>0.000</c:formatCode>
                <c:ptCount val="6"/>
                <c:pt idx="0">
                  <c:v>1.4545413720340268E-2</c:v>
                </c:pt>
                <c:pt idx="1">
                  <c:v>1.3047265192202673E-2</c:v>
                </c:pt>
                <c:pt idx="2">
                  <c:v>1.3211446570931436E-2</c:v>
                </c:pt>
                <c:pt idx="3">
                  <c:v>1.3077198189235591E-2</c:v>
                </c:pt>
                <c:pt idx="4">
                  <c:v>1.2695088949035821E-2</c:v>
                </c:pt>
                <c:pt idx="5">
                  <c:v>1.0920492926437604E-2</c:v>
                </c:pt>
              </c:numCache>
            </c:numRef>
          </c:yVal>
          <c:smooth val="0"/>
          <c:extLst>
            <c:ext xmlns:c16="http://schemas.microsoft.com/office/drawing/2014/chart" uri="{C3380CC4-5D6E-409C-BE32-E72D297353CC}">
              <c16:uniqueId val="{00000001-4CEB-4839-9B67-BD88E0B2BED6}"/>
            </c:ext>
          </c:extLst>
        </c:ser>
        <c:ser>
          <c:idx val="1"/>
          <c:order val="1"/>
          <c:tx>
            <c:strRef>
              <c:f>'2 P80 sandpaper'!$W$5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P80 sandpaper'!$V$7:$V$31</c:f>
              <c:numCache>
                <c:formatCode>0.00000</c:formatCode>
                <c:ptCount val="25"/>
                <c:pt idx="0">
                  <c:v>1776.0416666666667</c:v>
                </c:pt>
                <c:pt idx="1">
                  <c:v>3552.0833333333335</c:v>
                </c:pt>
                <c:pt idx="2">
                  <c:v>5328.125</c:v>
                </c:pt>
                <c:pt idx="3">
                  <c:v>7104.166666666667</c:v>
                </c:pt>
                <c:pt idx="4">
                  <c:v>8880.2083333333321</c:v>
                </c:pt>
                <c:pt idx="5">
                  <c:v>10656.25</c:v>
                </c:pt>
                <c:pt idx="6">
                  <c:v>12432.291666666664</c:v>
                </c:pt>
                <c:pt idx="7">
                  <c:v>14208.333333333334</c:v>
                </c:pt>
                <c:pt idx="8">
                  <c:v>15984.374999999998</c:v>
                </c:pt>
                <c:pt idx="9">
                  <c:v>17760.416666666664</c:v>
                </c:pt>
                <c:pt idx="10">
                  <c:v>19536.458333333332</c:v>
                </c:pt>
                <c:pt idx="11">
                  <c:v>21312.5</c:v>
                </c:pt>
                <c:pt idx="12">
                  <c:v>23088.541666666668</c:v>
                </c:pt>
                <c:pt idx="13">
                  <c:v>24864.583333333328</c:v>
                </c:pt>
                <c:pt idx="14">
                  <c:v>26640.625</c:v>
                </c:pt>
                <c:pt idx="15">
                  <c:v>28416.666666666668</c:v>
                </c:pt>
                <c:pt idx="16">
                  <c:v>30192.708333333332</c:v>
                </c:pt>
                <c:pt idx="17">
                  <c:v>31968.749999999996</c:v>
                </c:pt>
                <c:pt idx="18">
                  <c:v>33744.791666666657</c:v>
                </c:pt>
                <c:pt idx="19">
                  <c:v>35520.833333333328</c:v>
                </c:pt>
                <c:pt idx="20">
                  <c:v>37296.875</c:v>
                </c:pt>
                <c:pt idx="21">
                  <c:v>39072.916666666664</c:v>
                </c:pt>
                <c:pt idx="22">
                  <c:v>40848.958333333328</c:v>
                </c:pt>
                <c:pt idx="23">
                  <c:v>42625</c:v>
                </c:pt>
                <c:pt idx="24">
                  <c:v>44401.041666666664</c:v>
                </c:pt>
              </c:numCache>
            </c:numRef>
          </c:xVal>
          <c:yVal>
            <c:numRef>
              <c:f>'2 P80 sandpaper'!$X$7:$X$31</c:f>
              <c:numCache>
                <c:formatCode>0.00000</c:formatCode>
                <c:ptCount val="25"/>
                <c:pt idx="0">
                  <c:v>1.2184653849013301E-2</c:v>
                </c:pt>
                <c:pt idx="1">
                  <c:v>1.0246031742742663E-2</c:v>
                </c:pt>
                <c:pt idx="2">
                  <c:v>9.2583348117923365E-3</c:v>
                </c:pt>
                <c:pt idx="3">
                  <c:v>8.615851363048075E-3</c:v>
                </c:pt>
                <c:pt idx="4">
                  <c:v>8.1483691310212901E-3</c:v>
                </c:pt>
                <c:pt idx="5">
                  <c:v>7.7853005544548503E-3</c:v>
                </c:pt>
                <c:pt idx="6">
                  <c:v>7.4909808341854026E-3</c:v>
                </c:pt>
                <c:pt idx="7">
                  <c:v>7.2450385255459562E-3</c:v>
                </c:pt>
                <c:pt idx="8">
                  <c:v>7.0348131797102406E-3</c:v>
                </c:pt>
                <c:pt idx="9">
                  <c:v>6.8519343924398277E-3</c:v>
                </c:pt>
                <c:pt idx="10">
                  <c:v>6.6905993596916369E-3</c:v>
                </c:pt>
                <c:pt idx="11">
                  <c:v>6.54663132791384E-3</c:v>
                </c:pt>
                <c:pt idx="12">
                  <c:v>6.4169308288370966E-3</c:v>
                </c:pt>
                <c:pt idx="13">
                  <c:v>6.2991389302007855E-3</c:v>
                </c:pt>
                <c:pt idx="14">
                  <c:v>6.1914216456118339E-3</c:v>
                </c:pt>
                <c:pt idx="15">
                  <c:v>6.0923269245066513E-3</c:v>
                </c:pt>
                <c:pt idx="16">
                  <c:v>6.0006868801462145E-3</c:v>
                </c:pt>
                <c:pt idx="17">
                  <c:v>5.9155491847979261E-3</c:v>
                </c:pt>
                <c:pt idx="18">
                  <c:v>5.8361278288369088E-3</c:v>
                </c:pt>
                <c:pt idx="19">
                  <c:v>5.7617670681562889E-3</c:v>
                </c:pt>
                <c:pt idx="20">
                  <c:v>5.6919145583462028E-3</c:v>
                </c:pt>
                <c:pt idx="21">
                  <c:v>5.6261010174634956E-3</c:v>
                </c:pt>
                <c:pt idx="22">
                  <c:v>5.563924612042262E-3</c:v>
                </c:pt>
                <c:pt idx="23">
                  <c:v>5.5050388156304125E-3</c:v>
                </c:pt>
                <c:pt idx="24">
                  <c:v>5.4491428577396412E-3</c:v>
                </c:pt>
              </c:numCache>
            </c:numRef>
          </c:yVal>
          <c:smooth val="0"/>
          <c:extLst>
            <c:ext xmlns:c16="http://schemas.microsoft.com/office/drawing/2014/chart" uri="{C3380CC4-5D6E-409C-BE32-E72D297353CC}">
              <c16:uniqueId val="{00000003-4CEB-4839-9B67-BD88E0B2BED6}"/>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0"/>
            <c:dispEq val="1"/>
            <c:trendlineLbl>
              <c:layout>
                <c:manualLayout>
                  <c:x val="-1.2229036274102455E-2"/>
                  <c:y val="-4.2143755798142056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P80 sandpaper'!$F$7:$F$12</c:f>
              <c:numCache>
                <c:formatCode>0.00</c:formatCode>
                <c:ptCount val="6"/>
                <c:pt idx="0">
                  <c:v>0.88888960000000006</c:v>
                </c:pt>
                <c:pt idx="1">
                  <c:v>1.3055566000000001</c:v>
                </c:pt>
                <c:pt idx="2">
                  <c:v>1.6944458</c:v>
                </c:pt>
                <c:pt idx="3">
                  <c:v>2.1111127999999999</c:v>
                </c:pt>
                <c:pt idx="4">
                  <c:v>2.5000020000000003</c:v>
                </c:pt>
                <c:pt idx="5">
                  <c:v>2.8611134000000003</c:v>
                </c:pt>
              </c:numCache>
            </c:numRef>
          </c:xVal>
          <c:yVal>
            <c:numRef>
              <c:f>'2 P80 sandpaper'!$K$7:$K$12</c:f>
              <c:numCache>
                <c:formatCode>0</c:formatCode>
                <c:ptCount val="6"/>
                <c:pt idx="0">
                  <c:v>1128.6741935483865</c:v>
                </c:pt>
                <c:pt idx="1">
                  <c:v>2184.025806451612</c:v>
                </c:pt>
                <c:pt idx="2">
                  <c:v>3725.2258064516127</c:v>
                </c:pt>
                <c:pt idx="3">
                  <c:v>5723.7999999999984</c:v>
                </c:pt>
                <c:pt idx="4">
                  <c:v>7792.2580645161306</c:v>
                </c:pt>
                <c:pt idx="5">
                  <c:v>8779.287096774191</c:v>
                </c:pt>
              </c:numCache>
            </c:numRef>
          </c:yVal>
          <c:smooth val="0"/>
          <c:extLst>
            <c:ext xmlns:c16="http://schemas.microsoft.com/office/drawing/2014/chart" uri="{C3380CC4-5D6E-409C-BE32-E72D297353CC}">
              <c16:uniqueId val="{00000001-6477-439D-965F-A96E9154009E}"/>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P(kPa)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2"/>
          <c:tx>
            <c:v>Elongation Loading</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1"/>
            <c:dispEq val="1"/>
            <c:trendlineLbl>
              <c:layout>
                <c:manualLayout>
                  <c:x val="-0.13840324149885547"/>
                  <c:y val="5.1287055831902031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P80 sandpaper'!$L$7:$L$12</c:f>
              <c:numCache>
                <c:formatCode>0.0E+00</c:formatCode>
                <c:ptCount val="6"/>
                <c:pt idx="0">
                  <c:v>15787.049666666668</c:v>
                </c:pt>
                <c:pt idx="1">
                  <c:v>23187.229197916666</c:v>
                </c:pt>
                <c:pt idx="2">
                  <c:v>30094.063427083329</c:v>
                </c:pt>
                <c:pt idx="3">
                  <c:v>37494.242958333329</c:v>
                </c:pt>
                <c:pt idx="4">
                  <c:v>44401.077187499999</c:v>
                </c:pt>
                <c:pt idx="5">
                  <c:v>50814.566114583336</c:v>
                </c:pt>
              </c:numCache>
              <c:extLst xmlns:c15="http://schemas.microsoft.com/office/drawing/2012/chart"/>
            </c:numRef>
          </c:xVal>
          <c:yVal>
            <c:numRef>
              <c:f>'2 P80 sandpaper'!$S$7:$S$12</c:f>
              <c:numCache>
                <c:formatCode>0.00</c:formatCode>
                <c:ptCount val="6"/>
                <c:pt idx="0" formatCode="General">
                  <c:v>25.97366666666667</c:v>
                </c:pt>
                <c:pt idx="1">
                  <c:v>26.063666666666666</c:v>
                </c:pt>
                <c:pt idx="2">
                  <c:v>25.971666666666664</c:v>
                </c:pt>
                <c:pt idx="3">
                  <c:v>25.977999999999998</c:v>
                </c:pt>
                <c:pt idx="4" formatCode="0.000">
                  <c:v>25.705333333333339</c:v>
                </c:pt>
                <c:pt idx="5" formatCode="0.000">
                  <c:v>25.995666666666665</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7-CB5D-41F6-8DA5-E861753965EA}"/>
            </c:ext>
          </c:extLst>
        </c:ser>
        <c:ser>
          <c:idx val="5"/>
          <c:order val="5"/>
          <c:tx>
            <c:v>Elongation Unloading</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1"/>
            <c:dispEq val="1"/>
            <c:trendlineLbl>
              <c:layout>
                <c:manualLayout>
                  <c:x val="5.2543615657075743E-2"/>
                  <c:y val="-0.1820291762396555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P80 sandpaper'!$L$13:$L$17</c:f>
              <c:numCache>
                <c:formatCode>0.0E+00</c:formatCode>
                <c:ptCount val="5"/>
                <c:pt idx="0">
                  <c:v>50814.566114583336</c:v>
                </c:pt>
                <c:pt idx="1">
                  <c:v>43414.386583333333</c:v>
                </c:pt>
                <c:pt idx="2">
                  <c:v>36014.207052083337</c:v>
                </c:pt>
                <c:pt idx="3">
                  <c:v>28614.027520833333</c:v>
                </c:pt>
                <c:pt idx="4">
                  <c:v>22693.883895833333</c:v>
                </c:pt>
              </c:numCache>
              <c:extLst xmlns:c15="http://schemas.microsoft.com/office/drawing/2012/chart"/>
            </c:numRef>
          </c:xVal>
          <c:yVal>
            <c:numRef>
              <c:f>'2 P80 sandpaper'!$S$13:$S$17</c:f>
              <c:numCache>
                <c:formatCode>0.000</c:formatCode>
                <c:ptCount val="5"/>
                <c:pt idx="0">
                  <c:v>25.995666666666665</c:v>
                </c:pt>
                <c:pt idx="1">
                  <c:v>25.806666666666668</c:v>
                </c:pt>
                <c:pt idx="2">
                  <c:v>26.23266666666667</c:v>
                </c:pt>
                <c:pt idx="3" formatCode="General">
                  <c:v>26.039000000000001</c:v>
                </c:pt>
                <c:pt idx="4" formatCode="General">
                  <c:v>26.245000000000001</c:v>
                </c:pt>
              </c:numCache>
              <c:extLst xmlns:c15="http://schemas.microsoft.com/office/drawing/2012/chart"/>
            </c:numRef>
          </c:yVal>
          <c:smooth val="0"/>
          <c:extLst>
            <c:ext xmlns:c16="http://schemas.microsoft.com/office/drawing/2014/chart" uri="{C3380CC4-5D6E-409C-BE32-E72D297353CC}">
              <c16:uniqueId val="{00000009-CB5D-41F6-8DA5-E861753965EA}"/>
            </c:ext>
          </c:extLst>
        </c:ser>
        <c:dLbls>
          <c:showLegendKey val="0"/>
          <c:showVal val="0"/>
          <c:showCatName val="0"/>
          <c:showSerName val="0"/>
          <c:showPercent val="0"/>
          <c:showBubbleSize val="0"/>
        </c:dLbls>
        <c:axId val="1044579839"/>
        <c:axId val="1149006767"/>
        <c:extLst>
          <c:ext xmlns:c15="http://schemas.microsoft.com/office/drawing/2012/chart" uri="{02D57815-91ED-43cb-92C2-25804820EDAC}">
            <c15:filteredScatterSeries>
              <c15:ser>
                <c:idx val="0"/>
                <c:order val="0"/>
                <c:tx>
                  <c:v>Area Loading</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1"/>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extLst>
                      <c:ext uri="{02D57815-91ED-43cb-92C2-25804820EDAC}">
                        <c15:formulaRef>
                          <c15:sqref>'2 P80 sandpaper'!$L$7:$L$12</c15:sqref>
                        </c15:formulaRef>
                      </c:ext>
                    </c:extLst>
                    <c:numCache>
                      <c:formatCode>0.0E+00</c:formatCode>
                      <c:ptCount val="6"/>
                      <c:pt idx="0">
                        <c:v>15787.049666666668</c:v>
                      </c:pt>
                      <c:pt idx="1">
                        <c:v>23187.229197916666</c:v>
                      </c:pt>
                      <c:pt idx="2">
                        <c:v>30094.063427083329</c:v>
                      </c:pt>
                      <c:pt idx="3">
                        <c:v>37494.242958333329</c:v>
                      </c:pt>
                      <c:pt idx="4">
                        <c:v>44401.077187499999</c:v>
                      </c:pt>
                      <c:pt idx="5">
                        <c:v>50814.566114583336</c:v>
                      </c:pt>
                    </c:numCache>
                  </c:numRef>
                </c:xVal>
                <c:yVal>
                  <c:numRef>
                    <c:extLst>
                      <c:ext uri="{02D57815-91ED-43cb-92C2-25804820EDAC}">
                        <c15:formulaRef>
                          <c15:sqref>'2 P80 sandpaper'!$Q$7:$Q$12</c15:sqref>
                        </c15:formulaRef>
                      </c:ext>
                    </c:extLst>
                    <c:numCache>
                      <c:formatCode>0.00</c:formatCode>
                      <c:ptCount val="6"/>
                      <c:pt idx="0" formatCode="General">
                        <c:v>691098.7583333333</c:v>
                      </c:pt>
                      <c:pt idx="1">
                        <c:v>693129.01933333324</c:v>
                      </c:pt>
                      <c:pt idx="2">
                        <c:v>681899.74566666677</c:v>
                      </c:pt>
                      <c:pt idx="3">
                        <c:v>669610.95633333328</c:v>
                      </c:pt>
                      <c:pt idx="4" formatCode="0.000">
                        <c:v>635912.31666666665</c:v>
                      </c:pt>
                      <c:pt idx="5" formatCode="0.000">
                        <c:v>620256.30433333339</c:v>
                      </c:pt>
                    </c:numCache>
                  </c:numRef>
                </c:yVal>
                <c:smooth val="0"/>
                <c:extLst>
                  <c:ext xmlns:c16="http://schemas.microsoft.com/office/drawing/2014/chart" uri="{C3380CC4-5D6E-409C-BE32-E72D297353CC}">
                    <c16:uniqueId val="{00000001-CB5D-41F6-8DA5-E861753965EA}"/>
                  </c:ext>
                </c:extLst>
              </c15:ser>
            </c15:filteredScatterSeries>
            <c15:filteredScatterSeries>
              <c15:ser>
                <c:idx val="1"/>
                <c:order val="1"/>
                <c:tx>
                  <c:v>Perimeter Loading</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1"/>
                  <c:dispEq val="1"/>
                  <c:trendlineLbl>
                    <c:layout>
                      <c:manualLayout>
                        <c:x val="6.821591148762654E-2"/>
                        <c:y val="7.8611158418819368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extLst xmlns:c15="http://schemas.microsoft.com/office/drawing/2012/chart">
                      <c:ext xmlns:c15="http://schemas.microsoft.com/office/drawing/2012/chart" uri="{02D57815-91ED-43cb-92C2-25804820EDAC}">
                        <c15:formulaRef>
                          <c15:sqref>'2 P80 sandpaper'!$L$7:$L$12</c15:sqref>
                        </c15:formulaRef>
                      </c:ext>
                    </c:extLst>
                    <c:numCache>
                      <c:formatCode>0.0E+00</c:formatCode>
                      <c:ptCount val="6"/>
                      <c:pt idx="0">
                        <c:v>15787.049666666668</c:v>
                      </c:pt>
                      <c:pt idx="1">
                        <c:v>23187.229197916666</c:v>
                      </c:pt>
                      <c:pt idx="2">
                        <c:v>30094.063427083329</c:v>
                      </c:pt>
                      <c:pt idx="3">
                        <c:v>37494.242958333329</c:v>
                      </c:pt>
                      <c:pt idx="4">
                        <c:v>44401.077187499999</c:v>
                      </c:pt>
                      <c:pt idx="5">
                        <c:v>50814.566114583336</c:v>
                      </c:pt>
                    </c:numCache>
                  </c:numRef>
                </c:xVal>
                <c:yVal>
                  <c:numRef>
                    <c:extLst xmlns:c15="http://schemas.microsoft.com/office/drawing/2012/chart">
                      <c:ext xmlns:c15="http://schemas.microsoft.com/office/drawing/2012/chart" uri="{02D57815-91ED-43cb-92C2-25804820EDAC}">
                        <c15:formulaRef>
                          <c15:sqref>'2 P80 sandpaper'!$R$7:$R$12</c15:sqref>
                        </c15:formulaRef>
                      </c:ext>
                    </c:extLst>
                    <c:numCache>
                      <c:formatCode>0.00</c:formatCode>
                      <c:ptCount val="6"/>
                      <c:pt idx="0" formatCode="General">
                        <c:v>26568.349333333335</c:v>
                      </c:pt>
                      <c:pt idx="1">
                        <c:v>26019.651000000002</c:v>
                      </c:pt>
                      <c:pt idx="2">
                        <c:v>25547.160333333333</c:v>
                      </c:pt>
                      <c:pt idx="3">
                        <c:v>24832.326333333334</c:v>
                      </c:pt>
                      <c:pt idx="4" formatCode="0.000">
                        <c:v>24074.551000000003</c:v>
                      </c:pt>
                      <c:pt idx="5" formatCode="0.000">
                        <c:v>23642.846999999998</c:v>
                      </c:pt>
                    </c:numCache>
                  </c:numRef>
                </c:yVal>
                <c:smooth val="0"/>
                <c:extLst xmlns:c15="http://schemas.microsoft.com/office/drawing/2012/chart">
                  <c:ext xmlns:c16="http://schemas.microsoft.com/office/drawing/2014/chart" uri="{C3380CC4-5D6E-409C-BE32-E72D297353CC}">
                    <c16:uniqueId val="{00000005-CB5D-41F6-8DA5-E861753965EA}"/>
                  </c:ext>
                </c:extLst>
              </c15:ser>
            </c15:filteredScatterSeries>
            <c15:filteredScatterSeries>
              <c15:ser>
                <c:idx val="3"/>
                <c:order val="3"/>
                <c:tx>
                  <c:v>Area Unloading</c:v>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poly"/>
                  <c:order val="2"/>
                  <c:dispRSqr val="1"/>
                  <c:dispEq val="1"/>
                  <c:trendlineLbl>
                    <c:layout>
                      <c:manualLayout>
                        <c:x val="0.15795657419893755"/>
                        <c:y val="-0.4944896739392724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extLst xmlns:c15="http://schemas.microsoft.com/office/drawing/2012/chart">
                      <c:ext xmlns:c15="http://schemas.microsoft.com/office/drawing/2012/chart" uri="{02D57815-91ED-43cb-92C2-25804820EDAC}">
                        <c15:formulaRef>
                          <c15:sqref>'2 P80 sandpaper'!$L$13:$L$17</c15:sqref>
                        </c15:formulaRef>
                      </c:ext>
                    </c:extLst>
                    <c:numCache>
                      <c:formatCode>0.0E+00</c:formatCode>
                      <c:ptCount val="5"/>
                      <c:pt idx="0">
                        <c:v>50814.566114583336</c:v>
                      </c:pt>
                      <c:pt idx="1">
                        <c:v>43414.386583333333</c:v>
                      </c:pt>
                      <c:pt idx="2">
                        <c:v>36014.207052083337</c:v>
                      </c:pt>
                      <c:pt idx="3">
                        <c:v>28614.027520833333</c:v>
                      </c:pt>
                      <c:pt idx="4">
                        <c:v>22693.883895833333</c:v>
                      </c:pt>
                    </c:numCache>
                  </c:numRef>
                </c:xVal>
                <c:yVal>
                  <c:numRef>
                    <c:extLst xmlns:c15="http://schemas.microsoft.com/office/drawing/2012/chart">
                      <c:ext xmlns:c15="http://schemas.microsoft.com/office/drawing/2012/chart" uri="{02D57815-91ED-43cb-92C2-25804820EDAC}">
                        <c15:formulaRef>
                          <c15:sqref>'2 P80 sandpaper'!$Q$13:$Q$17</c15:sqref>
                        </c15:formulaRef>
                      </c:ext>
                    </c:extLst>
                    <c:numCache>
                      <c:formatCode>0.000</c:formatCode>
                      <c:ptCount val="5"/>
                      <c:pt idx="0">
                        <c:v>620256.30433333339</c:v>
                      </c:pt>
                      <c:pt idx="1">
                        <c:v>668166.76933333336</c:v>
                      </c:pt>
                      <c:pt idx="2">
                        <c:v>711200.91833333333</c:v>
                      </c:pt>
                      <c:pt idx="3" formatCode="General">
                        <c:v>698697.36200000008</c:v>
                      </c:pt>
                      <c:pt idx="4" formatCode="General">
                        <c:v>703198.2346666666</c:v>
                      </c:pt>
                    </c:numCache>
                  </c:numRef>
                </c:yVal>
                <c:smooth val="0"/>
                <c:extLst xmlns:c15="http://schemas.microsoft.com/office/drawing/2012/chart">
                  <c:ext xmlns:c16="http://schemas.microsoft.com/office/drawing/2014/chart" uri="{C3380CC4-5D6E-409C-BE32-E72D297353CC}">
                    <c16:uniqueId val="{00000003-CB5D-41F6-8DA5-E861753965EA}"/>
                  </c:ext>
                </c:extLst>
              </c15:ser>
            </c15:filteredScatterSeries>
            <c15:filteredScatterSeries>
              <c15:ser>
                <c:idx val="4"/>
                <c:order val="4"/>
                <c:tx>
                  <c:v>Perimeter Unloading</c:v>
                </c:tx>
                <c:spPr>
                  <a:ln w="25400" cap="rnd">
                    <a:noFill/>
                    <a:round/>
                  </a:ln>
                  <a:effectLst/>
                </c:spPr>
                <c:marker>
                  <c:symbol val="circle"/>
                  <c:size val="5"/>
                  <c:spPr>
                    <a:solidFill>
                      <a:schemeClr val="accent5"/>
                    </a:solidFill>
                    <a:ln w="9525">
                      <a:solidFill>
                        <a:schemeClr val="accent5"/>
                      </a:solidFill>
                    </a:ln>
                    <a:effectLst/>
                  </c:spPr>
                </c:marker>
                <c:xVal>
                  <c:numRef>
                    <c:extLst xmlns:c15="http://schemas.microsoft.com/office/drawing/2012/chart">
                      <c:ext xmlns:c15="http://schemas.microsoft.com/office/drawing/2012/chart" uri="{02D57815-91ED-43cb-92C2-25804820EDAC}">
                        <c15:formulaRef>
                          <c15:sqref>'2 P80 sandpaper'!$L$13:$L$17</c15:sqref>
                        </c15:formulaRef>
                      </c:ext>
                    </c:extLst>
                    <c:numCache>
                      <c:formatCode>0.0E+00</c:formatCode>
                      <c:ptCount val="5"/>
                      <c:pt idx="0">
                        <c:v>50814.566114583336</c:v>
                      </c:pt>
                      <c:pt idx="1">
                        <c:v>43414.386583333333</c:v>
                      </c:pt>
                      <c:pt idx="2">
                        <c:v>36014.207052083337</c:v>
                      </c:pt>
                      <c:pt idx="3">
                        <c:v>28614.027520833333</c:v>
                      </c:pt>
                      <c:pt idx="4">
                        <c:v>22693.883895833333</c:v>
                      </c:pt>
                    </c:numCache>
                  </c:numRef>
                </c:xVal>
                <c:yVal>
                  <c:numRef>
                    <c:extLst xmlns:c15="http://schemas.microsoft.com/office/drawing/2012/chart">
                      <c:ext xmlns:c15="http://schemas.microsoft.com/office/drawing/2012/chart" uri="{02D57815-91ED-43cb-92C2-25804820EDAC}">
                        <c15:formulaRef>
                          <c15:sqref>'2 P80 sandpaper'!$R$13:$R$17</c15:sqref>
                        </c15:formulaRef>
                      </c:ext>
                    </c:extLst>
                    <c:numCache>
                      <c:formatCode>0.000</c:formatCode>
                      <c:ptCount val="5"/>
                      <c:pt idx="0">
                        <c:v>23642.846999999998</c:v>
                      </c:pt>
                      <c:pt idx="1">
                        <c:v>24702.116333333335</c:v>
                      </c:pt>
                      <c:pt idx="2">
                        <c:v>25200.744333333332</c:v>
                      </c:pt>
                      <c:pt idx="3" formatCode="General">
                        <c:v>24795.629333333331</c:v>
                      </c:pt>
                      <c:pt idx="4" formatCode="General">
                        <c:v>24883.455333333332</c:v>
                      </c:pt>
                    </c:numCache>
                  </c:numRef>
                </c:yVal>
                <c:smooth val="0"/>
                <c:extLst xmlns:c15="http://schemas.microsoft.com/office/drawing/2012/chart">
                  <c:ext xmlns:c16="http://schemas.microsoft.com/office/drawing/2014/chart" uri="{C3380CC4-5D6E-409C-BE32-E72D297353CC}">
                    <c16:uniqueId val="{00000008-CB5D-41F6-8DA5-E861753965EA}"/>
                  </c:ext>
                </c:extLst>
              </c15:ser>
            </c15:filteredScatterSeries>
          </c:ext>
        </c:extLst>
      </c:scatterChart>
      <c:valAx>
        <c:axId val="1044579839"/>
        <c:scaling>
          <c:orientation val="minMax"/>
        </c:scaling>
        <c:delete val="0"/>
        <c:axPos val="b"/>
        <c:majorGridlines>
          <c:spPr>
            <a:ln w="9525" cap="flat" cmpd="sng" algn="ctr">
              <a:solidFill>
                <a:schemeClr val="tx1">
                  <a:lumMod val="15000"/>
                  <a:lumOff val="85000"/>
                </a:schemeClr>
              </a:solidFill>
              <a:round/>
            </a:ln>
            <a:effectLst/>
          </c:spPr>
        </c:majorGridlines>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9006767"/>
        <c:crosses val="autoZero"/>
        <c:crossBetween val="midCat"/>
      </c:valAx>
      <c:valAx>
        <c:axId val="11490067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457983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'3 P80 sandpaper'!$G$6:$G$12</c:f>
              <c:numCache>
                <c:formatCode>0.00</c:formatCode>
                <c:ptCount val="7"/>
                <c:pt idx="0">
                  <c:v>0</c:v>
                </c:pt>
                <c:pt idx="1">
                  <c:v>1.05632885061796</c:v>
                </c:pt>
                <c:pt idx="2">
                  <c:v>2.0864230913593604</c:v>
                </c:pt>
                <c:pt idx="3">
                  <c:v>3.7808702469160003</c:v>
                </c:pt>
                <c:pt idx="4">
                  <c:v>5.4444531555590405</c:v>
                </c:pt>
                <c:pt idx="5">
                  <c:v>7.2600424802515597</c:v>
                </c:pt>
                <c:pt idx="6">
                  <c:v>0</c:v>
                </c:pt>
              </c:numCache>
            </c:numRef>
          </c:xVal>
          <c:yVal>
            <c:numRef>
              <c:f>'3 P80 sandpaper'!$K$6:$K$12</c:f>
              <c:numCache>
                <c:formatCode>0</c:formatCode>
                <c:ptCount val="7"/>
                <c:pt idx="0">
                  <c:v>0</c:v>
                </c:pt>
                <c:pt idx="1">
                  <c:v>1344.6129032258063</c:v>
                </c:pt>
                <c:pt idx="2">
                  <c:v>2671.7096774193542</c:v>
                </c:pt>
                <c:pt idx="3">
                  <c:v>4753.322580645161</c:v>
                </c:pt>
                <c:pt idx="4">
                  <c:v>6942.6774193548399</c:v>
                </c:pt>
                <c:pt idx="5">
                  <c:v>9158.161290322576</c:v>
                </c:pt>
                <c:pt idx="6">
                  <c:v>0</c:v>
                </c:pt>
              </c:numCache>
            </c:numRef>
          </c:yVal>
          <c:smooth val="0"/>
          <c:extLst>
            <c:ext xmlns:c16="http://schemas.microsoft.com/office/drawing/2014/chart" uri="{C3380CC4-5D6E-409C-BE32-E72D297353CC}">
              <c16:uniqueId val="{00000001-71FE-441E-8CAC-3520FD48D1F8}"/>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'3 P80 sandpaper'!$O$5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'3 P80 sandpaper'!$L$7:$L$12</c:f>
              <c:numCache>
                <c:formatCode>0.0E+00</c:formatCode>
                <c:ptCount val="6"/>
                <c:pt idx="0">
                  <c:v>16721.794682539683</c:v>
                </c:pt>
                <c:pt idx="1">
                  <c:v>23500.900634920636</c:v>
                </c:pt>
                <c:pt idx="2">
                  <c:v>31635.827777777777</c:v>
                </c:pt>
                <c:pt idx="3">
                  <c:v>37962.993333333332</c:v>
                </c:pt>
                <c:pt idx="4">
                  <c:v>43838.21849206349</c:v>
                </c:pt>
                <c:pt idx="5">
                  <c:v>0</c:v>
                </c:pt>
              </c:numCache>
            </c:numRef>
          </c:xVal>
          <c:yVal>
            <c:numRef>
              <c:f>'3 P80 sandpaper'!$O$7:$O$12</c:f>
              <c:numCache>
                <c:formatCode>0.000</c:formatCode>
                <c:ptCount val="6"/>
                <c:pt idx="0">
                  <c:v>1.2936090185069768E-2</c:v>
                </c:pt>
                <c:pt idx="1">
                  <c:v>1.3013430125668022E-2</c:v>
                </c:pt>
                <c:pt idx="2">
                  <c:v>1.2776456379704357E-2</c:v>
                </c:pt>
                <c:pt idx="3">
                  <c:v>1.2959183009739233E-2</c:v>
                </c:pt>
                <c:pt idx="4">
                  <c:v>1.2819586810065951E-2</c:v>
                </c:pt>
                <c:pt idx="5">
                  <c:v>0</c:v>
                </c:pt>
              </c:numCache>
            </c:numRef>
          </c:yVal>
          <c:smooth val="0"/>
          <c:extLst>
            <c:ext xmlns:c16="http://schemas.microsoft.com/office/drawing/2014/chart" uri="{C3380CC4-5D6E-409C-BE32-E72D297353CC}">
              <c16:uniqueId val="{00000001-B37F-4326-9CB7-3088F9526A23}"/>
            </c:ext>
          </c:extLst>
        </c:ser>
        <c:ser>
          <c:idx val="1"/>
          <c:order val="1"/>
          <c:tx>
            <c:strRef>
              <c:f>'3 P80 sandpaper'!$W$5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P80 sandpaper'!$V$7:$V$31</c:f>
              <c:numCache>
                <c:formatCode>0.00000</c:formatCode>
                <c:ptCount val="25"/>
                <c:pt idx="0">
                  <c:v>1626.984126984127</c:v>
                </c:pt>
                <c:pt idx="1">
                  <c:v>3253.968253968254</c:v>
                </c:pt>
                <c:pt idx="2">
                  <c:v>4880.9523809523807</c:v>
                </c:pt>
                <c:pt idx="3">
                  <c:v>6507.936507936508</c:v>
                </c:pt>
                <c:pt idx="4">
                  <c:v>8134.9206349206352</c:v>
                </c:pt>
                <c:pt idx="5">
                  <c:v>9761.9047619047615</c:v>
                </c:pt>
                <c:pt idx="6">
                  <c:v>11388.888888888887</c:v>
                </c:pt>
                <c:pt idx="7">
                  <c:v>13015.873015873016</c:v>
                </c:pt>
                <c:pt idx="8">
                  <c:v>14642.857142857143</c:v>
                </c:pt>
                <c:pt idx="9">
                  <c:v>16269.84126984127</c:v>
                </c:pt>
                <c:pt idx="10">
                  <c:v>17896.825396825396</c:v>
                </c:pt>
                <c:pt idx="11">
                  <c:v>19523.809523809523</c:v>
                </c:pt>
                <c:pt idx="12">
                  <c:v>21150.79365079365</c:v>
                </c:pt>
                <c:pt idx="13">
                  <c:v>22777.777777777774</c:v>
                </c:pt>
                <c:pt idx="14">
                  <c:v>24404.761904761905</c:v>
                </c:pt>
                <c:pt idx="15">
                  <c:v>26031.746031746032</c:v>
                </c:pt>
                <c:pt idx="16">
                  <c:v>27658.730158730159</c:v>
                </c:pt>
                <c:pt idx="17">
                  <c:v>29285.714285714286</c:v>
                </c:pt>
                <c:pt idx="18">
                  <c:v>30912.69841269841</c:v>
                </c:pt>
                <c:pt idx="19">
                  <c:v>32539.682539682541</c:v>
                </c:pt>
                <c:pt idx="20">
                  <c:v>34166.666666666672</c:v>
                </c:pt>
                <c:pt idx="21">
                  <c:v>35793.650793650791</c:v>
                </c:pt>
                <c:pt idx="22">
                  <c:v>37420.634920634919</c:v>
                </c:pt>
                <c:pt idx="23">
                  <c:v>39047.619047619046</c:v>
                </c:pt>
                <c:pt idx="24">
                  <c:v>40674.603174603173</c:v>
                </c:pt>
              </c:numCache>
            </c:numRef>
          </c:xVal>
          <c:yVal>
            <c:numRef>
              <c:f>'3 P80 sandpaper'!$X$7:$X$31</c:f>
              <c:numCache>
                <c:formatCode>0.00000</c:formatCode>
                <c:ptCount val="25"/>
                <c:pt idx="0">
                  <c:v>1.2454624964014468E-2</c:v>
                </c:pt>
                <c:pt idx="1">
                  <c:v>1.0473049485569191E-2</c:v>
                </c:pt>
                <c:pt idx="2">
                  <c:v>9.4634684990653733E-3</c:v>
                </c:pt>
                <c:pt idx="3">
                  <c:v>8.8067497691898915E-3</c:v>
                </c:pt>
                <c:pt idx="4">
                  <c:v>8.3289096968019935E-3</c:v>
                </c:pt>
                <c:pt idx="5">
                  <c:v>7.9577967367305217E-3</c:v>
                </c:pt>
                <c:pt idx="6">
                  <c:v>7.6569558773271623E-3</c:v>
                </c:pt>
                <c:pt idx="7">
                  <c:v>7.4055643109482575E-3</c:v>
                </c:pt>
                <c:pt idx="8">
                  <c:v>7.1906810756295868E-3</c:v>
                </c:pt>
                <c:pt idx="9">
                  <c:v>7.0037503070126987E-3</c:v>
                </c:pt>
                <c:pt idx="10">
                  <c:v>6.8388406303542667E-3</c:v>
                </c:pt>
                <c:pt idx="11">
                  <c:v>6.6916827492344037E-3</c:v>
                </c:pt>
                <c:pt idx="12">
                  <c:v>6.5591085215490471E-3</c:v>
                </c:pt>
                <c:pt idx="13">
                  <c:v>6.4387067490002722E-3</c:v>
                </c:pt>
                <c:pt idx="14">
                  <c:v>6.3286028101997415E-3</c:v>
                </c:pt>
                <c:pt idx="15">
                  <c:v>6.2273124820072341E-3</c:v>
                </c:pt>
                <c:pt idx="16">
                  <c:v>6.1336420012255977E-3</c:v>
                </c:pt>
                <c:pt idx="17">
                  <c:v>6.0466179397296429E-3</c:v>
                </c:pt>
                <c:pt idx="18">
                  <c:v>5.9654368725540596E-3</c:v>
                </c:pt>
                <c:pt idx="19">
                  <c:v>5.8894285264990808E-3</c:v>
                </c:pt>
                <c:pt idx="20">
                  <c:v>5.8180283190528738E-3</c:v>
                </c:pt>
                <c:pt idx="21">
                  <c:v>5.7507565705563566E-3</c:v>
                </c:pt>
                <c:pt idx="22">
                  <c:v>5.6872025442600178E-3</c:v>
                </c:pt>
                <c:pt idx="23">
                  <c:v>5.6270120358463309E-3</c:v>
                </c:pt>
                <c:pt idx="24">
                  <c:v>5.5698776107604448E-3</c:v>
                </c:pt>
              </c:numCache>
            </c:numRef>
          </c:yVal>
          <c:smooth val="0"/>
          <c:extLst>
            <c:ext xmlns:c16="http://schemas.microsoft.com/office/drawing/2014/chart" uri="{C3380CC4-5D6E-409C-BE32-E72D297353CC}">
              <c16:uniqueId val="{00000003-B37F-4326-9CB7-3088F9526A23}"/>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0"/>
            <c:dispEq val="1"/>
            <c:trendlineLbl>
              <c:layout>
                <c:manualLayout>
                  <c:x val="-1.2229036274102455E-2"/>
                  <c:y val="-4.2143755798142056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P80 sandpaper'!$F$7:$F$12</c:f>
              <c:numCache>
                <c:formatCode>0.00</c:formatCode>
                <c:ptCount val="6"/>
                <c:pt idx="0">
                  <c:v>1.0277786</c:v>
                </c:pt>
                <c:pt idx="1">
                  <c:v>1.4444456000000001</c:v>
                </c:pt>
                <c:pt idx="2">
                  <c:v>1.9444460000000001</c:v>
                </c:pt>
                <c:pt idx="3">
                  <c:v>2.3333352000000001</c:v>
                </c:pt>
                <c:pt idx="4">
                  <c:v>2.6944466</c:v>
                </c:pt>
                <c:pt idx="5">
                  <c:v>0</c:v>
                </c:pt>
              </c:numCache>
            </c:numRef>
          </c:xVal>
          <c:yVal>
            <c:numRef>
              <c:f>'3 P80 sandpaper'!$K$7:$K$12</c:f>
              <c:numCache>
                <c:formatCode>0</c:formatCode>
                <c:ptCount val="6"/>
                <c:pt idx="0">
                  <c:v>1344.6129032258063</c:v>
                </c:pt>
                <c:pt idx="1">
                  <c:v>2671.7096774193542</c:v>
                </c:pt>
                <c:pt idx="2">
                  <c:v>4753.322580645161</c:v>
                </c:pt>
                <c:pt idx="3">
                  <c:v>6942.6774193548399</c:v>
                </c:pt>
                <c:pt idx="4">
                  <c:v>9158.161290322576</c:v>
                </c:pt>
                <c:pt idx="5">
                  <c:v>0</c:v>
                </c:pt>
              </c:numCache>
            </c:numRef>
          </c:yVal>
          <c:smooth val="0"/>
          <c:extLst>
            <c:ext xmlns:c16="http://schemas.microsoft.com/office/drawing/2014/chart" uri="{C3380CC4-5D6E-409C-BE32-E72D297353CC}">
              <c16:uniqueId val="{00000001-64D1-4C31-8E3D-03F8D85EF788}"/>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P(kPa)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'P80 sandpaper AVGS'!$G$6:$G$12</c:f>
              <c:numCache>
                <c:formatCode>0.00</c:formatCode>
                <c:ptCount val="7"/>
                <c:pt idx="0">
                  <c:v>0</c:v>
                </c:pt>
                <c:pt idx="1">
                  <c:v>0.96330743978113786</c:v>
                </c:pt>
                <c:pt idx="2">
                  <c:v>1.9548213718805376</c:v>
                </c:pt>
                <c:pt idx="3">
                  <c:v>3.4293607681777787</c:v>
                </c:pt>
                <c:pt idx="4">
                  <c:v>5.0625081000032406</c:v>
                </c:pt>
                <c:pt idx="5">
                  <c:v>6.9637457098810005</c:v>
                </c:pt>
                <c:pt idx="6">
                  <c:v>9.0835407682156895</c:v>
                </c:pt>
              </c:numCache>
            </c:numRef>
          </c:xVal>
          <c:yVal>
            <c:numRef>
              <c:f>'P80 sandpaper AVGS'!$K$6:$K$12</c:f>
              <c:numCache>
                <c:formatCode>0</c:formatCode>
                <c:ptCount val="7"/>
                <c:pt idx="0">
                  <c:v>0</c:v>
                </c:pt>
                <c:pt idx="1">
                  <c:v>1178.1279569247311</c:v>
                </c:pt>
                <c:pt idx="2">
                  <c:v>2387.4075269569894</c:v>
                </c:pt>
                <c:pt idx="3">
                  <c:v>4236.2623656989244</c:v>
                </c:pt>
                <c:pt idx="4">
                  <c:v>6314.5344084516137</c:v>
                </c:pt>
                <c:pt idx="5">
                  <c:v>8376.6247312795695</c:v>
                </c:pt>
                <c:pt idx="6">
                  <c:v>8689.6451613870959</c:v>
                </c:pt>
              </c:numCache>
            </c:numRef>
          </c:yVal>
          <c:smooth val="0"/>
          <c:extLst>
            <c:ext xmlns:c16="http://schemas.microsoft.com/office/drawing/2014/chart" uri="{C3380CC4-5D6E-409C-BE32-E72D297353CC}">
              <c16:uniqueId val="{00000001-D634-45D1-A1C4-6188E4255751}"/>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'P80 sandpaper AVGS'!$P$5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'P80 sandpaper AVGS'!$M$7:$M$12</c:f>
              <c:numCache>
                <c:formatCode>0.0E+00</c:formatCode>
                <c:ptCount val="6"/>
                <c:pt idx="0">
                  <c:v>17092.480290249434</c:v>
                </c:pt>
                <c:pt idx="1">
                  <c:v>24348.721922902492</c:v>
                </c:pt>
                <c:pt idx="2">
                  <c:v>32249.962811791389</c:v>
                </c:pt>
                <c:pt idx="3">
                  <c:v>39183.704816326535</c:v>
                </c:pt>
                <c:pt idx="4">
                  <c:v>45956.197006802722</c:v>
                </c:pt>
                <c:pt idx="5">
                  <c:v>52486.814476190477</c:v>
                </c:pt>
              </c:numCache>
            </c:numRef>
          </c:xVal>
          <c:yVal>
            <c:numRef>
              <c:f>'P80 sandpaper AVGS'!$P$7:$P$12</c:f>
              <c:numCache>
                <c:formatCode>0.000</c:formatCode>
                <c:ptCount val="6"/>
                <c:pt idx="0">
                  <c:v>1.2441030586201265E-2</c:v>
                </c:pt>
                <c:pt idx="1">
                  <c:v>1.2423623758869535E-2</c:v>
                </c:pt>
                <c:pt idx="2">
                  <c:v>1.256604135507821E-2</c:v>
                </c:pt>
                <c:pt idx="3">
                  <c:v>1.2688328481080976E-2</c:v>
                </c:pt>
                <c:pt idx="4">
                  <c:v>1.2236436649216273E-2</c:v>
                </c:pt>
                <c:pt idx="5">
                  <c:v>9.7314080436958095E-3</c:v>
                </c:pt>
              </c:numCache>
            </c:numRef>
          </c:yVal>
          <c:smooth val="0"/>
          <c:extLst>
            <c:ext xmlns:c16="http://schemas.microsoft.com/office/drawing/2014/chart" uri="{C3380CC4-5D6E-409C-BE32-E72D297353CC}">
              <c16:uniqueId val="{00000001-DCD6-416E-A196-85B92783979E}"/>
            </c:ext>
          </c:extLst>
        </c:ser>
        <c:ser>
          <c:idx val="1"/>
          <c:order val="1"/>
          <c:tx>
            <c:strRef>
              <c:f>'P80 sandpaper AVGS'!$Y$5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'P80 sandpaper AVGS'!$X$7:$X$31</c:f>
              <c:numCache>
                <c:formatCode>0.00000</c:formatCode>
                <c:ptCount val="25"/>
                <c:pt idx="0">
                  <c:v>1741.4965986394559</c:v>
                </c:pt>
                <c:pt idx="1">
                  <c:v>3482.9931972789118</c:v>
                </c:pt>
                <c:pt idx="2">
                  <c:v>5224.4897959183672</c:v>
                </c:pt>
                <c:pt idx="3">
                  <c:v>6965.9863945578236</c:v>
                </c:pt>
                <c:pt idx="4">
                  <c:v>8707.4829931972799</c:v>
                </c:pt>
                <c:pt idx="5">
                  <c:v>10448.979591836734</c:v>
                </c:pt>
                <c:pt idx="6">
                  <c:v>12190.476190476189</c:v>
                </c:pt>
                <c:pt idx="7">
                  <c:v>13931.972789115647</c:v>
                </c:pt>
                <c:pt idx="8">
                  <c:v>15673.469387755102</c:v>
                </c:pt>
                <c:pt idx="9">
                  <c:v>17414.96598639456</c:v>
                </c:pt>
                <c:pt idx="10">
                  <c:v>19156.462585034013</c:v>
                </c:pt>
                <c:pt idx="11">
                  <c:v>20897.959183673469</c:v>
                </c:pt>
                <c:pt idx="12">
                  <c:v>22639.455782312925</c:v>
                </c:pt>
                <c:pt idx="13">
                  <c:v>24380.952380952378</c:v>
                </c:pt>
                <c:pt idx="14">
                  <c:v>26122.448979591838</c:v>
                </c:pt>
                <c:pt idx="15">
                  <c:v>27863.945578231294</c:v>
                </c:pt>
                <c:pt idx="16">
                  <c:v>29605.442176870747</c:v>
                </c:pt>
                <c:pt idx="17">
                  <c:v>31346.938775510203</c:v>
                </c:pt>
                <c:pt idx="18">
                  <c:v>33088.43537414966</c:v>
                </c:pt>
                <c:pt idx="19">
                  <c:v>34829.93197278912</c:v>
                </c:pt>
                <c:pt idx="20">
                  <c:v>36571.428571428572</c:v>
                </c:pt>
                <c:pt idx="21">
                  <c:v>38312.925170068025</c:v>
                </c:pt>
                <c:pt idx="22">
                  <c:v>40054.421768707478</c:v>
                </c:pt>
                <c:pt idx="23">
                  <c:v>41795.918367346938</c:v>
                </c:pt>
                <c:pt idx="24">
                  <c:v>43537.414965986391</c:v>
                </c:pt>
              </c:numCache>
            </c:numRef>
          </c:xVal>
          <c:yVal>
            <c:numRef>
              <c:f>'P80 sandpaper AVGS'!$Z$7:$Z$31</c:f>
              <c:numCache>
                <c:formatCode>0.00000</c:formatCode>
                <c:ptCount val="25"/>
                <c:pt idx="0">
                  <c:v>1.2244634494638687E-2</c:v>
                </c:pt>
                <c:pt idx="1">
                  <c:v>1.0296469252633647E-2</c:v>
                </c:pt>
                <c:pt idx="2">
                  <c:v>9.3039102467869263E-3</c:v>
                </c:pt>
                <c:pt idx="3">
                  <c:v>8.6582640843097265E-3</c:v>
                </c:pt>
                <c:pt idx="4">
                  <c:v>8.1884806062694909E-3</c:v>
                </c:pt>
                <c:pt idx="5">
                  <c:v>7.8236247743654289E-3</c:v>
                </c:pt>
                <c:pt idx="6">
                  <c:v>7.527856224522257E-3</c:v>
                </c:pt>
                <c:pt idx="7">
                  <c:v>7.2807032308160368E-3</c:v>
                </c:pt>
                <c:pt idx="8">
                  <c:v>7.0694430216082221E-3</c:v>
                </c:pt>
                <c:pt idx="9">
                  <c:v>6.8856639881865788E-3</c:v>
                </c:pt>
                <c:pt idx="10">
                  <c:v>6.7235347614016802E-3</c:v>
                </c:pt>
                <c:pt idx="11">
                  <c:v>6.5788580270540404E-3</c:v>
                </c:pt>
                <c:pt idx="12">
                  <c:v>6.4485190593126171E-3</c:v>
                </c:pt>
                <c:pt idx="13">
                  <c:v>6.3301473137461275E-3</c:v>
                </c:pt>
                <c:pt idx="14">
                  <c:v>6.2218997759095479E-3</c:v>
                </c:pt>
                <c:pt idx="15">
                  <c:v>6.1223172473193442E-3</c:v>
                </c:pt>
                <c:pt idx="16">
                  <c:v>6.0302260921523132E-3</c:v>
                </c:pt>
                <c:pt idx="17">
                  <c:v>5.9446692947107424E-3</c:v>
                </c:pt>
                <c:pt idx="18">
                  <c:v>5.8648569761285433E-3</c:v>
                </c:pt>
                <c:pt idx="19">
                  <c:v>5.7901301643076891E-3</c:v>
                </c:pt>
                <c:pt idx="20">
                  <c:v>5.7199337958464764E-3</c:v>
                </c:pt>
                <c:pt idx="21">
                  <c:v>5.6537962786964123E-3</c:v>
                </c:pt>
                <c:pt idx="22">
                  <c:v>5.5913138013107162E-3</c:v>
                </c:pt>
                <c:pt idx="23">
                  <c:v>5.5321381314128674E-3</c:v>
                </c:pt>
                <c:pt idx="24">
                  <c:v>5.4759670179301773E-3</c:v>
                </c:pt>
              </c:numCache>
            </c:numRef>
          </c:yVal>
          <c:smooth val="0"/>
          <c:extLst>
            <c:ext xmlns:c16="http://schemas.microsoft.com/office/drawing/2014/chart" uri="{C3380CC4-5D6E-409C-BE32-E72D297353CC}">
              <c16:uniqueId val="{00000003-DCD6-416E-A196-85B92783979E}"/>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01614744782692E-2"/>
          <c:y val="4.2402826855123678E-2"/>
          <c:w val="0.70464241259348837"/>
          <c:h val="0.8042285968670877"/>
        </c:manualLayout>
      </c:layout>
      <c:scatterChart>
        <c:scatterStyle val="lineMarker"/>
        <c:varyColors val="0"/>
        <c:ser>
          <c:idx val="0"/>
          <c:order val="0"/>
          <c:tx>
            <c:v>1 P80</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0"/>
            <c:dispEq val="1"/>
            <c:trendlineLbl>
              <c:layout>
                <c:manualLayout>
                  <c:x val="7.6499192437161204E-2"/>
                  <c:y val="6.7094404718844772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'P80 sandpaper '!$L$7:$L$12</c:f>
              <c:numCache>
                <c:formatCode>0.0E+00</c:formatCode>
                <c:ptCount val="6"/>
                <c:pt idx="0">
                  <c:v>18253.776177083331</c:v>
                </c:pt>
                <c:pt idx="1">
                  <c:v>25653.955708333335</c:v>
                </c:pt>
                <c:pt idx="2">
                  <c:v>34040.825843750004</c:v>
                </c:pt>
                <c:pt idx="3">
                  <c:v>40947.660072916668</c:v>
                </c:pt>
                <c:pt idx="4">
                  <c:v>48347.839604166664</c:v>
                </c:pt>
                <c:pt idx="5">
                  <c:v>56241.3644375</c:v>
                </c:pt>
              </c:numCache>
            </c:numRef>
          </c:xVal>
          <c:yVal>
            <c:numRef>
              <c:f>'P80 sandpaper '!$O$7:$O$12</c:f>
              <c:numCache>
                <c:formatCode>0.000</c:formatCode>
                <c:ptCount val="6"/>
                <c:pt idx="0">
                  <c:v>1.0228430202734607E-2</c:v>
                </c:pt>
                <c:pt idx="1">
                  <c:v>1.1256458694638146E-2</c:v>
                </c:pt>
                <c:pt idx="2">
                  <c:v>1.1725304596250839E-2</c:v>
                </c:pt>
                <c:pt idx="3">
                  <c:v>1.2024363261652805E-2</c:v>
                </c:pt>
                <c:pt idx="4">
                  <c:v>1.123905114178227E-2</c:v>
                </c:pt>
                <c:pt idx="5">
                  <c:v>8.7326559755925501E-3</c:v>
                </c:pt>
              </c:numCache>
            </c:numRef>
          </c:yVal>
          <c:smooth val="0"/>
          <c:extLst>
            <c:ext xmlns:c16="http://schemas.microsoft.com/office/drawing/2014/chart" uri="{C3380CC4-5D6E-409C-BE32-E72D297353CC}">
              <c16:uniqueId val="{00000001-385D-4C17-A598-143B1832F553}"/>
            </c:ext>
          </c:extLst>
        </c:ser>
        <c:ser>
          <c:idx val="1"/>
          <c:order val="1"/>
          <c:tx>
            <c:v>2 P80</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0.13244463988292604"/>
                  <c:y val="-1.42489079324448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P80 sandpaper'!$L$7:$L$12</c:f>
              <c:numCache>
                <c:formatCode>0.0E+00</c:formatCode>
                <c:ptCount val="6"/>
                <c:pt idx="0">
                  <c:v>15787.049666666668</c:v>
                </c:pt>
                <c:pt idx="1">
                  <c:v>23187.229197916666</c:v>
                </c:pt>
                <c:pt idx="2">
                  <c:v>30094.063427083329</c:v>
                </c:pt>
                <c:pt idx="3">
                  <c:v>37494.242958333329</c:v>
                </c:pt>
                <c:pt idx="4">
                  <c:v>44401.077187499999</c:v>
                </c:pt>
                <c:pt idx="5">
                  <c:v>50814.566114583336</c:v>
                </c:pt>
              </c:numCache>
            </c:numRef>
          </c:xVal>
          <c:yVal>
            <c:numRef>
              <c:f>'2 P80 sandpaper'!$O$7:$O$12</c:f>
              <c:numCache>
                <c:formatCode>0.000</c:formatCode>
                <c:ptCount val="6"/>
                <c:pt idx="0">
                  <c:v>1.4545413720340268E-2</c:v>
                </c:pt>
                <c:pt idx="1">
                  <c:v>1.3047265192202673E-2</c:v>
                </c:pt>
                <c:pt idx="2">
                  <c:v>1.3211446570931436E-2</c:v>
                </c:pt>
                <c:pt idx="3">
                  <c:v>1.3077198189235591E-2</c:v>
                </c:pt>
                <c:pt idx="4">
                  <c:v>1.2695088949035821E-2</c:v>
                </c:pt>
                <c:pt idx="5">
                  <c:v>1.0920492926437604E-2</c:v>
                </c:pt>
              </c:numCache>
            </c:numRef>
          </c:yVal>
          <c:smooth val="0"/>
          <c:extLst>
            <c:ext xmlns:c16="http://schemas.microsoft.com/office/drawing/2014/chart" uri="{C3380CC4-5D6E-409C-BE32-E72D297353CC}">
              <c16:uniqueId val="{00000003-385D-4C17-A598-143B1832F553}"/>
            </c:ext>
          </c:extLst>
        </c:ser>
        <c:ser>
          <c:idx val="3"/>
          <c:order val="2"/>
          <c:tx>
            <c:v>3 P80</c:v>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power"/>
            <c:dispRSqr val="0"/>
            <c:dispEq val="1"/>
            <c:trendlineLbl>
              <c:layout>
                <c:manualLayout>
                  <c:x val="0.12565643622394465"/>
                  <c:y val="-4.11393672964024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P80 sandpaper'!$L$7:$L$11</c:f>
              <c:numCache>
                <c:formatCode>0.0E+00</c:formatCode>
                <c:ptCount val="5"/>
                <c:pt idx="0">
                  <c:v>16721.794682539683</c:v>
                </c:pt>
                <c:pt idx="1">
                  <c:v>23500.900634920636</c:v>
                </c:pt>
                <c:pt idx="2">
                  <c:v>31635.827777777777</c:v>
                </c:pt>
                <c:pt idx="3">
                  <c:v>37962.993333333332</c:v>
                </c:pt>
                <c:pt idx="4">
                  <c:v>43838.21849206349</c:v>
                </c:pt>
              </c:numCache>
            </c:numRef>
          </c:xVal>
          <c:yVal>
            <c:numRef>
              <c:f>'3 P80 sandpaper'!$O$7:$O$11</c:f>
              <c:numCache>
                <c:formatCode>0.000</c:formatCode>
                <c:ptCount val="5"/>
                <c:pt idx="0">
                  <c:v>1.2936090185069768E-2</c:v>
                </c:pt>
                <c:pt idx="1">
                  <c:v>1.3013430125668022E-2</c:v>
                </c:pt>
                <c:pt idx="2">
                  <c:v>1.2776456379704357E-2</c:v>
                </c:pt>
                <c:pt idx="3">
                  <c:v>1.2959183009739233E-2</c:v>
                </c:pt>
                <c:pt idx="4">
                  <c:v>1.2819586810065951E-2</c:v>
                </c:pt>
              </c:numCache>
            </c:numRef>
          </c:yVal>
          <c:smooth val="0"/>
          <c:extLst>
            <c:ext xmlns:c16="http://schemas.microsoft.com/office/drawing/2014/chart" uri="{C3380CC4-5D6E-409C-BE32-E72D297353CC}">
              <c16:uniqueId val="{00000005-385D-4C17-A598-143B1832F553}"/>
            </c:ext>
          </c:extLst>
        </c:ser>
        <c:dLbls>
          <c:showLegendKey val="0"/>
          <c:showVal val="0"/>
          <c:showCatName val="0"/>
          <c:showSerName val="0"/>
          <c:showPercent val="0"/>
          <c:showBubbleSize val="0"/>
        </c:dLbls>
        <c:axId val="1408354767"/>
        <c:axId val="1074120591"/>
      </c:scatterChart>
      <c:valAx>
        <c:axId val="14083547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4120591"/>
        <c:crosses val="autoZero"/>
        <c:crossBetween val="midCat"/>
      </c:valAx>
      <c:valAx>
        <c:axId val="10741205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35476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032040537936065E-2"/>
          <c:y val="1.9070045959580843E-2"/>
          <c:w val="0.80778976829664328"/>
          <c:h val="0.89885491841734699"/>
        </c:manualLayout>
      </c:layout>
      <c:scatterChart>
        <c:scatterStyle val="lineMarker"/>
        <c:varyColors val="0"/>
        <c:ser>
          <c:idx val="0"/>
          <c:order val="0"/>
          <c:tx>
            <c:v>P40</c:v>
          </c:tx>
          <c:spPr>
            <a:ln w="25400" cap="rnd">
              <a:noFill/>
              <a:round/>
            </a:ln>
            <a:effectLst/>
          </c:spPr>
          <c:marker>
            <c:symbol val="diamond"/>
            <c:size val="6"/>
            <c:spPr>
              <a:solidFill>
                <a:schemeClr val="accent1"/>
              </a:solidFill>
              <a:ln w="9525">
                <a:solidFill>
                  <a:schemeClr val="accent1"/>
                </a:solidFill>
                <a:round/>
              </a:ln>
              <a:effectLst/>
            </c:spPr>
          </c:marker>
          <c:trendline>
            <c:spPr>
              <a:ln w="9525" cap="rnd">
                <a:solidFill>
                  <a:schemeClr val="accent1"/>
                </a:solidFill>
              </a:ln>
              <a:effectLst/>
            </c:spPr>
            <c:trendlineType val="power"/>
            <c:dispRSqr val="0"/>
            <c:dispEq val="0"/>
          </c:trendline>
          <c:xVal>
            <c:numRef>
              <c:f>#REF!</c:f>
              <c:extLst xmlns:c15="http://schemas.microsoft.com/office/drawing/2012/chart"/>
            </c:numRef>
          </c:xVal>
          <c:yVal>
            <c:numRef>
              <c:f>#REF!</c:f>
              <c:numCache>
                <c:formatCode>General</c:formatCode>
                <c:ptCount val="1"/>
                <c:pt idx="0">
                  <c:v>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9-409C-4749-AA33-329AEF888647}"/>
            </c:ext>
          </c:extLst>
        </c:ser>
        <c:ser>
          <c:idx val="1"/>
          <c:order val="1"/>
          <c:tx>
            <c:v>P80</c:v>
          </c:tx>
          <c:spPr>
            <a:ln w="25400" cap="rnd">
              <a:noFill/>
              <a:round/>
            </a:ln>
            <a:effectLst/>
          </c:spPr>
          <c:marker>
            <c:symbol val="square"/>
            <c:size val="6"/>
            <c:spPr>
              <a:solidFill>
                <a:schemeClr val="accent2"/>
              </a:solidFill>
              <a:ln w="9525">
                <a:solidFill>
                  <a:schemeClr val="accent2"/>
                </a:solidFill>
                <a:round/>
              </a:ln>
              <a:effectLst/>
            </c:spPr>
          </c:marker>
          <c:trendline>
            <c:spPr>
              <a:ln w="9525" cap="rnd">
                <a:solidFill>
                  <a:schemeClr val="accent2"/>
                </a:solidFill>
              </a:ln>
              <a:effectLst/>
            </c:spPr>
            <c:trendlineType val="power"/>
            <c:dispRSqr val="0"/>
            <c:dispEq val="0"/>
          </c:trendline>
          <c:xVal>
            <c:numRef>
              <c:f>#REF!</c:f>
              <c:extLst xmlns:c15="http://schemas.microsoft.com/office/drawing/2012/chart"/>
            </c:numRef>
          </c:xVal>
          <c:yVal>
            <c:numRef>
              <c:f>#REF!</c:f>
              <c:numCache>
                <c:formatCode>General</c:formatCode>
                <c:ptCount val="1"/>
                <c:pt idx="0">
                  <c:v>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B-409C-4749-AA33-329AEF888647}"/>
            </c:ext>
          </c:extLst>
        </c:ser>
        <c:ser>
          <c:idx val="2"/>
          <c:order val="2"/>
          <c:tx>
            <c:v>P120</c:v>
          </c:tx>
          <c:spPr>
            <a:ln w="25400" cap="rnd">
              <a:noFill/>
              <a:round/>
            </a:ln>
            <a:effectLst/>
          </c:spPr>
          <c:marker>
            <c:symbol val="triangle"/>
            <c:size val="6"/>
            <c:spPr>
              <a:solidFill>
                <a:schemeClr val="accent3"/>
              </a:solidFill>
              <a:ln w="9525">
                <a:solidFill>
                  <a:schemeClr val="accent3"/>
                </a:solidFill>
                <a:round/>
              </a:ln>
              <a:effectLst/>
            </c:spPr>
          </c:marker>
          <c:trendline>
            <c:spPr>
              <a:ln w="9525" cap="rnd">
                <a:solidFill>
                  <a:schemeClr val="accent3"/>
                </a:solidFill>
              </a:ln>
              <a:effectLst/>
            </c:spPr>
            <c:trendlineType val="power"/>
            <c:dispRSqr val="0"/>
            <c:dispEq val="0"/>
          </c:trendline>
          <c:xVal>
            <c:numRef>
              <c:f>#REF!</c:f>
              <c:extLst xmlns:c15="http://schemas.microsoft.com/office/drawing/2012/chart"/>
            </c:numRef>
          </c:xVal>
          <c:yVal>
            <c:numRef>
              <c:f>#REF!</c:f>
              <c:numCache>
                <c:formatCode>General</c:formatCode>
                <c:ptCount val="1"/>
                <c:pt idx="0">
                  <c:v>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D-409C-4749-AA33-329AEF888647}"/>
            </c:ext>
          </c:extLst>
        </c:ser>
        <c:ser>
          <c:idx val="5"/>
          <c:order val="3"/>
          <c:tx>
            <c:v>Spray Applied Coating</c:v>
          </c:tx>
          <c:spPr>
            <a:ln w="25400" cap="rnd">
              <a:noFill/>
              <a:round/>
            </a:ln>
            <a:effectLst/>
          </c:spPr>
          <c:marker>
            <c:symbol val="circle"/>
            <c:size val="6"/>
            <c:spPr>
              <a:solidFill>
                <a:schemeClr val="accent6"/>
              </a:solidFill>
              <a:ln w="9525">
                <a:solidFill>
                  <a:schemeClr val="accent6"/>
                </a:solidFill>
                <a:round/>
              </a:ln>
              <a:effectLst/>
            </c:spPr>
          </c:marker>
          <c:trendline>
            <c:spPr>
              <a:ln w="9525" cap="rnd">
                <a:solidFill>
                  <a:schemeClr val="accent6"/>
                </a:solidFill>
              </a:ln>
              <a:effectLst/>
            </c:spPr>
            <c:trendlineType val="power"/>
            <c:dispRSqr val="0"/>
            <c:dispEq val="0"/>
          </c:trendline>
          <c:xVal>
            <c:numRef>
              <c:f>#REF!</c:f>
              <c:extLst xmlns:c15="http://schemas.microsoft.com/office/drawing/2012/chart"/>
            </c:numRef>
          </c:xVal>
          <c:yVal>
            <c:numRef>
              <c:f>#REF!</c:f>
              <c:numCache>
                <c:formatCode>General</c:formatCode>
                <c:ptCount val="1"/>
                <c:pt idx="0">
                  <c:v>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F-409C-4749-AA33-329AEF888647}"/>
            </c:ext>
          </c:extLst>
        </c:ser>
        <c:ser>
          <c:idx val="9"/>
          <c:order val="4"/>
          <c:tx>
            <c:v>PVC panel</c:v>
          </c:tx>
          <c:spPr>
            <a:ln w="25400" cap="rnd">
              <a:noFill/>
              <a:round/>
            </a:ln>
            <a:effectLst/>
          </c:spPr>
          <c:marker>
            <c:symbol val="diamond"/>
            <c:size val="6"/>
            <c:spPr>
              <a:solidFill>
                <a:schemeClr val="accent4">
                  <a:lumMod val="60000"/>
                </a:schemeClr>
              </a:solidFill>
              <a:ln w="9525">
                <a:solidFill>
                  <a:schemeClr val="accent4">
                    <a:lumMod val="60000"/>
                  </a:schemeClr>
                </a:solidFill>
                <a:round/>
              </a:ln>
              <a:effectLst/>
            </c:spPr>
          </c:marker>
          <c:trendline>
            <c:spPr>
              <a:ln w="9525" cap="rnd">
                <a:solidFill>
                  <a:schemeClr val="accent4">
                    <a:lumMod val="60000"/>
                  </a:schemeClr>
                </a:solidFill>
              </a:ln>
              <a:effectLst/>
            </c:spPr>
            <c:trendlineType val="power"/>
            <c:dispRSqr val="0"/>
            <c:dispEq val="0"/>
          </c:trendline>
          <c:xVal>
            <c:numRef>
              <c:f>'1 Plain Panel'!$L$8:$L$12</c:f>
              <c:numCache>
                <c:formatCode>0.0E+00</c:formatCode>
                <c:ptCount val="5"/>
                <c:pt idx="0">
                  <c:v>24166.25733024691</c:v>
                </c:pt>
                <c:pt idx="1">
                  <c:v>29438.895293209873</c:v>
                </c:pt>
                <c:pt idx="2">
                  <c:v>36469.07924382716</c:v>
                </c:pt>
                <c:pt idx="3">
                  <c:v>43059.876697530861</c:v>
                </c:pt>
                <c:pt idx="4">
                  <c:v>49650.674151234562</c:v>
                </c:pt>
              </c:numCache>
              <c:extLst xmlns:c15="http://schemas.microsoft.com/office/drawing/2012/chart"/>
            </c:numRef>
          </c:xVal>
          <c:yVal>
            <c:numRef>
              <c:f>'1 Plain Panel'!$O$8:$O$12</c:f>
              <c:numCache>
                <c:formatCode>0.000</c:formatCode>
                <c:ptCount val="5"/>
                <c:pt idx="0">
                  <c:v>7.6760769562637743E-3</c:v>
                </c:pt>
                <c:pt idx="1">
                  <c:v>7.6721076492081491E-3</c:v>
                </c:pt>
                <c:pt idx="2">
                  <c:v>7.401528761111247E-3</c:v>
                </c:pt>
                <c:pt idx="3">
                  <c:v>7.3624973174743723E-3</c:v>
                </c:pt>
                <c:pt idx="4">
                  <c:v>6.9649192272371024E-3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5-409C-4749-AA33-329AEF888647}"/>
            </c:ext>
          </c:extLst>
        </c:ser>
        <c:ser>
          <c:idx val="15"/>
          <c:order val="5"/>
          <c:tx>
            <c:v>Sandpaper P240</c:v>
          </c:tx>
          <c:spPr>
            <a:ln w="25400" cap="rnd">
              <a:noFill/>
              <a:round/>
            </a:ln>
            <a:effectLst/>
          </c:spPr>
          <c:marker>
            <c:symbol val="plus"/>
            <c:size val="6"/>
            <c:spPr>
              <a:noFill/>
              <a:ln w="9525">
                <a:solidFill>
                  <a:schemeClr val="accent4">
                    <a:lumMod val="80000"/>
                    <a:lumOff val="20000"/>
                  </a:schemeClr>
                </a:solidFill>
                <a:round/>
              </a:ln>
              <a:effectLst/>
            </c:spPr>
          </c:marker>
          <c:trendline>
            <c:spPr>
              <a:ln w="9525" cap="rnd">
                <a:solidFill>
                  <a:schemeClr val="accent4">
                    <a:lumMod val="80000"/>
                    <a:lumOff val="20000"/>
                  </a:schemeClr>
                </a:solidFill>
              </a:ln>
              <a:effectLst/>
            </c:spPr>
            <c:trendlineType val="power"/>
            <c:dispRSqr val="0"/>
            <c:dispEq val="0"/>
          </c:trendline>
          <c:xVal>
            <c:numRef>
              <c:f>'P240 sandpaper AVGS'!$L$8:$L$12</c:f>
              <c:numCache>
                <c:formatCode>0.0E+00</c:formatCode>
                <c:ptCount val="5"/>
                <c:pt idx="0">
                  <c:v>25621.499581445525</c:v>
                </c:pt>
                <c:pt idx="1">
                  <c:v>32985.762934196326</c:v>
                </c:pt>
                <c:pt idx="2">
                  <c:v>40810.292746494059</c:v>
                </c:pt>
                <c:pt idx="3">
                  <c:v>46793.756720604091</c:v>
                </c:pt>
                <c:pt idx="4">
                  <c:v>53544.331460625675</c:v>
                </c:pt>
              </c:numCache>
            </c:numRef>
          </c:xVal>
          <c:yVal>
            <c:numRef>
              <c:f>'P240 sandpaper AVGS'!$O$8:$O$12</c:f>
              <c:numCache>
                <c:formatCode>0.000</c:formatCode>
                <c:ptCount val="5"/>
                <c:pt idx="0">
                  <c:v>7.3768057355044943E-3</c:v>
                </c:pt>
                <c:pt idx="1">
                  <c:v>7.6045020159216286E-3</c:v>
                </c:pt>
                <c:pt idx="2">
                  <c:v>7.6823078619262667E-3</c:v>
                </c:pt>
                <c:pt idx="3">
                  <c:v>7.8456121937399356E-3</c:v>
                </c:pt>
                <c:pt idx="4">
                  <c:v>7.5893012677243025E-3</c:v>
                </c:pt>
              </c:numCache>
            </c:numRef>
          </c:yVal>
          <c:smooth val="0"/>
          <c:extLst>
            <c:ext xmlns:c16="http://schemas.microsoft.com/office/drawing/2014/chart" uri="{C3380CC4-5D6E-409C-BE32-E72D297353CC}">
              <c16:uniqueId val="{00000010-82BB-4D31-9551-8A231645E289}"/>
            </c:ext>
          </c:extLst>
        </c:ser>
        <c:ser>
          <c:idx val="10"/>
          <c:order val="6"/>
          <c:tx>
            <c:v>Sandpaper P80</c:v>
          </c:tx>
          <c:spPr>
            <a:ln w="25400" cap="rnd">
              <a:noFill/>
              <a:round/>
            </a:ln>
            <a:effectLst/>
          </c:spPr>
          <c:marker>
            <c:symbol val="square"/>
            <c:size val="6"/>
            <c:spPr>
              <a:solidFill>
                <a:schemeClr val="accent5">
                  <a:lumMod val="60000"/>
                </a:schemeClr>
              </a:solidFill>
              <a:ln w="9525">
                <a:solidFill>
                  <a:schemeClr val="accent5">
                    <a:lumMod val="60000"/>
                  </a:schemeClr>
                </a:solidFill>
                <a:round/>
              </a:ln>
              <a:effectLst/>
            </c:spPr>
          </c:marker>
          <c:trendline>
            <c:spPr>
              <a:ln w="9525" cap="rnd">
                <a:solidFill>
                  <a:schemeClr val="accent5">
                    <a:lumMod val="60000"/>
                  </a:schemeClr>
                </a:solidFill>
              </a:ln>
              <a:effectLst/>
            </c:spPr>
            <c:trendlineType val="power"/>
            <c:dispRSqr val="0"/>
            <c:dispEq val="0"/>
          </c:trendline>
          <c:xVal>
            <c:numRef>
              <c:f>'P80 sandpaper AVGS'!$M$8:$M$12</c:f>
              <c:numCache>
                <c:formatCode>0.0E+00</c:formatCode>
                <c:ptCount val="5"/>
                <c:pt idx="0">
                  <c:v>24348.721922902492</c:v>
                </c:pt>
                <c:pt idx="1">
                  <c:v>32249.962811791389</c:v>
                </c:pt>
                <c:pt idx="2">
                  <c:v>39183.704816326535</c:v>
                </c:pt>
                <c:pt idx="3">
                  <c:v>45956.197006802722</c:v>
                </c:pt>
                <c:pt idx="4">
                  <c:v>52486.814476190477</c:v>
                </c:pt>
              </c:numCache>
            </c:numRef>
          </c:xVal>
          <c:yVal>
            <c:numRef>
              <c:f>'P80 sandpaper AVGS'!$P$8:$P$12</c:f>
              <c:numCache>
                <c:formatCode>0.000</c:formatCode>
                <c:ptCount val="5"/>
                <c:pt idx="0">
                  <c:v>1.2423623758869535E-2</c:v>
                </c:pt>
                <c:pt idx="1">
                  <c:v>1.256604135507821E-2</c:v>
                </c:pt>
                <c:pt idx="2">
                  <c:v>1.2688328481080976E-2</c:v>
                </c:pt>
                <c:pt idx="3">
                  <c:v>1.2236436649216273E-2</c:v>
                </c:pt>
                <c:pt idx="4">
                  <c:v>9.7314080436958095E-3</c:v>
                </c:pt>
              </c:numCache>
            </c:numRef>
          </c:yVal>
          <c:smooth val="0"/>
          <c:extLst>
            <c:ext xmlns:c16="http://schemas.microsoft.com/office/drawing/2014/chart" uri="{C3380CC4-5D6E-409C-BE32-E72D297353CC}">
              <c16:uniqueId val="{0000000E-82BB-4D31-9551-8A231645E289}"/>
            </c:ext>
          </c:extLst>
        </c:ser>
        <c:ser>
          <c:idx val="11"/>
          <c:order val="7"/>
          <c:tx>
            <c:v>Filler Smooth</c:v>
          </c:tx>
          <c:spPr>
            <a:ln w="25400" cap="rnd">
              <a:noFill/>
              <a:round/>
            </a:ln>
            <a:effectLst/>
          </c:spPr>
          <c:marker>
            <c:symbol val="triangle"/>
            <c:size val="6"/>
            <c:spPr>
              <a:solidFill>
                <a:schemeClr val="accent6">
                  <a:lumMod val="60000"/>
                </a:schemeClr>
              </a:solidFill>
              <a:ln w="9525">
                <a:solidFill>
                  <a:schemeClr val="accent6">
                    <a:lumMod val="60000"/>
                  </a:schemeClr>
                </a:solidFill>
                <a:round/>
              </a:ln>
              <a:effectLst/>
            </c:spPr>
          </c:marker>
          <c:trendline>
            <c:spPr>
              <a:ln w="9525" cap="rnd">
                <a:solidFill>
                  <a:schemeClr val="accent6">
                    <a:lumMod val="60000"/>
                  </a:schemeClr>
                </a:solidFill>
              </a:ln>
              <a:effectLst/>
            </c:spPr>
            <c:trendlineType val="power"/>
            <c:dispRSqr val="0"/>
            <c:dispEq val="0"/>
          </c:trendline>
          <c:xVal>
            <c:numRef>
              <c:f>'EF25 flat AVGS'!$L$8:$L$12</c:f>
              <c:numCache>
                <c:formatCode>0.0E+00</c:formatCode>
                <c:ptCount val="5"/>
                <c:pt idx="0">
                  <c:v>24203.089020070838</c:v>
                </c:pt>
                <c:pt idx="1">
                  <c:v>30702.066627312077</c:v>
                </c:pt>
                <c:pt idx="2">
                  <c:v>38097.454939000396</c:v>
                </c:pt>
                <c:pt idx="3">
                  <c:v>45268.740574576928</c:v>
                </c:pt>
                <c:pt idx="4">
                  <c:v>51991.820857929946</c:v>
                </c:pt>
              </c:numCache>
              <c:extLst xmlns:c15="http://schemas.microsoft.com/office/drawing/2012/chart"/>
            </c:numRef>
          </c:xVal>
          <c:yVal>
            <c:numRef>
              <c:f>'EF25 flat AVGS'!$O$8:$O$12</c:f>
              <c:numCache>
                <c:formatCode>0.000</c:formatCode>
                <c:ptCount val="5"/>
                <c:pt idx="0">
                  <c:v>7.4776636450018044E-3</c:v>
                </c:pt>
                <c:pt idx="1">
                  <c:v>7.2481135651974752E-3</c:v>
                </c:pt>
                <c:pt idx="2">
                  <c:v>6.9796046123650861E-3</c:v>
                </c:pt>
                <c:pt idx="3">
                  <c:v>6.7045059317648341E-3</c:v>
                </c:pt>
                <c:pt idx="4">
                  <c:v>6.4920279779756753E-3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7-409C-4749-AA33-329AEF888647}"/>
            </c:ext>
          </c:extLst>
        </c:ser>
        <c:ser>
          <c:idx val="6"/>
          <c:order val="8"/>
          <c:tx>
            <c:v>Filler P240</c:v>
          </c:tx>
          <c:spPr>
            <a:ln w="25400" cap="rnd">
              <a:noFill/>
              <a:round/>
            </a:ln>
            <a:effectLst/>
          </c:spPr>
          <c:marker>
            <c:symbol val="plus"/>
            <c:size val="6"/>
            <c:spPr>
              <a:noFill/>
              <a:ln w="9525">
                <a:solidFill>
                  <a:schemeClr val="accent1">
                    <a:lumMod val="60000"/>
                  </a:schemeClr>
                </a:solidFill>
                <a:round/>
              </a:ln>
              <a:effectLst/>
            </c:spPr>
          </c:marker>
          <c:trendline>
            <c:spPr>
              <a:ln w="9525" cap="rnd">
                <a:solidFill>
                  <a:schemeClr val="accent1">
                    <a:lumMod val="60000"/>
                  </a:schemeClr>
                </a:solidFill>
              </a:ln>
              <a:effectLst/>
            </c:spPr>
            <c:trendlineType val="power"/>
            <c:dispRSqr val="0"/>
            <c:dispEq val="0"/>
          </c:trendline>
          <c:xVal>
            <c:numRef>
              <c:f>'EF25 P240 AVGS'!$L$8:$L$12</c:f>
              <c:numCache>
                <c:formatCode>0.0E+00</c:formatCode>
                <c:ptCount val="5"/>
                <c:pt idx="0">
                  <c:v>24959.435551948049</c:v>
                </c:pt>
                <c:pt idx="1">
                  <c:v>32971.106222943716</c:v>
                </c:pt>
                <c:pt idx="2">
                  <c:v>40212.423944805189</c:v>
                </c:pt>
                <c:pt idx="3">
                  <c:v>46837.459307359313</c:v>
                </c:pt>
                <c:pt idx="4">
                  <c:v>51767.718181818185</c:v>
                </c:pt>
              </c:numCache>
              <c:extLst xmlns:c15="http://schemas.microsoft.com/office/drawing/2012/chart"/>
            </c:numRef>
          </c:xVal>
          <c:yVal>
            <c:numRef>
              <c:f>'EF25 P240 AVGS'!$O$8:$O$12</c:f>
              <c:numCache>
                <c:formatCode>0.000</c:formatCode>
                <c:ptCount val="5"/>
                <c:pt idx="0">
                  <c:v>8.2918058912631841E-3</c:v>
                </c:pt>
                <c:pt idx="1">
                  <c:v>8.0103373727871859E-3</c:v>
                </c:pt>
                <c:pt idx="2">
                  <c:v>7.8994868078460165E-3</c:v>
                </c:pt>
                <c:pt idx="3">
                  <c:v>7.1540356801380782E-3</c:v>
                </c:pt>
                <c:pt idx="4">
                  <c:v>6.1201523299938771E-3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3-409C-4749-AA33-329AEF888647}"/>
            </c:ext>
          </c:extLst>
        </c:ser>
        <c:ser>
          <c:idx val="3"/>
          <c:order val="9"/>
          <c:tx>
            <c:v>Filler P80</c:v>
          </c:tx>
          <c:spPr>
            <a:ln w="25400" cap="rnd">
              <a:noFill/>
              <a:round/>
            </a:ln>
            <a:effectLst/>
          </c:spPr>
          <c:marker>
            <c:symbol val="x"/>
            <c:size val="6"/>
            <c:spPr>
              <a:solidFill>
                <a:sysClr val="window" lastClr="FFFFFF"/>
              </a:solidFill>
              <a:ln w="9525">
                <a:solidFill>
                  <a:srgbClr val="00B050"/>
                </a:solidFill>
                <a:round/>
              </a:ln>
              <a:effectLst/>
            </c:spPr>
          </c:marker>
          <c:trendline>
            <c:spPr>
              <a:ln w="9525" cap="rnd">
                <a:solidFill>
                  <a:srgbClr val="00B050"/>
                </a:solidFill>
              </a:ln>
              <a:effectLst/>
            </c:spPr>
            <c:trendlineType val="power"/>
            <c:dispRSqr val="0"/>
            <c:dispEq val="0"/>
          </c:trendline>
          <c:xVal>
            <c:numRef>
              <c:f>'EF25 P80 AVGS'!$M$8:$M$12</c:f>
              <c:numCache>
                <c:formatCode>0.0E+00</c:formatCode>
                <c:ptCount val="5"/>
                <c:pt idx="0">
                  <c:v>23135.899487723014</c:v>
                </c:pt>
                <c:pt idx="1">
                  <c:v>30320.96144043202</c:v>
                </c:pt>
                <c:pt idx="2">
                  <c:v>36500.114719761768</c:v>
                </c:pt>
                <c:pt idx="3">
                  <c:v>43254.072955308235</c:v>
                </c:pt>
                <c:pt idx="4">
                  <c:v>49002.122517475444</c:v>
                </c:pt>
              </c:numCache>
              <c:extLst xmlns:c15="http://schemas.microsoft.com/office/drawing/2012/chart"/>
            </c:numRef>
          </c:xVal>
          <c:yVal>
            <c:numRef>
              <c:f>'EF25 P80 AVGS'!$P$8:$P$12</c:f>
              <c:numCache>
                <c:formatCode>0.000</c:formatCode>
                <c:ptCount val="5"/>
                <c:pt idx="0">
                  <c:v>1.1156585428062358E-2</c:v>
                </c:pt>
                <c:pt idx="1">
                  <c:v>1.0682836246979188E-2</c:v>
                </c:pt>
                <c:pt idx="2">
                  <c:v>1.042866723901972E-2</c:v>
                </c:pt>
                <c:pt idx="3">
                  <c:v>9.6013458520381265E-3</c:v>
                </c:pt>
                <c:pt idx="4">
                  <c:v>8.3077964975756102E-3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1-409C-4749-AA33-329AEF888647}"/>
            </c:ext>
          </c:extLst>
        </c:ser>
        <c:ser>
          <c:idx val="14"/>
          <c:order val="10"/>
          <c:tx>
            <c:v>Filler P40</c:v>
          </c:tx>
          <c:spPr>
            <a:ln w="25400" cap="rnd">
              <a:noFill/>
              <a:round/>
            </a:ln>
            <a:effectLst/>
          </c:spPr>
          <c:marker>
            <c:symbol val="circle"/>
            <c:size val="6"/>
            <c:spPr>
              <a:solidFill>
                <a:schemeClr val="accent3">
                  <a:lumMod val="80000"/>
                  <a:lumOff val="20000"/>
                </a:schemeClr>
              </a:solidFill>
              <a:ln w="9525">
                <a:solidFill>
                  <a:schemeClr val="accent3">
                    <a:lumMod val="80000"/>
                    <a:lumOff val="20000"/>
                  </a:schemeClr>
                </a:solidFill>
                <a:round/>
              </a:ln>
              <a:effectLst/>
            </c:spPr>
          </c:marker>
          <c:trendline>
            <c:spPr>
              <a:ln w="9525" cap="rnd">
                <a:solidFill>
                  <a:schemeClr val="accent3">
                    <a:lumMod val="80000"/>
                    <a:lumOff val="20000"/>
                  </a:schemeClr>
                </a:solidFill>
              </a:ln>
              <a:effectLst/>
            </c:spPr>
            <c:trendlineType val="power"/>
            <c:dispRSqr val="1"/>
            <c:dispEq val="1"/>
            <c:trendlineLbl>
              <c:layout>
                <c:manualLayout>
                  <c:x val="7.2804713069845428E-2"/>
                  <c:y val="-6.8308429950193232E-3"/>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f>'EF25 P40 AVGS'!$L$9:$L$13</c:f>
              <c:numCache>
                <c:formatCode>0.0E+00</c:formatCode>
                <c:ptCount val="5"/>
                <c:pt idx="0">
                  <c:v>21722.522169394077</c:v>
                </c:pt>
                <c:pt idx="1">
                  <c:v>27809.02596564942</c:v>
                </c:pt>
                <c:pt idx="2">
                  <c:v>34000.469482529857</c:v>
                </c:pt>
                <c:pt idx="3">
                  <c:v>40017.013465035139</c:v>
                </c:pt>
                <c:pt idx="4">
                  <c:v>44494.441545039066</c:v>
                </c:pt>
              </c:numCache>
              <c:extLst xmlns:c15="http://schemas.microsoft.com/office/drawing/2012/chart"/>
            </c:numRef>
          </c:xVal>
          <c:yVal>
            <c:numRef>
              <c:f>'EF25 P40 AVGS'!$O$9:$O$13</c:f>
              <c:numCache>
                <c:formatCode>0.000</c:formatCode>
                <c:ptCount val="5"/>
                <c:pt idx="0">
                  <c:v>1.512538070955566E-2</c:v>
                </c:pt>
                <c:pt idx="1">
                  <c:v>1.5215090833516069E-2</c:v>
                </c:pt>
                <c:pt idx="2">
                  <c:v>1.3945610093808108E-2</c:v>
                </c:pt>
                <c:pt idx="3">
                  <c:v>1.0595984233301277E-2</c:v>
                </c:pt>
                <c:pt idx="4">
                  <c:v>8.6969785125901831E-3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A-409C-4749-AA33-329AEF888647}"/>
            </c:ext>
          </c:extLst>
        </c:ser>
        <c:ser>
          <c:idx val="8"/>
          <c:order val="11"/>
          <c:tx>
            <c:v>Elastomer Smooth</c:v>
          </c:tx>
          <c:spPr>
            <a:ln w="25400" cap="rnd">
              <a:noFill/>
              <a:round/>
            </a:ln>
            <a:effectLst/>
          </c:spPr>
          <c:marker>
            <c:symbol val="dash"/>
            <c:size val="6"/>
            <c:spPr>
              <a:solidFill>
                <a:schemeClr val="accent3">
                  <a:lumMod val="60000"/>
                </a:schemeClr>
              </a:solidFill>
              <a:ln w="9525">
                <a:solidFill>
                  <a:schemeClr val="accent3">
                    <a:lumMod val="60000"/>
                  </a:schemeClr>
                </a:solidFill>
                <a:round/>
              </a:ln>
              <a:effectLst/>
            </c:spPr>
          </c:marker>
          <c:trendline>
            <c:spPr>
              <a:ln w="9525" cap="rnd">
                <a:solidFill>
                  <a:schemeClr val="accent3">
                    <a:lumMod val="60000"/>
                  </a:schemeClr>
                </a:solidFill>
              </a:ln>
              <a:effectLst/>
            </c:spPr>
            <c:trendlineType val="power"/>
            <c:dispRSqr val="0"/>
            <c:dispEq val="0"/>
          </c:trendline>
          <c:xVal>
            <c:numRef>
              <c:f>'MMHSE flat AVG'!$L$8:$L$12</c:f>
              <c:numCache>
                <c:formatCode>0.0E+00</c:formatCode>
                <c:ptCount val="5"/>
                <c:pt idx="0">
                  <c:v>24733.809165172341</c:v>
                </c:pt>
                <c:pt idx="1">
                  <c:v>31541.279577605099</c:v>
                </c:pt>
                <c:pt idx="2">
                  <c:v>38802.581350866705</c:v>
                </c:pt>
                <c:pt idx="3">
                  <c:v>46971.545845786015</c:v>
                </c:pt>
                <c:pt idx="4">
                  <c:v>52871.353536561066</c:v>
                </c:pt>
              </c:numCache>
              <c:extLst xmlns:c15="http://schemas.microsoft.com/office/drawing/2012/chart"/>
            </c:numRef>
          </c:xVal>
          <c:yVal>
            <c:numRef>
              <c:f>'MMHSE flat AVG'!$O$8:$O$12</c:f>
              <c:numCache>
                <c:formatCode>0.000</c:formatCode>
                <c:ptCount val="5"/>
                <c:pt idx="0">
                  <c:v>7.9919512554307154E-3</c:v>
                </c:pt>
                <c:pt idx="1">
                  <c:v>7.6143534622810276E-3</c:v>
                </c:pt>
                <c:pt idx="2">
                  <c:v>7.2699028256832353E-3</c:v>
                </c:pt>
                <c:pt idx="3">
                  <c:v>6.8600008124494851E-3</c:v>
                </c:pt>
                <c:pt idx="4">
                  <c:v>6.5583043169987199E-3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3-409C-4749-AA33-329AEF888647}"/>
            </c:ext>
          </c:extLst>
        </c:ser>
        <c:ser>
          <c:idx val="4"/>
          <c:order val="13"/>
          <c:tx>
            <c:v>Elastomer P240</c:v>
          </c:tx>
          <c:spPr>
            <a:ln w="25400" cap="rnd">
              <a:noFill/>
              <a:round/>
            </a:ln>
            <a:effectLst/>
          </c:spPr>
          <c:marker>
            <c:symbol val="star"/>
            <c:size val="6"/>
            <c:spPr>
              <a:noFill/>
              <a:ln w="9525">
                <a:solidFill>
                  <a:schemeClr val="accent5"/>
                </a:solidFill>
                <a:round/>
              </a:ln>
              <a:effectLst/>
            </c:spPr>
          </c:marker>
          <c:trendline>
            <c:spPr>
              <a:ln w="9525" cap="rnd">
                <a:solidFill>
                  <a:schemeClr val="accent5"/>
                </a:solidFill>
              </a:ln>
              <a:effectLst/>
            </c:spPr>
            <c:trendlineType val="power"/>
            <c:dispRSqr val="0"/>
            <c:dispEq val="0"/>
          </c:trendline>
          <c:xVal>
            <c:numRef>
              <c:f>'MMHSE P240 AVG'!$L$8:$L$11</c:f>
              <c:numCache>
                <c:formatCode>0.0E+00</c:formatCode>
                <c:ptCount val="4"/>
                <c:pt idx="0">
                  <c:v>18828.41348329734</c:v>
                </c:pt>
                <c:pt idx="1">
                  <c:v>24891.800876223599</c:v>
                </c:pt>
                <c:pt idx="2">
                  <c:v>31832.783812862872</c:v>
                </c:pt>
                <c:pt idx="3">
                  <c:v>37816.389792724316</c:v>
                </c:pt>
              </c:numCache>
              <c:extLst xmlns:c15="http://schemas.microsoft.com/office/drawing/2012/chart"/>
            </c:numRef>
          </c:xVal>
          <c:yVal>
            <c:numRef>
              <c:f>'MMHSE P240 AVG'!$O$8:$O$11</c:f>
              <c:numCache>
                <c:formatCode>0.000</c:formatCode>
                <c:ptCount val="4"/>
                <c:pt idx="0">
                  <c:v>1.438557933187895E-2</c:v>
                </c:pt>
                <c:pt idx="1">
                  <c:v>1.3673141980240184E-2</c:v>
                </c:pt>
                <c:pt idx="2">
                  <c:v>9.9228677402318291E-3</c:v>
                </c:pt>
                <c:pt idx="3">
                  <c:v>1.000637253343376E-2</c:v>
                </c:pt>
              </c:numCache>
              <c:extLst xmlns:c15="http://schemas.microsoft.com/office/drawing/2012/chart"/>
            </c:numRef>
          </c:yVal>
          <c:smooth val="0"/>
          <c:extLst>
            <c:ext xmlns:c16="http://schemas.microsoft.com/office/drawing/2014/chart" uri="{C3380CC4-5D6E-409C-BE32-E72D297353CC}">
              <c16:uniqueId val="{00000007-409C-4749-AA33-329AEF888647}"/>
            </c:ext>
          </c:extLst>
        </c:ser>
        <c:ser>
          <c:idx val="7"/>
          <c:order val="14"/>
          <c:tx>
            <c:v>Elastomer P80</c:v>
          </c:tx>
          <c:spPr>
            <a:ln w="25400" cap="rnd">
              <a:noFill/>
              <a:round/>
            </a:ln>
            <a:effectLst/>
          </c:spPr>
          <c:marker>
            <c:symbol val="dot"/>
            <c:size val="6"/>
            <c:spPr>
              <a:solidFill>
                <a:schemeClr val="accent2">
                  <a:lumMod val="60000"/>
                </a:schemeClr>
              </a:solidFill>
              <a:ln w="9525">
                <a:solidFill>
                  <a:schemeClr val="accent2">
                    <a:lumMod val="60000"/>
                  </a:schemeClr>
                </a:solidFill>
                <a:round/>
              </a:ln>
              <a:effectLst/>
            </c:spPr>
          </c:marker>
          <c:trendline>
            <c:spPr>
              <a:ln w="9525" cap="rnd">
                <a:solidFill>
                  <a:schemeClr val="accent2">
                    <a:lumMod val="60000"/>
                  </a:schemeClr>
                </a:solidFill>
              </a:ln>
              <a:effectLst/>
            </c:spPr>
            <c:trendlineType val="power"/>
            <c:dispRSqr val="0"/>
            <c:dispEq val="1"/>
            <c:trendlineLbl>
              <c:layout>
                <c:manualLayout>
                  <c:x val="0.11229948685997802"/>
                  <c:y val="1.2165416330832662E-2"/>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f>'MMHSE P80 AVGS'!$L$8:$L$12</c:f>
              <c:numCache>
                <c:formatCode>0.0E+00</c:formatCode>
                <c:ptCount val="5"/>
                <c:pt idx="0">
                  <c:v>18801.896461659773</c:v>
                </c:pt>
                <c:pt idx="1">
                  <c:v>24835.340848610296</c:v>
                </c:pt>
                <c:pt idx="2">
                  <c:v>30447.8472550759</c:v>
                </c:pt>
                <c:pt idx="3">
                  <c:v>34727.383390005925</c:v>
                </c:pt>
                <c:pt idx="4">
                  <c:v>39568.170165582502</c:v>
                </c:pt>
              </c:numCache>
              <c:extLst xmlns:c15="http://schemas.microsoft.com/office/drawing/2012/chart"/>
            </c:numRef>
          </c:xVal>
          <c:yVal>
            <c:numRef>
              <c:f>'MMHSE P80 AVGS'!$O$8:$O$12</c:f>
              <c:numCache>
                <c:formatCode>0.000</c:formatCode>
                <c:ptCount val="5"/>
                <c:pt idx="0">
                  <c:v>1.6904693184688124E-2</c:v>
                </c:pt>
                <c:pt idx="1">
                  <c:v>1.6167390968992418E-2</c:v>
                </c:pt>
                <c:pt idx="2">
                  <c:v>1.5215475539243689E-2</c:v>
                </c:pt>
                <c:pt idx="3">
                  <c:v>9.2263514973087574E-3</c:v>
                </c:pt>
                <c:pt idx="4">
                  <c:v>1.0654202599924757E-2</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1-409C-4749-AA33-329AEF888647}"/>
            </c:ext>
          </c:extLst>
        </c:ser>
        <c:ser>
          <c:idx val="13"/>
          <c:order val="15"/>
          <c:tx>
            <c:v>Elastomer P40</c:v>
          </c:tx>
          <c:spPr>
            <a:ln w="25400" cap="rnd">
              <a:noFill/>
              <a:round/>
            </a:ln>
            <a:effectLst/>
          </c:spPr>
          <c:marker>
            <c:symbol val="star"/>
            <c:size val="6"/>
            <c:spPr>
              <a:noFill/>
              <a:ln w="9525">
                <a:solidFill>
                  <a:schemeClr val="accent2">
                    <a:lumMod val="80000"/>
                    <a:lumOff val="20000"/>
                  </a:schemeClr>
                </a:solidFill>
                <a:round/>
              </a:ln>
              <a:effectLst/>
            </c:spPr>
          </c:marker>
          <c:trendline>
            <c:spPr>
              <a:ln w="9525" cap="rnd">
                <a:solidFill>
                  <a:schemeClr val="accent2">
                    <a:lumMod val="80000"/>
                    <a:lumOff val="20000"/>
                  </a:schemeClr>
                </a:solidFill>
              </a:ln>
              <a:effectLst/>
            </c:spPr>
            <c:trendlineType val="power"/>
            <c:dispRSqr val="1"/>
            <c:dispEq val="1"/>
            <c:trendlineLbl>
              <c:layout>
                <c:manualLayout>
                  <c:x val="5.1821319441469262E-2"/>
                  <c:y val="-1.6406555479777627E-2"/>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f>#REF!</c:f>
              <c:extLst xmlns:c15="http://schemas.microsoft.com/office/drawing/2012/chart"/>
            </c:numRef>
          </c:xVal>
          <c:yVal>
            <c:numRef>
              <c:f>#REF!</c:f>
              <c:numCache>
                <c:formatCode>General</c:formatCode>
                <c:ptCount val="1"/>
                <c:pt idx="0">
                  <c:v>1</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5-409C-4749-AA33-329AEF888647}"/>
            </c:ext>
          </c:extLst>
        </c:ser>
        <c:dLbls>
          <c:showLegendKey val="0"/>
          <c:showVal val="0"/>
          <c:showCatName val="0"/>
          <c:showSerName val="0"/>
          <c:showPercent val="0"/>
          <c:showBubbleSize val="0"/>
        </c:dLbls>
        <c:axId val="727497488"/>
        <c:axId val="727498144"/>
        <c:extLst>
          <c:ext xmlns:c15="http://schemas.microsoft.com/office/drawing/2012/chart" uri="{02D57815-91ED-43cb-92C2-25804820EDAC}">
            <c15:filteredScatterSeries>
              <c15:ser>
                <c:idx val="12"/>
                <c:order val="12"/>
                <c:tx>
                  <c:v>P240 (me)</c:v>
                </c:tx>
                <c:spPr>
                  <a:ln w="25400" cap="rnd">
                    <a:noFill/>
                    <a:round/>
                  </a:ln>
                  <a:effectLst/>
                </c:spPr>
                <c:marker>
                  <c:symbol val="x"/>
                  <c:size val="6"/>
                  <c:spPr>
                    <a:noFill/>
                    <a:ln w="9525">
                      <a:solidFill>
                        <a:schemeClr val="accent1">
                          <a:lumMod val="80000"/>
                          <a:lumOff val="20000"/>
                        </a:schemeClr>
                      </a:solidFill>
                      <a:round/>
                    </a:ln>
                    <a:effectLst/>
                  </c:spPr>
                </c:marker>
                <c:xVal>
                  <c:numRef>
                    <c:extLst>
                      <c:ext uri="{02D57815-91ED-43cb-92C2-25804820EDAC}">
                        <c15:formulaRef>
                          <c15:sqref>'P240 sandpaper'!$L$7:$L$12</c15:sqref>
                        </c15:formulaRef>
                      </c:ext>
                    </c:extLst>
                    <c:numCache>
                      <c:formatCode>0.0E+00</c:formatCode>
                      <c:ptCount val="6"/>
                      <c:pt idx="0">
                        <c:v>17029.859003236244</c:v>
                      </c:pt>
                      <c:pt idx="1">
                        <c:v>25314.655275080902</c:v>
                      </c:pt>
                      <c:pt idx="2">
                        <c:v>32218.652168284785</c:v>
                      </c:pt>
                      <c:pt idx="3">
                        <c:v>40043.181980582514</c:v>
                      </c:pt>
                      <c:pt idx="4">
                        <c:v>46026.645954692547</c:v>
                      </c:pt>
                      <c:pt idx="5">
                        <c:v>52930.642847896444</c:v>
                      </c:pt>
                    </c:numCache>
                  </c:numRef>
                </c:xVal>
                <c:yVal>
                  <c:numRef>
                    <c:extLst>
                      <c:ext uri="{02D57815-91ED-43cb-92C2-25804820EDAC}">
                        <c15:formulaRef>
                          <c15:sqref>'P240 sandpaper'!$O$7:$O$12</c15:sqref>
                        </c15:formulaRef>
                      </c:ext>
                    </c:extLst>
                    <c:numCache>
                      <c:formatCode>0.000</c:formatCode>
                      <c:ptCount val="6"/>
                      <c:pt idx="0">
                        <c:v>7.5458471764600207E-3</c:v>
                      </c:pt>
                      <c:pt idx="1">
                        <c:v>7.231500651335202E-3</c:v>
                      </c:pt>
                      <c:pt idx="2">
                        <c:v>7.4001328761873712E-3</c:v>
                      </c:pt>
                      <c:pt idx="3">
                        <c:v>7.3765617250750549E-3</c:v>
                      </c:pt>
                      <c:pt idx="4">
                        <c:v>7.7238171844782886E-3</c:v>
                      </c:pt>
                      <c:pt idx="5">
                        <c:v>7.4970352713403894E-3</c:v>
                      </c:pt>
                    </c:numCache>
                  </c:numRef>
                </c:yVal>
                <c:smooth val="0"/>
                <c:extLst>
                  <c:ext xmlns:c16="http://schemas.microsoft.com/office/drawing/2014/chart" uri="{C3380CC4-5D6E-409C-BE32-E72D297353CC}">
                    <c16:uniqueId val="{00000018-409C-4749-AA33-329AEF888647}"/>
                  </c:ext>
                </c:extLst>
              </c15:ser>
            </c15:filteredScatterSeries>
          </c:ext>
        </c:extLst>
      </c:scatterChart>
      <c:valAx>
        <c:axId val="727497488"/>
        <c:scaling>
          <c:orientation val="minMax"/>
          <c:min val="10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cap="all" baseline="0">
                    <a:solidFill>
                      <a:schemeClr val="tx1">
                        <a:lumMod val="65000"/>
                        <a:lumOff val="35000"/>
                      </a:schemeClr>
                    </a:solidFill>
                    <a:latin typeface="+mn-lt"/>
                    <a:ea typeface="+mn-ea"/>
                    <a:cs typeface="+mn-cs"/>
                  </a:defRPr>
                </a:pPr>
                <a:r>
                  <a:rPr lang="en-US"/>
                  <a:t>Re</a:t>
                </a:r>
              </a:p>
            </c:rich>
          </c:tx>
          <c:overlay val="0"/>
          <c:spPr>
            <a:noFill/>
            <a:ln>
              <a:noFill/>
            </a:ln>
            <a:effectLst/>
          </c:spPr>
          <c:txPr>
            <a:bodyPr rot="0" spcFirstLastPara="1" vertOverflow="ellipsis" vert="horz" wrap="square" anchor="ctr" anchorCtr="1"/>
            <a:lstStyle/>
            <a:p>
              <a:pPr>
                <a:defRPr sz="1100" b="0" i="0" u="none" strike="noStrike" kern="1200" cap="all"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27498144"/>
        <c:crosses val="autoZero"/>
        <c:crossBetween val="midCat"/>
      </c:valAx>
      <c:valAx>
        <c:axId val="727498144"/>
        <c:scaling>
          <c:orientation val="minMax"/>
          <c:min val="4.000000000000001E-3"/>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cap="all" baseline="0">
                    <a:solidFill>
                      <a:schemeClr val="tx1">
                        <a:lumMod val="65000"/>
                        <a:lumOff val="35000"/>
                      </a:schemeClr>
                    </a:solidFill>
                    <a:latin typeface="+mn-lt"/>
                    <a:ea typeface="+mn-ea"/>
                    <a:cs typeface="+mn-cs"/>
                  </a:defRPr>
                </a:pPr>
                <a:r>
                  <a:rPr lang="en-US"/>
                  <a:t>Cf </a:t>
                </a:r>
              </a:p>
            </c:rich>
          </c:tx>
          <c:overlay val="0"/>
          <c:spPr>
            <a:noFill/>
            <a:ln>
              <a:noFill/>
            </a:ln>
            <a:effectLst/>
          </c:spPr>
          <c:txPr>
            <a:bodyPr rot="-5400000" spcFirstLastPara="1" vertOverflow="ellipsis" vert="horz" wrap="square" anchor="ctr" anchorCtr="1"/>
            <a:lstStyle/>
            <a:p>
              <a:pPr>
                <a:defRPr sz="1100" b="0"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2749748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sz="1100"/>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'P240 sandpaper'!$G$6:$G$12</c:f>
              <c:numCache>
                <c:formatCode>0.00</c:formatCode>
                <c:ptCount val="7"/>
                <c:pt idx="0">
                  <c:v>0</c:v>
                </c:pt>
                <c:pt idx="1">
                  <c:v>1.05632885061796</c:v>
                </c:pt>
                <c:pt idx="2">
                  <c:v>2.3341086728409999</c:v>
                </c:pt>
                <c:pt idx="3">
                  <c:v>3.7808702469160003</c:v>
                </c:pt>
                <c:pt idx="4">
                  <c:v>5.84028712222596</c:v>
                </c:pt>
                <c:pt idx="5">
                  <c:v>7.7160617283999997</c:v>
                </c:pt>
                <c:pt idx="6">
                  <c:v>10.204491635809001</c:v>
                </c:pt>
              </c:numCache>
            </c:numRef>
          </c:xVal>
          <c:yVal>
            <c:numRef>
              <c:f>'P240 sandpaper'!$K$6:$K$12</c:f>
              <c:numCache>
                <c:formatCode>0</c:formatCode>
                <c:ptCount val="7"/>
                <c:pt idx="0">
                  <c:v>0</c:v>
                </c:pt>
                <c:pt idx="1">
                  <c:v>783.57096774193576</c:v>
                </c:pt>
                <c:pt idx="2">
                  <c:v>1659.2838709677426</c:v>
                </c:pt>
                <c:pt idx="3">
                  <c:v>2750.4419354838719</c:v>
                </c:pt>
                <c:pt idx="4">
                  <c:v>4235.0580645161299</c:v>
                </c:pt>
                <c:pt idx="5">
                  <c:v>5858.6677419354846</c:v>
                </c:pt>
                <c:pt idx="6">
                  <c:v>7520.5935483870971</c:v>
                </c:pt>
              </c:numCache>
            </c:numRef>
          </c:yVal>
          <c:smooth val="0"/>
          <c:extLst>
            <c:ext xmlns:c16="http://schemas.microsoft.com/office/drawing/2014/chart" uri="{C3380CC4-5D6E-409C-BE32-E72D297353CC}">
              <c16:uniqueId val="{00000001-1C52-4936-B657-4BA32AEF7F6E}"/>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'P240 sandpaper'!$O$5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'P240 sandpaper'!$L$7:$L$12</c:f>
              <c:numCache>
                <c:formatCode>0.0E+00</c:formatCode>
                <c:ptCount val="6"/>
                <c:pt idx="0">
                  <c:v>17029.859003236244</c:v>
                </c:pt>
                <c:pt idx="1">
                  <c:v>25314.655275080902</c:v>
                </c:pt>
                <c:pt idx="2">
                  <c:v>32218.652168284785</c:v>
                </c:pt>
                <c:pt idx="3">
                  <c:v>40043.181980582514</c:v>
                </c:pt>
                <c:pt idx="4">
                  <c:v>46026.645954692547</c:v>
                </c:pt>
                <c:pt idx="5">
                  <c:v>52930.642847896444</c:v>
                </c:pt>
              </c:numCache>
            </c:numRef>
          </c:xVal>
          <c:yVal>
            <c:numRef>
              <c:f>'P240 sandpaper'!$O$7:$O$12</c:f>
              <c:numCache>
                <c:formatCode>0.000</c:formatCode>
                <c:ptCount val="6"/>
                <c:pt idx="0">
                  <c:v>7.5458471764600207E-3</c:v>
                </c:pt>
                <c:pt idx="1">
                  <c:v>7.231500651335202E-3</c:v>
                </c:pt>
                <c:pt idx="2">
                  <c:v>7.4001328761873712E-3</c:v>
                </c:pt>
                <c:pt idx="3">
                  <c:v>7.3765617250750549E-3</c:v>
                </c:pt>
                <c:pt idx="4">
                  <c:v>7.7238171844782886E-3</c:v>
                </c:pt>
                <c:pt idx="5">
                  <c:v>7.4970352713403894E-3</c:v>
                </c:pt>
              </c:numCache>
            </c:numRef>
          </c:yVal>
          <c:smooth val="0"/>
          <c:extLst>
            <c:ext xmlns:c16="http://schemas.microsoft.com/office/drawing/2014/chart" uri="{C3380CC4-5D6E-409C-BE32-E72D297353CC}">
              <c16:uniqueId val="{00000001-6592-462E-A958-3FA217BE8C2F}"/>
            </c:ext>
          </c:extLst>
        </c:ser>
        <c:ser>
          <c:idx val="1"/>
          <c:order val="1"/>
          <c:tx>
            <c:strRef>
              <c:f>'P240 sandpaper'!$W$5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'P240 sandpaper'!$V$7:$V$31</c:f>
              <c:numCache>
                <c:formatCode>0.00000</c:formatCode>
                <c:ptCount val="25"/>
                <c:pt idx="0">
                  <c:v>1656.9579288025889</c:v>
                </c:pt>
                <c:pt idx="1">
                  <c:v>3313.9158576051777</c:v>
                </c:pt>
                <c:pt idx="2">
                  <c:v>4970.8737864077666</c:v>
                </c:pt>
                <c:pt idx="3">
                  <c:v>6627.8317152103555</c:v>
                </c:pt>
                <c:pt idx="4">
                  <c:v>8284.7896440129443</c:v>
                </c:pt>
                <c:pt idx="5">
                  <c:v>9941.7475728155332</c:v>
                </c:pt>
                <c:pt idx="6">
                  <c:v>11598.70550161812</c:v>
                </c:pt>
                <c:pt idx="7">
                  <c:v>13255.663430420711</c:v>
                </c:pt>
                <c:pt idx="8">
                  <c:v>14912.6213592233</c:v>
                </c:pt>
                <c:pt idx="9">
                  <c:v>16569.579288025889</c:v>
                </c:pt>
                <c:pt idx="10">
                  <c:v>18226.537216828478</c:v>
                </c:pt>
                <c:pt idx="11">
                  <c:v>19883.495145631066</c:v>
                </c:pt>
                <c:pt idx="12">
                  <c:v>21540.453074433655</c:v>
                </c:pt>
                <c:pt idx="13">
                  <c:v>23197.411003236241</c:v>
                </c:pt>
                <c:pt idx="14">
                  <c:v>24854.368932038833</c:v>
                </c:pt>
                <c:pt idx="15">
                  <c:v>26511.326860841422</c:v>
                </c:pt>
                <c:pt idx="16">
                  <c:v>28168.284789644007</c:v>
                </c:pt>
                <c:pt idx="17">
                  <c:v>29825.2427184466</c:v>
                </c:pt>
                <c:pt idx="18">
                  <c:v>31482.200647249185</c:v>
                </c:pt>
                <c:pt idx="19">
                  <c:v>33139.158576051777</c:v>
                </c:pt>
                <c:pt idx="20">
                  <c:v>34796.11650485437</c:v>
                </c:pt>
                <c:pt idx="21">
                  <c:v>36453.074433656955</c:v>
                </c:pt>
                <c:pt idx="22">
                  <c:v>38110.03236245954</c:v>
                </c:pt>
                <c:pt idx="23">
                  <c:v>39766.990291262133</c:v>
                </c:pt>
                <c:pt idx="24">
                  <c:v>41423.948220064718</c:v>
                </c:pt>
              </c:numCache>
            </c:numRef>
          </c:xVal>
          <c:yVal>
            <c:numRef>
              <c:f>'P240 sandpaper'!$X$7:$X$31</c:f>
              <c:numCache>
                <c:formatCode>0.00000</c:formatCode>
                <c:ptCount val="25"/>
                <c:pt idx="0">
                  <c:v>1.2397913818242142E-2</c:v>
                </c:pt>
                <c:pt idx="1">
                  <c:v>1.0425361286384313E-2</c:v>
                </c:pt>
                <c:pt idx="2">
                  <c:v>9.4203773467333701E-3</c:v>
                </c:pt>
                <c:pt idx="3">
                  <c:v>8.7666489334454218E-3</c:v>
                </c:pt>
                <c:pt idx="4">
                  <c:v>8.290984667882648E-3</c:v>
                </c:pt>
                <c:pt idx="5">
                  <c:v>7.9215615412053901E-3</c:v>
                </c:pt>
                <c:pt idx="6">
                  <c:v>7.6220905367660454E-3</c:v>
                </c:pt>
                <c:pt idx="7">
                  <c:v>7.3718436619220548E-3</c:v>
                </c:pt>
                <c:pt idx="8">
                  <c:v>7.1579388803518825E-3</c:v>
                </c:pt>
                <c:pt idx="9">
                  <c:v>6.9718592861460265E-3</c:v>
                </c:pt>
                <c:pt idx="10">
                  <c:v>6.8077005126050529E-3</c:v>
                </c:pt>
                <c:pt idx="11">
                  <c:v>6.6612127032113022E-3</c:v>
                </c:pt>
                <c:pt idx="12">
                  <c:v>6.5292421417442103E-3</c:v>
                </c:pt>
                <c:pt idx="13">
                  <c:v>6.4093886091058285E-3</c:v>
                </c:pt>
                <c:pt idx="14">
                  <c:v>6.2997860198474526E-3</c:v>
                </c:pt>
                <c:pt idx="15">
                  <c:v>6.1989569091210721E-3</c:v>
                </c:pt>
                <c:pt idx="16">
                  <c:v>6.1057129494354557E-3</c:v>
                </c:pt>
                <c:pt idx="17">
                  <c:v>6.0190851450930847E-3</c:v>
                </c:pt>
                <c:pt idx="18">
                  <c:v>5.9382737294604322E-3</c:v>
                </c:pt>
                <c:pt idx="19">
                  <c:v>5.862611481373515E-3</c:v>
                </c:pt>
                <c:pt idx="20">
                  <c:v>5.7915363891021419E-3</c:v>
                </c:pt>
                <c:pt idx="21">
                  <c:v>5.7245709571704627E-3</c:v>
                </c:pt>
                <c:pt idx="22">
                  <c:v>5.6613063190861443E-3</c:v>
                </c:pt>
                <c:pt idx="23">
                  <c:v>5.6013898833728905E-3</c:v>
                </c:pt>
                <c:pt idx="24">
                  <c:v>5.544515615354682E-3</c:v>
                </c:pt>
              </c:numCache>
            </c:numRef>
          </c:yVal>
          <c:smooth val="0"/>
          <c:extLst>
            <c:ext xmlns:c16="http://schemas.microsoft.com/office/drawing/2014/chart" uri="{C3380CC4-5D6E-409C-BE32-E72D297353CC}">
              <c16:uniqueId val="{00000003-6592-462E-A958-3FA217BE8C2F}"/>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1.2229036274102455E-2"/>
                  <c:y val="-4.2143755798142056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'P240 sandpaper'!$F$6:$F$12</c:f>
              <c:numCache>
                <c:formatCode>0.00</c:formatCode>
                <c:ptCount val="7"/>
                <c:pt idx="0">
                  <c:v>0</c:v>
                </c:pt>
                <c:pt idx="1">
                  <c:v>1.0277786</c:v>
                </c:pt>
                <c:pt idx="2">
                  <c:v>1.527779</c:v>
                </c:pt>
                <c:pt idx="3">
                  <c:v>1.9444460000000001</c:v>
                </c:pt>
                <c:pt idx="4">
                  <c:v>2.4166685999999999</c:v>
                </c:pt>
                <c:pt idx="5">
                  <c:v>2.7777799999999999</c:v>
                </c:pt>
                <c:pt idx="6">
                  <c:v>3.1944470000000003</c:v>
                </c:pt>
              </c:numCache>
            </c:numRef>
          </c:xVal>
          <c:yVal>
            <c:numRef>
              <c:f>'P240 sandpaper'!$I$6:$I$12</c:f>
              <c:numCache>
                <c:formatCode>General</c:formatCode>
                <c:ptCount val="7"/>
                <c:pt idx="0" formatCode="0.00">
                  <c:v>0</c:v>
                </c:pt>
                <c:pt idx="1">
                  <c:v>0.7835709677419358</c:v>
                </c:pt>
                <c:pt idx="2">
                  <c:v>1.6592838709677427</c:v>
                </c:pt>
                <c:pt idx="3">
                  <c:v>2.7504419354838716</c:v>
                </c:pt>
                <c:pt idx="4">
                  <c:v>4.2350580645161298</c:v>
                </c:pt>
                <c:pt idx="5">
                  <c:v>5.8586677419354842</c:v>
                </c:pt>
                <c:pt idx="6">
                  <c:v>7.5205935483870974</c:v>
                </c:pt>
              </c:numCache>
            </c:numRef>
          </c:yVal>
          <c:smooth val="0"/>
          <c:extLst>
            <c:ext xmlns:c16="http://schemas.microsoft.com/office/drawing/2014/chart" uri="{C3380CC4-5D6E-409C-BE32-E72D297353CC}">
              <c16:uniqueId val="{00000001-EC81-4B02-A9E3-8E3973D478D1}"/>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P(kPa)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'P240 sandpaper'!$F$7:$F$12</c:f>
              <c:numCache>
                <c:formatCode>0.00</c:formatCode>
                <c:ptCount val="6"/>
                <c:pt idx="0">
                  <c:v>1.0277786</c:v>
                </c:pt>
                <c:pt idx="1">
                  <c:v>1.527779</c:v>
                </c:pt>
                <c:pt idx="2">
                  <c:v>1.9444460000000001</c:v>
                </c:pt>
                <c:pt idx="3">
                  <c:v>2.4166685999999999</c:v>
                </c:pt>
                <c:pt idx="4">
                  <c:v>2.7777799999999999</c:v>
                </c:pt>
                <c:pt idx="5">
                  <c:v>3.1944470000000003</c:v>
                </c:pt>
              </c:numCache>
            </c:numRef>
          </c:xVal>
          <c:yVal>
            <c:numRef>
              <c:f>'P240 sandpaper'!$K$7:$K$12</c:f>
              <c:numCache>
                <c:formatCode>0</c:formatCode>
                <c:ptCount val="6"/>
                <c:pt idx="0">
                  <c:v>783.57096774193576</c:v>
                </c:pt>
                <c:pt idx="1">
                  <c:v>1659.2838709677426</c:v>
                </c:pt>
                <c:pt idx="2">
                  <c:v>2750.4419354838719</c:v>
                </c:pt>
                <c:pt idx="3">
                  <c:v>4235.0580645161299</c:v>
                </c:pt>
                <c:pt idx="4">
                  <c:v>5858.6677419354846</c:v>
                </c:pt>
                <c:pt idx="5">
                  <c:v>7520.5935483870971</c:v>
                </c:pt>
              </c:numCache>
            </c:numRef>
          </c:yVal>
          <c:smooth val="0"/>
          <c:extLst>
            <c:ext xmlns:c16="http://schemas.microsoft.com/office/drawing/2014/chart" uri="{C3380CC4-5D6E-409C-BE32-E72D297353CC}">
              <c16:uniqueId val="{00000001-54FF-486F-870E-92EFE1C14608}"/>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1"/>
          <c:tx>
            <c:v>Perimeter Loading</c:v>
          </c:tx>
          <c:spPr>
            <a:ln w="25400" cap="rnd">
              <a:noFill/>
              <a:round/>
            </a:ln>
            <a:effectLst/>
          </c:spPr>
          <c:marker>
            <c:symbol val="circle"/>
            <c:size val="5"/>
            <c:spPr>
              <a:solidFill>
                <a:schemeClr val="accent2"/>
              </a:solidFill>
              <a:ln w="9525">
                <a:solidFill>
                  <a:schemeClr val="accent2"/>
                </a:solidFill>
              </a:ln>
              <a:effectLst/>
            </c:spPr>
          </c:marker>
          <c:xVal>
            <c:numRef>
              <c:f>'P240 sandpaper'!$L$7:$L$12</c:f>
              <c:numCache>
                <c:formatCode>0.0E+00</c:formatCode>
                <c:ptCount val="6"/>
                <c:pt idx="0">
                  <c:v>17029.859003236244</c:v>
                </c:pt>
                <c:pt idx="1">
                  <c:v>25314.655275080902</c:v>
                </c:pt>
                <c:pt idx="2">
                  <c:v>32218.652168284785</c:v>
                </c:pt>
                <c:pt idx="3">
                  <c:v>40043.181980582514</c:v>
                </c:pt>
                <c:pt idx="4">
                  <c:v>46026.645954692547</c:v>
                </c:pt>
                <c:pt idx="5">
                  <c:v>52930.642847896444</c:v>
                </c:pt>
              </c:numCache>
              <c:extLst xmlns:c15="http://schemas.microsoft.com/office/drawing/2012/chart"/>
            </c:numRef>
          </c:xVal>
          <c:yVal>
            <c:numRef>
              <c:f>'P240 sandpaper'!$R$7:$R$12</c:f>
              <c:numCache>
                <c:formatCode>0.00</c:formatCode>
                <c:ptCount val="6"/>
                <c:pt idx="0" formatCode="General">
                  <c:v>24195.881666666668</c:v>
                </c:pt>
                <c:pt idx="1">
                  <c:v>23922.705666666665</c:v>
                </c:pt>
                <c:pt idx="2" formatCode="0.000">
                  <c:v>24109.877666666667</c:v>
                </c:pt>
                <c:pt idx="3" formatCode="0.000">
                  <c:v>23733.654999999999</c:v>
                </c:pt>
                <c:pt idx="4" formatCode="General">
                  <c:v>23789.495999999999</c:v>
                </c:pt>
                <c:pt idx="5" formatCode="General">
                  <c:v>24347.279666666665</c:v>
                </c:pt>
              </c:numCache>
              <c:extLst xmlns:c15="http://schemas.microsoft.com/office/drawing/2012/chart"/>
            </c:numRef>
          </c:yVal>
          <c:smooth val="0"/>
          <c:extLst>
            <c:ext xmlns:c16="http://schemas.microsoft.com/office/drawing/2014/chart" uri="{C3380CC4-5D6E-409C-BE32-E72D297353CC}">
              <c16:uniqueId val="{00000002-FDD9-49C0-8B27-E0B9B5593B0D}"/>
            </c:ext>
          </c:extLst>
        </c:ser>
        <c:ser>
          <c:idx val="4"/>
          <c:order val="4"/>
          <c:tx>
            <c:v>Perimeter Unloading</c:v>
          </c:tx>
          <c:spPr>
            <a:ln w="25400" cap="rnd">
              <a:noFill/>
              <a:round/>
            </a:ln>
            <a:effectLst/>
          </c:spPr>
          <c:marker>
            <c:symbol val="circle"/>
            <c:size val="5"/>
            <c:spPr>
              <a:solidFill>
                <a:schemeClr val="accent5"/>
              </a:solidFill>
              <a:ln w="9525">
                <a:solidFill>
                  <a:schemeClr val="accent5"/>
                </a:solidFill>
              </a:ln>
              <a:effectLst/>
            </c:spPr>
          </c:marker>
          <c:xVal>
            <c:numRef>
              <c:f>'P240 sandpaper'!$L$13:$L$18</c:f>
              <c:numCache>
                <c:formatCode>0.0E+00</c:formatCode>
                <c:ptCount val="6"/>
                <c:pt idx="0">
                  <c:v>52930.642847896444</c:v>
                </c:pt>
                <c:pt idx="1">
                  <c:v>45566.379495145622</c:v>
                </c:pt>
                <c:pt idx="2">
                  <c:v>37281.583223300971</c:v>
                </c:pt>
                <c:pt idx="3">
                  <c:v>30837.85278964401</c:v>
                </c:pt>
                <c:pt idx="4">
                  <c:v>24394.122355987052</c:v>
                </c:pt>
                <c:pt idx="5">
                  <c:v>17490.125462783169</c:v>
                </c:pt>
              </c:numCache>
              <c:extLst xmlns:c15="http://schemas.microsoft.com/office/drawing/2012/chart"/>
            </c:numRef>
          </c:xVal>
          <c:yVal>
            <c:numRef>
              <c:f>'P240 sandpaper'!$R$13:$R$18</c:f>
              <c:numCache>
                <c:formatCode>General</c:formatCode>
                <c:ptCount val="6"/>
                <c:pt idx="0">
                  <c:v>24347.279666666665</c:v>
                </c:pt>
                <c:pt idx="1">
                  <c:v>24600.788</c:v>
                </c:pt>
                <c:pt idx="2">
                  <c:v>24138.521999999997</c:v>
                </c:pt>
                <c:pt idx="3">
                  <c:v>23898.953333333335</c:v>
                </c:pt>
                <c:pt idx="4">
                  <c:v>24148.25333333333</c:v>
                </c:pt>
                <c:pt idx="5">
                  <c:v>24124.670333333332</c:v>
                </c:pt>
              </c:numCache>
              <c:extLst xmlns:c15="http://schemas.microsoft.com/office/drawing/2012/chart"/>
            </c:numRef>
          </c:yVal>
          <c:smooth val="0"/>
          <c:extLst>
            <c:ext xmlns:c16="http://schemas.microsoft.com/office/drawing/2014/chart" uri="{C3380CC4-5D6E-409C-BE32-E72D297353CC}">
              <c16:uniqueId val="{00000004-FDD9-49C0-8B27-E0B9B5593B0D}"/>
            </c:ext>
          </c:extLst>
        </c:ser>
        <c:dLbls>
          <c:showLegendKey val="0"/>
          <c:showVal val="0"/>
          <c:showCatName val="0"/>
          <c:showSerName val="0"/>
          <c:showPercent val="0"/>
          <c:showBubbleSize val="0"/>
        </c:dLbls>
        <c:axId val="1522929311"/>
        <c:axId val="1359179135"/>
        <c:extLst>
          <c:ext xmlns:c15="http://schemas.microsoft.com/office/drawing/2012/chart" uri="{02D57815-91ED-43cb-92C2-25804820EDAC}">
            <c15:filteredScatterSeries>
              <c15:ser>
                <c:idx val="0"/>
                <c:order val="0"/>
                <c:tx>
                  <c:v>Area Loading</c:v>
                </c:tx>
                <c:spPr>
                  <a:ln w="25400" cap="rnd">
                    <a:noFill/>
                    <a:round/>
                  </a:ln>
                  <a:effectLst/>
                </c:spPr>
                <c:marker>
                  <c:symbol val="circle"/>
                  <c:size val="5"/>
                  <c:spPr>
                    <a:solidFill>
                      <a:schemeClr val="accent1"/>
                    </a:solidFill>
                    <a:ln w="9525">
                      <a:solidFill>
                        <a:schemeClr val="accent1"/>
                      </a:solidFill>
                    </a:ln>
                    <a:effectLst/>
                  </c:spPr>
                </c:marker>
                <c:xVal>
                  <c:numRef>
                    <c:extLst>
                      <c:ext uri="{02D57815-91ED-43cb-92C2-25804820EDAC}">
                        <c15:formulaRef>
                          <c15:sqref>'P240 sandpaper'!$L$7:$L$12</c15:sqref>
                        </c15:formulaRef>
                      </c:ext>
                    </c:extLst>
                    <c:numCache>
                      <c:formatCode>0.0E+00</c:formatCode>
                      <c:ptCount val="6"/>
                      <c:pt idx="0">
                        <c:v>17029.859003236244</c:v>
                      </c:pt>
                      <c:pt idx="1">
                        <c:v>25314.655275080902</c:v>
                      </c:pt>
                      <c:pt idx="2">
                        <c:v>32218.652168284785</c:v>
                      </c:pt>
                      <c:pt idx="3">
                        <c:v>40043.181980582514</c:v>
                      </c:pt>
                      <c:pt idx="4">
                        <c:v>46026.645954692547</c:v>
                      </c:pt>
                      <c:pt idx="5">
                        <c:v>52930.642847896444</c:v>
                      </c:pt>
                    </c:numCache>
                  </c:numRef>
                </c:xVal>
                <c:yVal>
                  <c:numRef>
                    <c:extLst>
                      <c:ext uri="{02D57815-91ED-43cb-92C2-25804820EDAC}">
                        <c15:formulaRef>
                          <c15:sqref>'P240 sandpaper'!$Q$7:$Q$12</c15:sqref>
                        </c15:formulaRef>
                      </c:ext>
                    </c:extLst>
                    <c:numCache>
                      <c:formatCode>0.00</c:formatCode>
                      <c:ptCount val="6"/>
                      <c:pt idx="0" formatCode="General">
                        <c:v>1180252.5826666665</c:v>
                      </c:pt>
                      <c:pt idx="1">
                        <c:v>1173489.5013333333</c:v>
                      </c:pt>
                      <c:pt idx="2" formatCode="0.000">
                        <c:v>1078149.9656666666</c:v>
                      </c:pt>
                      <c:pt idx="3" formatCode="0.000">
                        <c:v>1150581.057</c:v>
                      </c:pt>
                      <c:pt idx="4" formatCode="General">
                        <c:v>1172880.5183333333</c:v>
                      </c:pt>
                      <c:pt idx="5" formatCode="General">
                        <c:v>1171923.1363333333</c:v>
                      </c:pt>
                    </c:numCache>
                  </c:numRef>
                </c:yVal>
                <c:smooth val="0"/>
                <c:extLst>
                  <c:ext xmlns:c16="http://schemas.microsoft.com/office/drawing/2014/chart" uri="{C3380CC4-5D6E-409C-BE32-E72D297353CC}">
                    <c16:uniqueId val="{00000000-FDD9-49C0-8B27-E0B9B5593B0D}"/>
                  </c:ext>
                </c:extLst>
              </c15:ser>
            </c15:filteredScatterSeries>
            <c15:filteredScatterSeries>
              <c15:ser>
                <c:idx val="2"/>
                <c:order val="2"/>
                <c:tx>
                  <c:v>Elongation Loading</c:v>
                </c:tx>
                <c:spPr>
                  <a:ln w="25400" cap="rnd">
                    <a:noFill/>
                    <a:round/>
                  </a:ln>
                  <a:effectLst/>
                </c:spPr>
                <c:marker>
                  <c:symbol val="circle"/>
                  <c:size val="5"/>
                  <c:spPr>
                    <a:solidFill>
                      <a:schemeClr val="accent3"/>
                    </a:solidFill>
                    <a:ln w="9525">
                      <a:solidFill>
                        <a:schemeClr val="accent3"/>
                      </a:solidFill>
                    </a:ln>
                    <a:effectLst/>
                  </c:spPr>
                </c:marker>
                <c:xVal>
                  <c:numRef>
                    <c:extLst xmlns:c15="http://schemas.microsoft.com/office/drawing/2012/chart">
                      <c:ext xmlns:c15="http://schemas.microsoft.com/office/drawing/2012/chart" uri="{02D57815-91ED-43cb-92C2-25804820EDAC}">
                        <c15:formulaRef>
                          <c15:sqref>'P240 sandpaper'!$L$7:$L$12</c15:sqref>
                        </c15:formulaRef>
                      </c:ext>
                    </c:extLst>
                    <c:numCache>
                      <c:formatCode>0.0E+00</c:formatCode>
                      <c:ptCount val="6"/>
                      <c:pt idx="0">
                        <c:v>17029.859003236244</c:v>
                      </c:pt>
                      <c:pt idx="1">
                        <c:v>25314.655275080902</c:v>
                      </c:pt>
                      <c:pt idx="2">
                        <c:v>32218.652168284785</c:v>
                      </c:pt>
                      <c:pt idx="3">
                        <c:v>40043.181980582514</c:v>
                      </c:pt>
                      <c:pt idx="4">
                        <c:v>46026.645954692547</c:v>
                      </c:pt>
                      <c:pt idx="5">
                        <c:v>52930.642847896444</c:v>
                      </c:pt>
                    </c:numCache>
                  </c:numRef>
                </c:xVal>
                <c:yVal>
                  <c:numRef>
                    <c:extLst xmlns:c15="http://schemas.microsoft.com/office/drawing/2012/chart">
                      <c:ext xmlns:c15="http://schemas.microsoft.com/office/drawing/2012/chart" uri="{02D57815-91ED-43cb-92C2-25804820EDAC}">
                        <c15:formulaRef>
                          <c15:sqref>'P240 sandpaper'!$S$7:$S$12</c15:sqref>
                        </c15:formulaRef>
                      </c:ext>
                    </c:extLst>
                    <c:numCache>
                      <c:formatCode>0.00</c:formatCode>
                      <c:ptCount val="6"/>
                      <c:pt idx="0" formatCode="General">
                        <c:v>53.87566666666666</c:v>
                      </c:pt>
                      <c:pt idx="1">
                        <c:v>54.229333333333329</c:v>
                      </c:pt>
                      <c:pt idx="2" formatCode="0.000">
                        <c:v>56.719666666666662</c:v>
                      </c:pt>
                      <c:pt idx="3" formatCode="0.000">
                        <c:v>54.749000000000002</c:v>
                      </c:pt>
                      <c:pt idx="4" formatCode="General">
                        <c:v>54.546333333333337</c:v>
                      </c:pt>
                      <c:pt idx="5" formatCode="General">
                        <c:v>54.866999999999997</c:v>
                      </c:pt>
                    </c:numCache>
                  </c:numRef>
                </c:yVal>
                <c:smooth val="0"/>
                <c:extLst xmlns:c15="http://schemas.microsoft.com/office/drawing/2012/chart">
                  <c:ext xmlns:c16="http://schemas.microsoft.com/office/drawing/2014/chart" uri="{C3380CC4-5D6E-409C-BE32-E72D297353CC}">
                    <c16:uniqueId val="{00000003-FDD9-49C0-8B27-E0B9B5593B0D}"/>
                  </c:ext>
                </c:extLst>
              </c15:ser>
            </c15:filteredScatterSeries>
            <c15:filteredScatterSeries>
              <c15:ser>
                <c:idx val="3"/>
                <c:order val="3"/>
                <c:tx>
                  <c:v>Area Unloading</c:v>
                </c:tx>
                <c:spPr>
                  <a:ln w="25400" cap="rnd">
                    <a:noFill/>
                    <a:round/>
                  </a:ln>
                  <a:effectLst/>
                </c:spPr>
                <c:marker>
                  <c:symbol val="circle"/>
                  <c:size val="5"/>
                  <c:spPr>
                    <a:solidFill>
                      <a:schemeClr val="accent4"/>
                    </a:solidFill>
                    <a:ln w="9525">
                      <a:solidFill>
                        <a:schemeClr val="accent4"/>
                      </a:solidFill>
                    </a:ln>
                    <a:effectLst/>
                  </c:spPr>
                </c:marker>
                <c:xVal>
                  <c:numRef>
                    <c:extLst xmlns:c15="http://schemas.microsoft.com/office/drawing/2012/chart">
                      <c:ext xmlns:c15="http://schemas.microsoft.com/office/drawing/2012/chart" uri="{02D57815-91ED-43cb-92C2-25804820EDAC}">
                        <c15:formulaRef>
                          <c15:sqref>'P240 sandpaper'!$L$13:$L$18</c15:sqref>
                        </c15:formulaRef>
                      </c:ext>
                    </c:extLst>
                    <c:numCache>
                      <c:formatCode>0.0E+00</c:formatCode>
                      <c:ptCount val="6"/>
                      <c:pt idx="0">
                        <c:v>52930.642847896444</c:v>
                      </c:pt>
                      <c:pt idx="1">
                        <c:v>45566.379495145622</c:v>
                      </c:pt>
                      <c:pt idx="2">
                        <c:v>37281.583223300971</c:v>
                      </c:pt>
                      <c:pt idx="3">
                        <c:v>30837.85278964401</c:v>
                      </c:pt>
                      <c:pt idx="4">
                        <c:v>24394.122355987052</c:v>
                      </c:pt>
                      <c:pt idx="5">
                        <c:v>17490.125462783169</c:v>
                      </c:pt>
                    </c:numCache>
                  </c:numRef>
                </c:xVal>
                <c:yVal>
                  <c:numRef>
                    <c:extLst xmlns:c15="http://schemas.microsoft.com/office/drawing/2012/chart">
                      <c:ext xmlns:c15="http://schemas.microsoft.com/office/drawing/2012/chart" uri="{02D57815-91ED-43cb-92C2-25804820EDAC}">
                        <c15:formulaRef>
                          <c15:sqref>'P240 sandpaper'!$Q$13:$Q$18</c15:sqref>
                        </c15:formulaRef>
                      </c:ext>
                    </c:extLst>
                    <c:numCache>
                      <c:formatCode>General</c:formatCode>
                      <c:ptCount val="6"/>
                      <c:pt idx="0">
                        <c:v>1171923.1363333333</c:v>
                      </c:pt>
                      <c:pt idx="1">
                        <c:v>1157579.9046666669</c:v>
                      </c:pt>
                      <c:pt idx="2">
                        <c:v>1194574.8149999997</c:v>
                      </c:pt>
                      <c:pt idx="3">
                        <c:v>1190487.5663333333</c:v>
                      </c:pt>
                      <c:pt idx="4">
                        <c:v>1228443.04</c:v>
                      </c:pt>
                      <c:pt idx="5">
                        <c:v>1243566.7496666666</c:v>
                      </c:pt>
                    </c:numCache>
                  </c:numRef>
                </c:yVal>
                <c:smooth val="0"/>
                <c:extLst xmlns:c15="http://schemas.microsoft.com/office/drawing/2012/chart">
                  <c:ext xmlns:c16="http://schemas.microsoft.com/office/drawing/2014/chart" uri="{C3380CC4-5D6E-409C-BE32-E72D297353CC}">
                    <c16:uniqueId val="{00000001-FDD9-49C0-8B27-E0B9B5593B0D}"/>
                  </c:ext>
                </c:extLst>
              </c15:ser>
            </c15:filteredScatterSeries>
            <c15:filteredScatterSeries>
              <c15:ser>
                <c:idx val="5"/>
                <c:order val="5"/>
                <c:tx>
                  <c:v>Elongation Unloading</c:v>
                </c:tx>
                <c:spPr>
                  <a:ln w="25400" cap="rnd">
                    <a:noFill/>
                    <a:round/>
                  </a:ln>
                  <a:effectLst/>
                </c:spPr>
                <c:marker>
                  <c:symbol val="circle"/>
                  <c:size val="5"/>
                  <c:spPr>
                    <a:solidFill>
                      <a:schemeClr val="accent6"/>
                    </a:solidFill>
                    <a:ln w="9525">
                      <a:solidFill>
                        <a:schemeClr val="accent6"/>
                      </a:solidFill>
                    </a:ln>
                    <a:effectLst/>
                  </c:spPr>
                </c:marker>
                <c:xVal>
                  <c:numRef>
                    <c:extLst xmlns:c15="http://schemas.microsoft.com/office/drawing/2012/chart">
                      <c:ext xmlns:c15="http://schemas.microsoft.com/office/drawing/2012/chart" uri="{02D57815-91ED-43cb-92C2-25804820EDAC}">
                        <c15:formulaRef>
                          <c15:sqref>'P240 sandpaper'!$L$13:$L$18</c15:sqref>
                        </c15:formulaRef>
                      </c:ext>
                    </c:extLst>
                    <c:numCache>
                      <c:formatCode>0.0E+00</c:formatCode>
                      <c:ptCount val="6"/>
                      <c:pt idx="0">
                        <c:v>52930.642847896444</c:v>
                      </c:pt>
                      <c:pt idx="1">
                        <c:v>45566.379495145622</c:v>
                      </c:pt>
                      <c:pt idx="2">
                        <c:v>37281.583223300971</c:v>
                      </c:pt>
                      <c:pt idx="3">
                        <c:v>30837.85278964401</c:v>
                      </c:pt>
                      <c:pt idx="4">
                        <c:v>24394.122355987052</c:v>
                      </c:pt>
                      <c:pt idx="5">
                        <c:v>17490.125462783169</c:v>
                      </c:pt>
                    </c:numCache>
                  </c:numRef>
                </c:xVal>
                <c:yVal>
                  <c:numRef>
                    <c:extLst xmlns:c15="http://schemas.microsoft.com/office/drawing/2012/chart">
                      <c:ext xmlns:c15="http://schemas.microsoft.com/office/drawing/2012/chart" uri="{02D57815-91ED-43cb-92C2-25804820EDAC}">
                        <c15:formulaRef>
                          <c15:sqref>'P240 sandpaper'!$S$13:$S$18</c15:sqref>
                        </c15:formulaRef>
                      </c:ext>
                    </c:extLst>
                    <c:numCache>
                      <c:formatCode>General</c:formatCode>
                      <c:ptCount val="6"/>
                      <c:pt idx="0">
                        <c:v>54.866999999999997</c:v>
                      </c:pt>
                      <c:pt idx="1">
                        <c:v>54.682333333333339</c:v>
                      </c:pt>
                      <c:pt idx="2">
                        <c:v>53.910000000000004</c:v>
                      </c:pt>
                      <c:pt idx="3">
                        <c:v>54.228333333333332</c:v>
                      </c:pt>
                      <c:pt idx="4">
                        <c:v>53.041333333333334</c:v>
                      </c:pt>
                      <c:pt idx="5">
                        <c:v>52.822000000000003</c:v>
                      </c:pt>
                    </c:numCache>
                  </c:numRef>
                </c:yVal>
                <c:smooth val="0"/>
                <c:extLst xmlns:c15="http://schemas.microsoft.com/office/drawing/2012/chart">
                  <c:ext xmlns:c16="http://schemas.microsoft.com/office/drawing/2014/chart" uri="{C3380CC4-5D6E-409C-BE32-E72D297353CC}">
                    <c16:uniqueId val="{00000005-FDD9-49C0-8B27-E0B9B5593B0D}"/>
                  </c:ext>
                </c:extLst>
              </c15:ser>
            </c15:filteredScatterSeries>
          </c:ext>
        </c:extLst>
      </c:scatterChart>
      <c:valAx>
        <c:axId val="1522929311"/>
        <c:scaling>
          <c:orientation val="minMax"/>
        </c:scaling>
        <c:delete val="0"/>
        <c:axPos val="b"/>
        <c:majorGridlines>
          <c:spPr>
            <a:ln w="9525" cap="flat" cmpd="sng" algn="ctr">
              <a:solidFill>
                <a:schemeClr val="tx1">
                  <a:lumMod val="15000"/>
                  <a:lumOff val="85000"/>
                </a:schemeClr>
              </a:solidFill>
              <a:round/>
            </a:ln>
            <a:effectLst/>
          </c:spPr>
        </c:majorGridlines>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9179135"/>
        <c:crosses val="autoZero"/>
        <c:crossBetween val="midCat"/>
      </c:valAx>
      <c:valAx>
        <c:axId val="13591791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2292931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'2 P240 sandpaper'!$G$6:$G$12</c:f>
              <c:numCache>
                <c:formatCode>0.00</c:formatCode>
                <c:ptCount val="7"/>
                <c:pt idx="0">
                  <c:v>0</c:v>
                </c:pt>
                <c:pt idx="1">
                  <c:v>1.1141993135809598</c:v>
                </c:pt>
                <c:pt idx="2">
                  <c:v>2.3341086728409999</c:v>
                </c:pt>
                <c:pt idx="3">
                  <c:v>3.7808702469160003</c:v>
                </c:pt>
                <c:pt idx="4">
                  <c:v>5.84028712222596</c:v>
                </c:pt>
                <c:pt idx="5">
                  <c:v>7.7160617283999997</c:v>
                </c:pt>
                <c:pt idx="6">
                  <c:v>10.204491635809001</c:v>
                </c:pt>
              </c:numCache>
            </c:numRef>
          </c:xVal>
          <c:yVal>
            <c:numRef>
              <c:f>'2 P240 sandpaper'!$K$6:$K$12</c:f>
              <c:numCache>
                <c:formatCode>0</c:formatCode>
                <c:ptCount val="7"/>
                <c:pt idx="0">
                  <c:v>0</c:v>
                </c:pt>
                <c:pt idx="1">
                  <c:v>783.57096800000011</c:v>
                </c:pt>
                <c:pt idx="2">
                  <c:v>1659.2838710000003</c:v>
                </c:pt>
                <c:pt idx="3">
                  <c:v>2750.4419359999997</c:v>
                </c:pt>
                <c:pt idx="4">
                  <c:v>4235.0580650000002</c:v>
                </c:pt>
                <c:pt idx="5">
                  <c:v>5858.6677419999996</c:v>
                </c:pt>
                <c:pt idx="6">
                  <c:v>7520.5935489999983</c:v>
                </c:pt>
              </c:numCache>
            </c:numRef>
          </c:yVal>
          <c:smooth val="0"/>
          <c:extLst>
            <c:ext xmlns:c16="http://schemas.microsoft.com/office/drawing/2014/chart" uri="{C3380CC4-5D6E-409C-BE32-E72D297353CC}">
              <c16:uniqueId val="{00000001-CB58-4EAA-9BAB-83F15480325B}"/>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'2 P240 sandpaper'!$O$5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'2 P240 sandpaper'!$L$7:$L$12</c:f>
              <c:numCache>
                <c:formatCode>0.0E+00</c:formatCode>
                <c:ptCount val="6"/>
                <c:pt idx="0">
                  <c:v>17490.125462783169</c:v>
                </c:pt>
                <c:pt idx="1">
                  <c:v>25314.655275080902</c:v>
                </c:pt>
                <c:pt idx="2">
                  <c:v>32218.652168284785</c:v>
                </c:pt>
                <c:pt idx="3">
                  <c:v>40043.181980582514</c:v>
                </c:pt>
                <c:pt idx="4">
                  <c:v>46026.645954692547</c:v>
                </c:pt>
                <c:pt idx="5">
                  <c:v>52930.642847896444</c:v>
                </c:pt>
              </c:numCache>
            </c:numRef>
          </c:xVal>
          <c:yVal>
            <c:numRef>
              <c:f>'2 P240 sandpaper'!$O$7:$O$12</c:f>
              <c:numCache>
                <c:formatCode>0.000</c:formatCode>
                <c:ptCount val="6"/>
                <c:pt idx="0">
                  <c:v>7.1539229833628669E-3</c:v>
                </c:pt>
                <c:pt idx="1">
                  <c:v>7.2315006514757883E-3</c:v>
                </c:pt>
                <c:pt idx="2">
                  <c:v>7.4001328775760251E-3</c:v>
                </c:pt>
                <c:pt idx="3">
                  <c:v>7.376561725917853E-3</c:v>
                </c:pt>
                <c:pt idx="4">
                  <c:v>7.723817184563342E-3</c:v>
                </c:pt>
                <c:pt idx="5">
                  <c:v>7.4970352719513703E-3</c:v>
                </c:pt>
              </c:numCache>
            </c:numRef>
          </c:yVal>
          <c:smooth val="0"/>
          <c:extLst>
            <c:ext xmlns:c16="http://schemas.microsoft.com/office/drawing/2014/chart" uri="{C3380CC4-5D6E-409C-BE32-E72D297353CC}">
              <c16:uniqueId val="{00000001-1FC4-4C81-AD8C-8839798B8165}"/>
            </c:ext>
          </c:extLst>
        </c:ser>
        <c:ser>
          <c:idx val="1"/>
          <c:order val="1"/>
          <c:tx>
            <c:strRef>
              <c:f>'2 P240 sandpaper'!$W$5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P240 sandpaper'!$V$7:$V$31</c:f>
              <c:numCache>
                <c:formatCode>0.00000</c:formatCode>
                <c:ptCount val="25"/>
                <c:pt idx="0">
                  <c:v>1656.9579288025889</c:v>
                </c:pt>
                <c:pt idx="1">
                  <c:v>3313.9158576051777</c:v>
                </c:pt>
                <c:pt idx="2">
                  <c:v>4970.8737864077666</c:v>
                </c:pt>
                <c:pt idx="3">
                  <c:v>6627.8317152103555</c:v>
                </c:pt>
                <c:pt idx="4">
                  <c:v>8284.7896440129443</c:v>
                </c:pt>
                <c:pt idx="5">
                  <c:v>9941.7475728155332</c:v>
                </c:pt>
                <c:pt idx="6">
                  <c:v>11598.70550161812</c:v>
                </c:pt>
                <c:pt idx="7">
                  <c:v>13255.663430420711</c:v>
                </c:pt>
                <c:pt idx="8">
                  <c:v>14912.6213592233</c:v>
                </c:pt>
                <c:pt idx="9">
                  <c:v>16569.579288025889</c:v>
                </c:pt>
                <c:pt idx="10">
                  <c:v>18226.537216828478</c:v>
                </c:pt>
                <c:pt idx="11">
                  <c:v>19883.495145631066</c:v>
                </c:pt>
                <c:pt idx="12">
                  <c:v>21540.453074433655</c:v>
                </c:pt>
                <c:pt idx="13">
                  <c:v>23197.411003236241</c:v>
                </c:pt>
                <c:pt idx="14">
                  <c:v>24854.368932038833</c:v>
                </c:pt>
                <c:pt idx="15">
                  <c:v>26511.326860841422</c:v>
                </c:pt>
                <c:pt idx="16">
                  <c:v>28168.284789644007</c:v>
                </c:pt>
                <c:pt idx="17">
                  <c:v>29825.2427184466</c:v>
                </c:pt>
                <c:pt idx="18">
                  <c:v>31482.200647249185</c:v>
                </c:pt>
                <c:pt idx="19">
                  <c:v>33139.158576051777</c:v>
                </c:pt>
                <c:pt idx="20">
                  <c:v>34796.11650485437</c:v>
                </c:pt>
                <c:pt idx="21">
                  <c:v>36453.074433656955</c:v>
                </c:pt>
                <c:pt idx="22">
                  <c:v>38110.03236245954</c:v>
                </c:pt>
                <c:pt idx="23">
                  <c:v>39766.990291262133</c:v>
                </c:pt>
                <c:pt idx="24">
                  <c:v>41423.948220064718</c:v>
                </c:pt>
              </c:numCache>
            </c:numRef>
          </c:xVal>
          <c:yVal>
            <c:numRef>
              <c:f>'2 P240 sandpaper'!$X$7:$X$31</c:f>
              <c:numCache>
                <c:formatCode>0.00000</c:formatCode>
                <c:ptCount val="25"/>
                <c:pt idx="0">
                  <c:v>1.2397913818242142E-2</c:v>
                </c:pt>
                <c:pt idx="1">
                  <c:v>1.0425361286384313E-2</c:v>
                </c:pt>
                <c:pt idx="2">
                  <c:v>9.4203773467333701E-3</c:v>
                </c:pt>
                <c:pt idx="3">
                  <c:v>8.7666489334454218E-3</c:v>
                </c:pt>
                <c:pt idx="4">
                  <c:v>8.290984667882648E-3</c:v>
                </c:pt>
                <c:pt idx="5">
                  <c:v>7.9215615412053901E-3</c:v>
                </c:pt>
                <c:pt idx="6">
                  <c:v>7.6220905367660454E-3</c:v>
                </c:pt>
                <c:pt idx="7">
                  <c:v>7.3718436619220548E-3</c:v>
                </c:pt>
                <c:pt idx="8">
                  <c:v>7.1579388803518825E-3</c:v>
                </c:pt>
                <c:pt idx="9">
                  <c:v>6.9718592861460265E-3</c:v>
                </c:pt>
                <c:pt idx="10">
                  <c:v>6.8077005126050529E-3</c:v>
                </c:pt>
                <c:pt idx="11">
                  <c:v>6.6612127032113022E-3</c:v>
                </c:pt>
                <c:pt idx="12">
                  <c:v>6.5292421417442103E-3</c:v>
                </c:pt>
                <c:pt idx="13">
                  <c:v>6.4093886091058285E-3</c:v>
                </c:pt>
                <c:pt idx="14">
                  <c:v>6.2997860198474526E-3</c:v>
                </c:pt>
                <c:pt idx="15">
                  <c:v>6.1989569091210721E-3</c:v>
                </c:pt>
                <c:pt idx="16">
                  <c:v>6.1057129494354557E-3</c:v>
                </c:pt>
                <c:pt idx="17">
                  <c:v>6.0190851450930847E-3</c:v>
                </c:pt>
                <c:pt idx="18">
                  <c:v>5.9382737294604322E-3</c:v>
                </c:pt>
                <c:pt idx="19">
                  <c:v>5.862611481373515E-3</c:v>
                </c:pt>
                <c:pt idx="20">
                  <c:v>5.7915363891021419E-3</c:v>
                </c:pt>
                <c:pt idx="21">
                  <c:v>5.7245709571704627E-3</c:v>
                </c:pt>
                <c:pt idx="22">
                  <c:v>5.6613063190861443E-3</c:v>
                </c:pt>
                <c:pt idx="23">
                  <c:v>5.6013898833728905E-3</c:v>
                </c:pt>
                <c:pt idx="24">
                  <c:v>5.544515615354682E-3</c:v>
                </c:pt>
              </c:numCache>
            </c:numRef>
          </c:yVal>
          <c:smooth val="0"/>
          <c:extLst>
            <c:ext xmlns:c16="http://schemas.microsoft.com/office/drawing/2014/chart" uri="{C3380CC4-5D6E-409C-BE32-E72D297353CC}">
              <c16:uniqueId val="{00000003-1FC4-4C81-AD8C-8839798B8165}"/>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'3 P240 sandpaper'!$G$6:$G$12</c:f>
              <c:numCache>
                <c:formatCode>0.00</c:formatCode>
                <c:ptCount val="7"/>
                <c:pt idx="0">
                  <c:v>0</c:v>
                </c:pt>
                <c:pt idx="1">
                  <c:v>1.2345698765440003</c:v>
                </c:pt>
                <c:pt idx="2">
                  <c:v>2.5069484555571604</c:v>
                </c:pt>
                <c:pt idx="3">
                  <c:v>4.3402847222249994</c:v>
                </c:pt>
                <c:pt idx="4">
                  <c:v>6.530874646917761</c:v>
                </c:pt>
                <c:pt idx="5">
                  <c:v>8.5069580555610003</c:v>
                </c:pt>
                <c:pt idx="6">
                  <c:v>10.926715013587241</c:v>
                </c:pt>
              </c:numCache>
            </c:numRef>
          </c:xVal>
          <c:yVal>
            <c:numRef>
              <c:f>'3 P240 sandpaper'!$K$6:$K$12</c:f>
              <c:numCache>
                <c:formatCode>0</c:formatCode>
                <c:ptCount val="7"/>
                <c:pt idx="0">
                  <c:v>0</c:v>
                </c:pt>
                <c:pt idx="1">
                  <c:v>900.88387096774204</c:v>
                </c:pt>
                <c:pt idx="2">
                  <c:v>1883.1516129032259</c:v>
                </c:pt>
                <c:pt idx="3">
                  <c:v>3386.8967741935485</c:v>
                </c:pt>
                <c:pt idx="4">
                  <c:v>5273.4870967741927</c:v>
                </c:pt>
                <c:pt idx="5">
                  <c:v>6735.883870967743</c:v>
                </c:pt>
                <c:pt idx="6">
                  <c:v>8330.9419354838719</c:v>
                </c:pt>
              </c:numCache>
            </c:numRef>
          </c:yVal>
          <c:smooth val="0"/>
          <c:extLst>
            <c:ext xmlns:c16="http://schemas.microsoft.com/office/drawing/2014/chart" uri="{C3380CC4-5D6E-409C-BE32-E72D297353CC}">
              <c16:uniqueId val="{00000001-9555-405B-8F54-FA25DBBD4466}"/>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'3 P240 sandpaper'!$O$5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'3 P240 sandpaper'!$L$7:$L$12</c:f>
              <c:numCache>
                <c:formatCode>0.0E+00</c:formatCode>
                <c:ptCount val="6"/>
                <c:pt idx="0">
                  <c:v>18410.65838187702</c:v>
                </c:pt>
                <c:pt idx="1">
                  <c:v>26235.188194174756</c:v>
                </c:pt>
                <c:pt idx="2">
                  <c:v>34519.984466019414</c:v>
                </c:pt>
                <c:pt idx="3">
                  <c:v>42344.514278317147</c:v>
                </c:pt>
                <c:pt idx="4">
                  <c:v>48327.978252427187</c:v>
                </c:pt>
                <c:pt idx="5">
                  <c:v>54771.708686084137</c:v>
                </c:pt>
              </c:numCache>
            </c:numRef>
          </c:xVal>
          <c:yVal>
            <c:numRef>
              <c:f>'3 P240 sandpaper'!$O$7:$O$12</c:f>
              <c:numCache>
                <c:formatCode>0.000</c:formatCode>
                <c:ptCount val="6"/>
                <c:pt idx="0">
                  <c:v>7.4230424798561101E-3</c:v>
                </c:pt>
                <c:pt idx="1">
                  <c:v>7.6413253651867394E-3</c:v>
                </c:pt>
                <c:pt idx="2">
                  <c:v>7.9380266136684675E-3</c:v>
                </c:pt>
                <c:pt idx="3">
                  <c:v>8.2140123218635303E-3</c:v>
                </c:pt>
                <c:pt idx="4">
                  <c:v>8.0546951852277764E-3</c:v>
                </c:pt>
                <c:pt idx="5">
                  <c:v>7.7559196597459558E-3</c:v>
                </c:pt>
              </c:numCache>
            </c:numRef>
          </c:yVal>
          <c:smooth val="0"/>
          <c:extLst>
            <c:ext xmlns:c16="http://schemas.microsoft.com/office/drawing/2014/chart" uri="{C3380CC4-5D6E-409C-BE32-E72D297353CC}">
              <c16:uniqueId val="{00000001-2291-4D81-833A-005911EEF1FC}"/>
            </c:ext>
          </c:extLst>
        </c:ser>
        <c:ser>
          <c:idx val="1"/>
          <c:order val="1"/>
          <c:tx>
            <c:strRef>
              <c:f>'3 P240 sandpaper'!$W$5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P240 sandpaper'!$V$7:$V$31</c:f>
              <c:numCache>
                <c:formatCode>0.00000</c:formatCode>
                <c:ptCount val="25"/>
                <c:pt idx="0">
                  <c:v>1656.9579288025889</c:v>
                </c:pt>
                <c:pt idx="1">
                  <c:v>3313.9158576051777</c:v>
                </c:pt>
                <c:pt idx="2">
                  <c:v>4970.8737864077666</c:v>
                </c:pt>
                <c:pt idx="3">
                  <c:v>6627.8317152103555</c:v>
                </c:pt>
                <c:pt idx="4">
                  <c:v>8284.7896440129443</c:v>
                </c:pt>
                <c:pt idx="5">
                  <c:v>9941.7475728155332</c:v>
                </c:pt>
                <c:pt idx="6">
                  <c:v>11598.70550161812</c:v>
                </c:pt>
                <c:pt idx="7">
                  <c:v>13255.663430420711</c:v>
                </c:pt>
                <c:pt idx="8">
                  <c:v>14912.6213592233</c:v>
                </c:pt>
                <c:pt idx="9">
                  <c:v>16569.579288025889</c:v>
                </c:pt>
                <c:pt idx="10">
                  <c:v>18226.537216828478</c:v>
                </c:pt>
                <c:pt idx="11">
                  <c:v>19883.495145631066</c:v>
                </c:pt>
                <c:pt idx="12">
                  <c:v>21540.453074433655</c:v>
                </c:pt>
                <c:pt idx="13">
                  <c:v>23197.411003236241</c:v>
                </c:pt>
                <c:pt idx="14">
                  <c:v>24854.368932038833</c:v>
                </c:pt>
                <c:pt idx="15">
                  <c:v>26511.326860841422</c:v>
                </c:pt>
                <c:pt idx="16">
                  <c:v>28168.284789644007</c:v>
                </c:pt>
                <c:pt idx="17">
                  <c:v>29825.2427184466</c:v>
                </c:pt>
                <c:pt idx="18">
                  <c:v>31482.200647249185</c:v>
                </c:pt>
                <c:pt idx="19">
                  <c:v>33139.158576051777</c:v>
                </c:pt>
                <c:pt idx="20">
                  <c:v>34796.11650485437</c:v>
                </c:pt>
                <c:pt idx="21">
                  <c:v>36453.074433656955</c:v>
                </c:pt>
                <c:pt idx="22">
                  <c:v>38110.03236245954</c:v>
                </c:pt>
                <c:pt idx="23">
                  <c:v>39766.990291262133</c:v>
                </c:pt>
                <c:pt idx="24">
                  <c:v>41423.948220064718</c:v>
                </c:pt>
              </c:numCache>
            </c:numRef>
          </c:xVal>
          <c:yVal>
            <c:numRef>
              <c:f>'3 P240 sandpaper'!$X$7:$X$31</c:f>
              <c:numCache>
                <c:formatCode>0.00000</c:formatCode>
                <c:ptCount val="25"/>
                <c:pt idx="0">
                  <c:v>1.2397913818242142E-2</c:v>
                </c:pt>
                <c:pt idx="1">
                  <c:v>1.0425361286384313E-2</c:v>
                </c:pt>
                <c:pt idx="2">
                  <c:v>9.4203773467333701E-3</c:v>
                </c:pt>
                <c:pt idx="3">
                  <c:v>8.7666489334454218E-3</c:v>
                </c:pt>
                <c:pt idx="4">
                  <c:v>8.290984667882648E-3</c:v>
                </c:pt>
                <c:pt idx="5">
                  <c:v>7.9215615412053901E-3</c:v>
                </c:pt>
                <c:pt idx="6">
                  <c:v>7.6220905367660454E-3</c:v>
                </c:pt>
                <c:pt idx="7">
                  <c:v>7.3718436619220548E-3</c:v>
                </c:pt>
                <c:pt idx="8">
                  <c:v>7.1579388803518825E-3</c:v>
                </c:pt>
                <c:pt idx="9">
                  <c:v>6.9718592861460265E-3</c:v>
                </c:pt>
                <c:pt idx="10">
                  <c:v>6.8077005126050529E-3</c:v>
                </c:pt>
                <c:pt idx="11">
                  <c:v>6.6612127032113022E-3</c:v>
                </c:pt>
                <c:pt idx="12">
                  <c:v>6.5292421417442103E-3</c:v>
                </c:pt>
                <c:pt idx="13">
                  <c:v>6.4093886091058285E-3</c:v>
                </c:pt>
                <c:pt idx="14">
                  <c:v>6.2997860198474526E-3</c:v>
                </c:pt>
                <c:pt idx="15">
                  <c:v>6.1989569091210721E-3</c:v>
                </c:pt>
                <c:pt idx="16">
                  <c:v>6.1057129494354557E-3</c:v>
                </c:pt>
                <c:pt idx="17">
                  <c:v>6.0190851450930847E-3</c:v>
                </c:pt>
                <c:pt idx="18">
                  <c:v>5.9382737294604322E-3</c:v>
                </c:pt>
                <c:pt idx="19">
                  <c:v>5.862611481373515E-3</c:v>
                </c:pt>
                <c:pt idx="20">
                  <c:v>5.7915363891021419E-3</c:v>
                </c:pt>
                <c:pt idx="21">
                  <c:v>5.7245709571704627E-3</c:v>
                </c:pt>
                <c:pt idx="22">
                  <c:v>5.6613063190861443E-3</c:v>
                </c:pt>
                <c:pt idx="23">
                  <c:v>5.6013898833728905E-3</c:v>
                </c:pt>
                <c:pt idx="24">
                  <c:v>5.544515615354682E-3</c:v>
                </c:pt>
              </c:numCache>
            </c:numRef>
          </c:yVal>
          <c:smooth val="0"/>
          <c:extLst>
            <c:ext xmlns:c16="http://schemas.microsoft.com/office/drawing/2014/chart" uri="{C3380CC4-5D6E-409C-BE32-E72D297353CC}">
              <c16:uniqueId val="{00000003-2291-4D81-833A-005911EEF1FC}"/>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layout>
                <c:manualLayout>
                  <c:x val="-1.2229036274102455E-2"/>
                  <c:y val="-4.2143755798142056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P240 sandpaper'!$F$6:$F$12</c:f>
              <c:numCache>
                <c:formatCode>0.00</c:formatCode>
                <c:ptCount val="7"/>
                <c:pt idx="0">
                  <c:v>0</c:v>
                </c:pt>
                <c:pt idx="1">
                  <c:v>1.1111120000000001</c:v>
                </c:pt>
                <c:pt idx="2">
                  <c:v>1.5833346000000001</c:v>
                </c:pt>
                <c:pt idx="3">
                  <c:v>2.0833349999999999</c:v>
                </c:pt>
                <c:pt idx="4">
                  <c:v>2.5555576000000002</c:v>
                </c:pt>
                <c:pt idx="5">
                  <c:v>2.9166690000000002</c:v>
                </c:pt>
                <c:pt idx="6">
                  <c:v>3.3055582000000001</c:v>
                </c:pt>
              </c:numCache>
            </c:numRef>
          </c:xVal>
          <c:yVal>
            <c:numRef>
              <c:f>'3 P240 sandpaper'!$I$6:$I$12</c:f>
              <c:numCache>
                <c:formatCode>General</c:formatCode>
                <c:ptCount val="7"/>
                <c:pt idx="0" formatCode="0.00">
                  <c:v>0</c:v>
                </c:pt>
                <c:pt idx="1">
                  <c:v>0.90088387096774203</c:v>
                </c:pt>
                <c:pt idx="2">
                  <c:v>1.8831516129032257</c:v>
                </c:pt>
                <c:pt idx="3">
                  <c:v>3.3868967741935485</c:v>
                </c:pt>
                <c:pt idx="4">
                  <c:v>5.2734870967741925</c:v>
                </c:pt>
                <c:pt idx="5">
                  <c:v>6.7358838709677427</c:v>
                </c:pt>
                <c:pt idx="6">
                  <c:v>8.3309419354838727</c:v>
                </c:pt>
              </c:numCache>
            </c:numRef>
          </c:yVal>
          <c:smooth val="0"/>
          <c:extLst>
            <c:ext xmlns:c16="http://schemas.microsoft.com/office/drawing/2014/chart" uri="{C3380CC4-5D6E-409C-BE32-E72D297353CC}">
              <c16:uniqueId val="{00000001-5377-416C-B2A2-65A1521C7E0E}"/>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P(kPa)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5032109169069633E-2"/>
          <c:y val="1.945556828191353E-2"/>
          <c:w val="0.76928707979858169"/>
          <c:h val="0.91315095555561809"/>
        </c:manualLayout>
      </c:layout>
      <c:scatterChart>
        <c:scatterStyle val="lineMarker"/>
        <c:varyColors val="0"/>
        <c:ser>
          <c:idx val="2"/>
          <c:order val="11"/>
          <c:tx>
            <c:v>Rigid-P40</c:v>
          </c:tx>
          <c:spPr>
            <a:ln w="25400" cap="rnd">
              <a:noFill/>
              <a:round/>
            </a:ln>
            <a:effectLst/>
          </c:spPr>
          <c:marker>
            <c:symbol val="circle"/>
            <c:size val="5"/>
            <c:spPr>
              <a:solidFill>
                <a:schemeClr val="dk1">
                  <a:tint val="75000"/>
                </a:schemeClr>
              </a:solidFill>
              <a:ln w="9525">
                <a:solidFill>
                  <a:schemeClr val="dk1">
                    <a:tint val="75000"/>
                  </a:schemeClr>
                </a:solidFill>
              </a:ln>
              <a:effectLst/>
            </c:spPr>
          </c:marker>
          <c:xVal>
            <c:numRef>
              <c:f>'Rigid data'!$F$29:$F$33</c:f>
              <c:numCache>
                <c:formatCode>General</c:formatCode>
                <c:ptCount val="5"/>
                <c:pt idx="0">
                  <c:v>21722.522169394077</c:v>
                </c:pt>
                <c:pt idx="1">
                  <c:v>27809.02596564942</c:v>
                </c:pt>
                <c:pt idx="2">
                  <c:v>34000.469482529857</c:v>
                </c:pt>
                <c:pt idx="3">
                  <c:v>40017.013465035139</c:v>
                </c:pt>
                <c:pt idx="4">
                  <c:v>44494.441545039066</c:v>
                </c:pt>
              </c:numCache>
            </c:numRef>
          </c:xVal>
          <c:yVal>
            <c:numRef>
              <c:f>'Rigid data'!$G$29:$G$33</c:f>
              <c:numCache>
                <c:formatCode>General</c:formatCode>
                <c:ptCount val="5"/>
                <c:pt idx="0">
                  <c:v>1.512538070955566E-2</c:v>
                </c:pt>
                <c:pt idx="1">
                  <c:v>1.5215090833516069E-2</c:v>
                </c:pt>
                <c:pt idx="2">
                  <c:v>1.3945610093808108E-2</c:v>
                </c:pt>
                <c:pt idx="3">
                  <c:v>1.0595984233301277E-2</c:v>
                </c:pt>
                <c:pt idx="4">
                  <c:v>8.6969785125901831E-3</c:v>
                </c:pt>
              </c:numCache>
            </c:numRef>
          </c:yVal>
          <c:smooth val="0"/>
          <c:extLst>
            <c:ext xmlns:c16="http://schemas.microsoft.com/office/drawing/2014/chart" uri="{C3380CC4-5D6E-409C-BE32-E72D297353CC}">
              <c16:uniqueId val="{00000015-EE0F-4A67-84C4-CA9C98C9D22C}"/>
            </c:ext>
          </c:extLst>
        </c:ser>
        <c:ser>
          <c:idx val="5"/>
          <c:order val="12"/>
          <c:tx>
            <c:v>Rigid-P80</c:v>
          </c:tx>
          <c:spPr>
            <a:ln w="25400" cap="rnd">
              <a:noFill/>
              <a:round/>
            </a:ln>
            <a:effectLst/>
          </c:spPr>
          <c:marker>
            <c:symbol val="circle"/>
            <c:size val="5"/>
            <c:spPr>
              <a:solidFill>
                <a:schemeClr val="dk1">
                  <a:tint val="60000"/>
                </a:schemeClr>
              </a:solidFill>
              <a:ln w="9525">
                <a:solidFill>
                  <a:schemeClr val="dk1">
                    <a:tint val="60000"/>
                  </a:schemeClr>
                </a:solidFill>
              </a:ln>
              <a:effectLst/>
            </c:spPr>
          </c:marker>
          <c:xVal>
            <c:numRef>
              <c:f>'Rigid data'!$F$21:$F$25</c:f>
              <c:numCache>
                <c:formatCode>General</c:formatCode>
                <c:ptCount val="5"/>
                <c:pt idx="0">
                  <c:v>23742.310705312753</c:v>
                </c:pt>
                <c:pt idx="1">
                  <c:v>31285.462126111706</c:v>
                </c:pt>
                <c:pt idx="2">
                  <c:v>37841.909768044148</c:v>
                </c:pt>
                <c:pt idx="3">
                  <c:v>44605.134981055482</c:v>
                </c:pt>
                <c:pt idx="4">
                  <c:v>50744.46849683296</c:v>
                </c:pt>
              </c:numCache>
            </c:numRef>
          </c:xVal>
          <c:yVal>
            <c:numRef>
              <c:f>'Rigid data'!$G$21:$G$25</c:f>
              <c:numCache>
                <c:formatCode>General</c:formatCode>
                <c:ptCount val="5"/>
                <c:pt idx="0">
                  <c:v>1.1790104593465946E-2</c:v>
                </c:pt>
                <c:pt idx="1">
                  <c:v>1.1624438801028699E-2</c:v>
                </c:pt>
                <c:pt idx="2">
                  <c:v>1.1558497860050348E-2</c:v>
                </c:pt>
                <c:pt idx="3">
                  <c:v>1.09188912506272E-2</c:v>
                </c:pt>
                <c:pt idx="4">
                  <c:v>9.0196022706357099E-3</c:v>
                </c:pt>
              </c:numCache>
            </c:numRef>
          </c:yVal>
          <c:smooth val="0"/>
          <c:extLst>
            <c:ext xmlns:c16="http://schemas.microsoft.com/office/drawing/2014/chart" uri="{C3380CC4-5D6E-409C-BE32-E72D297353CC}">
              <c16:uniqueId val="{00000016-EE0F-4A67-84C4-CA9C98C9D22C}"/>
            </c:ext>
          </c:extLst>
        </c:ser>
        <c:ser>
          <c:idx val="13"/>
          <c:order val="13"/>
          <c:tx>
            <c:v>Rigid-P240</c:v>
          </c:tx>
          <c:spPr>
            <a:ln w="25400" cap="rnd">
              <a:noFill/>
              <a:round/>
            </a:ln>
            <a:effectLst/>
          </c:spPr>
          <c:marker>
            <c:symbol val="circle"/>
            <c:size val="5"/>
            <c:spPr>
              <a:solidFill>
                <a:schemeClr val="dk1">
                  <a:tint val="80000"/>
                </a:schemeClr>
              </a:solidFill>
              <a:ln w="9525">
                <a:solidFill>
                  <a:schemeClr val="dk1">
                    <a:tint val="80000"/>
                  </a:schemeClr>
                </a:solidFill>
              </a:ln>
              <a:effectLst/>
            </c:spPr>
          </c:marker>
          <c:xVal>
            <c:numRef>
              <c:f>'Rigid data'!$F$13:$F$17</c:f>
              <c:numCache>
                <c:formatCode>General</c:formatCode>
                <c:ptCount val="5"/>
                <c:pt idx="0">
                  <c:v>25290.467566696789</c:v>
                </c:pt>
                <c:pt idx="1">
                  <c:v>32978.434578570021</c:v>
                </c:pt>
                <c:pt idx="2">
                  <c:v>40511.358345649627</c:v>
                </c:pt>
                <c:pt idx="3">
                  <c:v>46815.608013981706</c:v>
                </c:pt>
                <c:pt idx="4">
                  <c:v>52656.02482122193</c:v>
                </c:pt>
              </c:numCache>
            </c:numRef>
          </c:xVal>
          <c:yVal>
            <c:numRef>
              <c:f>'Rigid data'!$G$13:$G$17</c:f>
              <c:numCache>
                <c:formatCode>General</c:formatCode>
                <c:ptCount val="5"/>
                <c:pt idx="0">
                  <c:v>7.8343058133838392E-3</c:v>
                </c:pt>
                <c:pt idx="1">
                  <c:v>7.8074196943544068E-3</c:v>
                </c:pt>
                <c:pt idx="2">
                  <c:v>7.7908973348861411E-3</c:v>
                </c:pt>
                <c:pt idx="3">
                  <c:v>7.4998239369390065E-3</c:v>
                </c:pt>
                <c:pt idx="4">
                  <c:v>6.8547267988590902E-3</c:v>
                </c:pt>
              </c:numCache>
            </c:numRef>
          </c:yVal>
          <c:smooth val="0"/>
          <c:extLst>
            <c:ext xmlns:c16="http://schemas.microsoft.com/office/drawing/2014/chart" uri="{C3380CC4-5D6E-409C-BE32-E72D297353CC}">
              <c16:uniqueId val="{00000017-EE0F-4A67-84C4-CA9C98C9D22C}"/>
            </c:ext>
          </c:extLst>
        </c:ser>
        <c:ser>
          <c:idx val="14"/>
          <c:order val="14"/>
          <c:tx>
            <c:v>Rigid-smooth</c:v>
          </c:tx>
          <c:spPr>
            <a:ln w="25400" cap="rnd">
              <a:noFill/>
              <a:round/>
            </a:ln>
            <a:effectLst/>
          </c:spPr>
          <c:marker>
            <c:symbol val="circle"/>
            <c:size val="5"/>
            <c:spPr>
              <a:solidFill>
                <a:schemeClr val="dk1">
                  <a:tint val="88500"/>
                </a:schemeClr>
              </a:solidFill>
              <a:ln w="9525">
                <a:solidFill>
                  <a:schemeClr val="dk1">
                    <a:tint val="88500"/>
                  </a:schemeClr>
                </a:solidFill>
              </a:ln>
              <a:effectLst/>
            </c:spPr>
          </c:marker>
          <c:xVal>
            <c:numRef>
              <c:f>'Rigid data'!$F$5:$F$9</c:f>
              <c:numCache>
                <c:formatCode>General</c:formatCode>
                <c:ptCount val="5"/>
                <c:pt idx="0">
                  <c:v>25082.692023809526</c:v>
                </c:pt>
                <c:pt idx="1">
                  <c:v>31409.857579365082</c:v>
                </c:pt>
                <c:pt idx="2">
                  <c:v>38866.874126984127</c:v>
                </c:pt>
                <c:pt idx="3">
                  <c:v>45758.96517857143</c:v>
                </c:pt>
                <c:pt idx="4">
                  <c:v>52538.071130952383</c:v>
                </c:pt>
              </c:numCache>
            </c:numRef>
          </c:xVal>
          <c:yVal>
            <c:numRef>
              <c:f>'Rigid data'!$G$5:$G$9</c:f>
              <c:numCache>
                <c:formatCode>General</c:formatCode>
                <c:ptCount val="5"/>
                <c:pt idx="0">
                  <c:v>7.1839706304657261E-3</c:v>
                </c:pt>
                <c:pt idx="1">
                  <c:v>7.0274521052176592E-3</c:v>
                </c:pt>
                <c:pt idx="2">
                  <c:v>6.7889378576837765E-3</c:v>
                </c:pt>
                <c:pt idx="3">
                  <c:v>6.5846611642014757E-3</c:v>
                </c:pt>
                <c:pt idx="4">
                  <c:v>6.2573312953811393E-3</c:v>
                </c:pt>
              </c:numCache>
            </c:numRef>
          </c:yVal>
          <c:smooth val="0"/>
          <c:extLst>
            <c:ext xmlns:c16="http://schemas.microsoft.com/office/drawing/2014/chart" uri="{C3380CC4-5D6E-409C-BE32-E72D297353CC}">
              <c16:uniqueId val="{00000018-EE0F-4A67-84C4-CA9C98C9D22C}"/>
            </c:ext>
          </c:extLst>
        </c:ser>
        <c:dLbls>
          <c:showLegendKey val="0"/>
          <c:showVal val="0"/>
          <c:showCatName val="0"/>
          <c:showSerName val="0"/>
          <c:showPercent val="0"/>
          <c:showBubbleSize val="0"/>
        </c:dLbls>
        <c:axId val="727497488"/>
        <c:axId val="727498144"/>
        <c:extLst>
          <c:ext xmlns:c15="http://schemas.microsoft.com/office/drawing/2012/chart" uri="{02D57815-91ED-43cb-92C2-25804820EDAC}">
            <c15:filteredScatterSeries>
              <c15:ser>
                <c:idx val="9"/>
                <c:order val="0"/>
                <c:tx>
                  <c:v>PVC Smooth</c:v>
                </c:tx>
                <c:spPr>
                  <a:ln w="25400" cap="rnd">
                    <a:noFill/>
                    <a:round/>
                  </a:ln>
                  <a:effectLst/>
                </c:spPr>
                <c:marker>
                  <c:symbol val="triangle"/>
                  <c:size val="5"/>
                  <c:spPr>
                    <a:solidFill>
                      <a:schemeClr val="dk1">
                        <a:tint val="75000"/>
                      </a:schemeClr>
                    </a:solidFill>
                    <a:ln w="9525">
                      <a:solidFill>
                        <a:schemeClr val="dk1">
                          <a:tint val="75000"/>
                        </a:schemeClr>
                      </a:solidFill>
                    </a:ln>
                    <a:effectLst/>
                  </c:spPr>
                </c:marker>
                <c:trendline>
                  <c:spPr>
                    <a:ln w="19050" cap="rnd">
                      <a:solidFill>
                        <a:schemeClr val="dk1">
                          <a:tint val="75000"/>
                        </a:schemeClr>
                      </a:solidFill>
                      <a:prstDash val="sysDot"/>
                    </a:ln>
                    <a:effectLst/>
                  </c:spPr>
                  <c:trendlineType val="power"/>
                  <c:dispRSqr val="0"/>
                  <c:dispEq val="0"/>
                </c:trendline>
                <c:xVal>
                  <c:numRef>
                    <c:extLst>
                      <c:ext uri="{02D57815-91ED-43cb-92C2-25804820EDAC}">
                        <c15:formulaRef>
                          <c15:sqref>'PLAIN PANEL AVGS'!$L$8:$L$12</c15:sqref>
                        </c15:formulaRef>
                      </c:ext>
                    </c:extLst>
                    <c:numCache>
                      <c:formatCode>0.0E+00</c:formatCode>
                      <c:ptCount val="5"/>
                      <c:pt idx="0">
                        <c:v>25760.602619047622</c:v>
                      </c:pt>
                      <c:pt idx="1">
                        <c:v>31861.797976190479</c:v>
                      </c:pt>
                      <c:pt idx="2">
                        <c:v>39318.814523809524</c:v>
                      </c:pt>
                      <c:pt idx="3">
                        <c:v>45871.950277777782</c:v>
                      </c:pt>
                      <c:pt idx="4">
                        <c:v>52651.056230158734</c:v>
                      </c:pt>
                    </c:numCache>
                  </c:numRef>
                </c:xVal>
                <c:yVal>
                  <c:numRef>
                    <c:extLst>
                      <c:ext uri="{02D57815-91ED-43cb-92C2-25804820EDAC}">
                        <c15:formulaRef>
                          <c15:sqref>'PLAIN PANEL AVGS'!$O$8:$O$12</c15:sqref>
                        </c15:formulaRef>
                      </c:ext>
                    </c:extLst>
                    <c:numCache>
                      <c:formatCode>0.000</c:formatCode>
                      <c:ptCount val="5"/>
                      <c:pt idx="0">
                        <c:v>7.8546251968259328E-3</c:v>
                      </c:pt>
                      <c:pt idx="1">
                        <c:v>7.7415345859246877E-3</c:v>
                      </c:pt>
                      <c:pt idx="2">
                        <c:v>7.4983871209308439E-3</c:v>
                      </c:pt>
                      <c:pt idx="3">
                        <c:v>7.3294546557718847E-3</c:v>
                      </c:pt>
                      <c:pt idx="4">
                        <c:v>6.8598709171845025E-3</c:v>
                      </c:pt>
                    </c:numCache>
                  </c:numRef>
                </c:yVal>
                <c:smooth val="0"/>
                <c:extLst>
                  <c:ext xmlns:c16="http://schemas.microsoft.com/office/drawing/2014/chart" uri="{C3380CC4-5D6E-409C-BE32-E72D297353CC}">
                    <c16:uniqueId val="{00000001-EE0F-4A67-84C4-CA9C98C9D22C}"/>
                  </c:ext>
                </c:extLst>
              </c15:ser>
            </c15:filteredScatterSeries>
            <c15:filteredScatterSeries>
              <c15:ser>
                <c:idx val="12"/>
                <c:order val="1"/>
                <c:tx>
                  <c:v>Sandpaper P240</c:v>
                </c:tx>
                <c:spPr>
                  <a:ln w="25400" cap="rnd">
                    <a:noFill/>
                    <a:round/>
                  </a:ln>
                  <a:effectLst/>
                </c:spPr>
                <c:marker>
                  <c:symbol val="square"/>
                  <c:size val="5"/>
                  <c:spPr>
                    <a:solidFill>
                      <a:schemeClr val="dk1">
                        <a:tint val="60000"/>
                      </a:schemeClr>
                    </a:solidFill>
                    <a:ln w="9525">
                      <a:solidFill>
                        <a:schemeClr val="dk1">
                          <a:tint val="60000"/>
                        </a:schemeClr>
                      </a:solidFill>
                    </a:ln>
                    <a:effectLst/>
                  </c:spPr>
                </c:marker>
                <c:trendline>
                  <c:spPr>
                    <a:ln w="19050" cap="rnd">
                      <a:solidFill>
                        <a:schemeClr val="dk1">
                          <a:tint val="60000"/>
                        </a:schemeClr>
                      </a:solidFill>
                      <a:prstDash val="sysDot"/>
                    </a:ln>
                    <a:effectLst/>
                  </c:spPr>
                  <c:trendlineType val="power"/>
                  <c:dispRSqr val="0"/>
                  <c:dispEq val="0"/>
                </c:trendline>
                <c:xVal>
                  <c:numRef>
                    <c:extLst xmlns:c15="http://schemas.microsoft.com/office/drawing/2012/chart">
                      <c:ext xmlns:c15="http://schemas.microsoft.com/office/drawing/2012/chart" uri="{02D57815-91ED-43cb-92C2-25804820EDAC}">
                        <c15:formulaRef>
                          <c15:sqref>'P240 sandpaper AVGS'!$L$8:$L$12</c15:sqref>
                        </c15:formulaRef>
                      </c:ext>
                    </c:extLst>
                    <c:numCache>
                      <c:formatCode>0.0E+00</c:formatCode>
                      <c:ptCount val="5"/>
                      <c:pt idx="0">
                        <c:v>25621.499581445525</c:v>
                      </c:pt>
                      <c:pt idx="1">
                        <c:v>32985.762934196326</c:v>
                      </c:pt>
                      <c:pt idx="2">
                        <c:v>40810.292746494059</c:v>
                      </c:pt>
                      <c:pt idx="3">
                        <c:v>46793.756720604091</c:v>
                      </c:pt>
                      <c:pt idx="4">
                        <c:v>53544.331460625675</c:v>
                      </c:pt>
                    </c:numCache>
                  </c:numRef>
                </c:xVal>
                <c:yVal>
                  <c:numRef>
                    <c:extLst xmlns:c15="http://schemas.microsoft.com/office/drawing/2012/chart">
                      <c:ext xmlns:c15="http://schemas.microsoft.com/office/drawing/2012/chart" uri="{02D57815-91ED-43cb-92C2-25804820EDAC}">
                        <c15:formulaRef>
                          <c15:sqref>'P240 sandpaper AVGS'!$O$8:$O$12</c15:sqref>
                        </c15:formulaRef>
                      </c:ext>
                    </c:extLst>
                    <c:numCache>
                      <c:formatCode>0.000</c:formatCode>
                      <c:ptCount val="5"/>
                      <c:pt idx="0">
                        <c:v>7.3768057355044943E-3</c:v>
                      </c:pt>
                      <c:pt idx="1">
                        <c:v>7.6045020159216286E-3</c:v>
                      </c:pt>
                      <c:pt idx="2">
                        <c:v>7.6823078619262667E-3</c:v>
                      </c:pt>
                      <c:pt idx="3">
                        <c:v>7.8456121937399356E-3</c:v>
                      </c:pt>
                      <c:pt idx="4">
                        <c:v>7.5893012677243025E-3</c:v>
                      </c:pt>
                    </c:numCache>
                  </c:numRef>
                </c:yVal>
                <c:smooth val="0"/>
                <c:extLst xmlns:c15="http://schemas.microsoft.com/office/drawing/2012/chart">
                  <c:ext xmlns:c16="http://schemas.microsoft.com/office/drawing/2014/chart" uri="{C3380CC4-5D6E-409C-BE32-E72D297353CC}">
                    <c16:uniqueId val="{00000003-EE0F-4A67-84C4-CA9C98C9D22C}"/>
                  </c:ext>
                </c:extLst>
              </c15:ser>
            </c15:filteredScatterSeries>
            <c15:filteredScatterSeries>
              <c15:ser>
                <c:idx val="4"/>
                <c:order val="2"/>
                <c:tx>
                  <c:v>Sandpaper P80</c:v>
                </c:tx>
                <c:spPr>
                  <a:ln w="25400" cap="rnd">
                    <a:noFill/>
                    <a:round/>
                  </a:ln>
                  <a:effectLst/>
                </c:spPr>
                <c:marker>
                  <c:symbol val="circle"/>
                  <c:size val="5"/>
                  <c:spPr>
                    <a:solidFill>
                      <a:schemeClr val="tx1">
                        <a:lumMod val="50000"/>
                        <a:lumOff val="50000"/>
                      </a:schemeClr>
                    </a:solidFill>
                    <a:ln w="9525">
                      <a:solidFill>
                        <a:schemeClr val="tx1">
                          <a:lumMod val="50000"/>
                          <a:lumOff val="50000"/>
                        </a:schemeClr>
                      </a:solidFill>
                    </a:ln>
                    <a:effectLst/>
                  </c:spPr>
                </c:marker>
                <c:trendline>
                  <c:spPr>
                    <a:ln w="19050" cap="rnd">
                      <a:solidFill>
                        <a:schemeClr val="tx1">
                          <a:lumMod val="50000"/>
                          <a:lumOff val="50000"/>
                        </a:schemeClr>
                      </a:solidFill>
                      <a:prstDash val="sysDot"/>
                    </a:ln>
                    <a:effectLst/>
                  </c:spPr>
                  <c:trendlineType val="power"/>
                  <c:dispRSqr val="0"/>
                  <c:dispEq val="0"/>
                </c:trendline>
                <c:xVal>
                  <c:numRef>
                    <c:extLst xmlns:c15="http://schemas.microsoft.com/office/drawing/2012/chart">
                      <c:ext xmlns:c15="http://schemas.microsoft.com/office/drawing/2012/chart" uri="{02D57815-91ED-43cb-92C2-25804820EDAC}">
                        <c15:formulaRef>
                          <c15:sqref>'P80 sandpaper AVGS'!$M$8:$M$12</c15:sqref>
                        </c15:formulaRef>
                      </c:ext>
                    </c:extLst>
                    <c:numCache>
                      <c:formatCode>0.0E+00</c:formatCode>
                      <c:ptCount val="5"/>
                      <c:pt idx="0">
                        <c:v>24348.721922902492</c:v>
                      </c:pt>
                      <c:pt idx="1">
                        <c:v>32249.962811791389</c:v>
                      </c:pt>
                      <c:pt idx="2">
                        <c:v>39183.704816326535</c:v>
                      </c:pt>
                      <c:pt idx="3">
                        <c:v>45956.197006802722</c:v>
                      </c:pt>
                      <c:pt idx="4">
                        <c:v>52486.814476190477</c:v>
                      </c:pt>
                    </c:numCache>
                  </c:numRef>
                </c:xVal>
                <c:yVal>
                  <c:numRef>
                    <c:extLst xmlns:c15="http://schemas.microsoft.com/office/drawing/2012/chart">
                      <c:ext xmlns:c15="http://schemas.microsoft.com/office/drawing/2012/chart" uri="{02D57815-91ED-43cb-92C2-25804820EDAC}">
                        <c15:formulaRef>
                          <c15:sqref>'P80 sandpaper AVGS'!$P$8:$P$12</c15:sqref>
                        </c15:formulaRef>
                      </c:ext>
                    </c:extLst>
                    <c:numCache>
                      <c:formatCode>0.000</c:formatCode>
                      <c:ptCount val="5"/>
                      <c:pt idx="0">
                        <c:v>1.2423623758869535E-2</c:v>
                      </c:pt>
                      <c:pt idx="1">
                        <c:v>1.256604135507821E-2</c:v>
                      </c:pt>
                      <c:pt idx="2">
                        <c:v>1.2688328481080976E-2</c:v>
                      </c:pt>
                      <c:pt idx="3">
                        <c:v>1.2236436649216273E-2</c:v>
                      </c:pt>
                      <c:pt idx="4">
                        <c:v>9.7314080436958095E-3</c:v>
                      </c:pt>
                    </c:numCache>
                  </c:numRef>
                </c:yVal>
                <c:smooth val="0"/>
                <c:extLst xmlns:c15="http://schemas.microsoft.com/office/drawing/2012/chart">
                  <c:ext xmlns:c16="http://schemas.microsoft.com/office/drawing/2014/chart" uri="{C3380CC4-5D6E-409C-BE32-E72D297353CC}">
                    <c16:uniqueId val="{00000005-EE0F-4A67-84C4-CA9C98C9D22C}"/>
                  </c:ext>
                </c:extLst>
              </c15:ser>
            </c15:filteredScatterSeries>
            <c15:filteredScatterSeries>
              <c15:ser>
                <c:idx val="11"/>
                <c:order val="3"/>
                <c:tx>
                  <c:v>Filler Smooth</c:v>
                </c:tx>
                <c:spPr>
                  <a:ln w="25400" cap="rnd">
                    <a:noFill/>
                    <a:round/>
                  </a:ln>
                  <a:effectLst/>
                </c:spPr>
                <c:marker>
                  <c:symbol val="triangle"/>
                  <c:size val="5"/>
                  <c:spPr>
                    <a:solidFill>
                      <a:schemeClr val="tx1">
                        <a:lumMod val="65000"/>
                        <a:lumOff val="35000"/>
                      </a:schemeClr>
                    </a:solidFill>
                    <a:ln w="9525">
                      <a:solidFill>
                        <a:schemeClr val="tx1">
                          <a:lumMod val="75000"/>
                          <a:lumOff val="25000"/>
                        </a:schemeClr>
                      </a:solidFill>
                    </a:ln>
                    <a:effectLst/>
                  </c:spPr>
                </c:marker>
                <c:trendline>
                  <c:spPr>
                    <a:ln w="19050" cap="rnd">
                      <a:solidFill>
                        <a:schemeClr val="tx1">
                          <a:lumMod val="75000"/>
                          <a:lumOff val="25000"/>
                        </a:schemeClr>
                      </a:solidFill>
                      <a:prstDash val="sysDot"/>
                    </a:ln>
                    <a:effectLst/>
                  </c:spPr>
                  <c:trendlineType val="power"/>
                  <c:dispRSqr val="0"/>
                  <c:dispEq val="0"/>
                </c:trendline>
                <c:xVal>
                  <c:numRef>
                    <c:extLst xmlns:c15="http://schemas.microsoft.com/office/drawing/2012/chart">
                      <c:ext xmlns:c15="http://schemas.microsoft.com/office/drawing/2012/chart" uri="{02D57815-91ED-43cb-92C2-25804820EDAC}">
                        <c15:formulaRef>
                          <c15:sqref>'EF25 flat AVGS'!$L$8:$L$12</c15:sqref>
                        </c15:formulaRef>
                      </c:ext>
                    </c:extLst>
                    <c:numCache>
                      <c:formatCode>0.0E+00</c:formatCode>
                      <c:ptCount val="5"/>
                      <c:pt idx="0">
                        <c:v>24203.089020070838</c:v>
                      </c:pt>
                      <c:pt idx="1">
                        <c:v>30702.066627312077</c:v>
                      </c:pt>
                      <c:pt idx="2">
                        <c:v>38097.454939000396</c:v>
                      </c:pt>
                      <c:pt idx="3">
                        <c:v>45268.740574576928</c:v>
                      </c:pt>
                      <c:pt idx="4">
                        <c:v>51991.820857929946</c:v>
                      </c:pt>
                    </c:numCache>
                  </c:numRef>
                </c:xVal>
                <c:yVal>
                  <c:numRef>
                    <c:extLst xmlns:c15="http://schemas.microsoft.com/office/drawing/2012/chart">
                      <c:ext xmlns:c15="http://schemas.microsoft.com/office/drawing/2012/chart" uri="{02D57815-91ED-43cb-92C2-25804820EDAC}">
                        <c15:formulaRef>
                          <c15:sqref>'EF25 flat AVGS'!$O$8:$O$12</c15:sqref>
                        </c15:formulaRef>
                      </c:ext>
                    </c:extLst>
                    <c:numCache>
                      <c:formatCode>0.000</c:formatCode>
                      <c:ptCount val="5"/>
                      <c:pt idx="0">
                        <c:v>7.4776636450018044E-3</c:v>
                      </c:pt>
                      <c:pt idx="1">
                        <c:v>7.2481135651974752E-3</c:v>
                      </c:pt>
                      <c:pt idx="2">
                        <c:v>6.9796046123650861E-3</c:v>
                      </c:pt>
                      <c:pt idx="3">
                        <c:v>6.7045059317648341E-3</c:v>
                      </c:pt>
                      <c:pt idx="4">
                        <c:v>6.4920279779756753E-3</c:v>
                      </c:pt>
                    </c:numCache>
                  </c:numRef>
                </c:yVal>
                <c:smooth val="0"/>
                <c:extLst xmlns:c15="http://schemas.microsoft.com/office/drawing/2012/chart">
                  <c:ext xmlns:c16="http://schemas.microsoft.com/office/drawing/2014/chart" uri="{C3380CC4-5D6E-409C-BE32-E72D297353CC}">
                    <c16:uniqueId val="{00000007-EE0F-4A67-84C4-CA9C98C9D22C}"/>
                  </c:ext>
                </c:extLst>
              </c15:ser>
            </c15:filteredScatterSeries>
            <c15:filteredScatterSeries>
              <c15:ser>
                <c:idx val="6"/>
                <c:order val="4"/>
                <c:tx>
                  <c:v>Filler P240</c:v>
                </c:tx>
                <c:spPr>
                  <a:ln w="25400" cap="rnd">
                    <a:noFill/>
                    <a:round/>
                  </a:ln>
                  <a:effectLst/>
                </c:spPr>
                <c:marker>
                  <c:symbol val="square"/>
                  <c:size val="5"/>
                  <c:spPr>
                    <a:solidFill>
                      <a:schemeClr val="dk1">
                        <a:tint val="80000"/>
                      </a:schemeClr>
                    </a:solidFill>
                    <a:ln w="9525">
                      <a:solidFill>
                        <a:schemeClr val="dk1">
                          <a:tint val="80000"/>
                        </a:schemeClr>
                      </a:solidFill>
                    </a:ln>
                    <a:effectLst/>
                  </c:spPr>
                </c:marker>
                <c:trendline>
                  <c:spPr>
                    <a:ln w="19050" cap="rnd">
                      <a:solidFill>
                        <a:schemeClr val="dk1">
                          <a:tint val="80000"/>
                        </a:schemeClr>
                      </a:solidFill>
                      <a:prstDash val="sysDot"/>
                    </a:ln>
                    <a:effectLst/>
                  </c:spPr>
                  <c:trendlineType val="power"/>
                  <c:dispRSqr val="0"/>
                  <c:dispEq val="0"/>
                </c:trendline>
                <c:xVal>
                  <c:numRef>
                    <c:extLst xmlns:c15="http://schemas.microsoft.com/office/drawing/2012/chart">
                      <c:ext xmlns:c15="http://schemas.microsoft.com/office/drawing/2012/chart" uri="{02D57815-91ED-43cb-92C2-25804820EDAC}">
                        <c15:formulaRef>
                          <c15:sqref>'EF25 P240 AVGS'!$L$8:$L$12</c15:sqref>
                        </c15:formulaRef>
                      </c:ext>
                    </c:extLst>
                    <c:numCache>
                      <c:formatCode>0.0E+00</c:formatCode>
                      <c:ptCount val="5"/>
                      <c:pt idx="0">
                        <c:v>24959.435551948049</c:v>
                      </c:pt>
                      <c:pt idx="1">
                        <c:v>32971.106222943716</c:v>
                      </c:pt>
                      <c:pt idx="2">
                        <c:v>40212.423944805189</c:v>
                      </c:pt>
                      <c:pt idx="3">
                        <c:v>46837.459307359313</c:v>
                      </c:pt>
                      <c:pt idx="4">
                        <c:v>51767.718181818185</c:v>
                      </c:pt>
                    </c:numCache>
                  </c:numRef>
                </c:xVal>
                <c:yVal>
                  <c:numRef>
                    <c:extLst xmlns:c15="http://schemas.microsoft.com/office/drawing/2012/chart">
                      <c:ext xmlns:c15="http://schemas.microsoft.com/office/drawing/2012/chart" uri="{02D57815-91ED-43cb-92C2-25804820EDAC}">
                        <c15:formulaRef>
                          <c15:sqref>'EF25 P240 AVGS'!$O$8:$O$12</c15:sqref>
                        </c15:formulaRef>
                      </c:ext>
                    </c:extLst>
                    <c:numCache>
                      <c:formatCode>0.000</c:formatCode>
                      <c:ptCount val="5"/>
                      <c:pt idx="0">
                        <c:v>8.2918058912631841E-3</c:v>
                      </c:pt>
                      <c:pt idx="1">
                        <c:v>8.0103373727871859E-3</c:v>
                      </c:pt>
                      <c:pt idx="2">
                        <c:v>7.8994868078460165E-3</c:v>
                      </c:pt>
                      <c:pt idx="3">
                        <c:v>7.1540356801380782E-3</c:v>
                      </c:pt>
                      <c:pt idx="4">
                        <c:v>6.1201523299938771E-3</c:v>
                      </c:pt>
                    </c:numCache>
                  </c:numRef>
                </c:yVal>
                <c:smooth val="0"/>
                <c:extLst xmlns:c15="http://schemas.microsoft.com/office/drawing/2012/chart">
                  <c:ext xmlns:c16="http://schemas.microsoft.com/office/drawing/2014/chart" uri="{C3380CC4-5D6E-409C-BE32-E72D297353CC}">
                    <c16:uniqueId val="{00000009-EE0F-4A67-84C4-CA9C98C9D22C}"/>
                  </c:ext>
                </c:extLst>
              </c15:ser>
            </c15:filteredScatterSeries>
            <c15:filteredScatterSeries>
              <c15:ser>
                <c:idx val="3"/>
                <c:order val="5"/>
                <c:tx>
                  <c:v>Filler P80</c:v>
                </c:tx>
                <c:spPr>
                  <a:ln w="25400" cap="rnd">
                    <a:noFill/>
                    <a:round/>
                  </a:ln>
                  <a:effectLst/>
                </c:spPr>
                <c:marker>
                  <c:symbol val="circle"/>
                  <c:size val="5"/>
                  <c:spPr>
                    <a:solidFill>
                      <a:schemeClr val="dk1">
                        <a:tint val="98500"/>
                      </a:schemeClr>
                    </a:solidFill>
                    <a:ln w="9525">
                      <a:solidFill>
                        <a:schemeClr val="dk1">
                          <a:tint val="98500"/>
                        </a:schemeClr>
                      </a:solidFill>
                    </a:ln>
                    <a:effectLst/>
                  </c:spPr>
                </c:marker>
                <c:trendline>
                  <c:spPr>
                    <a:ln w="19050" cap="rnd">
                      <a:solidFill>
                        <a:schemeClr val="dk1">
                          <a:tint val="98500"/>
                        </a:schemeClr>
                      </a:solidFill>
                      <a:prstDash val="sysDot"/>
                    </a:ln>
                    <a:effectLst/>
                  </c:spPr>
                  <c:trendlineType val="power"/>
                  <c:dispRSqr val="0"/>
                  <c:dispEq val="0"/>
                </c:trendline>
                <c:xVal>
                  <c:numRef>
                    <c:extLst xmlns:c15="http://schemas.microsoft.com/office/drawing/2012/chart">
                      <c:ext xmlns:c15="http://schemas.microsoft.com/office/drawing/2012/chart" uri="{02D57815-91ED-43cb-92C2-25804820EDAC}">
                        <c15:formulaRef>
                          <c15:sqref>'EF25 P80 AVGS'!$M$8:$M$12</c15:sqref>
                        </c15:formulaRef>
                      </c:ext>
                    </c:extLst>
                    <c:numCache>
                      <c:formatCode>0.0E+00</c:formatCode>
                      <c:ptCount val="5"/>
                      <c:pt idx="0">
                        <c:v>23135.899487723014</c:v>
                      </c:pt>
                      <c:pt idx="1">
                        <c:v>30320.96144043202</c:v>
                      </c:pt>
                      <c:pt idx="2">
                        <c:v>36500.114719761768</c:v>
                      </c:pt>
                      <c:pt idx="3">
                        <c:v>43254.072955308235</c:v>
                      </c:pt>
                      <c:pt idx="4">
                        <c:v>49002.122517475444</c:v>
                      </c:pt>
                    </c:numCache>
                  </c:numRef>
                </c:xVal>
                <c:yVal>
                  <c:numRef>
                    <c:extLst xmlns:c15="http://schemas.microsoft.com/office/drawing/2012/chart">
                      <c:ext xmlns:c15="http://schemas.microsoft.com/office/drawing/2012/chart" uri="{02D57815-91ED-43cb-92C2-25804820EDAC}">
                        <c15:formulaRef>
                          <c15:sqref>'EF25 P80 AVGS'!$P$8:$P$12</c15:sqref>
                        </c15:formulaRef>
                      </c:ext>
                    </c:extLst>
                    <c:numCache>
                      <c:formatCode>0.000</c:formatCode>
                      <c:ptCount val="5"/>
                      <c:pt idx="0">
                        <c:v>1.1156585428062358E-2</c:v>
                      </c:pt>
                      <c:pt idx="1">
                        <c:v>1.0682836246979188E-2</c:v>
                      </c:pt>
                      <c:pt idx="2">
                        <c:v>1.042866723901972E-2</c:v>
                      </c:pt>
                      <c:pt idx="3">
                        <c:v>9.6013458520381265E-3</c:v>
                      </c:pt>
                      <c:pt idx="4">
                        <c:v>8.3077964975756102E-3</c:v>
                      </c:pt>
                    </c:numCache>
                  </c:numRef>
                </c:yVal>
                <c:smooth val="0"/>
                <c:extLst xmlns:c15="http://schemas.microsoft.com/office/drawing/2012/chart">
                  <c:ext xmlns:c16="http://schemas.microsoft.com/office/drawing/2014/chart" uri="{C3380CC4-5D6E-409C-BE32-E72D297353CC}">
                    <c16:uniqueId val="{0000000B-EE0F-4A67-84C4-CA9C98C9D22C}"/>
                  </c:ext>
                </c:extLst>
              </c15:ser>
            </c15:filteredScatterSeries>
            <c15:filteredScatterSeries>
              <c15:ser>
                <c:idx val="0"/>
                <c:order val="6"/>
                <c:tx>
                  <c:v>Filler P40</c:v>
                </c:tx>
                <c:spPr>
                  <a:ln w="25400" cap="rnd">
                    <a:noFill/>
                    <a:round/>
                  </a:ln>
                  <a:effectLst/>
                </c:spPr>
                <c:marker>
                  <c:symbol val="dash"/>
                  <c:size val="5"/>
                  <c:spPr>
                    <a:solidFill>
                      <a:schemeClr val="dk1">
                        <a:tint val="88500"/>
                      </a:schemeClr>
                    </a:solidFill>
                    <a:ln w="9525">
                      <a:solidFill>
                        <a:schemeClr val="dk1">
                          <a:tint val="88500"/>
                        </a:schemeClr>
                      </a:solidFill>
                    </a:ln>
                    <a:effectLst/>
                  </c:spPr>
                </c:marker>
                <c:xVal>
                  <c:numRef>
                    <c:extLst xmlns:c15="http://schemas.microsoft.com/office/drawing/2012/chart">
                      <c:ext xmlns:c15="http://schemas.microsoft.com/office/drawing/2012/chart" uri="{02D57815-91ED-43cb-92C2-25804820EDAC}">
                        <c15:formulaRef>
                          <c15:sqref>'EF25 P40 AVGS'!$L$9:$L$13</c15:sqref>
                        </c15:formulaRef>
                      </c:ext>
                    </c:extLst>
                    <c:numCache>
                      <c:formatCode>0.0E+00</c:formatCode>
                      <c:ptCount val="5"/>
                      <c:pt idx="0">
                        <c:v>21722.522169394077</c:v>
                      </c:pt>
                      <c:pt idx="1">
                        <c:v>27809.02596564942</c:v>
                      </c:pt>
                      <c:pt idx="2">
                        <c:v>34000.469482529857</c:v>
                      </c:pt>
                      <c:pt idx="3">
                        <c:v>40017.013465035139</c:v>
                      </c:pt>
                      <c:pt idx="4">
                        <c:v>44494.441545039066</c:v>
                      </c:pt>
                    </c:numCache>
                  </c:numRef>
                </c:xVal>
                <c:yVal>
                  <c:numRef>
                    <c:extLst xmlns:c15="http://schemas.microsoft.com/office/drawing/2012/chart">
                      <c:ext xmlns:c15="http://schemas.microsoft.com/office/drawing/2012/chart" uri="{02D57815-91ED-43cb-92C2-25804820EDAC}">
                        <c15:formulaRef>
                          <c15:sqref>'EF25 P40 AVGS'!$O$9:$O$13</c15:sqref>
                        </c15:formulaRef>
                      </c:ext>
                    </c:extLst>
                    <c:numCache>
                      <c:formatCode>0.000</c:formatCode>
                      <c:ptCount val="5"/>
                      <c:pt idx="0">
                        <c:v>1.512538070955566E-2</c:v>
                      </c:pt>
                      <c:pt idx="1">
                        <c:v>1.5215090833516069E-2</c:v>
                      </c:pt>
                      <c:pt idx="2">
                        <c:v>1.3945610093808108E-2</c:v>
                      </c:pt>
                      <c:pt idx="3">
                        <c:v>1.0595984233301277E-2</c:v>
                      </c:pt>
                      <c:pt idx="4">
                        <c:v>8.6969785125901831E-3</c:v>
                      </c:pt>
                    </c:numCache>
                  </c:numRef>
                </c:yVal>
                <c:smooth val="0"/>
                <c:extLst xmlns:c15="http://schemas.microsoft.com/office/drawing/2012/chart">
                  <c:ext xmlns:c16="http://schemas.microsoft.com/office/drawing/2014/chart" uri="{C3380CC4-5D6E-409C-BE32-E72D297353CC}">
                    <c16:uniqueId val="{0000000C-EE0F-4A67-84C4-CA9C98C9D22C}"/>
                  </c:ext>
                </c:extLst>
              </c15:ser>
            </c15:filteredScatterSeries>
            <c15:filteredScatterSeries>
              <c15:ser>
                <c:idx val="8"/>
                <c:order val="7"/>
                <c:tx>
                  <c:v>Elastomer Smooth</c:v>
                </c:tx>
                <c:spPr>
                  <a:ln w="25400" cap="rnd">
                    <a:noFill/>
                    <a:round/>
                  </a:ln>
                  <a:effectLst/>
                </c:spPr>
                <c:marker>
                  <c:symbol val="triangle"/>
                  <c:size val="5"/>
                  <c:spPr>
                    <a:noFill/>
                    <a:ln w="9525">
                      <a:solidFill>
                        <a:schemeClr val="dk1">
                          <a:tint val="55000"/>
                        </a:schemeClr>
                      </a:solidFill>
                    </a:ln>
                    <a:effectLst/>
                  </c:spPr>
                </c:marker>
                <c:trendline>
                  <c:spPr>
                    <a:ln w="19050" cap="rnd">
                      <a:solidFill>
                        <a:schemeClr val="dk1">
                          <a:tint val="55000"/>
                        </a:schemeClr>
                      </a:solidFill>
                      <a:prstDash val="sysDot"/>
                    </a:ln>
                    <a:effectLst/>
                  </c:spPr>
                  <c:trendlineType val="power"/>
                  <c:dispRSqr val="0"/>
                  <c:dispEq val="0"/>
                </c:trendline>
                <c:xVal>
                  <c:numRef>
                    <c:extLst xmlns:c15="http://schemas.microsoft.com/office/drawing/2012/chart">
                      <c:ext xmlns:c15="http://schemas.microsoft.com/office/drawing/2012/chart" uri="{02D57815-91ED-43cb-92C2-25804820EDAC}">
                        <c15:formulaRef>
                          <c15:sqref>'MMHSE flat AVG'!$L$8:$L$12</c15:sqref>
                        </c15:formulaRef>
                      </c:ext>
                    </c:extLst>
                    <c:numCache>
                      <c:formatCode>0.0E+00</c:formatCode>
                      <c:ptCount val="5"/>
                      <c:pt idx="0">
                        <c:v>24733.809165172341</c:v>
                      </c:pt>
                      <c:pt idx="1">
                        <c:v>31541.279577605099</c:v>
                      </c:pt>
                      <c:pt idx="2">
                        <c:v>38802.581350866705</c:v>
                      </c:pt>
                      <c:pt idx="3">
                        <c:v>46971.545845786015</c:v>
                      </c:pt>
                      <c:pt idx="4">
                        <c:v>52871.353536561066</c:v>
                      </c:pt>
                    </c:numCache>
                  </c:numRef>
                </c:xVal>
                <c:yVal>
                  <c:numRef>
                    <c:extLst xmlns:c15="http://schemas.microsoft.com/office/drawing/2012/chart">
                      <c:ext xmlns:c15="http://schemas.microsoft.com/office/drawing/2012/chart" uri="{02D57815-91ED-43cb-92C2-25804820EDAC}">
                        <c15:formulaRef>
                          <c15:sqref>'MMHSE flat AVG'!$O$8:$O$12</c15:sqref>
                        </c15:formulaRef>
                      </c:ext>
                    </c:extLst>
                    <c:numCache>
                      <c:formatCode>0.000</c:formatCode>
                      <c:ptCount val="5"/>
                      <c:pt idx="0">
                        <c:v>7.9919512554307154E-3</c:v>
                      </c:pt>
                      <c:pt idx="1">
                        <c:v>7.6143534622810276E-3</c:v>
                      </c:pt>
                      <c:pt idx="2">
                        <c:v>7.2699028256832353E-3</c:v>
                      </c:pt>
                      <c:pt idx="3">
                        <c:v>6.8600008124494851E-3</c:v>
                      </c:pt>
                      <c:pt idx="4">
                        <c:v>6.5583043169987199E-3</c:v>
                      </c:pt>
                    </c:numCache>
                  </c:numRef>
                </c:yVal>
                <c:smooth val="0"/>
                <c:extLst xmlns:c15="http://schemas.microsoft.com/office/drawing/2012/chart">
                  <c:ext xmlns:c16="http://schemas.microsoft.com/office/drawing/2014/chart" uri="{C3380CC4-5D6E-409C-BE32-E72D297353CC}">
                    <c16:uniqueId val="{0000000E-EE0F-4A67-84C4-CA9C98C9D22C}"/>
                  </c:ext>
                </c:extLst>
              </c15:ser>
            </c15:filteredScatterSeries>
            <c15:filteredScatterSeries>
              <c15:ser>
                <c:idx val="10"/>
                <c:order val="8"/>
                <c:tx>
                  <c:v>Elastomer P240</c:v>
                </c:tx>
                <c:spPr>
                  <a:ln w="25400" cap="rnd">
                    <a:noFill/>
                    <a:round/>
                  </a:ln>
                  <a:effectLst/>
                </c:spPr>
                <c:marker>
                  <c:symbol val="square"/>
                  <c:size val="5"/>
                  <c:spPr>
                    <a:noFill/>
                    <a:ln w="9525">
                      <a:solidFill>
                        <a:schemeClr val="dk1">
                          <a:tint val="98500"/>
                        </a:schemeClr>
                      </a:solidFill>
                    </a:ln>
                    <a:effectLst/>
                  </c:spPr>
                </c:marker>
                <c:trendline>
                  <c:spPr>
                    <a:ln w="19050" cap="rnd">
                      <a:solidFill>
                        <a:schemeClr val="dk1">
                          <a:tint val="98500"/>
                        </a:schemeClr>
                      </a:solidFill>
                      <a:prstDash val="sysDot"/>
                    </a:ln>
                    <a:effectLst/>
                  </c:spPr>
                  <c:trendlineType val="power"/>
                  <c:dispRSqr val="0"/>
                  <c:dispEq val="0"/>
                </c:trendline>
                <c:xVal>
                  <c:numRef>
                    <c:extLst xmlns:c15="http://schemas.microsoft.com/office/drawing/2012/chart">
                      <c:ext xmlns:c15="http://schemas.microsoft.com/office/drawing/2012/chart" uri="{02D57815-91ED-43cb-92C2-25804820EDAC}">
                        <c15:formulaRef>
                          <c15:sqref>'MMHSE P240 AVG'!$L$8:$L$11</c15:sqref>
                        </c15:formulaRef>
                      </c:ext>
                    </c:extLst>
                    <c:numCache>
                      <c:formatCode>0.0E+00</c:formatCode>
                      <c:ptCount val="4"/>
                      <c:pt idx="0">
                        <c:v>18828.41348329734</c:v>
                      </c:pt>
                      <c:pt idx="1">
                        <c:v>24891.800876223599</c:v>
                      </c:pt>
                      <c:pt idx="2">
                        <c:v>31832.783812862872</c:v>
                      </c:pt>
                      <c:pt idx="3">
                        <c:v>37816.389792724316</c:v>
                      </c:pt>
                    </c:numCache>
                  </c:numRef>
                </c:xVal>
                <c:yVal>
                  <c:numRef>
                    <c:extLst xmlns:c15="http://schemas.microsoft.com/office/drawing/2012/chart">
                      <c:ext xmlns:c15="http://schemas.microsoft.com/office/drawing/2012/chart" uri="{02D57815-91ED-43cb-92C2-25804820EDAC}">
                        <c15:formulaRef>
                          <c15:sqref>'MMHSE P240 AVG'!$O$8:$O$11</c15:sqref>
                        </c15:formulaRef>
                      </c:ext>
                    </c:extLst>
                    <c:numCache>
                      <c:formatCode>0.000</c:formatCode>
                      <c:ptCount val="4"/>
                      <c:pt idx="0">
                        <c:v>1.438557933187895E-2</c:v>
                      </c:pt>
                      <c:pt idx="1">
                        <c:v>1.3673141980240184E-2</c:v>
                      </c:pt>
                      <c:pt idx="2">
                        <c:v>9.9228677402318291E-3</c:v>
                      </c:pt>
                      <c:pt idx="3">
                        <c:v>1.000637253343376E-2</c:v>
                      </c:pt>
                    </c:numCache>
                  </c:numRef>
                </c:yVal>
                <c:smooth val="0"/>
                <c:extLst xmlns:c15="http://schemas.microsoft.com/office/drawing/2012/chart">
                  <c:ext xmlns:c16="http://schemas.microsoft.com/office/drawing/2014/chart" uri="{C3380CC4-5D6E-409C-BE32-E72D297353CC}">
                    <c16:uniqueId val="{00000010-EE0F-4A67-84C4-CA9C98C9D22C}"/>
                  </c:ext>
                </c:extLst>
              </c15:ser>
            </c15:filteredScatterSeries>
            <c15:filteredScatterSeries>
              <c15:ser>
                <c:idx val="7"/>
                <c:order val="9"/>
                <c:tx>
                  <c:v>Elastomer P80</c:v>
                </c:tx>
                <c:spPr>
                  <a:ln w="25400" cap="rnd">
                    <a:noFill/>
                    <a:round/>
                  </a:ln>
                  <a:effectLst/>
                </c:spPr>
                <c:marker>
                  <c:symbol val="circle"/>
                  <c:size val="5"/>
                  <c:spPr>
                    <a:noFill/>
                    <a:ln w="9525">
                      <a:solidFill>
                        <a:schemeClr val="dk1">
                          <a:tint val="88500"/>
                        </a:schemeClr>
                      </a:solidFill>
                    </a:ln>
                    <a:effectLst/>
                  </c:spPr>
                </c:marker>
                <c:trendline>
                  <c:spPr>
                    <a:ln w="19050" cap="rnd">
                      <a:solidFill>
                        <a:schemeClr val="dk1">
                          <a:tint val="88500"/>
                        </a:schemeClr>
                      </a:solidFill>
                      <a:prstDash val="sysDot"/>
                    </a:ln>
                    <a:effectLst/>
                  </c:spPr>
                  <c:trendlineType val="power"/>
                  <c:dispRSqr val="0"/>
                  <c:dispEq val="0"/>
                </c:trendline>
                <c:xVal>
                  <c:numRef>
                    <c:extLst xmlns:c15="http://schemas.microsoft.com/office/drawing/2012/chart">
                      <c:ext xmlns:c15="http://schemas.microsoft.com/office/drawing/2012/chart" uri="{02D57815-91ED-43cb-92C2-25804820EDAC}">
                        <c15:formulaRef>
                          <c15:sqref>'MMHSE P80 AVGS'!$L$8:$L$12</c15:sqref>
                        </c15:formulaRef>
                      </c:ext>
                    </c:extLst>
                    <c:numCache>
                      <c:formatCode>0.0E+00</c:formatCode>
                      <c:ptCount val="5"/>
                      <c:pt idx="0">
                        <c:v>18801.896461659773</c:v>
                      </c:pt>
                      <c:pt idx="1">
                        <c:v>24835.340848610296</c:v>
                      </c:pt>
                      <c:pt idx="2">
                        <c:v>30447.8472550759</c:v>
                      </c:pt>
                      <c:pt idx="3">
                        <c:v>34727.383390005925</c:v>
                      </c:pt>
                      <c:pt idx="4">
                        <c:v>39568.170165582502</c:v>
                      </c:pt>
                    </c:numCache>
                  </c:numRef>
                </c:xVal>
                <c:yVal>
                  <c:numRef>
                    <c:extLst xmlns:c15="http://schemas.microsoft.com/office/drawing/2012/chart">
                      <c:ext xmlns:c15="http://schemas.microsoft.com/office/drawing/2012/chart" uri="{02D57815-91ED-43cb-92C2-25804820EDAC}">
                        <c15:formulaRef>
                          <c15:sqref>'MMHSE P80 AVGS'!$O$8:$O$12</c15:sqref>
                        </c15:formulaRef>
                      </c:ext>
                    </c:extLst>
                    <c:numCache>
                      <c:formatCode>0.000</c:formatCode>
                      <c:ptCount val="5"/>
                      <c:pt idx="0">
                        <c:v>1.6904693184688124E-2</c:v>
                      </c:pt>
                      <c:pt idx="1">
                        <c:v>1.6167390968992418E-2</c:v>
                      </c:pt>
                      <c:pt idx="2">
                        <c:v>1.5215475539243689E-2</c:v>
                      </c:pt>
                      <c:pt idx="3">
                        <c:v>9.2263514973087574E-3</c:v>
                      </c:pt>
                      <c:pt idx="4">
                        <c:v>1.0654202599924757E-2</c:v>
                      </c:pt>
                    </c:numCache>
                  </c:numRef>
                </c:yVal>
                <c:smooth val="0"/>
                <c:extLst xmlns:c15="http://schemas.microsoft.com/office/drawing/2012/chart">
                  <c:ext xmlns:c16="http://schemas.microsoft.com/office/drawing/2014/chart" uri="{C3380CC4-5D6E-409C-BE32-E72D297353CC}">
                    <c16:uniqueId val="{00000012-EE0F-4A67-84C4-CA9C98C9D22C}"/>
                  </c:ext>
                </c:extLst>
              </c15:ser>
            </c15:filteredScatterSeries>
            <c15:filteredScatterSeries>
              <c15:ser>
                <c:idx val="1"/>
                <c:order val="10"/>
                <c:tx>
                  <c:v>Elastomer P40</c:v>
                </c:tx>
                <c:spPr>
                  <a:ln w="25400" cap="rnd">
                    <a:noFill/>
                    <a:round/>
                  </a:ln>
                  <a:effectLst/>
                </c:spPr>
                <c:marker>
                  <c:symbol val="dash"/>
                  <c:size val="5"/>
                  <c:spPr>
                    <a:noFill/>
                    <a:ln w="9525">
                      <a:solidFill>
                        <a:schemeClr val="dk1">
                          <a:tint val="55000"/>
                        </a:schemeClr>
                      </a:solidFill>
                    </a:ln>
                    <a:effectLst/>
                  </c:spPr>
                </c:marker>
                <c:xVal>
                  <c:numRef>
                    <c:extLst xmlns:c15="http://schemas.microsoft.com/office/drawing/2012/chart">
                      <c:ext xmlns:c15="http://schemas.microsoft.com/office/drawing/2012/chart" uri="{02D57815-91ED-43cb-92C2-25804820EDAC}">
                        <c15:formulaRef>
                          <c15:sqref>'MMHSE P40 AVGS'!$L$9:$L$13</c15:sqref>
                        </c15:formulaRef>
                      </c:ext>
                    </c:extLst>
                    <c:numCache>
                      <c:formatCode>0.0E+00</c:formatCode>
                      <c:ptCount val="5"/>
                      <c:pt idx="0">
                        <c:v>19770.201514312095</c:v>
                      </c:pt>
                      <c:pt idx="1">
                        <c:v>25518.983514927677</c:v>
                      </c:pt>
                      <c:pt idx="2">
                        <c:v>31548.193905817174</c:v>
                      </c:pt>
                      <c:pt idx="3">
                        <c:v>36736.119125884892</c:v>
                      </c:pt>
                      <c:pt idx="4">
                        <c:v>44167.471468144046</c:v>
                      </c:pt>
                    </c:numCache>
                  </c:numRef>
                </c:xVal>
                <c:yVal>
                  <c:numRef>
                    <c:extLst xmlns:c15="http://schemas.microsoft.com/office/drawing/2012/chart">
                      <c:ext xmlns:c15="http://schemas.microsoft.com/office/drawing/2012/chart" uri="{02D57815-91ED-43cb-92C2-25804820EDAC}">
                        <c15:formulaRef>
                          <c15:sqref>'MMHSE P40 AVGS'!$O$9:$O$13</c15:sqref>
                        </c15:formulaRef>
                      </c:ext>
                    </c:extLst>
                    <c:numCache>
                      <c:formatCode>0.000</c:formatCode>
                      <c:ptCount val="5"/>
                      <c:pt idx="0">
                        <c:v>1.5008220187502492E-2</c:v>
                      </c:pt>
                      <c:pt idx="1">
                        <c:v>1.5006721088056956E-2</c:v>
                      </c:pt>
                      <c:pt idx="2">
                        <c:v>1.4420842650896113E-2</c:v>
                      </c:pt>
                      <c:pt idx="3">
                        <c:v>1.2274729939700709E-2</c:v>
                      </c:pt>
                      <c:pt idx="4">
                        <c:v>7.1106485889659296E-3</c:v>
                      </c:pt>
                    </c:numCache>
                  </c:numRef>
                </c:yVal>
                <c:smooth val="0"/>
                <c:extLst xmlns:c15="http://schemas.microsoft.com/office/drawing/2012/chart">
                  <c:ext xmlns:c16="http://schemas.microsoft.com/office/drawing/2014/chart" uri="{C3380CC4-5D6E-409C-BE32-E72D297353CC}">
                    <c16:uniqueId val="{00000013-EE0F-4A67-84C4-CA9C98C9D22C}"/>
                  </c:ext>
                </c:extLst>
              </c15:ser>
            </c15:filteredScatterSeries>
          </c:ext>
        </c:extLst>
      </c:scatterChart>
      <c:valAx>
        <c:axId val="727497488"/>
        <c:scaling>
          <c:orientation val="minMax"/>
          <c:min val="10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727498144"/>
        <c:crosses val="autoZero"/>
        <c:crossBetween val="midCat"/>
      </c:valAx>
      <c:valAx>
        <c:axId val="727498144"/>
        <c:scaling>
          <c:orientation val="minMax"/>
          <c:max val="2.0000000000000004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Average Fanning Friction Factor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72749748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'P240 sandpaper AVGS'!$G$6:$G$12</c:f>
              <c:numCache>
                <c:formatCode>0.00</c:formatCode>
                <c:ptCount val="7"/>
                <c:pt idx="0">
                  <c:v>0</c:v>
                </c:pt>
                <c:pt idx="1">
                  <c:v>1.1338324039787782</c:v>
                </c:pt>
                <c:pt idx="2">
                  <c:v>2.3910360615927515</c:v>
                </c:pt>
                <c:pt idx="3">
                  <c:v>3.9630550377254448</c:v>
                </c:pt>
                <c:pt idx="4">
                  <c:v>6.0661962628296706</c:v>
                </c:pt>
                <c:pt idx="5">
                  <c:v>7.9754071364934438</c:v>
                </c:pt>
                <c:pt idx="6">
                  <c:v>10.44248927312054</c:v>
                </c:pt>
              </c:numCache>
            </c:numRef>
          </c:xVal>
          <c:yVal>
            <c:numRef>
              <c:f>'P240 sandpaper AVGS'!$K$6:$K$12</c:f>
              <c:numCache>
                <c:formatCode>0</c:formatCode>
                <c:ptCount val="7"/>
                <c:pt idx="0">
                  <c:v>0</c:v>
                </c:pt>
                <c:pt idx="1">
                  <c:v>822.67526890322586</c:v>
                </c:pt>
                <c:pt idx="2">
                  <c:v>1733.9064516236563</c:v>
                </c:pt>
                <c:pt idx="3">
                  <c:v>2962.5935485591399</c:v>
                </c:pt>
                <c:pt idx="4">
                  <c:v>4581.2010754301082</c:v>
                </c:pt>
                <c:pt idx="5">
                  <c:v>6151.0731183010748</c:v>
                </c:pt>
                <c:pt idx="6">
                  <c:v>7790.7096776236558</c:v>
                </c:pt>
              </c:numCache>
            </c:numRef>
          </c:yVal>
          <c:smooth val="0"/>
          <c:extLst>
            <c:ext xmlns:c16="http://schemas.microsoft.com/office/drawing/2014/chart" uri="{C3380CC4-5D6E-409C-BE32-E72D297353CC}">
              <c16:uniqueId val="{00000001-3F14-4DB2-B8F8-C56A3631A436}"/>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'P240 sandpaper AVGS'!$O$5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'P240 sandpaper AVGS'!$L$7:$L$12</c:f>
              <c:numCache>
                <c:formatCode>0.0E+00</c:formatCode>
                <c:ptCount val="6"/>
                <c:pt idx="0">
                  <c:v>17643.547615965479</c:v>
                </c:pt>
                <c:pt idx="1">
                  <c:v>25621.499581445525</c:v>
                </c:pt>
                <c:pt idx="2">
                  <c:v>32985.762934196326</c:v>
                </c:pt>
                <c:pt idx="3">
                  <c:v>40810.292746494059</c:v>
                </c:pt>
                <c:pt idx="4">
                  <c:v>46793.756720604091</c:v>
                </c:pt>
                <c:pt idx="5">
                  <c:v>53544.331460625675</c:v>
                </c:pt>
              </c:numCache>
            </c:numRef>
          </c:xVal>
          <c:yVal>
            <c:numRef>
              <c:f>'P240 sandpaper AVGS'!$O$7:$O$12</c:f>
              <c:numCache>
                <c:formatCode>0.000</c:formatCode>
                <c:ptCount val="6"/>
                <c:pt idx="0">
                  <c:v>7.3808841301291894E-3</c:v>
                </c:pt>
                <c:pt idx="1">
                  <c:v>7.3768057355044943E-3</c:v>
                </c:pt>
                <c:pt idx="2">
                  <c:v>7.6045020159216286E-3</c:v>
                </c:pt>
                <c:pt idx="3">
                  <c:v>7.6823078619262667E-3</c:v>
                </c:pt>
                <c:pt idx="4">
                  <c:v>7.8456121937399356E-3</c:v>
                </c:pt>
                <c:pt idx="5">
                  <c:v>7.5893012677243025E-3</c:v>
                </c:pt>
              </c:numCache>
            </c:numRef>
          </c:yVal>
          <c:smooth val="0"/>
          <c:extLst>
            <c:ext xmlns:c16="http://schemas.microsoft.com/office/drawing/2014/chart" uri="{C3380CC4-5D6E-409C-BE32-E72D297353CC}">
              <c16:uniqueId val="{00000001-B7F4-478B-A3B6-33E5B1EF9505}"/>
            </c:ext>
          </c:extLst>
        </c:ser>
        <c:ser>
          <c:idx val="1"/>
          <c:order val="1"/>
          <c:tx>
            <c:strRef>
              <c:f>'P240 sandpaper AVGS'!$T$5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'P240 sandpaper AVGS'!$S$7:$S$31</c:f>
              <c:numCache>
                <c:formatCode>0.00000</c:formatCode>
                <c:ptCount val="25"/>
                <c:pt idx="0">
                  <c:v>1656.9579288025889</c:v>
                </c:pt>
                <c:pt idx="1">
                  <c:v>3313.9158576051777</c:v>
                </c:pt>
                <c:pt idx="2">
                  <c:v>4970.8737864077666</c:v>
                </c:pt>
                <c:pt idx="3">
                  <c:v>6627.8317152103555</c:v>
                </c:pt>
                <c:pt idx="4">
                  <c:v>8284.7896440129443</c:v>
                </c:pt>
                <c:pt idx="5">
                  <c:v>9941.7475728155332</c:v>
                </c:pt>
                <c:pt idx="6">
                  <c:v>11598.70550161812</c:v>
                </c:pt>
                <c:pt idx="7">
                  <c:v>13255.663430420711</c:v>
                </c:pt>
                <c:pt idx="8">
                  <c:v>14912.6213592233</c:v>
                </c:pt>
                <c:pt idx="9">
                  <c:v>16569.579288025889</c:v>
                </c:pt>
                <c:pt idx="10">
                  <c:v>18226.537216828478</c:v>
                </c:pt>
                <c:pt idx="11">
                  <c:v>19883.495145631066</c:v>
                </c:pt>
                <c:pt idx="12">
                  <c:v>21540.453074433655</c:v>
                </c:pt>
                <c:pt idx="13">
                  <c:v>23197.411003236241</c:v>
                </c:pt>
                <c:pt idx="14">
                  <c:v>24854.368932038833</c:v>
                </c:pt>
                <c:pt idx="15">
                  <c:v>26511.326860841422</c:v>
                </c:pt>
                <c:pt idx="16">
                  <c:v>28168.284789644007</c:v>
                </c:pt>
                <c:pt idx="17">
                  <c:v>29825.2427184466</c:v>
                </c:pt>
                <c:pt idx="18">
                  <c:v>31482.200647249185</c:v>
                </c:pt>
                <c:pt idx="19">
                  <c:v>33139.158576051777</c:v>
                </c:pt>
                <c:pt idx="20">
                  <c:v>34796.11650485437</c:v>
                </c:pt>
                <c:pt idx="21">
                  <c:v>36453.074433656955</c:v>
                </c:pt>
                <c:pt idx="22">
                  <c:v>38110.03236245954</c:v>
                </c:pt>
                <c:pt idx="23">
                  <c:v>39766.990291262133</c:v>
                </c:pt>
                <c:pt idx="24">
                  <c:v>41423.948220064718</c:v>
                </c:pt>
              </c:numCache>
            </c:numRef>
          </c:xVal>
          <c:yVal>
            <c:numRef>
              <c:f>'P240 sandpaper AVGS'!$U$7:$U$31</c:f>
              <c:numCache>
                <c:formatCode>0.00000</c:formatCode>
                <c:ptCount val="25"/>
                <c:pt idx="0">
                  <c:v>1.2397913818242142E-2</c:v>
                </c:pt>
                <c:pt idx="1">
                  <c:v>1.0425361286384313E-2</c:v>
                </c:pt>
                <c:pt idx="2">
                  <c:v>9.4203773467333701E-3</c:v>
                </c:pt>
                <c:pt idx="3">
                  <c:v>8.7666489334454218E-3</c:v>
                </c:pt>
                <c:pt idx="4">
                  <c:v>8.290984667882648E-3</c:v>
                </c:pt>
                <c:pt idx="5">
                  <c:v>7.9215615412053901E-3</c:v>
                </c:pt>
                <c:pt idx="6">
                  <c:v>7.6220905367660454E-3</c:v>
                </c:pt>
                <c:pt idx="7">
                  <c:v>7.3718436619220548E-3</c:v>
                </c:pt>
                <c:pt idx="8">
                  <c:v>7.1579388803518825E-3</c:v>
                </c:pt>
                <c:pt idx="9">
                  <c:v>6.9718592861460265E-3</c:v>
                </c:pt>
                <c:pt idx="10">
                  <c:v>6.8077005126050529E-3</c:v>
                </c:pt>
                <c:pt idx="11">
                  <c:v>6.6612127032113022E-3</c:v>
                </c:pt>
                <c:pt idx="12">
                  <c:v>6.5292421417442103E-3</c:v>
                </c:pt>
                <c:pt idx="13">
                  <c:v>6.4093886091058285E-3</c:v>
                </c:pt>
                <c:pt idx="14">
                  <c:v>6.2997860198474526E-3</c:v>
                </c:pt>
                <c:pt idx="15">
                  <c:v>6.1989569091210721E-3</c:v>
                </c:pt>
                <c:pt idx="16">
                  <c:v>6.1057129494354557E-3</c:v>
                </c:pt>
                <c:pt idx="17">
                  <c:v>6.0190851450930847E-3</c:v>
                </c:pt>
                <c:pt idx="18">
                  <c:v>5.9382737294604322E-3</c:v>
                </c:pt>
                <c:pt idx="19">
                  <c:v>5.862611481373515E-3</c:v>
                </c:pt>
                <c:pt idx="20">
                  <c:v>5.7915363891021419E-3</c:v>
                </c:pt>
                <c:pt idx="21">
                  <c:v>5.7245709571704627E-3</c:v>
                </c:pt>
                <c:pt idx="22">
                  <c:v>5.6613063190861443E-3</c:v>
                </c:pt>
                <c:pt idx="23">
                  <c:v>5.6013898833728905E-3</c:v>
                </c:pt>
                <c:pt idx="24">
                  <c:v>5.544515615354682E-3</c:v>
                </c:pt>
              </c:numCache>
            </c:numRef>
          </c:yVal>
          <c:smooth val="0"/>
          <c:extLst>
            <c:ext xmlns:c16="http://schemas.microsoft.com/office/drawing/2014/chart" uri="{C3380CC4-5D6E-409C-BE32-E72D297353CC}">
              <c16:uniqueId val="{00000003-B7F4-478B-A3B6-33E5B1EF9505}"/>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1 P240</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0"/>
            <c:dispEq val="1"/>
            <c:trendlineLbl>
              <c:layout>
                <c:manualLayout>
                  <c:x val="0.10335973769171139"/>
                  <c:y val="5.076461092208712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'P240 sandpaper'!$L$7:$L$12</c:f>
              <c:numCache>
                <c:formatCode>0.0E+00</c:formatCode>
                <c:ptCount val="6"/>
                <c:pt idx="0">
                  <c:v>17029.859003236244</c:v>
                </c:pt>
                <c:pt idx="1">
                  <c:v>25314.655275080902</c:v>
                </c:pt>
                <c:pt idx="2">
                  <c:v>32218.652168284785</c:v>
                </c:pt>
                <c:pt idx="3">
                  <c:v>40043.181980582514</c:v>
                </c:pt>
                <c:pt idx="4">
                  <c:v>46026.645954692547</c:v>
                </c:pt>
                <c:pt idx="5">
                  <c:v>52930.642847896444</c:v>
                </c:pt>
              </c:numCache>
            </c:numRef>
          </c:xVal>
          <c:yVal>
            <c:numRef>
              <c:f>'P240 sandpaper'!$O$7:$O$12</c:f>
              <c:numCache>
                <c:formatCode>0.000</c:formatCode>
                <c:ptCount val="6"/>
                <c:pt idx="0">
                  <c:v>7.5458471764600207E-3</c:v>
                </c:pt>
                <c:pt idx="1">
                  <c:v>7.231500651335202E-3</c:v>
                </c:pt>
                <c:pt idx="2">
                  <c:v>7.4001328761873712E-3</c:v>
                </c:pt>
                <c:pt idx="3">
                  <c:v>7.3765617250750549E-3</c:v>
                </c:pt>
                <c:pt idx="4">
                  <c:v>7.7238171844782886E-3</c:v>
                </c:pt>
                <c:pt idx="5">
                  <c:v>7.4970352713403894E-3</c:v>
                </c:pt>
              </c:numCache>
            </c:numRef>
          </c:yVal>
          <c:smooth val="0"/>
          <c:extLst>
            <c:ext xmlns:c16="http://schemas.microsoft.com/office/drawing/2014/chart" uri="{C3380CC4-5D6E-409C-BE32-E72D297353CC}">
              <c16:uniqueId val="{00000001-BF7B-4BDB-BC4B-6CDB30CFFF1F}"/>
            </c:ext>
          </c:extLst>
        </c:ser>
        <c:ser>
          <c:idx val="1"/>
          <c:order val="1"/>
          <c:tx>
            <c:v>2 P240</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7.3770840854060341E-2"/>
                  <c:y val="-4.5476845982041825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P240 sandpaper'!$L$7:$L$12</c:f>
              <c:numCache>
                <c:formatCode>0.0E+00</c:formatCode>
                <c:ptCount val="6"/>
                <c:pt idx="0">
                  <c:v>17490.125462783169</c:v>
                </c:pt>
                <c:pt idx="1">
                  <c:v>25314.655275080902</c:v>
                </c:pt>
                <c:pt idx="2">
                  <c:v>32218.652168284785</c:v>
                </c:pt>
                <c:pt idx="3">
                  <c:v>40043.181980582514</c:v>
                </c:pt>
                <c:pt idx="4">
                  <c:v>46026.645954692547</c:v>
                </c:pt>
                <c:pt idx="5">
                  <c:v>52930.642847896444</c:v>
                </c:pt>
              </c:numCache>
            </c:numRef>
          </c:xVal>
          <c:yVal>
            <c:numRef>
              <c:f>'2 P240 sandpaper'!$O$7:$O$12</c:f>
              <c:numCache>
                <c:formatCode>0.000</c:formatCode>
                <c:ptCount val="6"/>
                <c:pt idx="0">
                  <c:v>7.1539229833628669E-3</c:v>
                </c:pt>
                <c:pt idx="1">
                  <c:v>7.2315006514757883E-3</c:v>
                </c:pt>
                <c:pt idx="2">
                  <c:v>7.4001328775760251E-3</c:v>
                </c:pt>
                <c:pt idx="3">
                  <c:v>7.376561725917853E-3</c:v>
                </c:pt>
                <c:pt idx="4">
                  <c:v>7.723817184563342E-3</c:v>
                </c:pt>
                <c:pt idx="5">
                  <c:v>7.4970352719513703E-3</c:v>
                </c:pt>
              </c:numCache>
            </c:numRef>
          </c:yVal>
          <c:smooth val="0"/>
          <c:extLst>
            <c:ext xmlns:c16="http://schemas.microsoft.com/office/drawing/2014/chart" uri="{C3380CC4-5D6E-409C-BE32-E72D297353CC}">
              <c16:uniqueId val="{00000003-BF7B-4BDB-BC4B-6CDB30CFFF1F}"/>
            </c:ext>
          </c:extLst>
        </c:ser>
        <c:ser>
          <c:idx val="3"/>
          <c:order val="2"/>
          <c:tx>
            <c:v>3 P240</c:v>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power"/>
            <c:dispRSqr val="0"/>
            <c:dispEq val="1"/>
            <c:trendlineLbl>
              <c:layout>
                <c:manualLayout>
                  <c:x val="8.7872422410366413E-2"/>
                  <c:y val="-6.967215633858460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P240 sandpaper'!$L$7:$L$12</c:f>
              <c:numCache>
                <c:formatCode>0.0E+00</c:formatCode>
                <c:ptCount val="6"/>
                <c:pt idx="0">
                  <c:v>18410.65838187702</c:v>
                </c:pt>
                <c:pt idx="1">
                  <c:v>26235.188194174756</c:v>
                </c:pt>
                <c:pt idx="2">
                  <c:v>34519.984466019414</c:v>
                </c:pt>
                <c:pt idx="3">
                  <c:v>42344.514278317147</c:v>
                </c:pt>
                <c:pt idx="4">
                  <c:v>48327.978252427187</c:v>
                </c:pt>
                <c:pt idx="5">
                  <c:v>54771.708686084137</c:v>
                </c:pt>
              </c:numCache>
            </c:numRef>
          </c:xVal>
          <c:yVal>
            <c:numRef>
              <c:f>'3 P240 sandpaper'!$O$7:$O$12</c:f>
              <c:numCache>
                <c:formatCode>0.000</c:formatCode>
                <c:ptCount val="6"/>
                <c:pt idx="0">
                  <c:v>7.4230424798561101E-3</c:v>
                </c:pt>
                <c:pt idx="1">
                  <c:v>7.6413253651867394E-3</c:v>
                </c:pt>
                <c:pt idx="2">
                  <c:v>7.9380266136684675E-3</c:v>
                </c:pt>
                <c:pt idx="3">
                  <c:v>8.2140123218635303E-3</c:v>
                </c:pt>
                <c:pt idx="4">
                  <c:v>8.0546951852277764E-3</c:v>
                </c:pt>
                <c:pt idx="5">
                  <c:v>7.7559196597459558E-3</c:v>
                </c:pt>
              </c:numCache>
            </c:numRef>
          </c:yVal>
          <c:smooth val="0"/>
          <c:extLst>
            <c:ext xmlns:c16="http://schemas.microsoft.com/office/drawing/2014/chart" uri="{C3380CC4-5D6E-409C-BE32-E72D297353CC}">
              <c16:uniqueId val="{00000005-BF7B-4BDB-BC4B-6CDB30CFFF1F}"/>
            </c:ext>
          </c:extLst>
        </c:ser>
        <c:dLbls>
          <c:showLegendKey val="0"/>
          <c:showVal val="0"/>
          <c:showCatName val="0"/>
          <c:showSerName val="0"/>
          <c:showPercent val="0"/>
          <c:showBubbleSize val="0"/>
        </c:dLbls>
        <c:axId val="1408354767"/>
        <c:axId val="1074120591"/>
      </c:scatterChart>
      <c:valAx>
        <c:axId val="14083547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4120591"/>
        <c:crosses val="autoZero"/>
        <c:crossBetween val="midCat"/>
      </c:valAx>
      <c:valAx>
        <c:axId val="10741205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354767"/>
        <c:crosses val="autoZero"/>
        <c:crossBetween val="midCat"/>
      </c:valAx>
      <c:spPr>
        <a:noFill/>
        <a:ln>
          <a:noFill/>
        </a:ln>
        <a:effectLst/>
      </c:spPr>
    </c:plotArea>
    <c:legend>
      <c:legendPos val="r"/>
      <c:layout>
        <c:manualLayout>
          <c:xMode val="edge"/>
          <c:yMode val="edge"/>
          <c:x val="0.82678962669710643"/>
          <c:y val="0.2245640513566417"/>
          <c:w val="0.15348444207779291"/>
          <c:h val="0.359265155456265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'1 EF25 P40'!$G$7:$G$11</c:f>
              <c:numCache>
                <c:formatCode>0.00</c:formatCode>
                <c:ptCount val="5"/>
                <c:pt idx="0">
                  <c:v>0</c:v>
                </c:pt>
                <c:pt idx="1">
                  <c:v>1.05632885061796</c:v>
                </c:pt>
                <c:pt idx="2">
                  <c:v>2.1674417395075602</c:v>
                </c:pt>
                <c:pt idx="3">
                  <c:v>3.3611164888910401</c:v>
                </c:pt>
                <c:pt idx="4">
                  <c:v>5.1882799061761604</c:v>
                </c:pt>
              </c:numCache>
            </c:numRef>
          </c:xVal>
          <c:yVal>
            <c:numRef>
              <c:f>'1 EF25 P40'!$K$7:$K$11</c:f>
              <c:numCache>
                <c:formatCode>0</c:formatCode>
                <c:ptCount val="5"/>
                <c:pt idx="0">
                  <c:v>0</c:v>
                </c:pt>
                <c:pt idx="1">
                  <c:v>1724.2870967741933</c:v>
                </c:pt>
                <c:pt idx="2">
                  <c:v>3744.4806451612903</c:v>
                </c:pt>
                <c:pt idx="3">
                  <c:v>5907.1677419354837</c:v>
                </c:pt>
                <c:pt idx="4">
                  <c:v>8624.5870967741939</c:v>
                </c:pt>
              </c:numCache>
            </c:numRef>
          </c:yVal>
          <c:smooth val="0"/>
          <c:extLst>
            <c:ext xmlns:c16="http://schemas.microsoft.com/office/drawing/2014/chart" uri="{C3380CC4-5D6E-409C-BE32-E72D297353CC}">
              <c16:uniqueId val="{00000001-3ACA-4DE0-86D3-E834426C9F83}"/>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'1 EF25 P40'!$O$6</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'1 EF25 P40'!$L$8:$L$11</c:f>
              <c:numCache>
                <c:formatCode>0.0E+00</c:formatCode>
                <c:ptCount val="4"/>
                <c:pt idx="0">
                  <c:v>14390.229137685845</c:v>
                </c:pt>
                <c:pt idx="1">
                  <c:v>20613.030926955398</c:v>
                </c:pt>
                <c:pt idx="2">
                  <c:v>25669.057380736911</c:v>
                </c:pt>
                <c:pt idx="3">
                  <c:v>31891.859170006464</c:v>
                </c:pt>
              </c:numCache>
            </c:numRef>
          </c:xVal>
          <c:yVal>
            <c:numRef>
              <c:f>'1 EF25 P40'!$O$8:$O$11</c:f>
              <c:numCache>
                <c:formatCode>0.000</c:formatCode>
                <c:ptCount val="4"/>
                <c:pt idx="0">
                  <c:v>1.5876315944762621E-2</c:v>
                </c:pt>
                <c:pt idx="1">
                  <c:v>1.6802869471175094E-2</c:v>
                </c:pt>
                <c:pt idx="2">
                  <c:v>1.7093658964969897E-2</c:v>
                </c:pt>
                <c:pt idx="3">
                  <c:v>1.6167922187894725E-2</c:v>
                </c:pt>
              </c:numCache>
            </c:numRef>
          </c:yVal>
          <c:smooth val="0"/>
          <c:extLst>
            <c:ext xmlns:c16="http://schemas.microsoft.com/office/drawing/2014/chart" uri="{C3380CC4-5D6E-409C-BE32-E72D297353CC}">
              <c16:uniqueId val="{00000001-18DD-4D4E-B4BF-0966F65626DB}"/>
            </c:ext>
          </c:extLst>
        </c:ser>
        <c:ser>
          <c:idx val="1"/>
          <c:order val="1"/>
          <c:tx>
            <c:strRef>
              <c:f>'1 EF25 P40'!$T$6</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EF25 P40'!$S$8:$S$32</c:f>
              <c:numCache>
                <c:formatCode>0.00000</c:formatCode>
                <c:ptCount val="25"/>
                <c:pt idx="0">
                  <c:v>1400.1292824822237</c:v>
                </c:pt>
                <c:pt idx="1">
                  <c:v>2800.2585649644475</c:v>
                </c:pt>
                <c:pt idx="2">
                  <c:v>4200.3878474466701</c:v>
                </c:pt>
                <c:pt idx="3">
                  <c:v>5600.517129928895</c:v>
                </c:pt>
                <c:pt idx="4">
                  <c:v>7000.646412411118</c:v>
                </c:pt>
                <c:pt idx="5">
                  <c:v>8400.7756948933402</c:v>
                </c:pt>
                <c:pt idx="6">
                  <c:v>9800.9049773755651</c:v>
                </c:pt>
                <c:pt idx="7">
                  <c:v>11201.03425985779</c:v>
                </c:pt>
                <c:pt idx="8">
                  <c:v>12601.163542340013</c:v>
                </c:pt>
                <c:pt idx="9">
                  <c:v>14001.292824822236</c:v>
                </c:pt>
                <c:pt idx="10">
                  <c:v>15401.422107304461</c:v>
                </c:pt>
                <c:pt idx="11">
                  <c:v>16801.55138978668</c:v>
                </c:pt>
                <c:pt idx="12">
                  <c:v>18201.680672268911</c:v>
                </c:pt>
                <c:pt idx="13">
                  <c:v>19601.80995475113</c:v>
                </c:pt>
                <c:pt idx="14">
                  <c:v>21001.939237233353</c:v>
                </c:pt>
                <c:pt idx="15">
                  <c:v>22402.06851971558</c:v>
                </c:pt>
                <c:pt idx="16">
                  <c:v>23802.197802197799</c:v>
                </c:pt>
                <c:pt idx="17">
                  <c:v>25202.327084680026</c:v>
                </c:pt>
                <c:pt idx="18">
                  <c:v>26602.456367162249</c:v>
                </c:pt>
                <c:pt idx="19">
                  <c:v>28002.585649644472</c:v>
                </c:pt>
                <c:pt idx="20">
                  <c:v>29402.714932126699</c:v>
                </c:pt>
                <c:pt idx="21">
                  <c:v>30802.844214608922</c:v>
                </c:pt>
                <c:pt idx="22">
                  <c:v>32202.973497091141</c:v>
                </c:pt>
                <c:pt idx="23">
                  <c:v>33603.102779573361</c:v>
                </c:pt>
                <c:pt idx="24">
                  <c:v>35003.232062055591</c:v>
                </c:pt>
              </c:numCache>
            </c:numRef>
          </c:xVal>
          <c:yVal>
            <c:numRef>
              <c:f>'1 EF25 P40'!$U$8:$U$32</c:f>
              <c:numCache>
                <c:formatCode>0.00000</c:formatCode>
                <c:ptCount val="25"/>
                <c:pt idx="0">
                  <c:v>1.2931069587942087E-2</c:v>
                </c:pt>
                <c:pt idx="1">
                  <c:v>1.087369006189683E-2</c:v>
                </c:pt>
                <c:pt idx="2">
                  <c:v>9.8254881265624327E-3</c:v>
                </c:pt>
                <c:pt idx="3">
                  <c:v>9.1436469936289864E-3</c:v>
                </c:pt>
                <c:pt idx="4">
                  <c:v>8.647527419911729E-3</c:v>
                </c:pt>
                <c:pt idx="5">
                  <c:v>8.2622177437442872E-3</c:v>
                </c:pt>
                <c:pt idx="6">
                  <c:v>7.9498683876551828E-3</c:v>
                </c:pt>
                <c:pt idx="7">
                  <c:v>7.688859979288018E-3</c:v>
                </c:pt>
                <c:pt idx="8">
                  <c:v>7.4657565075081462E-3</c:v>
                </c:pt>
                <c:pt idx="9">
                  <c:v>7.2716748082119762E-3</c:v>
                </c:pt>
                <c:pt idx="10">
                  <c:v>7.1004566052747841E-3</c:v>
                </c:pt>
                <c:pt idx="11">
                  <c:v>6.9476692827602033E-3</c:v>
                </c:pt>
                <c:pt idx="12">
                  <c:v>6.8100235030823511E-3</c:v>
                </c:pt>
                <c:pt idx="13">
                  <c:v>6.6850158289180712E-3</c:v>
                </c:pt>
                <c:pt idx="14">
                  <c:v>6.5706999262995737E-3</c:v>
                </c:pt>
                <c:pt idx="15">
                  <c:v>6.4655347939710436E-3</c:v>
                </c:pt>
                <c:pt idx="16">
                  <c:v>6.3682810020003469E-3</c:v>
                </c:pt>
                <c:pt idx="17">
                  <c:v>6.2779278843206922E-3</c:v>
                </c:pt>
                <c:pt idx="18">
                  <c:v>6.1936412813997739E-3</c:v>
                </c:pt>
                <c:pt idx="19">
                  <c:v>6.1147252791161925E-3</c:v>
                </c:pt>
                <c:pt idx="20">
                  <c:v>6.040593697173898E-3</c:v>
                </c:pt>
                <c:pt idx="21">
                  <c:v>5.9707485060401244E-3</c:v>
                </c:pt>
                <c:pt idx="22">
                  <c:v>5.9047632564636528E-3</c:v>
                </c:pt>
                <c:pt idx="23">
                  <c:v>5.8422701942414008E-3</c:v>
                </c:pt>
                <c:pt idx="24">
                  <c:v>5.7829501240837401E-3</c:v>
                </c:pt>
              </c:numCache>
            </c:numRef>
          </c:yVal>
          <c:smooth val="0"/>
          <c:extLst>
            <c:ext xmlns:c16="http://schemas.microsoft.com/office/drawing/2014/chart" uri="{C3380CC4-5D6E-409C-BE32-E72D297353CC}">
              <c16:uniqueId val="{00000003-18DD-4D4E-B4BF-0966F65626DB}"/>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'2 EF25 P40'!$G$7:$G$12</c:f>
              <c:numCache>
                <c:formatCode>0.00</c:formatCode>
                <c:ptCount val="6"/>
                <c:pt idx="0">
                  <c:v>0</c:v>
                </c:pt>
                <c:pt idx="1">
                  <c:v>0.94521756172900007</c:v>
                </c:pt>
                <c:pt idx="2">
                  <c:v>2.0864230913593604</c:v>
                </c:pt>
                <c:pt idx="3">
                  <c:v>3.4637401098787599</c:v>
                </c:pt>
                <c:pt idx="4">
                  <c:v>5.0625081000032406</c:v>
                </c:pt>
                <c:pt idx="5">
                  <c:v>7.1111224888934403</c:v>
                </c:pt>
              </c:numCache>
            </c:numRef>
          </c:xVal>
          <c:yVal>
            <c:numRef>
              <c:f>'2 EF25 P40'!$K$7:$K$12</c:f>
              <c:numCache>
                <c:formatCode>0</c:formatCode>
                <c:ptCount val="6"/>
                <c:pt idx="0">
                  <c:v>0</c:v>
                </c:pt>
                <c:pt idx="1">
                  <c:v>1561.6179723502305</c:v>
                </c:pt>
                <c:pt idx="2">
                  <c:v>3713.2193548387099</c:v>
                </c:pt>
                <c:pt idx="3">
                  <c:v>6184.4806451612894</c:v>
                </c:pt>
                <c:pt idx="4">
                  <c:v>8027.6516129032261</c:v>
                </c:pt>
                <c:pt idx="5">
                  <c:v>8483.6032258064515</c:v>
                </c:pt>
              </c:numCache>
            </c:numRef>
          </c:yVal>
          <c:smooth val="0"/>
          <c:extLst>
            <c:ext xmlns:c16="http://schemas.microsoft.com/office/drawing/2014/chart" uri="{C3380CC4-5D6E-409C-BE32-E72D297353CC}">
              <c16:uniqueId val="{00000001-70F9-4032-9031-A4701696B8AB}"/>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'2 EF25 P40'!$O$6</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'2 EF25 P40'!$L$8:$L$12</c:f>
              <c:numCache>
                <c:formatCode>0.0E+00</c:formatCode>
                <c:ptCount val="5"/>
                <c:pt idx="0">
                  <c:v>13956.982843137257</c:v>
                </c:pt>
                <c:pt idx="1">
                  <c:v>20736.088795518212</c:v>
                </c:pt>
                <c:pt idx="2">
                  <c:v>26717.652871148461</c:v>
                </c:pt>
                <c:pt idx="3">
                  <c:v>32300.446008403367</c:v>
                </c:pt>
                <c:pt idx="4">
                  <c:v>38282.010084033616</c:v>
                </c:pt>
              </c:numCache>
            </c:numRef>
          </c:xVal>
          <c:yVal>
            <c:numRef>
              <c:f>'2 EF25 P40'!$O$8:$O$12</c:f>
              <c:numCache>
                <c:formatCode>0.000</c:formatCode>
                <c:ptCount val="5"/>
                <c:pt idx="0">
                  <c:v>1.6084434927689423E-2</c:v>
                </c:pt>
                <c:pt idx="1">
                  <c:v>1.7326506922180695E-2</c:v>
                </c:pt>
                <c:pt idx="2">
                  <c:v>1.7382839789525102E-2</c:v>
                </c:pt>
                <c:pt idx="3">
                  <c:v>1.5437805926112678E-2</c:v>
                </c:pt>
                <c:pt idx="4">
                  <c:v>1.1614619338794496E-2</c:v>
                </c:pt>
              </c:numCache>
            </c:numRef>
          </c:yVal>
          <c:smooth val="0"/>
          <c:extLst>
            <c:ext xmlns:c16="http://schemas.microsoft.com/office/drawing/2014/chart" uri="{C3380CC4-5D6E-409C-BE32-E72D297353CC}">
              <c16:uniqueId val="{00000001-CBAF-4F1C-83C0-BDCA83F31A84}"/>
            </c:ext>
          </c:extLst>
        </c:ser>
        <c:ser>
          <c:idx val="1"/>
          <c:order val="1"/>
          <c:tx>
            <c:strRef>
              <c:f>'2 EF25 P40'!$T$6</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P40'!$S$8:$S$32</c:f>
              <c:numCache>
                <c:formatCode>0.00000</c:formatCode>
                <c:ptCount val="25"/>
                <c:pt idx="0">
                  <c:v>1435.5742296918768</c:v>
                </c:pt>
                <c:pt idx="1">
                  <c:v>2871.1484593837536</c:v>
                </c:pt>
                <c:pt idx="2">
                  <c:v>4306.7226890756301</c:v>
                </c:pt>
                <c:pt idx="3">
                  <c:v>5742.2969187675071</c:v>
                </c:pt>
                <c:pt idx="4">
                  <c:v>7177.8711484593841</c:v>
                </c:pt>
                <c:pt idx="5">
                  <c:v>8613.4453781512602</c:v>
                </c:pt>
                <c:pt idx="6">
                  <c:v>10049.019607843138</c:v>
                </c:pt>
                <c:pt idx="7">
                  <c:v>11484.593837535014</c:v>
                </c:pt>
                <c:pt idx="8">
                  <c:v>12920.168067226892</c:v>
                </c:pt>
                <c:pt idx="9">
                  <c:v>14355.742296918768</c:v>
                </c:pt>
                <c:pt idx="10">
                  <c:v>15791.316526610646</c:v>
                </c:pt>
                <c:pt idx="11">
                  <c:v>17226.89075630252</c:v>
                </c:pt>
                <c:pt idx="12">
                  <c:v>18662.4649859944</c:v>
                </c:pt>
                <c:pt idx="13">
                  <c:v>20098.039215686276</c:v>
                </c:pt>
                <c:pt idx="14">
                  <c:v>21533.613445378152</c:v>
                </c:pt>
                <c:pt idx="15">
                  <c:v>22969.187675070028</c:v>
                </c:pt>
                <c:pt idx="16">
                  <c:v>24404.761904761905</c:v>
                </c:pt>
                <c:pt idx="17">
                  <c:v>25840.336134453784</c:v>
                </c:pt>
                <c:pt idx="18">
                  <c:v>27275.91036414566</c:v>
                </c:pt>
                <c:pt idx="19">
                  <c:v>28711.484593837537</c:v>
                </c:pt>
                <c:pt idx="20">
                  <c:v>30147.058823529416</c:v>
                </c:pt>
                <c:pt idx="21">
                  <c:v>31582.633053221292</c:v>
                </c:pt>
                <c:pt idx="22">
                  <c:v>33018.207282913165</c:v>
                </c:pt>
                <c:pt idx="23">
                  <c:v>34453.781512605041</c:v>
                </c:pt>
                <c:pt idx="24">
                  <c:v>35889.355742296917</c:v>
                </c:pt>
              </c:numCache>
            </c:numRef>
          </c:xVal>
          <c:yVal>
            <c:numRef>
              <c:f>'2 EF25 P40'!$U$8:$U$32</c:f>
              <c:numCache>
                <c:formatCode>0.00000</c:formatCode>
                <c:ptCount val="25"/>
                <c:pt idx="0">
                  <c:v>1.2850501305993444E-2</c:v>
                </c:pt>
                <c:pt idx="1">
                  <c:v>1.0805940482423067E-2</c:v>
                </c:pt>
                <c:pt idx="2">
                  <c:v>9.7642694708062177E-3</c:v>
                </c:pt>
                <c:pt idx="3">
                  <c:v>9.0866766151145497E-3</c:v>
                </c:pt>
                <c:pt idx="4">
                  <c:v>8.5936481624699669E-3</c:v>
                </c:pt>
                <c:pt idx="5">
                  <c:v>8.2107391955722319E-3</c:v>
                </c:pt>
                <c:pt idx="6">
                  <c:v>7.9003359624095198E-3</c:v>
                </c:pt>
                <c:pt idx="7">
                  <c:v>7.6409537922195814E-3</c:v>
                </c:pt>
                <c:pt idx="8">
                  <c:v>7.4192403882369553E-3</c:v>
                </c:pt>
                <c:pt idx="9">
                  <c:v>7.2263679337726677E-3</c:v>
                </c:pt>
                <c:pt idx="10">
                  <c:v>7.0562165224380691E-3</c:v>
                </c:pt>
                <c:pt idx="11">
                  <c:v>6.9043811561398574E-3</c:v>
                </c:pt>
                <c:pt idx="12">
                  <c:v>6.7675929918286758E-3</c:v>
                </c:pt>
                <c:pt idx="13">
                  <c:v>6.6433641900901707E-3</c:v>
                </c:pt>
                <c:pt idx="14">
                  <c:v>6.5297605437789142E-3</c:v>
                </c:pt>
                <c:pt idx="15">
                  <c:v>6.4252506529967222E-3</c:v>
                </c:pt>
                <c:pt idx="16">
                  <c:v>6.3286028101997415E-3</c:v>
                </c:pt>
                <c:pt idx="17">
                  <c:v>6.2388126463740331E-3</c:v>
                </c:pt>
                <c:pt idx="18">
                  <c:v>6.155051199299072E-3</c:v>
                </c:pt>
                <c:pt idx="19">
                  <c:v>6.076626890813828E-3</c:v>
                </c:pt>
                <c:pt idx="20">
                  <c:v>6.0029571928753725E-3</c:v>
                </c:pt>
                <c:pt idx="21">
                  <c:v>5.9335471789722033E-3</c:v>
                </c:pt>
                <c:pt idx="22">
                  <c:v>5.8679730568864759E-3</c:v>
                </c:pt>
                <c:pt idx="23">
                  <c:v>5.8058693637433037E-3</c:v>
                </c:pt>
                <c:pt idx="24">
                  <c:v>5.7469188930302333E-3</c:v>
                </c:pt>
              </c:numCache>
            </c:numRef>
          </c:yVal>
          <c:smooth val="0"/>
          <c:extLst>
            <c:ext xmlns:c16="http://schemas.microsoft.com/office/drawing/2014/chart" uri="{C3380CC4-5D6E-409C-BE32-E72D297353CC}">
              <c16:uniqueId val="{00000003-CBAF-4F1C-83C0-BDCA83F31A84}"/>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2.3775814430963119E-2"/>
                  <c:y val="-6.660319138905476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P40'!$L$8:$L$13</c:f>
              <c:numCache>
                <c:formatCode>0.0E+00</c:formatCode>
                <c:ptCount val="6"/>
                <c:pt idx="0">
                  <c:v>13956.982843137257</c:v>
                </c:pt>
                <c:pt idx="1">
                  <c:v>20736.088795518212</c:v>
                </c:pt>
                <c:pt idx="2">
                  <c:v>26717.652871148461</c:v>
                </c:pt>
                <c:pt idx="3">
                  <c:v>32300.446008403367</c:v>
                </c:pt>
                <c:pt idx="4">
                  <c:v>38282.010084033616</c:v>
                </c:pt>
                <c:pt idx="5">
                  <c:v>0</c:v>
                </c:pt>
              </c:numCache>
            </c:numRef>
          </c:xVal>
          <c:yVal>
            <c:numRef>
              <c:f>'2 EF25 P40'!$I$8:$I$13</c:f>
              <c:numCache>
                <c:formatCode>General</c:formatCode>
                <c:ptCount val="6"/>
                <c:pt idx="0">
                  <c:v>1.5616179723502304</c:v>
                </c:pt>
                <c:pt idx="1">
                  <c:v>3.71321935483871</c:v>
                </c:pt>
                <c:pt idx="2">
                  <c:v>6.1844806451612895</c:v>
                </c:pt>
                <c:pt idx="3">
                  <c:v>8.0276516129032256</c:v>
                </c:pt>
                <c:pt idx="4">
                  <c:v>8.4836032258064513</c:v>
                </c:pt>
              </c:numCache>
            </c:numRef>
          </c:yVal>
          <c:smooth val="0"/>
          <c:extLst>
            <c:ext xmlns:c16="http://schemas.microsoft.com/office/drawing/2014/chart" uri="{C3380CC4-5D6E-409C-BE32-E72D297353CC}">
              <c16:uniqueId val="{00000001-536B-41C9-B46D-BD3046132B70}"/>
            </c:ext>
          </c:extLst>
        </c:ser>
        <c:dLbls>
          <c:showLegendKey val="0"/>
          <c:showVal val="0"/>
          <c:showCatName val="0"/>
          <c:showSerName val="0"/>
          <c:showPercent val="0"/>
          <c:showBubbleSize val="0"/>
        </c:dLbls>
        <c:axId val="316297167"/>
        <c:axId val="475166127"/>
      </c:scatterChart>
      <c:valAx>
        <c:axId val="316297167"/>
        <c:scaling>
          <c:orientation val="minMax"/>
        </c:scaling>
        <c:delete val="0"/>
        <c:axPos val="b"/>
        <c:majorGridlines>
          <c:spPr>
            <a:ln w="9525" cap="flat" cmpd="sng" algn="ctr">
              <a:solidFill>
                <a:schemeClr val="tx1">
                  <a:lumMod val="15000"/>
                  <a:lumOff val="85000"/>
                </a:schemeClr>
              </a:solidFill>
              <a:round/>
            </a:ln>
            <a:effectLst/>
          </c:spPr>
        </c:majorGridlines>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166127"/>
        <c:crosses val="autoZero"/>
        <c:crossBetween val="midCat"/>
      </c:valAx>
      <c:valAx>
        <c:axId val="4751661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629716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Re vs u</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trendline>
            <c:spPr>
              <a:ln w="19050" cap="rnd">
                <a:solidFill>
                  <a:schemeClr val="accent1"/>
                </a:solidFill>
                <a:prstDash val="sysDot"/>
              </a:ln>
              <a:effectLst/>
            </c:spPr>
            <c:trendlineType val="linear"/>
            <c:dispRSqr val="0"/>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P40'!$L$9:$L$13</c:f>
              <c:numCache>
                <c:formatCode>0.0E+00</c:formatCode>
                <c:ptCount val="5"/>
                <c:pt idx="0">
                  <c:v>20736.088795518212</c:v>
                </c:pt>
                <c:pt idx="1">
                  <c:v>26717.652871148461</c:v>
                </c:pt>
                <c:pt idx="2">
                  <c:v>32300.446008403367</c:v>
                </c:pt>
                <c:pt idx="3">
                  <c:v>38282.010084033616</c:v>
                </c:pt>
                <c:pt idx="4">
                  <c:v>0</c:v>
                </c:pt>
              </c:numCache>
            </c:numRef>
          </c:xVal>
          <c:yVal>
            <c:numRef>
              <c:f>'2 EF25 P40'!$F$9:$F$13</c:f>
              <c:numCache>
                <c:formatCode>0.00</c:formatCode>
                <c:ptCount val="5"/>
                <c:pt idx="0">
                  <c:v>1.4444456000000001</c:v>
                </c:pt>
                <c:pt idx="1">
                  <c:v>1.8611126</c:v>
                </c:pt>
                <c:pt idx="2">
                  <c:v>2.2500018000000002</c:v>
                </c:pt>
                <c:pt idx="3">
                  <c:v>2.6666688000000001</c:v>
                </c:pt>
                <c:pt idx="4">
                  <c:v>0</c:v>
                </c:pt>
              </c:numCache>
            </c:numRef>
          </c:yVal>
          <c:smooth val="0"/>
          <c:extLst>
            <c:ext xmlns:c16="http://schemas.microsoft.com/office/drawing/2014/chart" uri="{C3380CC4-5D6E-409C-BE32-E72D297353CC}">
              <c16:uniqueId val="{00000002-72CB-4588-89C3-1AEDC110CB35}"/>
            </c:ext>
          </c:extLst>
        </c:ser>
        <c:dLbls>
          <c:showLegendKey val="0"/>
          <c:showVal val="0"/>
          <c:showCatName val="0"/>
          <c:showSerName val="0"/>
          <c:showPercent val="0"/>
          <c:showBubbleSize val="0"/>
        </c:dLbls>
        <c:axId val="316297167"/>
        <c:axId val="475166127"/>
      </c:scatterChart>
      <c:valAx>
        <c:axId val="316297167"/>
        <c:scaling>
          <c:orientation val="minMax"/>
        </c:scaling>
        <c:delete val="0"/>
        <c:axPos val="b"/>
        <c:majorGridlines>
          <c:spPr>
            <a:ln w="9525" cap="flat" cmpd="sng" algn="ctr">
              <a:solidFill>
                <a:schemeClr val="tx1">
                  <a:lumMod val="15000"/>
                  <a:lumOff val="85000"/>
                </a:schemeClr>
              </a:solidFill>
              <a:round/>
            </a:ln>
            <a:effectLst/>
          </c:spPr>
        </c:majorGridlines>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166127"/>
        <c:crosses val="autoZero"/>
        <c:crossBetween val="midCat"/>
      </c:valAx>
      <c:valAx>
        <c:axId val="4751661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629716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08598608118161"/>
          <c:y val="4.3763676148796497E-2"/>
          <c:w val="0.82828789732495367"/>
          <c:h val="0.77957705555355417"/>
        </c:manualLayout>
      </c:layout>
      <c:scatterChart>
        <c:scatterStyle val="lineMarker"/>
        <c:varyColors val="0"/>
        <c:ser>
          <c:idx val="0"/>
          <c:order val="0"/>
          <c:tx>
            <c:v>Area Loading</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1"/>
            <c:dispEq val="1"/>
            <c:trendlineLbl>
              <c:layout>
                <c:manualLayout>
                  <c:x val="8.5529773927890906E-2"/>
                  <c:y val="3.25051990539662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P40'!$L$9:$L$13</c:f>
              <c:numCache>
                <c:formatCode>0.0E+00</c:formatCode>
                <c:ptCount val="5"/>
                <c:pt idx="0">
                  <c:v>20736.088795518212</c:v>
                </c:pt>
                <c:pt idx="1">
                  <c:v>26717.652871148461</c:v>
                </c:pt>
                <c:pt idx="2">
                  <c:v>32300.446008403367</c:v>
                </c:pt>
                <c:pt idx="3">
                  <c:v>38282.010084033616</c:v>
                </c:pt>
                <c:pt idx="4">
                  <c:v>0</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5-CB2F-4458-8C6F-33EF9D5F56E8}"/>
            </c:ext>
          </c:extLst>
        </c:ser>
        <c:ser>
          <c:idx val="1"/>
          <c:order val="1"/>
          <c:tx>
            <c:v>Perimeter Loading</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1"/>
            <c:dispEq val="1"/>
            <c:trendlineLbl>
              <c:layout>
                <c:manualLayout>
                  <c:x val="6.3051450244787866E-2"/>
                  <c:y val="6.463679239967798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P40'!$L$9:$L$13</c:f>
              <c:numCache>
                <c:formatCode>0.0E+00</c:formatCode>
                <c:ptCount val="5"/>
                <c:pt idx="0">
                  <c:v>20736.088795518212</c:v>
                </c:pt>
                <c:pt idx="1">
                  <c:v>26717.652871148461</c:v>
                </c:pt>
                <c:pt idx="2">
                  <c:v>32300.446008403367</c:v>
                </c:pt>
                <c:pt idx="3">
                  <c:v>38282.010084033616</c:v>
                </c:pt>
                <c:pt idx="4">
                  <c:v>0</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7-CB2F-4458-8C6F-33EF9D5F56E8}"/>
            </c:ext>
          </c:extLst>
        </c:ser>
        <c:ser>
          <c:idx val="2"/>
          <c:order val="2"/>
          <c:tx>
            <c:v>Elongation Loading</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1"/>
            <c:dispEq val="1"/>
            <c:trendlineLbl>
              <c:layout>
                <c:manualLayout>
                  <c:x val="8.1408721028838948E-2"/>
                  <c:y val="-0.4480664706827612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P40'!$L$9:$L$13</c:f>
              <c:numCache>
                <c:formatCode>0.0E+00</c:formatCode>
                <c:ptCount val="5"/>
                <c:pt idx="0">
                  <c:v>20736.088795518212</c:v>
                </c:pt>
                <c:pt idx="1">
                  <c:v>26717.652871148461</c:v>
                </c:pt>
                <c:pt idx="2">
                  <c:v>32300.446008403367</c:v>
                </c:pt>
                <c:pt idx="3">
                  <c:v>38282.010084033616</c:v>
                </c:pt>
                <c:pt idx="4">
                  <c:v>0</c:v>
                </c:pt>
              </c:numCache>
            </c:numRef>
          </c:xVal>
          <c:yVal>
            <c:numRef>
              <c:f>'2 EF25 P40'!#REF!</c:f>
              <c:numCache>
                <c:formatCode>General</c:formatCode>
                <c:ptCount val="1"/>
                <c:pt idx="0">
                  <c:v>1</c:v>
                </c:pt>
              </c:numCache>
            </c:numRef>
          </c:yVal>
          <c:smooth val="0"/>
          <c:extLst>
            <c:ext xmlns:c16="http://schemas.microsoft.com/office/drawing/2014/chart" uri="{C3380CC4-5D6E-409C-BE32-E72D297353CC}">
              <c16:uniqueId val="{00000001-CB2F-4458-8C6F-33EF9D5F56E8}"/>
            </c:ext>
          </c:extLst>
        </c:ser>
        <c:ser>
          <c:idx val="3"/>
          <c:order val="3"/>
          <c:tx>
            <c:v>Area Unloading</c:v>
          </c:tx>
          <c:spPr>
            <a:ln w="25400" cap="rnd">
              <a:noFill/>
              <a:round/>
            </a:ln>
            <a:effectLst/>
          </c:spPr>
          <c:marker>
            <c:symbol val="circle"/>
            <c:size val="5"/>
            <c:spPr>
              <a:solidFill>
                <a:schemeClr val="accent4"/>
              </a:solidFill>
              <a:ln w="9525">
                <a:solidFill>
                  <a:schemeClr val="accent4"/>
                </a:solidFill>
              </a:ln>
              <a:effectLst/>
            </c:spPr>
          </c:marker>
          <c:xVal>
            <c:numRef>
              <c:f>'2 EF25 P40'!$L$14:$L$19</c:f>
              <c:numCache>
                <c:formatCode>0.0E+00</c:formatCode>
                <c:ptCount val="6"/>
                <c:pt idx="0">
                  <c:v>0</c:v>
                </c:pt>
                <c:pt idx="1">
                  <c:v>0</c:v>
                </c:pt>
                <c:pt idx="2">
                  <c:v>31901.675070028017</c:v>
                </c:pt>
                <c:pt idx="3">
                  <c:v>25920.110994397761</c:v>
                </c:pt>
                <c:pt idx="4">
                  <c:v>20337.317857142862</c:v>
                </c:pt>
                <c:pt idx="5">
                  <c:v>14355.753781512605</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8-CB2F-4458-8C6F-33EF9D5F56E8}"/>
            </c:ext>
          </c:extLst>
        </c:ser>
        <c:ser>
          <c:idx val="4"/>
          <c:order val="4"/>
          <c:tx>
            <c:v>Perimeter Unloading</c:v>
          </c:tx>
          <c:spPr>
            <a:ln w="25400" cap="rnd">
              <a:noFill/>
              <a:round/>
            </a:ln>
            <a:effectLst/>
          </c:spPr>
          <c:marker>
            <c:symbol val="circle"/>
            <c:size val="5"/>
            <c:spPr>
              <a:solidFill>
                <a:schemeClr val="accent5"/>
              </a:solidFill>
              <a:ln w="9525">
                <a:solidFill>
                  <a:schemeClr val="accent5"/>
                </a:solidFill>
              </a:ln>
              <a:effectLst/>
            </c:spPr>
          </c:marker>
          <c:xVal>
            <c:numRef>
              <c:f>'2 EF25 P40'!$L$14:$L$19</c:f>
              <c:numCache>
                <c:formatCode>0.0E+00</c:formatCode>
                <c:ptCount val="6"/>
                <c:pt idx="0">
                  <c:v>0</c:v>
                </c:pt>
                <c:pt idx="1">
                  <c:v>0</c:v>
                </c:pt>
                <c:pt idx="2">
                  <c:v>31901.675070028017</c:v>
                </c:pt>
                <c:pt idx="3">
                  <c:v>25920.110994397761</c:v>
                </c:pt>
                <c:pt idx="4">
                  <c:v>20337.317857142862</c:v>
                </c:pt>
                <c:pt idx="5">
                  <c:v>14355.753781512605</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9-CB2F-4458-8C6F-33EF9D5F56E8}"/>
            </c:ext>
          </c:extLst>
        </c:ser>
        <c:ser>
          <c:idx val="5"/>
          <c:order val="5"/>
          <c:tx>
            <c:v>Elongation Unloading</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1"/>
            <c:dispEq val="1"/>
            <c:trendlineLbl>
              <c:layout>
                <c:manualLayout>
                  <c:x val="-0.42601223288423129"/>
                  <c:y val="3.810721138849240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P40'!$L$14:$L$19</c:f>
              <c:numCache>
                <c:formatCode>0.0E+00</c:formatCode>
                <c:ptCount val="6"/>
                <c:pt idx="0">
                  <c:v>0</c:v>
                </c:pt>
                <c:pt idx="1">
                  <c:v>0</c:v>
                </c:pt>
                <c:pt idx="2">
                  <c:v>31901.675070028017</c:v>
                </c:pt>
                <c:pt idx="3">
                  <c:v>25920.110994397761</c:v>
                </c:pt>
                <c:pt idx="4">
                  <c:v>20337.317857142862</c:v>
                </c:pt>
                <c:pt idx="5">
                  <c:v>14355.753781512605</c:v>
                </c:pt>
              </c:numCache>
            </c:numRef>
          </c:xVal>
          <c:yVal>
            <c:numRef>
              <c:f>'2 EF25 P40'!#REF!</c:f>
              <c:numCache>
                <c:formatCode>General</c:formatCode>
                <c:ptCount val="1"/>
                <c:pt idx="0">
                  <c:v>1</c:v>
                </c:pt>
              </c:numCache>
            </c:numRef>
          </c:yVal>
          <c:smooth val="0"/>
          <c:extLst>
            <c:ext xmlns:c16="http://schemas.microsoft.com/office/drawing/2014/chart" uri="{C3380CC4-5D6E-409C-BE32-E72D297353CC}">
              <c16:uniqueId val="{00000003-CB2F-4458-8C6F-33EF9D5F56E8}"/>
            </c:ext>
          </c:extLst>
        </c:ser>
        <c:dLbls>
          <c:showLegendKey val="0"/>
          <c:showVal val="0"/>
          <c:showCatName val="0"/>
          <c:showSerName val="0"/>
          <c:showPercent val="0"/>
          <c:showBubbleSize val="0"/>
        </c:dLbls>
        <c:axId val="1172848367"/>
        <c:axId val="1448508735"/>
        <c:extLst/>
      </c:scatterChart>
      <c:valAx>
        <c:axId val="11728483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8508735"/>
        <c:crosses val="autoZero"/>
        <c:crossBetween val="midCat"/>
      </c:valAx>
      <c:valAx>
        <c:axId val="1448508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Elongation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84836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5032109169069633E-2"/>
          <c:y val="1.945556828191353E-2"/>
          <c:w val="0.76928707979858169"/>
          <c:h val="0.91315095555561809"/>
        </c:manualLayout>
      </c:layout>
      <c:scatterChart>
        <c:scatterStyle val="lineMarker"/>
        <c:varyColors val="0"/>
        <c:ser>
          <c:idx val="11"/>
          <c:order val="3"/>
          <c:tx>
            <c:v>Filler Smooth</c:v>
          </c:tx>
          <c:spPr>
            <a:ln w="25400" cap="rnd">
              <a:noFill/>
              <a:round/>
            </a:ln>
            <a:effectLst/>
          </c:spPr>
          <c:marker>
            <c:symbol val="triangle"/>
            <c:size val="5"/>
            <c:spPr>
              <a:solidFill>
                <a:schemeClr val="tx1">
                  <a:lumMod val="65000"/>
                  <a:lumOff val="35000"/>
                </a:schemeClr>
              </a:solidFill>
              <a:ln w="9525">
                <a:solidFill>
                  <a:schemeClr val="tx1">
                    <a:lumMod val="75000"/>
                    <a:lumOff val="25000"/>
                  </a:schemeClr>
                </a:solidFill>
              </a:ln>
              <a:effectLst/>
            </c:spPr>
          </c:marker>
          <c:xVal>
            <c:numRef>
              <c:f>'EF25 flat AVGS'!$L$8:$L$12</c:f>
              <c:numCache>
                <c:formatCode>0.0E+00</c:formatCode>
                <c:ptCount val="5"/>
                <c:pt idx="0">
                  <c:v>24203.089020070838</c:v>
                </c:pt>
                <c:pt idx="1">
                  <c:v>30702.066627312077</c:v>
                </c:pt>
                <c:pt idx="2">
                  <c:v>38097.454939000396</c:v>
                </c:pt>
                <c:pt idx="3">
                  <c:v>45268.740574576928</c:v>
                </c:pt>
                <c:pt idx="4">
                  <c:v>51991.820857929946</c:v>
                </c:pt>
              </c:numCache>
              <c:extLst xmlns:c15="http://schemas.microsoft.com/office/drawing/2012/chart"/>
            </c:numRef>
          </c:xVal>
          <c:yVal>
            <c:numRef>
              <c:f>'EF25 flat AVGS'!$O$8:$O$12</c:f>
              <c:numCache>
                <c:formatCode>0.000</c:formatCode>
                <c:ptCount val="5"/>
                <c:pt idx="0">
                  <c:v>7.4776636450018044E-3</c:v>
                </c:pt>
                <c:pt idx="1">
                  <c:v>7.2481135651974752E-3</c:v>
                </c:pt>
                <c:pt idx="2">
                  <c:v>6.9796046123650861E-3</c:v>
                </c:pt>
                <c:pt idx="3">
                  <c:v>6.7045059317648341E-3</c:v>
                </c:pt>
                <c:pt idx="4">
                  <c:v>6.4920279779756753E-3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B-D706-4BA2-8481-2C05970AC973}"/>
            </c:ext>
          </c:extLst>
        </c:ser>
        <c:ser>
          <c:idx val="6"/>
          <c:order val="4"/>
          <c:tx>
            <c:v>Filler P240</c:v>
          </c:tx>
          <c:spPr>
            <a:ln w="25400" cap="rnd">
              <a:noFill/>
              <a:round/>
            </a:ln>
            <a:effectLst/>
          </c:spPr>
          <c:marker>
            <c:symbol val="square"/>
            <c:size val="5"/>
            <c:spPr>
              <a:solidFill>
                <a:schemeClr val="dk1">
                  <a:tint val="80000"/>
                </a:schemeClr>
              </a:solidFill>
              <a:ln w="9525">
                <a:solidFill>
                  <a:schemeClr val="dk1">
                    <a:tint val="80000"/>
                  </a:schemeClr>
                </a:solidFill>
              </a:ln>
              <a:effectLst/>
            </c:spPr>
          </c:marker>
          <c:xVal>
            <c:numRef>
              <c:f>'EF25 P240 AVGS'!$L$8:$L$12</c:f>
              <c:numCache>
                <c:formatCode>0.0E+00</c:formatCode>
                <c:ptCount val="5"/>
                <c:pt idx="0">
                  <c:v>24959.435551948049</c:v>
                </c:pt>
                <c:pt idx="1">
                  <c:v>32971.106222943716</c:v>
                </c:pt>
                <c:pt idx="2">
                  <c:v>40212.423944805189</c:v>
                </c:pt>
                <c:pt idx="3">
                  <c:v>46837.459307359313</c:v>
                </c:pt>
                <c:pt idx="4">
                  <c:v>51767.718181818185</c:v>
                </c:pt>
              </c:numCache>
              <c:extLst xmlns:c15="http://schemas.microsoft.com/office/drawing/2012/chart"/>
            </c:numRef>
          </c:xVal>
          <c:yVal>
            <c:numRef>
              <c:f>'EF25 P240 AVGS'!$O$8:$O$12</c:f>
              <c:numCache>
                <c:formatCode>0.000</c:formatCode>
                <c:ptCount val="5"/>
                <c:pt idx="0">
                  <c:v>8.2918058912631841E-3</c:v>
                </c:pt>
                <c:pt idx="1">
                  <c:v>8.0103373727871859E-3</c:v>
                </c:pt>
                <c:pt idx="2">
                  <c:v>7.8994868078460165E-3</c:v>
                </c:pt>
                <c:pt idx="3">
                  <c:v>7.1540356801380782E-3</c:v>
                </c:pt>
                <c:pt idx="4">
                  <c:v>6.1201523299938771E-3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D-D706-4BA2-8481-2C05970AC973}"/>
            </c:ext>
          </c:extLst>
        </c:ser>
        <c:ser>
          <c:idx val="3"/>
          <c:order val="5"/>
          <c:tx>
            <c:v>Filler P80</c:v>
          </c:tx>
          <c:spPr>
            <a:ln w="25400" cap="rnd">
              <a:noFill/>
              <a:round/>
            </a:ln>
            <a:effectLst/>
          </c:spPr>
          <c:marker>
            <c:symbol val="circle"/>
            <c:size val="5"/>
            <c:spPr>
              <a:solidFill>
                <a:schemeClr val="dk1">
                  <a:tint val="98500"/>
                </a:schemeClr>
              </a:solidFill>
              <a:ln w="9525">
                <a:solidFill>
                  <a:schemeClr val="dk1">
                    <a:tint val="98500"/>
                  </a:schemeClr>
                </a:solidFill>
              </a:ln>
              <a:effectLst/>
            </c:spPr>
          </c:marker>
          <c:xVal>
            <c:numRef>
              <c:f>'EF25 P80 AVGS'!$M$8:$M$12</c:f>
              <c:numCache>
                <c:formatCode>0.0E+00</c:formatCode>
                <c:ptCount val="5"/>
                <c:pt idx="0">
                  <c:v>23135.899487723014</c:v>
                </c:pt>
                <c:pt idx="1">
                  <c:v>30320.96144043202</c:v>
                </c:pt>
                <c:pt idx="2">
                  <c:v>36500.114719761768</c:v>
                </c:pt>
                <c:pt idx="3">
                  <c:v>43254.072955308235</c:v>
                </c:pt>
                <c:pt idx="4">
                  <c:v>49002.122517475444</c:v>
                </c:pt>
              </c:numCache>
              <c:extLst xmlns:c15="http://schemas.microsoft.com/office/drawing/2012/chart"/>
            </c:numRef>
          </c:xVal>
          <c:yVal>
            <c:numRef>
              <c:f>'EF25 P80 AVGS'!$P$8:$P$12</c:f>
              <c:numCache>
                <c:formatCode>0.000</c:formatCode>
                <c:ptCount val="5"/>
                <c:pt idx="0">
                  <c:v>1.1156585428062358E-2</c:v>
                </c:pt>
                <c:pt idx="1">
                  <c:v>1.0682836246979188E-2</c:v>
                </c:pt>
                <c:pt idx="2">
                  <c:v>1.042866723901972E-2</c:v>
                </c:pt>
                <c:pt idx="3">
                  <c:v>9.6013458520381265E-3</c:v>
                </c:pt>
                <c:pt idx="4">
                  <c:v>8.3077964975756102E-3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F-D706-4BA2-8481-2C05970AC973}"/>
            </c:ext>
          </c:extLst>
        </c:ser>
        <c:ser>
          <c:idx val="0"/>
          <c:order val="6"/>
          <c:tx>
            <c:v>Filler P40</c:v>
          </c:tx>
          <c:spPr>
            <a:ln w="25400" cap="rnd">
              <a:noFill/>
              <a:round/>
            </a:ln>
            <a:effectLst/>
          </c:spPr>
          <c:marker>
            <c:symbol val="dash"/>
            <c:size val="5"/>
            <c:spPr>
              <a:solidFill>
                <a:schemeClr val="dk1">
                  <a:tint val="88500"/>
                </a:schemeClr>
              </a:solidFill>
              <a:ln w="9525">
                <a:solidFill>
                  <a:schemeClr val="dk1">
                    <a:tint val="88500"/>
                  </a:schemeClr>
                </a:solidFill>
              </a:ln>
              <a:effectLst/>
            </c:spPr>
          </c:marker>
          <c:xVal>
            <c:numRef>
              <c:f>'EF25 P40 AVGS'!$L$9:$L$13</c:f>
              <c:numCache>
                <c:formatCode>0.0E+00</c:formatCode>
                <c:ptCount val="5"/>
                <c:pt idx="0">
                  <c:v>21722.522169394077</c:v>
                </c:pt>
                <c:pt idx="1">
                  <c:v>27809.02596564942</c:v>
                </c:pt>
                <c:pt idx="2">
                  <c:v>34000.469482529857</c:v>
                </c:pt>
                <c:pt idx="3">
                  <c:v>40017.013465035139</c:v>
                </c:pt>
                <c:pt idx="4">
                  <c:v>44494.441545039066</c:v>
                </c:pt>
              </c:numCache>
              <c:extLst xmlns:c15="http://schemas.microsoft.com/office/drawing/2012/chart"/>
            </c:numRef>
          </c:xVal>
          <c:yVal>
            <c:numRef>
              <c:f>'EF25 P40 AVGS'!$O$9:$O$13</c:f>
              <c:numCache>
                <c:formatCode>0.000</c:formatCode>
                <c:ptCount val="5"/>
                <c:pt idx="0">
                  <c:v>1.512538070955566E-2</c:v>
                </c:pt>
                <c:pt idx="1">
                  <c:v>1.5215090833516069E-2</c:v>
                </c:pt>
                <c:pt idx="2">
                  <c:v>1.3945610093808108E-2</c:v>
                </c:pt>
                <c:pt idx="3">
                  <c:v>1.0595984233301277E-2</c:v>
                </c:pt>
                <c:pt idx="4">
                  <c:v>8.6969785125901831E-3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0-D706-4BA2-8481-2C05970AC973}"/>
            </c:ext>
          </c:extLst>
        </c:ser>
        <c:dLbls>
          <c:showLegendKey val="0"/>
          <c:showVal val="0"/>
          <c:showCatName val="0"/>
          <c:showSerName val="0"/>
          <c:showPercent val="0"/>
          <c:showBubbleSize val="0"/>
        </c:dLbls>
        <c:axId val="727497488"/>
        <c:axId val="727498144"/>
        <c:extLst>
          <c:ext xmlns:c15="http://schemas.microsoft.com/office/drawing/2012/chart" uri="{02D57815-91ED-43cb-92C2-25804820EDAC}">
            <c15:filteredScatterSeries>
              <c15:ser>
                <c:idx val="9"/>
                <c:order val="0"/>
                <c:tx>
                  <c:v>PVC Smooth</c:v>
                </c:tx>
                <c:spPr>
                  <a:ln w="25400" cap="rnd">
                    <a:noFill/>
                    <a:round/>
                  </a:ln>
                  <a:effectLst/>
                </c:spPr>
                <c:marker>
                  <c:symbol val="triangle"/>
                  <c:size val="5"/>
                  <c:spPr>
                    <a:solidFill>
                      <a:schemeClr val="dk1">
                        <a:tint val="75000"/>
                      </a:schemeClr>
                    </a:solidFill>
                    <a:ln w="9525">
                      <a:solidFill>
                        <a:schemeClr val="dk1">
                          <a:tint val="75000"/>
                        </a:schemeClr>
                      </a:solidFill>
                    </a:ln>
                    <a:effectLst/>
                  </c:spPr>
                </c:marker>
                <c:trendline>
                  <c:spPr>
                    <a:ln w="19050" cap="rnd">
                      <a:solidFill>
                        <a:schemeClr val="dk1">
                          <a:tint val="75000"/>
                        </a:schemeClr>
                      </a:solidFill>
                      <a:prstDash val="sysDot"/>
                    </a:ln>
                    <a:effectLst/>
                  </c:spPr>
                  <c:trendlineType val="power"/>
                  <c:dispRSqr val="0"/>
                  <c:dispEq val="0"/>
                </c:trendline>
                <c:xVal>
                  <c:numRef>
                    <c:extLst>
                      <c:ext uri="{02D57815-91ED-43cb-92C2-25804820EDAC}">
                        <c15:formulaRef>
                          <c15:sqref>'PLAIN PANEL AVGS'!$L$8:$L$12</c15:sqref>
                        </c15:formulaRef>
                      </c:ext>
                    </c:extLst>
                    <c:numCache>
                      <c:formatCode>0.0E+00</c:formatCode>
                      <c:ptCount val="5"/>
                      <c:pt idx="0">
                        <c:v>25760.602619047622</c:v>
                      </c:pt>
                      <c:pt idx="1">
                        <c:v>31861.797976190479</c:v>
                      </c:pt>
                      <c:pt idx="2">
                        <c:v>39318.814523809524</c:v>
                      </c:pt>
                      <c:pt idx="3">
                        <c:v>45871.950277777782</c:v>
                      </c:pt>
                      <c:pt idx="4">
                        <c:v>52651.056230158734</c:v>
                      </c:pt>
                    </c:numCache>
                  </c:numRef>
                </c:xVal>
                <c:yVal>
                  <c:numRef>
                    <c:extLst>
                      <c:ext uri="{02D57815-91ED-43cb-92C2-25804820EDAC}">
                        <c15:formulaRef>
                          <c15:sqref>'PLAIN PANEL AVGS'!$O$8:$O$12</c15:sqref>
                        </c15:formulaRef>
                      </c:ext>
                    </c:extLst>
                    <c:numCache>
                      <c:formatCode>0.000</c:formatCode>
                      <c:ptCount val="5"/>
                      <c:pt idx="0">
                        <c:v>7.8546251968259328E-3</c:v>
                      </c:pt>
                      <c:pt idx="1">
                        <c:v>7.7415345859246877E-3</c:v>
                      </c:pt>
                      <c:pt idx="2">
                        <c:v>7.4983871209308439E-3</c:v>
                      </c:pt>
                      <c:pt idx="3">
                        <c:v>7.3294546557718847E-3</c:v>
                      </c:pt>
                      <c:pt idx="4">
                        <c:v>6.8598709171845025E-3</c:v>
                      </c:pt>
                    </c:numCache>
                  </c:numRef>
                </c:yVal>
                <c:smooth val="0"/>
                <c:extLst>
                  <c:ext xmlns:c16="http://schemas.microsoft.com/office/drawing/2014/chart" uri="{C3380CC4-5D6E-409C-BE32-E72D297353CC}">
                    <c16:uniqueId val="{00000005-D706-4BA2-8481-2C05970AC973}"/>
                  </c:ext>
                </c:extLst>
              </c15:ser>
            </c15:filteredScatterSeries>
            <c15:filteredScatterSeries>
              <c15:ser>
                <c:idx val="12"/>
                <c:order val="1"/>
                <c:tx>
                  <c:v>Sandpaper P240</c:v>
                </c:tx>
                <c:spPr>
                  <a:ln w="25400" cap="rnd">
                    <a:noFill/>
                    <a:round/>
                  </a:ln>
                  <a:effectLst/>
                </c:spPr>
                <c:marker>
                  <c:symbol val="square"/>
                  <c:size val="5"/>
                  <c:spPr>
                    <a:solidFill>
                      <a:schemeClr val="dk1">
                        <a:tint val="60000"/>
                      </a:schemeClr>
                    </a:solidFill>
                    <a:ln w="9525">
                      <a:solidFill>
                        <a:schemeClr val="dk1">
                          <a:tint val="60000"/>
                        </a:schemeClr>
                      </a:solidFill>
                    </a:ln>
                    <a:effectLst/>
                  </c:spPr>
                </c:marker>
                <c:trendline>
                  <c:spPr>
                    <a:ln w="19050" cap="rnd">
                      <a:solidFill>
                        <a:schemeClr val="dk1">
                          <a:tint val="60000"/>
                        </a:schemeClr>
                      </a:solidFill>
                      <a:prstDash val="sysDot"/>
                    </a:ln>
                    <a:effectLst/>
                  </c:spPr>
                  <c:trendlineType val="power"/>
                  <c:dispRSqr val="0"/>
                  <c:dispEq val="0"/>
                </c:trendline>
                <c:xVal>
                  <c:numRef>
                    <c:extLst xmlns:c15="http://schemas.microsoft.com/office/drawing/2012/chart">
                      <c:ext xmlns:c15="http://schemas.microsoft.com/office/drawing/2012/chart" uri="{02D57815-91ED-43cb-92C2-25804820EDAC}">
                        <c15:formulaRef>
                          <c15:sqref>'P240 sandpaper AVGS'!$L$8:$L$12</c15:sqref>
                        </c15:formulaRef>
                      </c:ext>
                    </c:extLst>
                    <c:numCache>
                      <c:formatCode>0.0E+00</c:formatCode>
                      <c:ptCount val="5"/>
                      <c:pt idx="0">
                        <c:v>25621.499581445525</c:v>
                      </c:pt>
                      <c:pt idx="1">
                        <c:v>32985.762934196326</c:v>
                      </c:pt>
                      <c:pt idx="2">
                        <c:v>40810.292746494059</c:v>
                      </c:pt>
                      <c:pt idx="3">
                        <c:v>46793.756720604091</c:v>
                      </c:pt>
                      <c:pt idx="4">
                        <c:v>53544.331460625675</c:v>
                      </c:pt>
                    </c:numCache>
                  </c:numRef>
                </c:xVal>
                <c:yVal>
                  <c:numRef>
                    <c:extLst xmlns:c15="http://schemas.microsoft.com/office/drawing/2012/chart">
                      <c:ext xmlns:c15="http://schemas.microsoft.com/office/drawing/2012/chart" uri="{02D57815-91ED-43cb-92C2-25804820EDAC}">
                        <c15:formulaRef>
                          <c15:sqref>'P240 sandpaper AVGS'!$O$8:$O$12</c15:sqref>
                        </c15:formulaRef>
                      </c:ext>
                    </c:extLst>
                    <c:numCache>
                      <c:formatCode>0.000</c:formatCode>
                      <c:ptCount val="5"/>
                      <c:pt idx="0">
                        <c:v>7.3768057355044943E-3</c:v>
                      </c:pt>
                      <c:pt idx="1">
                        <c:v>7.6045020159216286E-3</c:v>
                      </c:pt>
                      <c:pt idx="2">
                        <c:v>7.6823078619262667E-3</c:v>
                      </c:pt>
                      <c:pt idx="3">
                        <c:v>7.8456121937399356E-3</c:v>
                      </c:pt>
                      <c:pt idx="4">
                        <c:v>7.5893012677243025E-3</c:v>
                      </c:pt>
                    </c:numCache>
                  </c:numRef>
                </c:yVal>
                <c:smooth val="0"/>
                <c:extLst xmlns:c15="http://schemas.microsoft.com/office/drawing/2012/chart">
                  <c:ext xmlns:c16="http://schemas.microsoft.com/office/drawing/2014/chart" uri="{C3380CC4-5D6E-409C-BE32-E72D297353CC}">
                    <c16:uniqueId val="{00000007-D706-4BA2-8481-2C05970AC973}"/>
                  </c:ext>
                </c:extLst>
              </c15:ser>
            </c15:filteredScatterSeries>
            <c15:filteredScatterSeries>
              <c15:ser>
                <c:idx val="4"/>
                <c:order val="2"/>
                <c:tx>
                  <c:v>Sandpaper P80</c:v>
                </c:tx>
                <c:spPr>
                  <a:ln w="25400" cap="rnd">
                    <a:noFill/>
                    <a:round/>
                  </a:ln>
                  <a:effectLst/>
                </c:spPr>
                <c:marker>
                  <c:symbol val="circle"/>
                  <c:size val="5"/>
                  <c:spPr>
                    <a:solidFill>
                      <a:schemeClr val="tx1">
                        <a:lumMod val="50000"/>
                        <a:lumOff val="50000"/>
                      </a:schemeClr>
                    </a:solidFill>
                    <a:ln w="9525">
                      <a:solidFill>
                        <a:schemeClr val="tx1">
                          <a:lumMod val="50000"/>
                          <a:lumOff val="50000"/>
                        </a:schemeClr>
                      </a:solidFill>
                    </a:ln>
                    <a:effectLst/>
                  </c:spPr>
                </c:marker>
                <c:trendline>
                  <c:spPr>
                    <a:ln w="19050" cap="rnd">
                      <a:solidFill>
                        <a:schemeClr val="tx1">
                          <a:lumMod val="50000"/>
                          <a:lumOff val="50000"/>
                        </a:schemeClr>
                      </a:solidFill>
                      <a:prstDash val="sysDot"/>
                    </a:ln>
                    <a:effectLst/>
                  </c:spPr>
                  <c:trendlineType val="power"/>
                  <c:dispRSqr val="0"/>
                  <c:dispEq val="0"/>
                </c:trendline>
                <c:xVal>
                  <c:numRef>
                    <c:extLst xmlns:c15="http://schemas.microsoft.com/office/drawing/2012/chart">
                      <c:ext xmlns:c15="http://schemas.microsoft.com/office/drawing/2012/chart" uri="{02D57815-91ED-43cb-92C2-25804820EDAC}">
                        <c15:formulaRef>
                          <c15:sqref>'P80 sandpaper AVGS'!$M$8:$M$12</c15:sqref>
                        </c15:formulaRef>
                      </c:ext>
                    </c:extLst>
                    <c:numCache>
                      <c:formatCode>0.0E+00</c:formatCode>
                      <c:ptCount val="5"/>
                      <c:pt idx="0">
                        <c:v>24348.721922902492</c:v>
                      </c:pt>
                      <c:pt idx="1">
                        <c:v>32249.962811791389</c:v>
                      </c:pt>
                      <c:pt idx="2">
                        <c:v>39183.704816326535</c:v>
                      </c:pt>
                      <c:pt idx="3">
                        <c:v>45956.197006802722</c:v>
                      </c:pt>
                      <c:pt idx="4">
                        <c:v>52486.814476190477</c:v>
                      </c:pt>
                    </c:numCache>
                  </c:numRef>
                </c:xVal>
                <c:yVal>
                  <c:numRef>
                    <c:extLst xmlns:c15="http://schemas.microsoft.com/office/drawing/2012/chart">
                      <c:ext xmlns:c15="http://schemas.microsoft.com/office/drawing/2012/chart" uri="{02D57815-91ED-43cb-92C2-25804820EDAC}">
                        <c15:formulaRef>
                          <c15:sqref>'P80 sandpaper AVGS'!$P$8:$P$12</c15:sqref>
                        </c15:formulaRef>
                      </c:ext>
                    </c:extLst>
                    <c:numCache>
                      <c:formatCode>0.000</c:formatCode>
                      <c:ptCount val="5"/>
                      <c:pt idx="0">
                        <c:v>1.2423623758869535E-2</c:v>
                      </c:pt>
                      <c:pt idx="1">
                        <c:v>1.256604135507821E-2</c:v>
                      </c:pt>
                      <c:pt idx="2">
                        <c:v>1.2688328481080976E-2</c:v>
                      </c:pt>
                      <c:pt idx="3">
                        <c:v>1.2236436649216273E-2</c:v>
                      </c:pt>
                      <c:pt idx="4">
                        <c:v>9.7314080436958095E-3</c:v>
                      </c:pt>
                    </c:numCache>
                  </c:numRef>
                </c:yVal>
                <c:smooth val="0"/>
                <c:extLst xmlns:c15="http://schemas.microsoft.com/office/drawing/2012/chart">
                  <c:ext xmlns:c16="http://schemas.microsoft.com/office/drawing/2014/chart" uri="{C3380CC4-5D6E-409C-BE32-E72D297353CC}">
                    <c16:uniqueId val="{00000009-D706-4BA2-8481-2C05970AC973}"/>
                  </c:ext>
                </c:extLst>
              </c15:ser>
            </c15:filteredScatterSeries>
            <c15:filteredScatterSeries>
              <c15:ser>
                <c:idx val="8"/>
                <c:order val="7"/>
                <c:tx>
                  <c:v>Elastomer Smooth</c:v>
                </c:tx>
                <c:spPr>
                  <a:ln w="25400" cap="rnd">
                    <a:noFill/>
                    <a:round/>
                  </a:ln>
                  <a:effectLst/>
                </c:spPr>
                <c:marker>
                  <c:symbol val="triangle"/>
                  <c:size val="5"/>
                  <c:spPr>
                    <a:noFill/>
                    <a:ln w="9525">
                      <a:solidFill>
                        <a:schemeClr val="dk1">
                          <a:tint val="55000"/>
                        </a:schemeClr>
                      </a:solidFill>
                    </a:ln>
                    <a:effectLst/>
                  </c:spPr>
                </c:marker>
                <c:trendline>
                  <c:spPr>
                    <a:ln w="19050" cap="rnd">
                      <a:solidFill>
                        <a:schemeClr val="dk1">
                          <a:tint val="55000"/>
                        </a:schemeClr>
                      </a:solidFill>
                      <a:prstDash val="sysDot"/>
                    </a:ln>
                    <a:effectLst/>
                  </c:spPr>
                  <c:trendlineType val="power"/>
                  <c:dispRSqr val="0"/>
                  <c:dispEq val="0"/>
                </c:trendline>
                <c:xVal>
                  <c:numRef>
                    <c:extLst xmlns:c15="http://schemas.microsoft.com/office/drawing/2012/chart">
                      <c:ext xmlns:c15="http://schemas.microsoft.com/office/drawing/2012/chart" uri="{02D57815-91ED-43cb-92C2-25804820EDAC}">
                        <c15:formulaRef>
                          <c15:sqref>'MMHSE flat AVG'!$L$8:$L$12</c15:sqref>
                        </c15:formulaRef>
                      </c:ext>
                    </c:extLst>
                    <c:numCache>
                      <c:formatCode>0.0E+00</c:formatCode>
                      <c:ptCount val="5"/>
                      <c:pt idx="0">
                        <c:v>24733.809165172341</c:v>
                      </c:pt>
                      <c:pt idx="1">
                        <c:v>31541.279577605099</c:v>
                      </c:pt>
                      <c:pt idx="2">
                        <c:v>38802.581350866705</c:v>
                      </c:pt>
                      <c:pt idx="3">
                        <c:v>46971.545845786015</c:v>
                      </c:pt>
                      <c:pt idx="4">
                        <c:v>52871.353536561066</c:v>
                      </c:pt>
                    </c:numCache>
                  </c:numRef>
                </c:xVal>
                <c:yVal>
                  <c:numRef>
                    <c:extLst xmlns:c15="http://schemas.microsoft.com/office/drawing/2012/chart">
                      <c:ext xmlns:c15="http://schemas.microsoft.com/office/drawing/2012/chart" uri="{02D57815-91ED-43cb-92C2-25804820EDAC}">
                        <c15:formulaRef>
                          <c15:sqref>'MMHSE flat AVG'!$O$8:$O$12</c15:sqref>
                        </c15:formulaRef>
                      </c:ext>
                    </c:extLst>
                    <c:numCache>
                      <c:formatCode>0.000</c:formatCode>
                      <c:ptCount val="5"/>
                      <c:pt idx="0">
                        <c:v>7.9919512554307154E-3</c:v>
                      </c:pt>
                      <c:pt idx="1">
                        <c:v>7.6143534622810276E-3</c:v>
                      </c:pt>
                      <c:pt idx="2">
                        <c:v>7.2699028256832353E-3</c:v>
                      </c:pt>
                      <c:pt idx="3">
                        <c:v>6.8600008124494851E-3</c:v>
                      </c:pt>
                      <c:pt idx="4">
                        <c:v>6.5583043169987199E-3</c:v>
                      </c:pt>
                    </c:numCache>
                  </c:numRef>
                </c:yVal>
                <c:smooth val="0"/>
                <c:extLst xmlns:c15="http://schemas.microsoft.com/office/drawing/2012/chart">
                  <c:ext xmlns:c16="http://schemas.microsoft.com/office/drawing/2014/chart" uri="{C3380CC4-5D6E-409C-BE32-E72D297353CC}">
                    <c16:uniqueId val="{00000012-D706-4BA2-8481-2C05970AC973}"/>
                  </c:ext>
                </c:extLst>
              </c15:ser>
            </c15:filteredScatterSeries>
            <c15:filteredScatterSeries>
              <c15:ser>
                <c:idx val="10"/>
                <c:order val="8"/>
                <c:tx>
                  <c:v>Elastomer P240</c:v>
                </c:tx>
                <c:spPr>
                  <a:ln w="25400" cap="rnd">
                    <a:noFill/>
                    <a:round/>
                  </a:ln>
                  <a:effectLst/>
                </c:spPr>
                <c:marker>
                  <c:symbol val="square"/>
                  <c:size val="5"/>
                  <c:spPr>
                    <a:noFill/>
                    <a:ln w="9525">
                      <a:solidFill>
                        <a:schemeClr val="dk1">
                          <a:tint val="98500"/>
                        </a:schemeClr>
                      </a:solidFill>
                    </a:ln>
                    <a:effectLst/>
                  </c:spPr>
                </c:marker>
                <c:trendline>
                  <c:spPr>
                    <a:ln w="19050" cap="rnd">
                      <a:solidFill>
                        <a:schemeClr val="dk1">
                          <a:tint val="98500"/>
                        </a:schemeClr>
                      </a:solidFill>
                      <a:prstDash val="sysDot"/>
                    </a:ln>
                    <a:effectLst/>
                  </c:spPr>
                  <c:trendlineType val="power"/>
                  <c:dispRSqr val="0"/>
                  <c:dispEq val="0"/>
                </c:trendline>
                <c:xVal>
                  <c:numRef>
                    <c:extLst xmlns:c15="http://schemas.microsoft.com/office/drawing/2012/chart">
                      <c:ext xmlns:c15="http://schemas.microsoft.com/office/drawing/2012/chart" uri="{02D57815-91ED-43cb-92C2-25804820EDAC}">
                        <c15:formulaRef>
                          <c15:sqref>'MMHSE P240 AVG'!$L$8:$L$11</c15:sqref>
                        </c15:formulaRef>
                      </c:ext>
                    </c:extLst>
                    <c:numCache>
                      <c:formatCode>0.0E+00</c:formatCode>
                      <c:ptCount val="4"/>
                      <c:pt idx="0">
                        <c:v>18828.41348329734</c:v>
                      </c:pt>
                      <c:pt idx="1">
                        <c:v>24891.800876223599</c:v>
                      </c:pt>
                      <c:pt idx="2">
                        <c:v>31832.783812862872</c:v>
                      </c:pt>
                      <c:pt idx="3">
                        <c:v>37816.389792724316</c:v>
                      </c:pt>
                    </c:numCache>
                  </c:numRef>
                </c:xVal>
                <c:yVal>
                  <c:numRef>
                    <c:extLst xmlns:c15="http://schemas.microsoft.com/office/drawing/2012/chart">
                      <c:ext xmlns:c15="http://schemas.microsoft.com/office/drawing/2012/chart" uri="{02D57815-91ED-43cb-92C2-25804820EDAC}">
                        <c15:formulaRef>
                          <c15:sqref>'MMHSE P240 AVG'!$O$8:$O$11</c15:sqref>
                        </c15:formulaRef>
                      </c:ext>
                    </c:extLst>
                    <c:numCache>
                      <c:formatCode>0.000</c:formatCode>
                      <c:ptCount val="4"/>
                      <c:pt idx="0">
                        <c:v>1.438557933187895E-2</c:v>
                      </c:pt>
                      <c:pt idx="1">
                        <c:v>1.3673141980240184E-2</c:v>
                      </c:pt>
                      <c:pt idx="2">
                        <c:v>9.9228677402318291E-3</c:v>
                      </c:pt>
                      <c:pt idx="3">
                        <c:v>1.000637253343376E-2</c:v>
                      </c:pt>
                    </c:numCache>
                  </c:numRef>
                </c:yVal>
                <c:smooth val="0"/>
                <c:extLst xmlns:c15="http://schemas.microsoft.com/office/drawing/2012/chart">
                  <c:ext xmlns:c16="http://schemas.microsoft.com/office/drawing/2014/chart" uri="{C3380CC4-5D6E-409C-BE32-E72D297353CC}">
                    <c16:uniqueId val="{00000014-D706-4BA2-8481-2C05970AC973}"/>
                  </c:ext>
                </c:extLst>
              </c15:ser>
            </c15:filteredScatterSeries>
            <c15:filteredScatterSeries>
              <c15:ser>
                <c:idx val="7"/>
                <c:order val="9"/>
                <c:tx>
                  <c:v>Elastomer P80</c:v>
                </c:tx>
                <c:spPr>
                  <a:ln w="25400" cap="rnd">
                    <a:noFill/>
                    <a:round/>
                  </a:ln>
                  <a:effectLst/>
                </c:spPr>
                <c:marker>
                  <c:symbol val="circle"/>
                  <c:size val="5"/>
                  <c:spPr>
                    <a:noFill/>
                    <a:ln w="9525">
                      <a:solidFill>
                        <a:schemeClr val="dk1">
                          <a:tint val="88500"/>
                        </a:schemeClr>
                      </a:solidFill>
                    </a:ln>
                    <a:effectLst/>
                  </c:spPr>
                </c:marker>
                <c:trendline>
                  <c:spPr>
                    <a:ln w="19050" cap="rnd">
                      <a:solidFill>
                        <a:schemeClr val="dk1">
                          <a:tint val="88500"/>
                        </a:schemeClr>
                      </a:solidFill>
                      <a:prstDash val="sysDot"/>
                    </a:ln>
                    <a:effectLst/>
                  </c:spPr>
                  <c:trendlineType val="power"/>
                  <c:dispRSqr val="0"/>
                  <c:dispEq val="0"/>
                </c:trendline>
                <c:xVal>
                  <c:numRef>
                    <c:extLst xmlns:c15="http://schemas.microsoft.com/office/drawing/2012/chart">
                      <c:ext xmlns:c15="http://schemas.microsoft.com/office/drawing/2012/chart" uri="{02D57815-91ED-43cb-92C2-25804820EDAC}">
                        <c15:formulaRef>
                          <c15:sqref>'MMHSE P80 AVGS'!$L$8:$L$12</c15:sqref>
                        </c15:formulaRef>
                      </c:ext>
                    </c:extLst>
                    <c:numCache>
                      <c:formatCode>0.0E+00</c:formatCode>
                      <c:ptCount val="5"/>
                      <c:pt idx="0">
                        <c:v>18801.896461659773</c:v>
                      </c:pt>
                      <c:pt idx="1">
                        <c:v>24835.340848610296</c:v>
                      </c:pt>
                      <c:pt idx="2">
                        <c:v>30447.8472550759</c:v>
                      </c:pt>
                      <c:pt idx="3">
                        <c:v>34727.383390005925</c:v>
                      </c:pt>
                      <c:pt idx="4">
                        <c:v>39568.170165582502</c:v>
                      </c:pt>
                    </c:numCache>
                  </c:numRef>
                </c:xVal>
                <c:yVal>
                  <c:numRef>
                    <c:extLst xmlns:c15="http://schemas.microsoft.com/office/drawing/2012/chart">
                      <c:ext xmlns:c15="http://schemas.microsoft.com/office/drawing/2012/chart" uri="{02D57815-91ED-43cb-92C2-25804820EDAC}">
                        <c15:formulaRef>
                          <c15:sqref>'MMHSE P80 AVGS'!$O$8:$O$12</c15:sqref>
                        </c15:formulaRef>
                      </c:ext>
                    </c:extLst>
                    <c:numCache>
                      <c:formatCode>0.000</c:formatCode>
                      <c:ptCount val="5"/>
                      <c:pt idx="0">
                        <c:v>1.6904693184688124E-2</c:v>
                      </c:pt>
                      <c:pt idx="1">
                        <c:v>1.6167390968992418E-2</c:v>
                      </c:pt>
                      <c:pt idx="2">
                        <c:v>1.5215475539243689E-2</c:v>
                      </c:pt>
                      <c:pt idx="3">
                        <c:v>9.2263514973087574E-3</c:v>
                      </c:pt>
                      <c:pt idx="4">
                        <c:v>1.0654202599924757E-2</c:v>
                      </c:pt>
                    </c:numCache>
                  </c:numRef>
                </c:yVal>
                <c:smooth val="0"/>
                <c:extLst xmlns:c15="http://schemas.microsoft.com/office/drawing/2012/chart">
                  <c:ext xmlns:c16="http://schemas.microsoft.com/office/drawing/2014/chart" uri="{C3380CC4-5D6E-409C-BE32-E72D297353CC}">
                    <c16:uniqueId val="{00000016-D706-4BA2-8481-2C05970AC973}"/>
                  </c:ext>
                </c:extLst>
              </c15:ser>
            </c15:filteredScatterSeries>
            <c15:filteredScatterSeries>
              <c15:ser>
                <c:idx val="1"/>
                <c:order val="10"/>
                <c:tx>
                  <c:v>Elastomer P40</c:v>
                </c:tx>
                <c:spPr>
                  <a:ln w="25400" cap="rnd">
                    <a:noFill/>
                    <a:round/>
                  </a:ln>
                  <a:effectLst/>
                </c:spPr>
                <c:marker>
                  <c:symbol val="dash"/>
                  <c:size val="5"/>
                  <c:spPr>
                    <a:noFill/>
                    <a:ln w="9525">
                      <a:solidFill>
                        <a:schemeClr val="dk1">
                          <a:tint val="55000"/>
                        </a:schemeClr>
                      </a:solidFill>
                    </a:ln>
                    <a:effectLst/>
                  </c:spPr>
                </c:marker>
                <c:xVal>
                  <c:numRef>
                    <c:extLst xmlns:c15="http://schemas.microsoft.com/office/drawing/2012/chart">
                      <c:ext xmlns:c15="http://schemas.microsoft.com/office/drawing/2012/chart" uri="{02D57815-91ED-43cb-92C2-25804820EDAC}">
                        <c15:formulaRef>
                          <c15:sqref>'MMHSE P40 AVGS'!$L$9:$L$13</c15:sqref>
                        </c15:formulaRef>
                      </c:ext>
                    </c:extLst>
                    <c:numCache>
                      <c:formatCode>0.0E+00</c:formatCode>
                      <c:ptCount val="5"/>
                      <c:pt idx="0">
                        <c:v>19770.201514312095</c:v>
                      </c:pt>
                      <c:pt idx="1">
                        <c:v>25518.983514927677</c:v>
                      </c:pt>
                      <c:pt idx="2">
                        <c:v>31548.193905817174</c:v>
                      </c:pt>
                      <c:pt idx="3">
                        <c:v>36736.119125884892</c:v>
                      </c:pt>
                      <c:pt idx="4">
                        <c:v>44167.471468144046</c:v>
                      </c:pt>
                    </c:numCache>
                  </c:numRef>
                </c:xVal>
                <c:yVal>
                  <c:numRef>
                    <c:extLst xmlns:c15="http://schemas.microsoft.com/office/drawing/2012/chart">
                      <c:ext xmlns:c15="http://schemas.microsoft.com/office/drawing/2012/chart" uri="{02D57815-91ED-43cb-92C2-25804820EDAC}">
                        <c15:formulaRef>
                          <c15:sqref>'MMHSE P40 AVGS'!$O$9:$O$13</c15:sqref>
                        </c15:formulaRef>
                      </c:ext>
                    </c:extLst>
                    <c:numCache>
                      <c:formatCode>0.000</c:formatCode>
                      <c:ptCount val="5"/>
                      <c:pt idx="0">
                        <c:v>1.5008220187502492E-2</c:v>
                      </c:pt>
                      <c:pt idx="1">
                        <c:v>1.5006721088056956E-2</c:v>
                      </c:pt>
                      <c:pt idx="2">
                        <c:v>1.4420842650896113E-2</c:v>
                      </c:pt>
                      <c:pt idx="3">
                        <c:v>1.2274729939700709E-2</c:v>
                      </c:pt>
                      <c:pt idx="4">
                        <c:v>7.1106485889659296E-3</c:v>
                      </c:pt>
                    </c:numCache>
                  </c:numRef>
                </c:yVal>
                <c:smooth val="0"/>
                <c:extLst xmlns:c15="http://schemas.microsoft.com/office/drawing/2012/chart">
                  <c:ext xmlns:c16="http://schemas.microsoft.com/office/drawing/2014/chart" uri="{C3380CC4-5D6E-409C-BE32-E72D297353CC}">
                    <c16:uniqueId val="{00000017-D706-4BA2-8481-2C05970AC973}"/>
                  </c:ext>
                </c:extLst>
              </c15:ser>
            </c15:filteredScatterSeries>
            <c15:filteredScatterSeries>
              <c15:ser>
                <c:idx val="2"/>
                <c:order val="11"/>
                <c:tx>
                  <c:v>Rigid-P40</c:v>
                </c:tx>
                <c:spPr>
                  <a:ln w="25400" cap="rnd">
                    <a:noFill/>
                    <a:round/>
                  </a:ln>
                  <a:effectLst/>
                </c:spPr>
                <c:marker>
                  <c:symbol val="circle"/>
                  <c:size val="5"/>
                  <c:spPr>
                    <a:solidFill>
                      <a:schemeClr val="dk1">
                        <a:tint val="75000"/>
                      </a:schemeClr>
                    </a:solidFill>
                    <a:ln w="9525">
                      <a:solidFill>
                        <a:schemeClr val="dk1">
                          <a:tint val="75000"/>
                        </a:schemeClr>
                      </a:solidFill>
                    </a:ln>
                    <a:effectLst/>
                  </c:spPr>
                </c:marker>
                <c:xVal>
                  <c:numRef>
                    <c:extLst xmlns:c15="http://schemas.microsoft.com/office/drawing/2012/chart">
                      <c:ext xmlns:c15="http://schemas.microsoft.com/office/drawing/2012/chart" uri="{02D57815-91ED-43cb-92C2-25804820EDAC}">
                        <c15:formulaRef>
                          <c15:sqref>'Rigid data'!$F$28:$F$33</c15:sqref>
                        </c15:formulaRef>
                      </c:ext>
                    </c:extLst>
                    <c:numCache>
                      <c:formatCode>General</c:formatCode>
                      <c:ptCount val="6"/>
                      <c:pt idx="0">
                        <c:v>14901.440328763087</c:v>
                      </c:pt>
                      <c:pt idx="1">
                        <c:v>21722.522169394077</c:v>
                      </c:pt>
                      <c:pt idx="2">
                        <c:v>27809.02596564942</c:v>
                      </c:pt>
                      <c:pt idx="3">
                        <c:v>34000.469482529857</c:v>
                      </c:pt>
                      <c:pt idx="4">
                        <c:v>40017.013465035139</c:v>
                      </c:pt>
                      <c:pt idx="5">
                        <c:v>44494.441545039066</c:v>
                      </c:pt>
                    </c:numCache>
                  </c:numRef>
                </c:xVal>
                <c:yVal>
                  <c:numRef>
                    <c:extLst xmlns:c15="http://schemas.microsoft.com/office/drawing/2012/chart">
                      <c:ext xmlns:c15="http://schemas.microsoft.com/office/drawing/2012/chart" uri="{02D57815-91ED-43cb-92C2-25804820EDAC}">
                        <c15:formulaRef>
                          <c15:sqref>'Rigid data'!$G$28:$G$33</c15:sqref>
                        </c15:formulaRef>
                      </c:ext>
                    </c:extLst>
                    <c:numCache>
                      <c:formatCode>General</c:formatCode>
                      <c:ptCount val="6"/>
                      <c:pt idx="0">
                        <c:v>1.3713353415781136E-2</c:v>
                      </c:pt>
                      <c:pt idx="1">
                        <c:v>1.512538070955566E-2</c:v>
                      </c:pt>
                      <c:pt idx="2">
                        <c:v>1.5215090833516069E-2</c:v>
                      </c:pt>
                      <c:pt idx="3">
                        <c:v>1.3945610093808108E-2</c:v>
                      </c:pt>
                      <c:pt idx="4">
                        <c:v>1.0595984233301277E-2</c:v>
                      </c:pt>
                      <c:pt idx="5">
                        <c:v>8.6969785125901831E-3</c:v>
                      </c:pt>
                    </c:numCache>
                  </c:numRef>
                </c:yVal>
                <c:smooth val="0"/>
                <c:extLst xmlns:c15="http://schemas.microsoft.com/office/drawing/2012/chart">
                  <c:ext xmlns:c16="http://schemas.microsoft.com/office/drawing/2014/chart" uri="{C3380CC4-5D6E-409C-BE32-E72D297353CC}">
                    <c16:uniqueId val="{00000000-D706-4BA2-8481-2C05970AC973}"/>
                  </c:ext>
                </c:extLst>
              </c15:ser>
            </c15:filteredScatterSeries>
            <c15:filteredScatterSeries>
              <c15:ser>
                <c:idx val="5"/>
                <c:order val="12"/>
                <c:tx>
                  <c:v>Rigid-P80</c:v>
                </c:tx>
                <c:spPr>
                  <a:ln w="25400" cap="rnd">
                    <a:noFill/>
                    <a:round/>
                  </a:ln>
                  <a:effectLst/>
                </c:spPr>
                <c:marker>
                  <c:symbol val="circle"/>
                  <c:size val="5"/>
                  <c:spPr>
                    <a:solidFill>
                      <a:schemeClr val="dk1">
                        <a:tint val="60000"/>
                      </a:schemeClr>
                    </a:solidFill>
                    <a:ln w="9525">
                      <a:solidFill>
                        <a:schemeClr val="dk1">
                          <a:tint val="60000"/>
                        </a:schemeClr>
                      </a:solidFill>
                    </a:ln>
                    <a:effectLst/>
                  </c:spPr>
                </c:marker>
                <c:xVal>
                  <c:numRef>
                    <c:extLst xmlns:c15="http://schemas.microsoft.com/office/drawing/2012/chart">
                      <c:ext xmlns:c15="http://schemas.microsoft.com/office/drawing/2012/chart" uri="{02D57815-91ED-43cb-92C2-25804820EDAC}">
                        <c15:formulaRef>
                          <c15:sqref>'Rigid data'!$F$20:$F$25</c15:sqref>
                        </c15:formulaRef>
                      </c:ext>
                    </c:extLst>
                    <c:numCache>
                      <c:formatCode>General</c:formatCode>
                      <c:ptCount val="6"/>
                      <c:pt idx="0">
                        <c:v>16809.061390740077</c:v>
                      </c:pt>
                      <c:pt idx="1">
                        <c:v>23742.310705312753</c:v>
                      </c:pt>
                      <c:pt idx="2">
                        <c:v>31285.462126111706</c:v>
                      </c:pt>
                      <c:pt idx="3">
                        <c:v>37841.909768044148</c:v>
                      </c:pt>
                      <c:pt idx="4">
                        <c:v>44605.134981055482</c:v>
                      </c:pt>
                      <c:pt idx="5">
                        <c:v>50744.46849683296</c:v>
                      </c:pt>
                    </c:numCache>
                  </c:numRef>
                </c:xVal>
                <c:yVal>
                  <c:numRef>
                    <c:extLst xmlns:c15="http://schemas.microsoft.com/office/drawing/2012/chart">
                      <c:ext xmlns:c15="http://schemas.microsoft.com/office/drawing/2012/chart" uri="{02D57815-91ED-43cb-92C2-25804820EDAC}">
                        <c15:formulaRef>
                          <c15:sqref>'Rigid data'!$G$20:$G$25</c15:sqref>
                        </c15:formulaRef>
                      </c:ext>
                    </c:extLst>
                    <c:numCache>
                      <c:formatCode>General</c:formatCode>
                      <c:ptCount val="6"/>
                      <c:pt idx="0">
                        <c:v>1.2176096489567315E-2</c:v>
                      </c:pt>
                      <c:pt idx="1">
                        <c:v>1.1790104593465946E-2</c:v>
                      </c:pt>
                      <c:pt idx="2">
                        <c:v>1.1624438801028699E-2</c:v>
                      </c:pt>
                      <c:pt idx="3">
                        <c:v>1.1558497860050348E-2</c:v>
                      </c:pt>
                      <c:pt idx="4">
                        <c:v>1.09188912506272E-2</c:v>
                      </c:pt>
                      <c:pt idx="5">
                        <c:v>9.0196022706357099E-3</c:v>
                      </c:pt>
                    </c:numCache>
                  </c:numRef>
                </c:yVal>
                <c:smooth val="0"/>
                <c:extLst xmlns:c15="http://schemas.microsoft.com/office/drawing/2012/chart">
                  <c:ext xmlns:c16="http://schemas.microsoft.com/office/drawing/2014/chart" uri="{C3380CC4-5D6E-409C-BE32-E72D297353CC}">
                    <c16:uniqueId val="{00000001-D706-4BA2-8481-2C05970AC973}"/>
                  </c:ext>
                </c:extLst>
              </c15:ser>
            </c15:filteredScatterSeries>
            <c15:filteredScatterSeries>
              <c15:ser>
                <c:idx val="13"/>
                <c:order val="13"/>
                <c:tx>
                  <c:v>Rigid-P240</c:v>
                </c:tx>
                <c:spPr>
                  <a:ln w="25400" cap="rnd">
                    <a:noFill/>
                    <a:round/>
                  </a:ln>
                  <a:effectLst/>
                </c:spPr>
                <c:marker>
                  <c:symbol val="circle"/>
                  <c:size val="5"/>
                  <c:spPr>
                    <a:solidFill>
                      <a:schemeClr val="dk1">
                        <a:tint val="80000"/>
                      </a:schemeClr>
                    </a:solidFill>
                    <a:ln w="9525">
                      <a:solidFill>
                        <a:schemeClr val="dk1">
                          <a:tint val="80000"/>
                        </a:schemeClr>
                      </a:solidFill>
                    </a:ln>
                    <a:effectLst/>
                  </c:spPr>
                </c:marker>
                <c:xVal>
                  <c:numRef>
                    <c:extLst xmlns:c15="http://schemas.microsoft.com/office/drawing/2012/chart">
                      <c:ext xmlns:c15="http://schemas.microsoft.com/office/drawing/2012/chart" uri="{02D57815-91ED-43cb-92C2-25804820EDAC}">
                        <c15:formulaRef>
                          <c15:sqref>'Rigid data'!$F$12:$F$17</c15:sqref>
                        </c15:formulaRef>
                      </c:ext>
                    </c:extLst>
                    <c:numCache>
                      <c:formatCode>General</c:formatCode>
                      <c:ptCount val="6"/>
                      <c:pt idx="0">
                        <c:v>17449.726838285766</c:v>
                      </c:pt>
                      <c:pt idx="1">
                        <c:v>25290.467566696789</c:v>
                      </c:pt>
                      <c:pt idx="2">
                        <c:v>32978.434578570021</c:v>
                      </c:pt>
                      <c:pt idx="3">
                        <c:v>40511.358345649627</c:v>
                      </c:pt>
                      <c:pt idx="4">
                        <c:v>46815.608013981706</c:v>
                      </c:pt>
                      <c:pt idx="5">
                        <c:v>52656.02482122193</c:v>
                      </c:pt>
                    </c:numCache>
                  </c:numRef>
                </c:xVal>
                <c:yVal>
                  <c:numRef>
                    <c:extLst xmlns:c15="http://schemas.microsoft.com/office/drawing/2012/chart">
                      <c:ext xmlns:c15="http://schemas.microsoft.com/office/drawing/2012/chart" uri="{02D57815-91ED-43cb-92C2-25804820EDAC}">
                        <c15:formulaRef>
                          <c15:sqref>'Rigid data'!$G$12:$G$17</c15:sqref>
                        </c15:formulaRef>
                      </c:ext>
                    </c:extLst>
                    <c:numCache>
                      <c:formatCode>General</c:formatCode>
                      <c:ptCount val="6"/>
                      <c:pt idx="0">
                        <c:v>7.2738588393128686E-3</c:v>
                      </c:pt>
                      <c:pt idx="1">
                        <c:v>7.8343058133838392E-3</c:v>
                      </c:pt>
                      <c:pt idx="2">
                        <c:v>7.8074196943544068E-3</c:v>
                      </c:pt>
                      <c:pt idx="3">
                        <c:v>7.7908973348861411E-3</c:v>
                      </c:pt>
                      <c:pt idx="4">
                        <c:v>7.4998239369390065E-3</c:v>
                      </c:pt>
                      <c:pt idx="5">
                        <c:v>6.8547267988590902E-3</c:v>
                      </c:pt>
                    </c:numCache>
                  </c:numRef>
                </c:yVal>
                <c:smooth val="0"/>
                <c:extLst xmlns:c15="http://schemas.microsoft.com/office/drawing/2012/chart">
                  <c:ext xmlns:c16="http://schemas.microsoft.com/office/drawing/2014/chart" uri="{C3380CC4-5D6E-409C-BE32-E72D297353CC}">
                    <c16:uniqueId val="{00000002-D706-4BA2-8481-2C05970AC973}"/>
                  </c:ext>
                </c:extLst>
              </c15:ser>
            </c15:filteredScatterSeries>
            <c15:filteredScatterSeries>
              <c15:ser>
                <c:idx val="14"/>
                <c:order val="14"/>
                <c:tx>
                  <c:v>Rigid-smooth</c:v>
                </c:tx>
                <c:spPr>
                  <a:ln w="25400" cap="rnd">
                    <a:noFill/>
                    <a:round/>
                  </a:ln>
                  <a:effectLst/>
                </c:spPr>
                <c:marker>
                  <c:symbol val="circle"/>
                  <c:size val="5"/>
                  <c:spPr>
                    <a:solidFill>
                      <a:schemeClr val="dk1">
                        <a:tint val="88500"/>
                      </a:schemeClr>
                    </a:solidFill>
                    <a:ln w="9525">
                      <a:solidFill>
                        <a:schemeClr val="dk1">
                          <a:tint val="88500"/>
                        </a:schemeClr>
                      </a:solidFill>
                    </a:ln>
                    <a:effectLst/>
                  </c:spPr>
                </c:marker>
                <c:xVal>
                  <c:numRef>
                    <c:extLst xmlns:c15="http://schemas.microsoft.com/office/drawing/2012/chart">
                      <c:ext xmlns:c15="http://schemas.microsoft.com/office/drawing/2012/chart" uri="{02D57815-91ED-43cb-92C2-25804820EDAC}">
                        <c15:formulaRef>
                          <c15:sqref>'Rigid data'!$F$4:$F$9</c15:sqref>
                        </c15:formulaRef>
                      </c:ext>
                    </c:extLst>
                    <c:numCache>
                      <c:formatCode>General</c:formatCode>
                      <c:ptCount val="6"/>
                      <c:pt idx="0">
                        <c:v>17173.73507936508</c:v>
                      </c:pt>
                      <c:pt idx="1">
                        <c:v>25082.692023809526</c:v>
                      </c:pt>
                      <c:pt idx="2">
                        <c:v>31409.857579365082</c:v>
                      </c:pt>
                      <c:pt idx="3">
                        <c:v>38866.874126984127</c:v>
                      </c:pt>
                      <c:pt idx="4">
                        <c:v>45758.96517857143</c:v>
                      </c:pt>
                      <c:pt idx="5">
                        <c:v>52538.071130952383</c:v>
                      </c:pt>
                    </c:numCache>
                  </c:numRef>
                </c:xVal>
                <c:yVal>
                  <c:numRef>
                    <c:extLst xmlns:c15="http://schemas.microsoft.com/office/drawing/2012/chart">
                      <c:ext xmlns:c15="http://schemas.microsoft.com/office/drawing/2012/chart" uri="{02D57815-91ED-43cb-92C2-25804820EDAC}">
                        <c15:formulaRef>
                          <c15:sqref>'Rigid data'!$G$4:$G$9</c15:sqref>
                        </c15:formulaRef>
                      </c:ext>
                    </c:extLst>
                    <c:numCache>
                      <c:formatCode>General</c:formatCode>
                      <c:ptCount val="6"/>
                      <c:pt idx="0">
                        <c:v>7.7128156942129749E-3</c:v>
                      </c:pt>
                      <c:pt idx="1">
                        <c:v>7.1839706304657261E-3</c:v>
                      </c:pt>
                      <c:pt idx="2">
                        <c:v>7.0274521052176592E-3</c:v>
                      </c:pt>
                      <c:pt idx="3">
                        <c:v>6.7889378576837765E-3</c:v>
                      </c:pt>
                      <c:pt idx="4">
                        <c:v>6.5846611642014757E-3</c:v>
                      </c:pt>
                      <c:pt idx="5">
                        <c:v>6.2573312953811393E-3</c:v>
                      </c:pt>
                    </c:numCache>
                  </c:numRef>
                </c:yVal>
                <c:smooth val="0"/>
                <c:extLst xmlns:c15="http://schemas.microsoft.com/office/drawing/2012/chart">
                  <c:ext xmlns:c16="http://schemas.microsoft.com/office/drawing/2014/chart" uri="{C3380CC4-5D6E-409C-BE32-E72D297353CC}">
                    <c16:uniqueId val="{00000003-D706-4BA2-8481-2C05970AC973}"/>
                  </c:ext>
                </c:extLst>
              </c15:ser>
            </c15:filteredScatterSeries>
          </c:ext>
        </c:extLst>
      </c:scatterChart>
      <c:valAx>
        <c:axId val="727497488"/>
        <c:scaling>
          <c:orientation val="minMax"/>
          <c:min val="10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727498144"/>
        <c:crosses val="autoZero"/>
        <c:crossBetween val="midCat"/>
      </c:valAx>
      <c:valAx>
        <c:axId val="727498144"/>
        <c:scaling>
          <c:orientation val="minMax"/>
          <c:max val="2.0000000000000004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Average Fanning Friction Factor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72749748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08598608118161"/>
          <c:y val="4.3763676148796497E-2"/>
          <c:w val="0.82828789732495367"/>
          <c:h val="0.77957705555355417"/>
        </c:manualLayout>
      </c:layout>
      <c:scatterChart>
        <c:scatterStyle val="lineMarker"/>
        <c:varyColors val="0"/>
        <c:ser>
          <c:idx val="0"/>
          <c:order val="0"/>
          <c:tx>
            <c:v>Area Loading</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1"/>
            <c:dispEq val="1"/>
            <c:trendlineLbl>
              <c:layout>
                <c:manualLayout>
                  <c:x val="8.5529773927890906E-2"/>
                  <c:y val="3.25051990539662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P40'!$L$9:$L$13</c:f>
              <c:numCache>
                <c:formatCode>0.0E+00</c:formatCode>
                <c:ptCount val="5"/>
                <c:pt idx="0">
                  <c:v>20736.088795518212</c:v>
                </c:pt>
                <c:pt idx="1">
                  <c:v>26717.652871148461</c:v>
                </c:pt>
                <c:pt idx="2">
                  <c:v>32300.446008403367</c:v>
                </c:pt>
                <c:pt idx="3">
                  <c:v>38282.010084033616</c:v>
                </c:pt>
                <c:pt idx="4">
                  <c:v>0</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5-7822-458A-8B27-95F454BD31AC}"/>
            </c:ext>
          </c:extLst>
        </c:ser>
        <c:ser>
          <c:idx val="1"/>
          <c:order val="1"/>
          <c:tx>
            <c:v>Perimeter Loading</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1"/>
            <c:dispEq val="1"/>
            <c:trendlineLbl>
              <c:layout>
                <c:manualLayout>
                  <c:x val="0.11551530724962839"/>
                  <c:y val="0.3495300381305410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P40'!$L$9:$L$13</c:f>
              <c:numCache>
                <c:formatCode>0.0E+00</c:formatCode>
                <c:ptCount val="5"/>
                <c:pt idx="0">
                  <c:v>20736.088795518212</c:v>
                </c:pt>
                <c:pt idx="1">
                  <c:v>26717.652871148461</c:v>
                </c:pt>
                <c:pt idx="2">
                  <c:v>32300.446008403367</c:v>
                </c:pt>
                <c:pt idx="3">
                  <c:v>38282.010084033616</c:v>
                </c:pt>
                <c:pt idx="4">
                  <c:v>0</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1-7822-458A-8B27-95F454BD31AC}"/>
            </c:ext>
          </c:extLst>
        </c:ser>
        <c:ser>
          <c:idx val="2"/>
          <c:order val="2"/>
          <c:tx>
            <c:v>Elongation Loading</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1"/>
            <c:dispEq val="1"/>
            <c:trendlineLbl>
              <c:layout>
                <c:manualLayout>
                  <c:x val="8.1408721028838948E-2"/>
                  <c:y val="-0.4480664706827612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P40'!$L$9:$L$13</c:f>
              <c:numCache>
                <c:formatCode>0.0E+00</c:formatCode>
                <c:ptCount val="5"/>
                <c:pt idx="0">
                  <c:v>20736.088795518212</c:v>
                </c:pt>
                <c:pt idx="1">
                  <c:v>26717.652871148461</c:v>
                </c:pt>
                <c:pt idx="2">
                  <c:v>32300.446008403367</c:v>
                </c:pt>
                <c:pt idx="3">
                  <c:v>38282.010084033616</c:v>
                </c:pt>
                <c:pt idx="4">
                  <c:v>0</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7-7822-458A-8B27-95F454BD31AC}"/>
            </c:ext>
          </c:extLst>
        </c:ser>
        <c:ser>
          <c:idx val="3"/>
          <c:order val="3"/>
          <c:tx>
            <c:v>Area Unloading</c:v>
          </c:tx>
          <c:spPr>
            <a:ln w="25400" cap="rnd">
              <a:noFill/>
              <a:round/>
            </a:ln>
            <a:effectLst/>
          </c:spPr>
          <c:marker>
            <c:symbol val="circle"/>
            <c:size val="5"/>
            <c:spPr>
              <a:solidFill>
                <a:schemeClr val="accent4"/>
              </a:solidFill>
              <a:ln w="9525">
                <a:solidFill>
                  <a:schemeClr val="accent4"/>
                </a:solidFill>
              </a:ln>
              <a:effectLst/>
            </c:spPr>
          </c:marker>
          <c:xVal>
            <c:numRef>
              <c:f>'2 EF25 P40'!$L$14:$L$19</c:f>
              <c:numCache>
                <c:formatCode>0.0E+00</c:formatCode>
                <c:ptCount val="6"/>
                <c:pt idx="0">
                  <c:v>0</c:v>
                </c:pt>
                <c:pt idx="1">
                  <c:v>0</c:v>
                </c:pt>
                <c:pt idx="2">
                  <c:v>31901.675070028017</c:v>
                </c:pt>
                <c:pt idx="3">
                  <c:v>25920.110994397761</c:v>
                </c:pt>
                <c:pt idx="4">
                  <c:v>20337.317857142862</c:v>
                </c:pt>
                <c:pt idx="5">
                  <c:v>14355.753781512605</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8-7822-458A-8B27-95F454BD31AC}"/>
            </c:ext>
          </c:extLst>
        </c:ser>
        <c:ser>
          <c:idx val="4"/>
          <c:order val="4"/>
          <c:tx>
            <c:v>Perimeter Unloading</c:v>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poly"/>
            <c:order val="2"/>
            <c:dispRSqr val="1"/>
            <c:dispEq val="1"/>
            <c:trendlineLbl>
              <c:layout>
                <c:manualLayout>
                  <c:x val="0.16379511400628177"/>
                  <c:y val="-0.15135629035875764"/>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P40'!$L$14:$L$19</c:f>
              <c:numCache>
                <c:formatCode>0.0E+00</c:formatCode>
                <c:ptCount val="6"/>
                <c:pt idx="0">
                  <c:v>0</c:v>
                </c:pt>
                <c:pt idx="1">
                  <c:v>0</c:v>
                </c:pt>
                <c:pt idx="2">
                  <c:v>31901.675070028017</c:v>
                </c:pt>
                <c:pt idx="3">
                  <c:v>25920.110994397761</c:v>
                </c:pt>
                <c:pt idx="4">
                  <c:v>20337.317857142862</c:v>
                </c:pt>
                <c:pt idx="5">
                  <c:v>14355.753781512605</c:v>
                </c:pt>
              </c:numCache>
            </c:numRef>
          </c:xVal>
          <c:yVal>
            <c:numRef>
              <c:f>'2 EF25 P40'!#REF!</c:f>
              <c:numCache>
                <c:formatCode>General</c:formatCode>
                <c:ptCount val="1"/>
                <c:pt idx="0">
                  <c:v>1</c:v>
                </c:pt>
              </c:numCache>
            </c:numRef>
          </c:yVal>
          <c:smooth val="0"/>
          <c:extLst>
            <c:ext xmlns:c16="http://schemas.microsoft.com/office/drawing/2014/chart" uri="{C3380CC4-5D6E-409C-BE32-E72D297353CC}">
              <c16:uniqueId val="{00000003-7822-458A-8B27-95F454BD31AC}"/>
            </c:ext>
          </c:extLst>
        </c:ser>
        <c:ser>
          <c:idx val="5"/>
          <c:order val="5"/>
          <c:tx>
            <c:v>Elongation Unloading</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1"/>
            <c:dispEq val="1"/>
            <c:trendlineLbl>
              <c:layout>
                <c:manualLayout>
                  <c:x val="-0.42601223288423129"/>
                  <c:y val="3.810721138849240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P40'!$L$14:$L$19</c:f>
              <c:numCache>
                <c:formatCode>0.0E+00</c:formatCode>
                <c:ptCount val="6"/>
                <c:pt idx="0">
                  <c:v>0</c:v>
                </c:pt>
                <c:pt idx="1">
                  <c:v>0</c:v>
                </c:pt>
                <c:pt idx="2">
                  <c:v>31901.675070028017</c:v>
                </c:pt>
                <c:pt idx="3">
                  <c:v>25920.110994397761</c:v>
                </c:pt>
                <c:pt idx="4">
                  <c:v>20337.317857142862</c:v>
                </c:pt>
                <c:pt idx="5">
                  <c:v>14355.753781512605</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A-7822-458A-8B27-95F454BD31AC}"/>
            </c:ext>
          </c:extLst>
        </c:ser>
        <c:dLbls>
          <c:showLegendKey val="0"/>
          <c:showVal val="0"/>
          <c:showCatName val="0"/>
          <c:showSerName val="0"/>
          <c:showPercent val="0"/>
          <c:showBubbleSize val="0"/>
        </c:dLbls>
        <c:axId val="1172848367"/>
        <c:axId val="1448508735"/>
        <c:extLst/>
      </c:scatterChart>
      <c:valAx>
        <c:axId val="11728483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8508735"/>
        <c:crosses val="autoZero"/>
        <c:crossBetween val="midCat"/>
      </c:valAx>
      <c:valAx>
        <c:axId val="1448508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Perimeter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84836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'3 EF25 P40'!$G$7:$G$13</c:f>
              <c:numCache>
                <c:formatCode>0.00</c:formatCode>
                <c:ptCount val="7"/>
                <c:pt idx="0">
                  <c:v>0</c:v>
                </c:pt>
                <c:pt idx="1">
                  <c:v>0.84027912222276002</c:v>
                </c:pt>
                <c:pt idx="2">
                  <c:v>1.7777806222233601</c:v>
                </c:pt>
                <c:pt idx="3">
                  <c:v>3.1604988839526404</c:v>
                </c:pt>
                <c:pt idx="4">
                  <c:v>4.6944519555585611</c:v>
                </c:pt>
                <c:pt idx="5">
                  <c:v>6.3896707172880411</c:v>
                </c:pt>
                <c:pt idx="6">
                  <c:v>8.669766958030241</c:v>
                </c:pt>
              </c:numCache>
            </c:numRef>
          </c:xVal>
          <c:yVal>
            <c:numRef>
              <c:f>'3 EF25 P40'!$K$7:$K$13</c:f>
              <c:numCache>
                <c:formatCode>0</c:formatCode>
                <c:ptCount val="7"/>
                <c:pt idx="0">
                  <c:v>0</c:v>
                </c:pt>
                <c:pt idx="1">
                  <c:v>1173.1354838709681</c:v>
                </c:pt>
                <c:pt idx="2">
                  <c:v>2880.0709677419359</c:v>
                </c:pt>
                <c:pt idx="3">
                  <c:v>5078.9129032258079</c:v>
                </c:pt>
                <c:pt idx="4">
                  <c:v>7395.0096774193544</c:v>
                </c:pt>
                <c:pt idx="5">
                  <c:v>8435.7709677419371</c:v>
                </c:pt>
                <c:pt idx="6">
                  <c:v>8581.5516129032276</c:v>
                </c:pt>
              </c:numCache>
            </c:numRef>
          </c:yVal>
          <c:smooth val="0"/>
          <c:extLst>
            <c:ext xmlns:c16="http://schemas.microsoft.com/office/drawing/2014/chart" uri="{C3380CC4-5D6E-409C-BE32-E72D297353CC}">
              <c16:uniqueId val="{00000001-A321-451B-B211-2F6F86400CCD}"/>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'3 EF25 P40'!$O$6</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'3 EF25 P40'!$L$8:$L$12</c:f>
              <c:numCache>
                <c:formatCode>0.0E+00</c:formatCode>
                <c:ptCount val="5"/>
                <c:pt idx="0">
                  <c:v>13159.440966386555</c:v>
                </c:pt>
                <c:pt idx="1">
                  <c:v>19141.005042016808</c:v>
                </c:pt>
                <c:pt idx="2">
                  <c:v>25521.340056022411</c:v>
                </c:pt>
                <c:pt idx="3">
                  <c:v>31104.133193277317</c:v>
                </c:pt>
                <c:pt idx="4">
                  <c:v>36288.15539215687</c:v>
                </c:pt>
              </c:numCache>
            </c:numRef>
          </c:xVal>
          <c:yVal>
            <c:numRef>
              <c:f>'3 EF25 P40'!$O$8:$O$12</c:f>
              <c:numCache>
                <c:formatCode>0.000</c:formatCode>
                <c:ptCount val="5"/>
                <c:pt idx="0">
                  <c:v>1.3592125928287858E-2</c:v>
                </c:pt>
                <c:pt idx="1">
                  <c:v>1.5772037927130295E-2</c:v>
                </c:pt>
                <c:pt idx="2">
                  <c:v>1.5645084585573201E-2</c:v>
                </c:pt>
                <c:pt idx="3">
                  <c:v>1.533616030502042E-2</c:v>
                </c:pt>
                <c:pt idx="4">
                  <c:v>1.2853135726026014E-2</c:v>
                </c:pt>
              </c:numCache>
            </c:numRef>
          </c:yVal>
          <c:smooth val="0"/>
          <c:extLst>
            <c:ext xmlns:c16="http://schemas.microsoft.com/office/drawing/2014/chart" uri="{C3380CC4-5D6E-409C-BE32-E72D297353CC}">
              <c16:uniqueId val="{00000001-C70C-41E7-A4E6-58F2C7D95C30}"/>
            </c:ext>
          </c:extLst>
        </c:ser>
        <c:ser>
          <c:idx val="1"/>
          <c:order val="1"/>
          <c:tx>
            <c:strRef>
              <c:f>'3 EF25 P40'!$T$6</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EF25 P40'!$S$8:$S$32</c:f>
              <c:numCache>
                <c:formatCode>0.00000</c:formatCode>
                <c:ptCount val="25"/>
                <c:pt idx="0">
                  <c:v>1435.5742296918768</c:v>
                </c:pt>
                <c:pt idx="1">
                  <c:v>2871.1484593837536</c:v>
                </c:pt>
                <c:pt idx="2">
                  <c:v>4306.7226890756301</c:v>
                </c:pt>
                <c:pt idx="3">
                  <c:v>5742.2969187675071</c:v>
                </c:pt>
                <c:pt idx="4">
                  <c:v>7177.8711484593841</c:v>
                </c:pt>
                <c:pt idx="5">
                  <c:v>8613.4453781512602</c:v>
                </c:pt>
                <c:pt idx="6">
                  <c:v>10049.019607843138</c:v>
                </c:pt>
                <c:pt idx="7">
                  <c:v>11484.593837535014</c:v>
                </c:pt>
                <c:pt idx="8">
                  <c:v>12920.168067226892</c:v>
                </c:pt>
                <c:pt idx="9">
                  <c:v>14355.742296918768</c:v>
                </c:pt>
                <c:pt idx="10">
                  <c:v>15791.316526610646</c:v>
                </c:pt>
                <c:pt idx="11">
                  <c:v>17226.89075630252</c:v>
                </c:pt>
                <c:pt idx="12">
                  <c:v>18662.4649859944</c:v>
                </c:pt>
                <c:pt idx="13">
                  <c:v>20098.039215686276</c:v>
                </c:pt>
                <c:pt idx="14">
                  <c:v>21533.613445378152</c:v>
                </c:pt>
                <c:pt idx="15">
                  <c:v>22969.187675070028</c:v>
                </c:pt>
                <c:pt idx="16">
                  <c:v>24404.761904761905</c:v>
                </c:pt>
                <c:pt idx="17">
                  <c:v>25840.336134453784</c:v>
                </c:pt>
                <c:pt idx="18">
                  <c:v>27275.91036414566</c:v>
                </c:pt>
                <c:pt idx="19">
                  <c:v>28711.484593837537</c:v>
                </c:pt>
                <c:pt idx="20">
                  <c:v>30147.058823529416</c:v>
                </c:pt>
                <c:pt idx="21">
                  <c:v>31582.633053221292</c:v>
                </c:pt>
                <c:pt idx="22">
                  <c:v>33018.207282913165</c:v>
                </c:pt>
                <c:pt idx="23">
                  <c:v>34453.781512605041</c:v>
                </c:pt>
                <c:pt idx="24">
                  <c:v>35889.355742296917</c:v>
                </c:pt>
              </c:numCache>
            </c:numRef>
          </c:xVal>
          <c:yVal>
            <c:numRef>
              <c:f>'3 EF25 P40'!$U$8:$U$32</c:f>
              <c:numCache>
                <c:formatCode>0.00000</c:formatCode>
                <c:ptCount val="25"/>
                <c:pt idx="0">
                  <c:v>1.2850501305993444E-2</c:v>
                </c:pt>
                <c:pt idx="1">
                  <c:v>1.0805940482423067E-2</c:v>
                </c:pt>
                <c:pt idx="2">
                  <c:v>9.7642694708062177E-3</c:v>
                </c:pt>
                <c:pt idx="3">
                  <c:v>9.0866766151145497E-3</c:v>
                </c:pt>
                <c:pt idx="4">
                  <c:v>8.5936481624699669E-3</c:v>
                </c:pt>
                <c:pt idx="5">
                  <c:v>8.2107391955722319E-3</c:v>
                </c:pt>
                <c:pt idx="6">
                  <c:v>7.9003359624095198E-3</c:v>
                </c:pt>
                <c:pt idx="7">
                  <c:v>7.6409537922195814E-3</c:v>
                </c:pt>
                <c:pt idx="8">
                  <c:v>7.4192403882369553E-3</c:v>
                </c:pt>
                <c:pt idx="9">
                  <c:v>7.2263679337726677E-3</c:v>
                </c:pt>
                <c:pt idx="10">
                  <c:v>7.0562165224380691E-3</c:v>
                </c:pt>
                <c:pt idx="11">
                  <c:v>6.9043811561398574E-3</c:v>
                </c:pt>
                <c:pt idx="12">
                  <c:v>6.7675929918286758E-3</c:v>
                </c:pt>
                <c:pt idx="13">
                  <c:v>6.6433641900901707E-3</c:v>
                </c:pt>
                <c:pt idx="14">
                  <c:v>6.5297605437789142E-3</c:v>
                </c:pt>
                <c:pt idx="15">
                  <c:v>6.4252506529967222E-3</c:v>
                </c:pt>
                <c:pt idx="16">
                  <c:v>6.3286028101997415E-3</c:v>
                </c:pt>
                <c:pt idx="17">
                  <c:v>6.2388126463740331E-3</c:v>
                </c:pt>
                <c:pt idx="18">
                  <c:v>6.155051199299072E-3</c:v>
                </c:pt>
                <c:pt idx="19">
                  <c:v>6.076626890813828E-3</c:v>
                </c:pt>
                <c:pt idx="20">
                  <c:v>6.0029571928753725E-3</c:v>
                </c:pt>
                <c:pt idx="21">
                  <c:v>5.9335471789722033E-3</c:v>
                </c:pt>
                <c:pt idx="22">
                  <c:v>5.8679730568864759E-3</c:v>
                </c:pt>
                <c:pt idx="23">
                  <c:v>5.8058693637433037E-3</c:v>
                </c:pt>
                <c:pt idx="24">
                  <c:v>5.7469188930302333E-3</c:v>
                </c:pt>
              </c:numCache>
            </c:numRef>
          </c:yVal>
          <c:smooth val="0"/>
          <c:extLst>
            <c:ext xmlns:c16="http://schemas.microsoft.com/office/drawing/2014/chart" uri="{C3380CC4-5D6E-409C-BE32-E72D297353CC}">
              <c16:uniqueId val="{00000003-C70C-41E7-A4E6-58F2C7D95C30}"/>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2.3775814430963119E-2"/>
                  <c:y val="-6.660319138905476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EF25 P40'!$L$8:$L$13</c:f>
              <c:numCache>
                <c:formatCode>0.0E+00</c:formatCode>
                <c:ptCount val="6"/>
                <c:pt idx="0">
                  <c:v>13159.440966386555</c:v>
                </c:pt>
                <c:pt idx="1">
                  <c:v>19141.005042016808</c:v>
                </c:pt>
                <c:pt idx="2">
                  <c:v>25521.340056022411</c:v>
                </c:pt>
                <c:pt idx="3">
                  <c:v>31104.133193277317</c:v>
                </c:pt>
                <c:pt idx="4">
                  <c:v>36288.15539215687</c:v>
                </c:pt>
                <c:pt idx="5">
                  <c:v>42269.719467787116</c:v>
                </c:pt>
              </c:numCache>
            </c:numRef>
          </c:xVal>
          <c:yVal>
            <c:numRef>
              <c:f>'3 EF25 P40'!$I$8:$I$13</c:f>
              <c:numCache>
                <c:formatCode>General</c:formatCode>
                <c:ptCount val="6"/>
                <c:pt idx="0">
                  <c:v>1.173135483870968</c:v>
                </c:pt>
                <c:pt idx="1">
                  <c:v>2.8800709677419358</c:v>
                </c:pt>
                <c:pt idx="2">
                  <c:v>5.0789129032258078</c:v>
                </c:pt>
                <c:pt idx="3">
                  <c:v>7.3950096774193543</c:v>
                </c:pt>
                <c:pt idx="4">
                  <c:v>8.4357709677419361</c:v>
                </c:pt>
                <c:pt idx="5">
                  <c:v>8.5815516129032279</c:v>
                </c:pt>
              </c:numCache>
            </c:numRef>
          </c:yVal>
          <c:smooth val="0"/>
          <c:extLst>
            <c:ext xmlns:c16="http://schemas.microsoft.com/office/drawing/2014/chart" uri="{C3380CC4-5D6E-409C-BE32-E72D297353CC}">
              <c16:uniqueId val="{00000001-27A2-4DE8-BA49-C59FC6CB4802}"/>
            </c:ext>
          </c:extLst>
        </c:ser>
        <c:dLbls>
          <c:showLegendKey val="0"/>
          <c:showVal val="0"/>
          <c:showCatName val="0"/>
          <c:showSerName val="0"/>
          <c:showPercent val="0"/>
          <c:showBubbleSize val="0"/>
        </c:dLbls>
        <c:axId val="316297167"/>
        <c:axId val="475166127"/>
      </c:scatterChart>
      <c:valAx>
        <c:axId val="316297167"/>
        <c:scaling>
          <c:orientation val="minMax"/>
        </c:scaling>
        <c:delete val="0"/>
        <c:axPos val="b"/>
        <c:majorGridlines>
          <c:spPr>
            <a:ln w="9525" cap="flat" cmpd="sng" algn="ctr">
              <a:solidFill>
                <a:schemeClr val="tx1">
                  <a:lumMod val="15000"/>
                  <a:lumOff val="85000"/>
                </a:schemeClr>
              </a:solidFill>
              <a:round/>
            </a:ln>
            <a:effectLst/>
          </c:spPr>
        </c:majorGridlines>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166127"/>
        <c:crosses val="autoZero"/>
        <c:crossBetween val="midCat"/>
      </c:valAx>
      <c:valAx>
        <c:axId val="4751661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629716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Re vs u</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trendline>
            <c:spPr>
              <a:ln w="19050" cap="rnd">
                <a:solidFill>
                  <a:schemeClr val="accent1"/>
                </a:solidFill>
                <a:prstDash val="sysDot"/>
              </a:ln>
              <a:effectLst/>
            </c:spPr>
            <c:trendlineType val="linear"/>
            <c:dispRSqr val="0"/>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EF25 P40'!$L$9:$L$13</c:f>
              <c:numCache>
                <c:formatCode>0.0E+00</c:formatCode>
                <c:ptCount val="5"/>
                <c:pt idx="0">
                  <c:v>19141.005042016808</c:v>
                </c:pt>
                <c:pt idx="1">
                  <c:v>25521.340056022411</c:v>
                </c:pt>
                <c:pt idx="2">
                  <c:v>31104.133193277317</c:v>
                </c:pt>
                <c:pt idx="3">
                  <c:v>36288.15539215687</c:v>
                </c:pt>
                <c:pt idx="4">
                  <c:v>42269.719467787116</c:v>
                </c:pt>
              </c:numCache>
            </c:numRef>
          </c:xVal>
          <c:yVal>
            <c:numRef>
              <c:f>'3 EF25 P40'!$F$9:$F$13</c:f>
              <c:numCache>
                <c:formatCode>0.00</c:formatCode>
                <c:ptCount val="5"/>
                <c:pt idx="0">
                  <c:v>1.3333344</c:v>
                </c:pt>
                <c:pt idx="1">
                  <c:v>1.7777792000000001</c:v>
                </c:pt>
                <c:pt idx="2">
                  <c:v>2.1666684000000003</c:v>
                </c:pt>
                <c:pt idx="3">
                  <c:v>2.5277798000000002</c:v>
                </c:pt>
                <c:pt idx="4">
                  <c:v>2.9444468000000001</c:v>
                </c:pt>
              </c:numCache>
            </c:numRef>
          </c:yVal>
          <c:smooth val="0"/>
          <c:extLst>
            <c:ext xmlns:c16="http://schemas.microsoft.com/office/drawing/2014/chart" uri="{C3380CC4-5D6E-409C-BE32-E72D297353CC}">
              <c16:uniqueId val="{00000002-B448-4511-A8B9-91D9CF4B4130}"/>
            </c:ext>
          </c:extLst>
        </c:ser>
        <c:dLbls>
          <c:showLegendKey val="0"/>
          <c:showVal val="0"/>
          <c:showCatName val="0"/>
          <c:showSerName val="0"/>
          <c:showPercent val="0"/>
          <c:showBubbleSize val="0"/>
        </c:dLbls>
        <c:axId val="316297167"/>
        <c:axId val="475166127"/>
      </c:scatterChart>
      <c:valAx>
        <c:axId val="316297167"/>
        <c:scaling>
          <c:orientation val="minMax"/>
        </c:scaling>
        <c:delete val="0"/>
        <c:axPos val="b"/>
        <c:majorGridlines>
          <c:spPr>
            <a:ln w="9525" cap="flat" cmpd="sng" algn="ctr">
              <a:solidFill>
                <a:schemeClr val="tx1">
                  <a:lumMod val="15000"/>
                  <a:lumOff val="85000"/>
                </a:schemeClr>
              </a:solidFill>
              <a:round/>
            </a:ln>
            <a:effectLst/>
          </c:spPr>
        </c:majorGridlines>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166127"/>
        <c:crosses val="autoZero"/>
        <c:crossBetween val="midCat"/>
      </c:valAx>
      <c:valAx>
        <c:axId val="4751661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629716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08598608118161"/>
          <c:y val="4.3763676148796497E-2"/>
          <c:w val="0.82828789732495367"/>
          <c:h val="0.77957705555355417"/>
        </c:manualLayout>
      </c:layout>
      <c:scatterChart>
        <c:scatterStyle val="lineMarker"/>
        <c:varyColors val="0"/>
        <c:ser>
          <c:idx val="0"/>
          <c:order val="0"/>
          <c:tx>
            <c:v>Area Loading</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1"/>
            <c:dispEq val="1"/>
            <c:trendlineLbl>
              <c:layout>
                <c:manualLayout>
                  <c:x val="8.5529773927890906E-2"/>
                  <c:y val="3.25051990539662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EF25 P40'!$L$9:$L$13</c:f>
              <c:numCache>
                <c:formatCode>0.0E+00</c:formatCode>
                <c:ptCount val="5"/>
                <c:pt idx="0">
                  <c:v>19141.005042016808</c:v>
                </c:pt>
                <c:pt idx="1">
                  <c:v>25521.340056022411</c:v>
                </c:pt>
                <c:pt idx="2">
                  <c:v>31104.133193277317</c:v>
                </c:pt>
                <c:pt idx="3">
                  <c:v>36288.15539215687</c:v>
                </c:pt>
                <c:pt idx="4">
                  <c:v>42269.719467787116</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1-EB42-458B-BFF5-AAFB31A5C2B1}"/>
            </c:ext>
          </c:extLst>
        </c:ser>
        <c:ser>
          <c:idx val="1"/>
          <c:order val="1"/>
          <c:tx>
            <c:v>Perimeter Loading</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1"/>
            <c:dispEq val="1"/>
            <c:trendlineLbl>
              <c:layout>
                <c:manualLayout>
                  <c:x val="6.3051450244787866E-2"/>
                  <c:y val="6.463679239967798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EF25 P40'!$L$9:$L$13</c:f>
              <c:numCache>
                <c:formatCode>0.0E+00</c:formatCode>
                <c:ptCount val="5"/>
                <c:pt idx="0">
                  <c:v>19141.005042016808</c:v>
                </c:pt>
                <c:pt idx="1">
                  <c:v>25521.340056022411</c:v>
                </c:pt>
                <c:pt idx="2">
                  <c:v>31104.133193277317</c:v>
                </c:pt>
                <c:pt idx="3">
                  <c:v>36288.15539215687</c:v>
                </c:pt>
                <c:pt idx="4">
                  <c:v>42269.719467787116</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3-EB42-458B-BFF5-AAFB31A5C2B1}"/>
            </c:ext>
          </c:extLst>
        </c:ser>
        <c:ser>
          <c:idx val="2"/>
          <c:order val="2"/>
          <c:tx>
            <c:v>Elongation Loading</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1"/>
            <c:dispEq val="1"/>
            <c:trendlineLbl>
              <c:layout>
                <c:manualLayout>
                  <c:x val="8.1408721028838948E-2"/>
                  <c:y val="-0.4480664706827612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EF25 P40'!$L$9:$L$13</c:f>
              <c:numCache>
                <c:formatCode>0.0E+00</c:formatCode>
                <c:ptCount val="5"/>
                <c:pt idx="0">
                  <c:v>19141.005042016808</c:v>
                </c:pt>
                <c:pt idx="1">
                  <c:v>25521.340056022411</c:v>
                </c:pt>
                <c:pt idx="2">
                  <c:v>31104.133193277317</c:v>
                </c:pt>
                <c:pt idx="3">
                  <c:v>36288.15539215687</c:v>
                </c:pt>
                <c:pt idx="4">
                  <c:v>42269.719467787116</c:v>
                </c:pt>
              </c:numCache>
            </c:numRef>
          </c:xVal>
          <c:yVal>
            <c:numRef>
              <c:f>'2 EF25 P40'!#REF!</c:f>
              <c:numCache>
                <c:formatCode>General</c:formatCode>
                <c:ptCount val="1"/>
                <c:pt idx="0">
                  <c:v>1</c:v>
                </c:pt>
              </c:numCache>
            </c:numRef>
          </c:yVal>
          <c:smooth val="0"/>
          <c:extLst>
            <c:ext xmlns:c16="http://schemas.microsoft.com/office/drawing/2014/chart" uri="{C3380CC4-5D6E-409C-BE32-E72D297353CC}">
              <c16:uniqueId val="{00000005-EB42-458B-BFF5-AAFB31A5C2B1}"/>
            </c:ext>
          </c:extLst>
        </c:ser>
        <c:ser>
          <c:idx val="3"/>
          <c:order val="3"/>
          <c:tx>
            <c:v>Area Unloading</c:v>
          </c:tx>
          <c:spPr>
            <a:ln w="25400" cap="rnd">
              <a:noFill/>
              <a:round/>
            </a:ln>
            <a:effectLst/>
          </c:spPr>
          <c:marker>
            <c:symbol val="circle"/>
            <c:size val="5"/>
            <c:spPr>
              <a:solidFill>
                <a:schemeClr val="accent4"/>
              </a:solidFill>
              <a:ln w="9525">
                <a:solidFill>
                  <a:schemeClr val="accent4"/>
                </a:solidFill>
              </a:ln>
              <a:effectLst/>
            </c:spPr>
          </c:marker>
          <c:xVal>
            <c:numRef>
              <c:f>'3 EF25 P40'!$L$14:$L$19</c:f>
              <c:numCache>
                <c:formatCode>0.0E+00</c:formatCode>
                <c:ptCount val="6"/>
                <c:pt idx="0">
                  <c:v>42269.719467787116</c:v>
                </c:pt>
                <c:pt idx="1">
                  <c:v>36288.15539215687</c:v>
                </c:pt>
                <c:pt idx="2">
                  <c:v>30306.591316526607</c:v>
                </c:pt>
                <c:pt idx="3">
                  <c:v>24723.798179271707</c:v>
                </c:pt>
                <c:pt idx="4">
                  <c:v>19141.005042016808</c:v>
                </c:pt>
                <c:pt idx="5">
                  <c:v>13558.211904761905</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6-EB42-458B-BFF5-AAFB31A5C2B1}"/>
            </c:ext>
          </c:extLst>
        </c:ser>
        <c:ser>
          <c:idx val="4"/>
          <c:order val="4"/>
          <c:tx>
            <c:v>Perimeter Unloading</c:v>
          </c:tx>
          <c:spPr>
            <a:ln w="25400" cap="rnd">
              <a:noFill/>
              <a:round/>
            </a:ln>
            <a:effectLst/>
          </c:spPr>
          <c:marker>
            <c:symbol val="circle"/>
            <c:size val="5"/>
            <c:spPr>
              <a:solidFill>
                <a:schemeClr val="accent5"/>
              </a:solidFill>
              <a:ln w="9525">
                <a:solidFill>
                  <a:schemeClr val="accent5"/>
                </a:solidFill>
              </a:ln>
              <a:effectLst/>
            </c:spPr>
          </c:marker>
          <c:xVal>
            <c:numRef>
              <c:f>'3 EF25 P40'!$L$14:$L$19</c:f>
              <c:numCache>
                <c:formatCode>0.0E+00</c:formatCode>
                <c:ptCount val="6"/>
                <c:pt idx="0">
                  <c:v>42269.719467787116</c:v>
                </c:pt>
                <c:pt idx="1">
                  <c:v>36288.15539215687</c:v>
                </c:pt>
                <c:pt idx="2">
                  <c:v>30306.591316526607</c:v>
                </c:pt>
                <c:pt idx="3">
                  <c:v>24723.798179271707</c:v>
                </c:pt>
                <c:pt idx="4">
                  <c:v>19141.005042016808</c:v>
                </c:pt>
                <c:pt idx="5">
                  <c:v>13558.211904761905</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7-EB42-458B-BFF5-AAFB31A5C2B1}"/>
            </c:ext>
          </c:extLst>
        </c:ser>
        <c:ser>
          <c:idx val="5"/>
          <c:order val="5"/>
          <c:tx>
            <c:v>Elongation Unloading</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1"/>
            <c:dispEq val="1"/>
            <c:trendlineLbl>
              <c:layout>
                <c:manualLayout>
                  <c:x val="-0.42601223288423129"/>
                  <c:y val="3.810721138849240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EF25 P40'!$L$14:$L$19</c:f>
              <c:numCache>
                <c:formatCode>0.0E+00</c:formatCode>
                <c:ptCount val="6"/>
                <c:pt idx="0">
                  <c:v>42269.719467787116</c:v>
                </c:pt>
                <c:pt idx="1">
                  <c:v>36288.15539215687</c:v>
                </c:pt>
                <c:pt idx="2">
                  <c:v>30306.591316526607</c:v>
                </c:pt>
                <c:pt idx="3">
                  <c:v>24723.798179271707</c:v>
                </c:pt>
                <c:pt idx="4">
                  <c:v>19141.005042016808</c:v>
                </c:pt>
                <c:pt idx="5">
                  <c:v>13558.211904761905</c:v>
                </c:pt>
              </c:numCache>
            </c:numRef>
          </c:xVal>
          <c:yVal>
            <c:numRef>
              <c:f>'2 EF25 P40'!#REF!</c:f>
              <c:numCache>
                <c:formatCode>General</c:formatCode>
                <c:ptCount val="1"/>
                <c:pt idx="0">
                  <c:v>1</c:v>
                </c:pt>
              </c:numCache>
            </c:numRef>
          </c:yVal>
          <c:smooth val="0"/>
          <c:extLst>
            <c:ext xmlns:c16="http://schemas.microsoft.com/office/drawing/2014/chart" uri="{C3380CC4-5D6E-409C-BE32-E72D297353CC}">
              <c16:uniqueId val="{00000009-EB42-458B-BFF5-AAFB31A5C2B1}"/>
            </c:ext>
          </c:extLst>
        </c:ser>
        <c:dLbls>
          <c:showLegendKey val="0"/>
          <c:showVal val="0"/>
          <c:showCatName val="0"/>
          <c:showSerName val="0"/>
          <c:showPercent val="0"/>
          <c:showBubbleSize val="0"/>
        </c:dLbls>
        <c:axId val="1172848367"/>
        <c:axId val="1448508735"/>
        <c:extLst/>
      </c:scatterChart>
      <c:valAx>
        <c:axId val="11728483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8508735"/>
        <c:crosses val="autoZero"/>
        <c:crossBetween val="midCat"/>
      </c:valAx>
      <c:valAx>
        <c:axId val="1448508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Elongation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84836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08598608118161"/>
          <c:y val="4.3763676148796497E-2"/>
          <c:w val="0.82828789732495367"/>
          <c:h val="0.77957705555355417"/>
        </c:manualLayout>
      </c:layout>
      <c:scatterChart>
        <c:scatterStyle val="lineMarker"/>
        <c:varyColors val="0"/>
        <c:ser>
          <c:idx val="0"/>
          <c:order val="0"/>
          <c:tx>
            <c:v>Area Loading</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1"/>
            <c:dispEq val="1"/>
            <c:trendlineLbl>
              <c:layout>
                <c:manualLayout>
                  <c:x val="8.5529773927890906E-2"/>
                  <c:y val="3.25051990539662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EF25 P40'!$L$9:$L$13</c:f>
              <c:numCache>
                <c:formatCode>0.0E+00</c:formatCode>
                <c:ptCount val="5"/>
                <c:pt idx="0">
                  <c:v>19141.005042016808</c:v>
                </c:pt>
                <c:pt idx="1">
                  <c:v>25521.340056022411</c:v>
                </c:pt>
                <c:pt idx="2">
                  <c:v>31104.133193277317</c:v>
                </c:pt>
                <c:pt idx="3">
                  <c:v>36288.15539215687</c:v>
                </c:pt>
                <c:pt idx="4">
                  <c:v>42269.719467787116</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1-7B19-400E-8DD2-58B1A4DCAC1F}"/>
            </c:ext>
          </c:extLst>
        </c:ser>
        <c:ser>
          <c:idx val="1"/>
          <c:order val="1"/>
          <c:tx>
            <c:v>Perimeter Loading</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1"/>
            <c:dispEq val="1"/>
            <c:trendlineLbl>
              <c:layout>
                <c:manualLayout>
                  <c:x val="0.11551530724962839"/>
                  <c:y val="0.3495300381305410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EF25 P40'!$L$9:$L$13</c:f>
              <c:numCache>
                <c:formatCode>0.0E+00</c:formatCode>
                <c:ptCount val="5"/>
                <c:pt idx="0">
                  <c:v>19141.005042016808</c:v>
                </c:pt>
                <c:pt idx="1">
                  <c:v>25521.340056022411</c:v>
                </c:pt>
                <c:pt idx="2">
                  <c:v>31104.133193277317</c:v>
                </c:pt>
                <c:pt idx="3">
                  <c:v>36288.15539215687</c:v>
                </c:pt>
                <c:pt idx="4">
                  <c:v>42269.719467787116</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3-7B19-400E-8DD2-58B1A4DCAC1F}"/>
            </c:ext>
          </c:extLst>
        </c:ser>
        <c:ser>
          <c:idx val="2"/>
          <c:order val="2"/>
          <c:tx>
            <c:v>Elongation Loading</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1"/>
            <c:dispEq val="1"/>
            <c:trendlineLbl>
              <c:layout>
                <c:manualLayout>
                  <c:x val="8.1408721028838948E-2"/>
                  <c:y val="-0.4480664706827612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EF25 P40'!$L$9:$L$13</c:f>
              <c:numCache>
                <c:formatCode>0.0E+00</c:formatCode>
                <c:ptCount val="5"/>
                <c:pt idx="0">
                  <c:v>19141.005042016808</c:v>
                </c:pt>
                <c:pt idx="1">
                  <c:v>25521.340056022411</c:v>
                </c:pt>
                <c:pt idx="2">
                  <c:v>31104.133193277317</c:v>
                </c:pt>
                <c:pt idx="3">
                  <c:v>36288.15539215687</c:v>
                </c:pt>
                <c:pt idx="4">
                  <c:v>42269.719467787116</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5-7B19-400E-8DD2-58B1A4DCAC1F}"/>
            </c:ext>
          </c:extLst>
        </c:ser>
        <c:ser>
          <c:idx val="3"/>
          <c:order val="3"/>
          <c:tx>
            <c:v>Area Unloading</c:v>
          </c:tx>
          <c:spPr>
            <a:ln w="25400" cap="rnd">
              <a:noFill/>
              <a:round/>
            </a:ln>
            <a:effectLst/>
          </c:spPr>
          <c:marker>
            <c:symbol val="circle"/>
            <c:size val="5"/>
            <c:spPr>
              <a:solidFill>
                <a:schemeClr val="accent4"/>
              </a:solidFill>
              <a:ln w="9525">
                <a:solidFill>
                  <a:schemeClr val="accent4"/>
                </a:solidFill>
              </a:ln>
              <a:effectLst/>
            </c:spPr>
          </c:marker>
          <c:xVal>
            <c:numRef>
              <c:f>'3 EF25 P40'!$L$14:$L$19</c:f>
              <c:numCache>
                <c:formatCode>0.0E+00</c:formatCode>
                <c:ptCount val="6"/>
                <c:pt idx="0">
                  <c:v>42269.719467787116</c:v>
                </c:pt>
                <c:pt idx="1">
                  <c:v>36288.15539215687</c:v>
                </c:pt>
                <c:pt idx="2">
                  <c:v>30306.591316526607</c:v>
                </c:pt>
                <c:pt idx="3">
                  <c:v>24723.798179271707</c:v>
                </c:pt>
                <c:pt idx="4">
                  <c:v>19141.005042016808</c:v>
                </c:pt>
                <c:pt idx="5">
                  <c:v>13558.211904761905</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6-7B19-400E-8DD2-58B1A4DCAC1F}"/>
            </c:ext>
          </c:extLst>
        </c:ser>
        <c:ser>
          <c:idx val="4"/>
          <c:order val="4"/>
          <c:tx>
            <c:v>Perimeter Unloading</c:v>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poly"/>
            <c:order val="2"/>
            <c:dispRSqr val="1"/>
            <c:dispEq val="1"/>
            <c:trendlineLbl>
              <c:layout>
                <c:manualLayout>
                  <c:x val="0.16379511400628177"/>
                  <c:y val="-0.15135629035875764"/>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EF25 P40'!$L$14:$L$19</c:f>
              <c:numCache>
                <c:formatCode>0.0E+00</c:formatCode>
                <c:ptCount val="6"/>
                <c:pt idx="0">
                  <c:v>42269.719467787116</c:v>
                </c:pt>
                <c:pt idx="1">
                  <c:v>36288.15539215687</c:v>
                </c:pt>
                <c:pt idx="2">
                  <c:v>30306.591316526607</c:v>
                </c:pt>
                <c:pt idx="3">
                  <c:v>24723.798179271707</c:v>
                </c:pt>
                <c:pt idx="4">
                  <c:v>19141.005042016808</c:v>
                </c:pt>
                <c:pt idx="5">
                  <c:v>13558.211904761905</c:v>
                </c:pt>
              </c:numCache>
            </c:numRef>
          </c:xVal>
          <c:yVal>
            <c:numRef>
              <c:f>'2 EF25 P40'!#REF!</c:f>
              <c:numCache>
                <c:formatCode>General</c:formatCode>
                <c:ptCount val="1"/>
                <c:pt idx="0">
                  <c:v>1</c:v>
                </c:pt>
              </c:numCache>
            </c:numRef>
          </c:yVal>
          <c:smooth val="0"/>
          <c:extLst>
            <c:ext xmlns:c16="http://schemas.microsoft.com/office/drawing/2014/chart" uri="{C3380CC4-5D6E-409C-BE32-E72D297353CC}">
              <c16:uniqueId val="{00000008-7B19-400E-8DD2-58B1A4DCAC1F}"/>
            </c:ext>
          </c:extLst>
        </c:ser>
        <c:ser>
          <c:idx val="5"/>
          <c:order val="5"/>
          <c:tx>
            <c:v>Elongation Unloading</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1"/>
            <c:dispEq val="1"/>
            <c:trendlineLbl>
              <c:layout>
                <c:manualLayout>
                  <c:x val="-0.42601223288423129"/>
                  <c:y val="3.810721138849240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EF25 P40'!$L$14:$L$19</c:f>
              <c:numCache>
                <c:formatCode>0.0E+00</c:formatCode>
                <c:ptCount val="6"/>
                <c:pt idx="0">
                  <c:v>42269.719467787116</c:v>
                </c:pt>
                <c:pt idx="1">
                  <c:v>36288.15539215687</c:v>
                </c:pt>
                <c:pt idx="2">
                  <c:v>30306.591316526607</c:v>
                </c:pt>
                <c:pt idx="3">
                  <c:v>24723.798179271707</c:v>
                </c:pt>
                <c:pt idx="4">
                  <c:v>19141.005042016808</c:v>
                </c:pt>
                <c:pt idx="5">
                  <c:v>13558.211904761905</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A-7B19-400E-8DD2-58B1A4DCAC1F}"/>
            </c:ext>
          </c:extLst>
        </c:ser>
        <c:dLbls>
          <c:showLegendKey val="0"/>
          <c:showVal val="0"/>
          <c:showCatName val="0"/>
          <c:showSerName val="0"/>
          <c:showPercent val="0"/>
          <c:showBubbleSize val="0"/>
        </c:dLbls>
        <c:axId val="1172848367"/>
        <c:axId val="1448508735"/>
        <c:extLst/>
      </c:scatterChart>
      <c:valAx>
        <c:axId val="11728483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8508735"/>
        <c:crosses val="autoZero"/>
        <c:crossBetween val="midCat"/>
      </c:valAx>
      <c:valAx>
        <c:axId val="1448508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Perimeter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84836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'4 EF25 P40'!$G$7:$G$12</c:f>
              <c:numCache>
                <c:formatCode>0.00</c:formatCode>
                <c:ptCount val="6"/>
                <c:pt idx="0">
                  <c:v>0</c:v>
                </c:pt>
                <c:pt idx="1">
                  <c:v>1.05632885061796</c:v>
                </c:pt>
                <c:pt idx="2">
                  <c:v>2.2500036000014401</c:v>
                </c:pt>
                <c:pt idx="3">
                  <c:v>3.5679069432121597</c:v>
                </c:pt>
                <c:pt idx="4">
                  <c:v>5.3155949246947607</c:v>
                </c:pt>
                <c:pt idx="5">
                  <c:v>7.5625121000048399</c:v>
                </c:pt>
              </c:numCache>
            </c:numRef>
          </c:xVal>
          <c:yVal>
            <c:numRef>
              <c:f>'4 EF25 P40'!$K$7:$K$12</c:f>
              <c:numCache>
                <c:formatCode>0</c:formatCode>
                <c:ptCount val="6"/>
                <c:pt idx="0">
                  <c:v>0</c:v>
                </c:pt>
                <c:pt idx="1">
                  <c:v>1611.7612903225809</c:v>
                </c:pt>
                <c:pt idx="2">
                  <c:v>3891.1741935483883</c:v>
                </c:pt>
                <c:pt idx="3">
                  <c:v>6287.4935483870968</c:v>
                </c:pt>
                <c:pt idx="4">
                  <c:v>8093.2967741935499</c:v>
                </c:pt>
                <c:pt idx="5">
                  <c:v>8451.6387096774197</c:v>
                </c:pt>
              </c:numCache>
            </c:numRef>
          </c:yVal>
          <c:smooth val="0"/>
          <c:extLst>
            <c:ext xmlns:c16="http://schemas.microsoft.com/office/drawing/2014/chart" uri="{C3380CC4-5D6E-409C-BE32-E72D297353CC}">
              <c16:uniqueId val="{00000001-A175-47F5-98BF-6DF4602320CE}"/>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'4 EF25 P40'!$O$6</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'4 EF25 P40'!$L$8:$L$12</c:f>
              <c:numCache>
                <c:formatCode>0.0E+00</c:formatCode>
                <c:ptCount val="5"/>
                <c:pt idx="0">
                  <c:v>15153.295658263301</c:v>
                </c:pt>
                <c:pt idx="1">
                  <c:v>22115.620690438333</c:v>
                </c:pt>
                <c:pt idx="2">
                  <c:v>27849.300128700121</c:v>
                </c:pt>
                <c:pt idx="3">
                  <c:v>33992.528098266324</c:v>
                </c:pt>
                <c:pt idx="4">
                  <c:v>40545.304599136944</c:v>
                </c:pt>
              </c:numCache>
            </c:numRef>
          </c:xVal>
          <c:yVal>
            <c:numRef>
              <c:f>'4 EF25 P40'!$O$8:$O$12</c:f>
              <c:numCache>
                <c:formatCode>0.000</c:formatCode>
                <c:ptCount val="5"/>
                <c:pt idx="0">
                  <c:v>1.485471661549281E-2</c:v>
                </c:pt>
                <c:pt idx="1">
                  <c:v>1.6836827078833511E-2</c:v>
                </c:pt>
                <c:pt idx="2">
                  <c:v>1.7156426150670107E-2</c:v>
                </c:pt>
                <c:pt idx="3">
                  <c:v>1.4823009239414781E-2</c:v>
                </c:pt>
                <c:pt idx="4">
                  <c:v>1.08802188874473E-2</c:v>
                </c:pt>
              </c:numCache>
            </c:numRef>
          </c:yVal>
          <c:smooth val="0"/>
          <c:extLst>
            <c:ext xmlns:c16="http://schemas.microsoft.com/office/drawing/2014/chart" uri="{C3380CC4-5D6E-409C-BE32-E72D297353CC}">
              <c16:uniqueId val="{00000001-EDED-485D-B34A-07CA0325B204}"/>
            </c:ext>
          </c:extLst>
        </c:ser>
        <c:ser>
          <c:idx val="1"/>
          <c:order val="1"/>
          <c:tx>
            <c:strRef>
              <c:f>'4 EF25 P40'!$T$6</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'4 EF25 P40'!$S$8:$S$32</c:f>
              <c:numCache>
                <c:formatCode>0.00000</c:formatCode>
                <c:ptCount val="25"/>
                <c:pt idx="0">
                  <c:v>1474.3735331970622</c:v>
                </c:pt>
                <c:pt idx="1">
                  <c:v>2948.7470663941244</c:v>
                </c:pt>
                <c:pt idx="2">
                  <c:v>4423.120599591186</c:v>
                </c:pt>
                <c:pt idx="3">
                  <c:v>5897.4941327882489</c:v>
                </c:pt>
                <c:pt idx="4">
                  <c:v>7371.8676659853109</c:v>
                </c:pt>
                <c:pt idx="5">
                  <c:v>8846.2411991823719</c:v>
                </c:pt>
                <c:pt idx="6">
                  <c:v>10320.614732379436</c:v>
                </c:pt>
                <c:pt idx="7">
                  <c:v>11794.988265576498</c:v>
                </c:pt>
                <c:pt idx="8">
                  <c:v>13269.361798773562</c:v>
                </c:pt>
                <c:pt idx="9">
                  <c:v>14743.735331970622</c:v>
                </c:pt>
                <c:pt idx="10">
                  <c:v>16218.108865167686</c:v>
                </c:pt>
                <c:pt idx="11">
                  <c:v>17692.482398364744</c:v>
                </c:pt>
                <c:pt idx="12">
                  <c:v>19166.855931561811</c:v>
                </c:pt>
                <c:pt idx="13">
                  <c:v>20641.229464758871</c:v>
                </c:pt>
                <c:pt idx="14">
                  <c:v>22115.602997955935</c:v>
                </c:pt>
                <c:pt idx="15">
                  <c:v>23589.976531152995</c:v>
                </c:pt>
                <c:pt idx="16">
                  <c:v>25064.350064350056</c:v>
                </c:pt>
                <c:pt idx="17">
                  <c:v>26538.723597547123</c:v>
                </c:pt>
                <c:pt idx="18">
                  <c:v>28013.097130744183</c:v>
                </c:pt>
                <c:pt idx="19">
                  <c:v>29487.470663941243</c:v>
                </c:pt>
                <c:pt idx="20">
                  <c:v>30961.844197138311</c:v>
                </c:pt>
                <c:pt idx="21">
                  <c:v>32436.217730335371</c:v>
                </c:pt>
                <c:pt idx="22">
                  <c:v>33910.591263532428</c:v>
                </c:pt>
                <c:pt idx="23">
                  <c:v>35384.964796729488</c:v>
                </c:pt>
                <c:pt idx="24">
                  <c:v>36859.338329926555</c:v>
                </c:pt>
              </c:numCache>
            </c:numRef>
          </c:xVal>
          <c:yVal>
            <c:numRef>
              <c:f>'4 EF25 P40'!$U$8:$U$32</c:f>
              <c:numCache>
                <c:formatCode>0.00000</c:formatCode>
                <c:ptCount val="25"/>
                <c:pt idx="0">
                  <c:v>1.2765111186900227E-2</c:v>
                </c:pt>
                <c:pt idx="1">
                  <c:v>1.0734136237379489E-2</c:v>
                </c:pt>
                <c:pt idx="2">
                  <c:v>9.6993870111171474E-3</c:v>
                </c:pt>
                <c:pt idx="3">
                  <c:v>9.0262966828574109E-3</c:v>
                </c:pt>
                <c:pt idx="4">
                  <c:v>8.536544348185595E-3</c:v>
                </c:pt>
                <c:pt idx="5">
                  <c:v>8.1561797678068506E-3</c:v>
                </c:pt>
                <c:pt idx="6">
                  <c:v>7.8478391288119148E-3</c:v>
                </c:pt>
                <c:pt idx="7">
                  <c:v>7.5901805236312904E-3</c:v>
                </c:pt>
                <c:pt idx="8">
                  <c:v>7.3699403799923494E-3</c:v>
                </c:pt>
                <c:pt idx="9">
                  <c:v>7.1783495410436236E-3</c:v>
                </c:pt>
                <c:pt idx="10">
                  <c:v>7.0093287664781141E-3</c:v>
                </c:pt>
                <c:pt idx="11">
                  <c:v>6.858502328913654E-3</c:v>
                </c:pt>
                <c:pt idx="12">
                  <c:v>6.7226231063910423E-3</c:v>
                </c:pt>
                <c:pt idx="13">
                  <c:v>6.5992197909057722E-3</c:v>
                </c:pt>
                <c:pt idx="14">
                  <c:v>6.4863710278988294E-3</c:v>
                </c:pt>
                <c:pt idx="15">
                  <c:v>6.3825555934501144E-3</c:v>
                </c:pt>
                <c:pt idx="16">
                  <c:v>6.2865499645722639E-3</c:v>
                </c:pt>
                <c:pt idx="17">
                  <c:v>6.1973564461691661E-3</c:v>
                </c:pt>
                <c:pt idx="18">
                  <c:v>6.1141515843799333E-3</c:v>
                </c:pt>
                <c:pt idx="19">
                  <c:v>6.0362483965017292E-3</c:v>
                </c:pt>
                <c:pt idx="20">
                  <c:v>5.9630682253241961E-3</c:v>
                </c:pt>
                <c:pt idx="21">
                  <c:v>5.8941194330661868E-3</c:v>
                </c:pt>
                <c:pt idx="22">
                  <c:v>5.8289810435609244E-3</c:v>
                </c:pt>
                <c:pt idx="23">
                  <c:v>5.7672900223927461E-3</c:v>
                </c:pt>
                <c:pt idx="24">
                  <c:v>5.7087312708503871E-3</c:v>
                </c:pt>
              </c:numCache>
            </c:numRef>
          </c:yVal>
          <c:smooth val="0"/>
          <c:extLst>
            <c:ext xmlns:c16="http://schemas.microsoft.com/office/drawing/2014/chart" uri="{C3380CC4-5D6E-409C-BE32-E72D297353CC}">
              <c16:uniqueId val="{00000003-EDED-485D-B34A-07CA0325B204}"/>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2.3775814430963119E-2"/>
                  <c:y val="-6.660319138905476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'4 EF25 P40'!$L$8:$L$13</c:f>
              <c:numCache>
                <c:formatCode>0.0E+00</c:formatCode>
                <c:ptCount val="6"/>
                <c:pt idx="0">
                  <c:v>15153.295658263301</c:v>
                </c:pt>
                <c:pt idx="1">
                  <c:v>22115.620690438333</c:v>
                </c:pt>
                <c:pt idx="2">
                  <c:v>27849.300128700121</c:v>
                </c:pt>
                <c:pt idx="3">
                  <c:v>33992.528098266324</c:v>
                </c:pt>
                <c:pt idx="4">
                  <c:v>40545.304599136944</c:v>
                </c:pt>
                <c:pt idx="5">
                  <c:v>0</c:v>
                </c:pt>
              </c:numCache>
            </c:numRef>
          </c:xVal>
          <c:yVal>
            <c:numRef>
              <c:f>'4 EF25 P40'!$I$8:$I$13</c:f>
              <c:numCache>
                <c:formatCode>General</c:formatCode>
                <c:ptCount val="6"/>
                <c:pt idx="0">
                  <c:v>1.6117612903225809</c:v>
                </c:pt>
                <c:pt idx="1">
                  <c:v>3.8911741935483883</c:v>
                </c:pt>
                <c:pt idx="2">
                  <c:v>6.2874935483870971</c:v>
                </c:pt>
                <c:pt idx="3">
                  <c:v>8.0932967741935506</c:v>
                </c:pt>
                <c:pt idx="4">
                  <c:v>8.4516387096774199</c:v>
                </c:pt>
              </c:numCache>
            </c:numRef>
          </c:yVal>
          <c:smooth val="0"/>
          <c:extLst>
            <c:ext xmlns:c16="http://schemas.microsoft.com/office/drawing/2014/chart" uri="{C3380CC4-5D6E-409C-BE32-E72D297353CC}">
              <c16:uniqueId val="{00000001-6D32-4909-9F98-E7D2AF7FA98C}"/>
            </c:ext>
          </c:extLst>
        </c:ser>
        <c:dLbls>
          <c:showLegendKey val="0"/>
          <c:showVal val="0"/>
          <c:showCatName val="0"/>
          <c:showSerName val="0"/>
          <c:showPercent val="0"/>
          <c:showBubbleSize val="0"/>
        </c:dLbls>
        <c:axId val="316297167"/>
        <c:axId val="475166127"/>
      </c:scatterChart>
      <c:valAx>
        <c:axId val="316297167"/>
        <c:scaling>
          <c:orientation val="minMax"/>
        </c:scaling>
        <c:delete val="0"/>
        <c:axPos val="b"/>
        <c:majorGridlines>
          <c:spPr>
            <a:ln w="9525" cap="flat" cmpd="sng" algn="ctr">
              <a:solidFill>
                <a:schemeClr val="tx1">
                  <a:lumMod val="15000"/>
                  <a:lumOff val="85000"/>
                </a:schemeClr>
              </a:solidFill>
              <a:round/>
            </a:ln>
            <a:effectLst/>
          </c:spPr>
        </c:majorGridlines>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166127"/>
        <c:crosses val="autoZero"/>
        <c:crossBetween val="midCat"/>
      </c:valAx>
      <c:valAx>
        <c:axId val="4751661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629716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7.5032109169069633E-2"/>
          <c:y val="1.945556828191353E-2"/>
          <c:w val="0.76928707979858169"/>
          <c:h val="0.91315095555561809"/>
        </c:manualLayout>
      </c:layout>
      <c:scatterChart>
        <c:scatterStyle val="lineMarker"/>
        <c:varyColors val="0"/>
        <c:ser>
          <c:idx val="8"/>
          <c:order val="7"/>
          <c:tx>
            <c:v>Elastomer Smooth</c:v>
          </c:tx>
          <c:spPr>
            <a:ln w="25400" cap="rnd">
              <a:noFill/>
              <a:round/>
            </a:ln>
            <a:effectLst/>
          </c:spPr>
          <c:marker>
            <c:symbol val="triangle"/>
            <c:size val="5"/>
            <c:spPr>
              <a:noFill/>
              <a:ln w="9525">
                <a:solidFill>
                  <a:schemeClr val="dk1">
                    <a:tint val="55000"/>
                  </a:schemeClr>
                </a:solidFill>
              </a:ln>
              <a:effectLst/>
            </c:spPr>
          </c:marker>
          <c:xVal>
            <c:numRef>
              <c:f>'MMHSE flat AVG'!$L$8:$L$12</c:f>
              <c:numCache>
                <c:formatCode>0.0E+00</c:formatCode>
                <c:ptCount val="5"/>
                <c:pt idx="0">
                  <c:v>24733.809165172341</c:v>
                </c:pt>
                <c:pt idx="1">
                  <c:v>31541.279577605099</c:v>
                </c:pt>
                <c:pt idx="2">
                  <c:v>38802.581350866705</c:v>
                </c:pt>
                <c:pt idx="3">
                  <c:v>46971.545845786015</c:v>
                </c:pt>
                <c:pt idx="4">
                  <c:v>52871.353536561066</c:v>
                </c:pt>
              </c:numCache>
              <c:extLst xmlns:c15="http://schemas.microsoft.com/office/drawing/2012/chart"/>
            </c:numRef>
          </c:xVal>
          <c:yVal>
            <c:numRef>
              <c:f>'MMHSE flat AVG'!$O$8:$O$12</c:f>
              <c:numCache>
                <c:formatCode>0.000</c:formatCode>
                <c:ptCount val="5"/>
                <c:pt idx="0">
                  <c:v>7.9919512554307154E-3</c:v>
                </c:pt>
                <c:pt idx="1">
                  <c:v>7.6143534622810276E-3</c:v>
                </c:pt>
                <c:pt idx="2">
                  <c:v>7.2699028256832353E-3</c:v>
                </c:pt>
                <c:pt idx="3">
                  <c:v>6.8600008124494851E-3</c:v>
                </c:pt>
                <c:pt idx="4">
                  <c:v>6.5583043169987199E-3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2-FD3E-4862-B12B-46FAEDF777B6}"/>
            </c:ext>
          </c:extLst>
        </c:ser>
        <c:ser>
          <c:idx val="10"/>
          <c:order val="8"/>
          <c:tx>
            <c:v>Elastomer P240</c:v>
          </c:tx>
          <c:spPr>
            <a:ln w="25400" cap="rnd">
              <a:noFill/>
              <a:round/>
            </a:ln>
            <a:effectLst/>
          </c:spPr>
          <c:marker>
            <c:symbol val="square"/>
            <c:size val="5"/>
            <c:spPr>
              <a:noFill/>
              <a:ln w="9525">
                <a:solidFill>
                  <a:schemeClr val="dk1">
                    <a:tint val="98500"/>
                  </a:schemeClr>
                </a:solidFill>
              </a:ln>
              <a:effectLst/>
            </c:spPr>
          </c:marker>
          <c:xVal>
            <c:numRef>
              <c:f>'MMHSE P240 AVG'!$L$8:$L$11</c:f>
              <c:numCache>
                <c:formatCode>0.0E+00</c:formatCode>
                <c:ptCount val="4"/>
                <c:pt idx="0">
                  <c:v>18828.41348329734</c:v>
                </c:pt>
                <c:pt idx="1">
                  <c:v>24891.800876223599</c:v>
                </c:pt>
                <c:pt idx="2">
                  <c:v>31832.783812862872</c:v>
                </c:pt>
                <c:pt idx="3">
                  <c:v>37816.389792724316</c:v>
                </c:pt>
              </c:numCache>
              <c:extLst xmlns:c15="http://schemas.microsoft.com/office/drawing/2012/chart"/>
            </c:numRef>
          </c:xVal>
          <c:yVal>
            <c:numRef>
              <c:f>'MMHSE P240 AVG'!$O$8:$O$11</c:f>
              <c:numCache>
                <c:formatCode>0.000</c:formatCode>
                <c:ptCount val="4"/>
                <c:pt idx="0">
                  <c:v>1.438557933187895E-2</c:v>
                </c:pt>
                <c:pt idx="1">
                  <c:v>1.3673141980240184E-2</c:v>
                </c:pt>
                <c:pt idx="2">
                  <c:v>9.9228677402318291E-3</c:v>
                </c:pt>
                <c:pt idx="3">
                  <c:v>1.000637253343376E-2</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4-FD3E-4862-B12B-46FAEDF777B6}"/>
            </c:ext>
          </c:extLst>
        </c:ser>
        <c:ser>
          <c:idx val="7"/>
          <c:order val="9"/>
          <c:tx>
            <c:v>Elastomer P80</c:v>
          </c:tx>
          <c:spPr>
            <a:ln w="25400" cap="rnd">
              <a:noFill/>
              <a:round/>
            </a:ln>
            <a:effectLst/>
          </c:spPr>
          <c:marker>
            <c:symbol val="circle"/>
            <c:size val="5"/>
            <c:spPr>
              <a:noFill/>
              <a:ln w="9525">
                <a:solidFill>
                  <a:schemeClr val="dk1">
                    <a:tint val="88500"/>
                  </a:schemeClr>
                </a:solidFill>
              </a:ln>
              <a:effectLst/>
            </c:spPr>
          </c:marker>
          <c:xVal>
            <c:numRef>
              <c:f>'MMHSE P80 AVGS'!$L$8:$L$12</c:f>
              <c:numCache>
                <c:formatCode>0.0E+00</c:formatCode>
                <c:ptCount val="5"/>
                <c:pt idx="0">
                  <c:v>18801.896461659773</c:v>
                </c:pt>
                <c:pt idx="1">
                  <c:v>24835.340848610296</c:v>
                </c:pt>
                <c:pt idx="2">
                  <c:v>30447.8472550759</c:v>
                </c:pt>
                <c:pt idx="3">
                  <c:v>34727.383390005925</c:v>
                </c:pt>
                <c:pt idx="4">
                  <c:v>39568.170165582502</c:v>
                </c:pt>
              </c:numCache>
              <c:extLst xmlns:c15="http://schemas.microsoft.com/office/drawing/2012/chart"/>
            </c:numRef>
          </c:xVal>
          <c:yVal>
            <c:numRef>
              <c:f>'MMHSE P80 AVGS'!$O$8:$O$12</c:f>
              <c:numCache>
                <c:formatCode>0.000</c:formatCode>
                <c:ptCount val="5"/>
                <c:pt idx="0">
                  <c:v>1.6904693184688124E-2</c:v>
                </c:pt>
                <c:pt idx="1">
                  <c:v>1.6167390968992418E-2</c:v>
                </c:pt>
                <c:pt idx="2">
                  <c:v>1.5215475539243689E-2</c:v>
                </c:pt>
                <c:pt idx="3">
                  <c:v>9.2263514973087574E-3</c:v>
                </c:pt>
                <c:pt idx="4">
                  <c:v>1.0654202599924757E-2</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6-FD3E-4862-B12B-46FAEDF777B6}"/>
            </c:ext>
          </c:extLst>
        </c:ser>
        <c:ser>
          <c:idx val="1"/>
          <c:order val="10"/>
          <c:tx>
            <c:v>Elastomer P40</c:v>
          </c:tx>
          <c:spPr>
            <a:ln w="25400" cap="rnd">
              <a:noFill/>
              <a:round/>
            </a:ln>
            <a:effectLst/>
          </c:spPr>
          <c:marker>
            <c:symbol val="dash"/>
            <c:size val="5"/>
            <c:spPr>
              <a:noFill/>
              <a:ln w="9525">
                <a:solidFill>
                  <a:schemeClr val="dk1">
                    <a:tint val="55000"/>
                  </a:schemeClr>
                </a:solidFill>
              </a:ln>
              <a:effectLst/>
            </c:spPr>
          </c:marker>
          <c:xVal>
            <c:numRef>
              <c:f>'MMHSE P40 AVGS'!$L$9:$L$13</c:f>
              <c:numCache>
                <c:formatCode>0.0E+00</c:formatCode>
                <c:ptCount val="5"/>
                <c:pt idx="0">
                  <c:v>19770.201514312095</c:v>
                </c:pt>
                <c:pt idx="1">
                  <c:v>25518.983514927677</c:v>
                </c:pt>
                <c:pt idx="2">
                  <c:v>31548.193905817174</c:v>
                </c:pt>
                <c:pt idx="3">
                  <c:v>36736.119125884892</c:v>
                </c:pt>
                <c:pt idx="4">
                  <c:v>44167.471468144046</c:v>
                </c:pt>
              </c:numCache>
              <c:extLst xmlns:c15="http://schemas.microsoft.com/office/drawing/2012/chart"/>
            </c:numRef>
          </c:xVal>
          <c:yVal>
            <c:numRef>
              <c:f>'MMHSE P40 AVGS'!$O$9:$O$13</c:f>
              <c:numCache>
                <c:formatCode>0.000</c:formatCode>
                <c:ptCount val="5"/>
                <c:pt idx="0">
                  <c:v>1.5008220187502492E-2</c:v>
                </c:pt>
                <c:pt idx="1">
                  <c:v>1.5006721088056956E-2</c:v>
                </c:pt>
                <c:pt idx="2">
                  <c:v>1.4420842650896113E-2</c:v>
                </c:pt>
                <c:pt idx="3">
                  <c:v>1.2274729939700709E-2</c:v>
                </c:pt>
                <c:pt idx="4">
                  <c:v>7.1106485889659296E-3</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17-FD3E-4862-B12B-46FAEDF777B6}"/>
            </c:ext>
          </c:extLst>
        </c:ser>
        <c:dLbls>
          <c:showLegendKey val="0"/>
          <c:showVal val="0"/>
          <c:showCatName val="0"/>
          <c:showSerName val="0"/>
          <c:showPercent val="0"/>
          <c:showBubbleSize val="0"/>
        </c:dLbls>
        <c:axId val="727497488"/>
        <c:axId val="727498144"/>
        <c:extLst>
          <c:ext xmlns:c15="http://schemas.microsoft.com/office/drawing/2012/chart" uri="{02D57815-91ED-43cb-92C2-25804820EDAC}">
            <c15:filteredScatterSeries>
              <c15:ser>
                <c:idx val="9"/>
                <c:order val="0"/>
                <c:tx>
                  <c:v>PVC Smooth</c:v>
                </c:tx>
                <c:spPr>
                  <a:ln w="25400" cap="rnd">
                    <a:noFill/>
                    <a:round/>
                  </a:ln>
                  <a:effectLst/>
                </c:spPr>
                <c:marker>
                  <c:symbol val="triangle"/>
                  <c:size val="5"/>
                  <c:spPr>
                    <a:solidFill>
                      <a:schemeClr val="dk1">
                        <a:tint val="75000"/>
                      </a:schemeClr>
                    </a:solidFill>
                    <a:ln w="9525">
                      <a:solidFill>
                        <a:schemeClr val="dk1">
                          <a:tint val="75000"/>
                        </a:schemeClr>
                      </a:solidFill>
                    </a:ln>
                    <a:effectLst/>
                  </c:spPr>
                </c:marker>
                <c:trendline>
                  <c:spPr>
                    <a:ln w="19050" cap="rnd">
                      <a:solidFill>
                        <a:schemeClr val="dk1">
                          <a:tint val="75000"/>
                        </a:schemeClr>
                      </a:solidFill>
                      <a:prstDash val="sysDot"/>
                    </a:ln>
                    <a:effectLst/>
                  </c:spPr>
                  <c:trendlineType val="power"/>
                  <c:dispRSqr val="0"/>
                  <c:dispEq val="0"/>
                </c:trendline>
                <c:xVal>
                  <c:numRef>
                    <c:extLst>
                      <c:ext uri="{02D57815-91ED-43cb-92C2-25804820EDAC}">
                        <c15:formulaRef>
                          <c15:sqref>'PLAIN PANEL AVGS'!$L$8:$L$12</c15:sqref>
                        </c15:formulaRef>
                      </c:ext>
                    </c:extLst>
                    <c:numCache>
                      <c:formatCode>0.0E+00</c:formatCode>
                      <c:ptCount val="5"/>
                      <c:pt idx="0">
                        <c:v>25760.602619047622</c:v>
                      </c:pt>
                      <c:pt idx="1">
                        <c:v>31861.797976190479</c:v>
                      </c:pt>
                      <c:pt idx="2">
                        <c:v>39318.814523809524</c:v>
                      </c:pt>
                      <c:pt idx="3">
                        <c:v>45871.950277777782</c:v>
                      </c:pt>
                      <c:pt idx="4">
                        <c:v>52651.056230158734</c:v>
                      </c:pt>
                    </c:numCache>
                  </c:numRef>
                </c:xVal>
                <c:yVal>
                  <c:numRef>
                    <c:extLst>
                      <c:ext uri="{02D57815-91ED-43cb-92C2-25804820EDAC}">
                        <c15:formulaRef>
                          <c15:sqref>'PLAIN PANEL AVGS'!$O$8:$O$12</c15:sqref>
                        </c15:formulaRef>
                      </c:ext>
                    </c:extLst>
                    <c:numCache>
                      <c:formatCode>0.000</c:formatCode>
                      <c:ptCount val="5"/>
                      <c:pt idx="0">
                        <c:v>7.8546251968259328E-3</c:v>
                      </c:pt>
                      <c:pt idx="1">
                        <c:v>7.7415345859246877E-3</c:v>
                      </c:pt>
                      <c:pt idx="2">
                        <c:v>7.4983871209308439E-3</c:v>
                      </c:pt>
                      <c:pt idx="3">
                        <c:v>7.3294546557718847E-3</c:v>
                      </c:pt>
                      <c:pt idx="4">
                        <c:v>6.8598709171845025E-3</c:v>
                      </c:pt>
                    </c:numCache>
                  </c:numRef>
                </c:yVal>
                <c:smooth val="0"/>
                <c:extLst>
                  <c:ext xmlns:c16="http://schemas.microsoft.com/office/drawing/2014/chart" uri="{C3380CC4-5D6E-409C-BE32-E72D297353CC}">
                    <c16:uniqueId val="{00000005-FD3E-4862-B12B-46FAEDF777B6}"/>
                  </c:ext>
                </c:extLst>
              </c15:ser>
            </c15:filteredScatterSeries>
            <c15:filteredScatterSeries>
              <c15:ser>
                <c:idx val="12"/>
                <c:order val="1"/>
                <c:tx>
                  <c:v>Sandpaper P240</c:v>
                </c:tx>
                <c:spPr>
                  <a:ln w="25400" cap="rnd">
                    <a:noFill/>
                    <a:round/>
                  </a:ln>
                  <a:effectLst/>
                </c:spPr>
                <c:marker>
                  <c:symbol val="square"/>
                  <c:size val="5"/>
                  <c:spPr>
                    <a:solidFill>
                      <a:schemeClr val="dk1">
                        <a:tint val="60000"/>
                      </a:schemeClr>
                    </a:solidFill>
                    <a:ln w="9525">
                      <a:solidFill>
                        <a:schemeClr val="dk1">
                          <a:tint val="60000"/>
                        </a:schemeClr>
                      </a:solidFill>
                    </a:ln>
                    <a:effectLst/>
                  </c:spPr>
                </c:marker>
                <c:trendline>
                  <c:spPr>
                    <a:ln w="19050" cap="rnd">
                      <a:solidFill>
                        <a:schemeClr val="dk1">
                          <a:tint val="60000"/>
                        </a:schemeClr>
                      </a:solidFill>
                      <a:prstDash val="sysDot"/>
                    </a:ln>
                    <a:effectLst/>
                  </c:spPr>
                  <c:trendlineType val="power"/>
                  <c:dispRSqr val="0"/>
                  <c:dispEq val="0"/>
                </c:trendline>
                <c:xVal>
                  <c:numRef>
                    <c:extLst xmlns:c15="http://schemas.microsoft.com/office/drawing/2012/chart">
                      <c:ext xmlns:c15="http://schemas.microsoft.com/office/drawing/2012/chart" uri="{02D57815-91ED-43cb-92C2-25804820EDAC}">
                        <c15:formulaRef>
                          <c15:sqref>'P240 sandpaper AVGS'!$L$8:$L$12</c15:sqref>
                        </c15:formulaRef>
                      </c:ext>
                    </c:extLst>
                    <c:numCache>
                      <c:formatCode>0.0E+00</c:formatCode>
                      <c:ptCount val="5"/>
                      <c:pt idx="0">
                        <c:v>25621.499581445525</c:v>
                      </c:pt>
                      <c:pt idx="1">
                        <c:v>32985.762934196326</c:v>
                      </c:pt>
                      <c:pt idx="2">
                        <c:v>40810.292746494059</c:v>
                      </c:pt>
                      <c:pt idx="3">
                        <c:v>46793.756720604091</c:v>
                      </c:pt>
                      <c:pt idx="4">
                        <c:v>53544.331460625675</c:v>
                      </c:pt>
                    </c:numCache>
                  </c:numRef>
                </c:xVal>
                <c:yVal>
                  <c:numRef>
                    <c:extLst xmlns:c15="http://schemas.microsoft.com/office/drawing/2012/chart">
                      <c:ext xmlns:c15="http://schemas.microsoft.com/office/drawing/2012/chart" uri="{02D57815-91ED-43cb-92C2-25804820EDAC}">
                        <c15:formulaRef>
                          <c15:sqref>'P240 sandpaper AVGS'!$O$8:$O$12</c15:sqref>
                        </c15:formulaRef>
                      </c:ext>
                    </c:extLst>
                    <c:numCache>
                      <c:formatCode>0.000</c:formatCode>
                      <c:ptCount val="5"/>
                      <c:pt idx="0">
                        <c:v>7.3768057355044943E-3</c:v>
                      </c:pt>
                      <c:pt idx="1">
                        <c:v>7.6045020159216286E-3</c:v>
                      </c:pt>
                      <c:pt idx="2">
                        <c:v>7.6823078619262667E-3</c:v>
                      </c:pt>
                      <c:pt idx="3">
                        <c:v>7.8456121937399356E-3</c:v>
                      </c:pt>
                      <c:pt idx="4">
                        <c:v>7.5893012677243025E-3</c:v>
                      </c:pt>
                    </c:numCache>
                  </c:numRef>
                </c:yVal>
                <c:smooth val="0"/>
                <c:extLst xmlns:c15="http://schemas.microsoft.com/office/drawing/2012/chart">
                  <c:ext xmlns:c16="http://schemas.microsoft.com/office/drawing/2014/chart" uri="{C3380CC4-5D6E-409C-BE32-E72D297353CC}">
                    <c16:uniqueId val="{00000007-FD3E-4862-B12B-46FAEDF777B6}"/>
                  </c:ext>
                </c:extLst>
              </c15:ser>
            </c15:filteredScatterSeries>
            <c15:filteredScatterSeries>
              <c15:ser>
                <c:idx val="4"/>
                <c:order val="2"/>
                <c:tx>
                  <c:v>Sandpaper P80</c:v>
                </c:tx>
                <c:spPr>
                  <a:ln w="25400" cap="rnd">
                    <a:noFill/>
                    <a:round/>
                  </a:ln>
                  <a:effectLst/>
                </c:spPr>
                <c:marker>
                  <c:symbol val="circle"/>
                  <c:size val="5"/>
                  <c:spPr>
                    <a:solidFill>
                      <a:schemeClr val="tx1">
                        <a:lumMod val="50000"/>
                        <a:lumOff val="50000"/>
                      </a:schemeClr>
                    </a:solidFill>
                    <a:ln w="9525">
                      <a:solidFill>
                        <a:schemeClr val="tx1">
                          <a:lumMod val="50000"/>
                          <a:lumOff val="50000"/>
                        </a:schemeClr>
                      </a:solidFill>
                    </a:ln>
                    <a:effectLst/>
                  </c:spPr>
                </c:marker>
                <c:trendline>
                  <c:spPr>
                    <a:ln w="19050" cap="rnd">
                      <a:solidFill>
                        <a:schemeClr val="tx1">
                          <a:lumMod val="50000"/>
                          <a:lumOff val="50000"/>
                        </a:schemeClr>
                      </a:solidFill>
                      <a:prstDash val="sysDot"/>
                    </a:ln>
                    <a:effectLst/>
                  </c:spPr>
                  <c:trendlineType val="power"/>
                  <c:dispRSqr val="0"/>
                  <c:dispEq val="0"/>
                </c:trendline>
                <c:xVal>
                  <c:numRef>
                    <c:extLst xmlns:c15="http://schemas.microsoft.com/office/drawing/2012/chart">
                      <c:ext xmlns:c15="http://schemas.microsoft.com/office/drawing/2012/chart" uri="{02D57815-91ED-43cb-92C2-25804820EDAC}">
                        <c15:formulaRef>
                          <c15:sqref>'P80 sandpaper AVGS'!$M$8:$M$12</c15:sqref>
                        </c15:formulaRef>
                      </c:ext>
                    </c:extLst>
                    <c:numCache>
                      <c:formatCode>0.0E+00</c:formatCode>
                      <c:ptCount val="5"/>
                      <c:pt idx="0">
                        <c:v>24348.721922902492</c:v>
                      </c:pt>
                      <c:pt idx="1">
                        <c:v>32249.962811791389</c:v>
                      </c:pt>
                      <c:pt idx="2">
                        <c:v>39183.704816326535</c:v>
                      </c:pt>
                      <c:pt idx="3">
                        <c:v>45956.197006802722</c:v>
                      </c:pt>
                      <c:pt idx="4">
                        <c:v>52486.814476190477</c:v>
                      </c:pt>
                    </c:numCache>
                  </c:numRef>
                </c:xVal>
                <c:yVal>
                  <c:numRef>
                    <c:extLst xmlns:c15="http://schemas.microsoft.com/office/drawing/2012/chart">
                      <c:ext xmlns:c15="http://schemas.microsoft.com/office/drawing/2012/chart" uri="{02D57815-91ED-43cb-92C2-25804820EDAC}">
                        <c15:formulaRef>
                          <c15:sqref>'P80 sandpaper AVGS'!$P$8:$P$12</c15:sqref>
                        </c15:formulaRef>
                      </c:ext>
                    </c:extLst>
                    <c:numCache>
                      <c:formatCode>0.000</c:formatCode>
                      <c:ptCount val="5"/>
                      <c:pt idx="0">
                        <c:v>1.2423623758869535E-2</c:v>
                      </c:pt>
                      <c:pt idx="1">
                        <c:v>1.256604135507821E-2</c:v>
                      </c:pt>
                      <c:pt idx="2">
                        <c:v>1.2688328481080976E-2</c:v>
                      </c:pt>
                      <c:pt idx="3">
                        <c:v>1.2236436649216273E-2</c:v>
                      </c:pt>
                      <c:pt idx="4">
                        <c:v>9.7314080436958095E-3</c:v>
                      </c:pt>
                    </c:numCache>
                  </c:numRef>
                </c:yVal>
                <c:smooth val="0"/>
                <c:extLst xmlns:c15="http://schemas.microsoft.com/office/drawing/2012/chart">
                  <c:ext xmlns:c16="http://schemas.microsoft.com/office/drawing/2014/chart" uri="{C3380CC4-5D6E-409C-BE32-E72D297353CC}">
                    <c16:uniqueId val="{00000009-FD3E-4862-B12B-46FAEDF777B6}"/>
                  </c:ext>
                </c:extLst>
              </c15:ser>
            </c15:filteredScatterSeries>
            <c15:filteredScatterSeries>
              <c15:ser>
                <c:idx val="11"/>
                <c:order val="3"/>
                <c:tx>
                  <c:v>Filler Smooth</c:v>
                </c:tx>
                <c:spPr>
                  <a:ln w="25400" cap="rnd">
                    <a:noFill/>
                    <a:round/>
                  </a:ln>
                  <a:effectLst/>
                </c:spPr>
                <c:marker>
                  <c:symbol val="triangle"/>
                  <c:size val="5"/>
                  <c:spPr>
                    <a:solidFill>
                      <a:schemeClr val="tx1">
                        <a:lumMod val="65000"/>
                        <a:lumOff val="35000"/>
                      </a:schemeClr>
                    </a:solidFill>
                    <a:ln w="9525">
                      <a:solidFill>
                        <a:schemeClr val="tx1">
                          <a:lumMod val="75000"/>
                          <a:lumOff val="25000"/>
                        </a:schemeClr>
                      </a:solidFill>
                    </a:ln>
                    <a:effectLst/>
                  </c:spPr>
                </c:marker>
                <c:trendline>
                  <c:spPr>
                    <a:ln w="19050" cap="rnd">
                      <a:solidFill>
                        <a:schemeClr val="tx1">
                          <a:lumMod val="75000"/>
                          <a:lumOff val="25000"/>
                        </a:schemeClr>
                      </a:solidFill>
                      <a:prstDash val="sysDot"/>
                    </a:ln>
                    <a:effectLst/>
                  </c:spPr>
                  <c:trendlineType val="power"/>
                  <c:dispRSqr val="0"/>
                  <c:dispEq val="0"/>
                </c:trendline>
                <c:xVal>
                  <c:numRef>
                    <c:extLst xmlns:c15="http://schemas.microsoft.com/office/drawing/2012/chart">
                      <c:ext xmlns:c15="http://schemas.microsoft.com/office/drawing/2012/chart" uri="{02D57815-91ED-43cb-92C2-25804820EDAC}">
                        <c15:formulaRef>
                          <c15:sqref>'EF25 flat AVGS'!$L$8:$L$12</c15:sqref>
                        </c15:formulaRef>
                      </c:ext>
                    </c:extLst>
                    <c:numCache>
                      <c:formatCode>0.0E+00</c:formatCode>
                      <c:ptCount val="5"/>
                      <c:pt idx="0">
                        <c:v>24203.089020070838</c:v>
                      </c:pt>
                      <c:pt idx="1">
                        <c:v>30702.066627312077</c:v>
                      </c:pt>
                      <c:pt idx="2">
                        <c:v>38097.454939000396</c:v>
                      </c:pt>
                      <c:pt idx="3">
                        <c:v>45268.740574576928</c:v>
                      </c:pt>
                      <c:pt idx="4">
                        <c:v>51991.820857929946</c:v>
                      </c:pt>
                    </c:numCache>
                  </c:numRef>
                </c:xVal>
                <c:yVal>
                  <c:numRef>
                    <c:extLst xmlns:c15="http://schemas.microsoft.com/office/drawing/2012/chart">
                      <c:ext xmlns:c15="http://schemas.microsoft.com/office/drawing/2012/chart" uri="{02D57815-91ED-43cb-92C2-25804820EDAC}">
                        <c15:formulaRef>
                          <c15:sqref>'EF25 flat AVGS'!$O$8:$O$12</c15:sqref>
                        </c15:formulaRef>
                      </c:ext>
                    </c:extLst>
                    <c:numCache>
                      <c:formatCode>0.000</c:formatCode>
                      <c:ptCount val="5"/>
                      <c:pt idx="0">
                        <c:v>7.4776636450018044E-3</c:v>
                      </c:pt>
                      <c:pt idx="1">
                        <c:v>7.2481135651974752E-3</c:v>
                      </c:pt>
                      <c:pt idx="2">
                        <c:v>6.9796046123650861E-3</c:v>
                      </c:pt>
                      <c:pt idx="3">
                        <c:v>6.7045059317648341E-3</c:v>
                      </c:pt>
                      <c:pt idx="4">
                        <c:v>6.4920279779756753E-3</c:v>
                      </c:pt>
                    </c:numCache>
                  </c:numRef>
                </c:yVal>
                <c:smooth val="0"/>
                <c:extLst xmlns:c15="http://schemas.microsoft.com/office/drawing/2012/chart">
                  <c:ext xmlns:c16="http://schemas.microsoft.com/office/drawing/2014/chart" uri="{C3380CC4-5D6E-409C-BE32-E72D297353CC}">
                    <c16:uniqueId val="{0000000B-FD3E-4862-B12B-46FAEDF777B6}"/>
                  </c:ext>
                </c:extLst>
              </c15:ser>
            </c15:filteredScatterSeries>
            <c15:filteredScatterSeries>
              <c15:ser>
                <c:idx val="6"/>
                <c:order val="4"/>
                <c:tx>
                  <c:v>Filler P240</c:v>
                </c:tx>
                <c:spPr>
                  <a:ln w="25400" cap="rnd">
                    <a:noFill/>
                    <a:round/>
                  </a:ln>
                  <a:effectLst/>
                </c:spPr>
                <c:marker>
                  <c:symbol val="square"/>
                  <c:size val="5"/>
                  <c:spPr>
                    <a:solidFill>
                      <a:schemeClr val="dk1">
                        <a:tint val="80000"/>
                      </a:schemeClr>
                    </a:solidFill>
                    <a:ln w="9525">
                      <a:solidFill>
                        <a:schemeClr val="dk1">
                          <a:tint val="80000"/>
                        </a:schemeClr>
                      </a:solidFill>
                    </a:ln>
                    <a:effectLst/>
                  </c:spPr>
                </c:marker>
                <c:trendline>
                  <c:spPr>
                    <a:ln w="19050" cap="rnd">
                      <a:solidFill>
                        <a:schemeClr val="dk1">
                          <a:tint val="80000"/>
                        </a:schemeClr>
                      </a:solidFill>
                      <a:prstDash val="sysDot"/>
                    </a:ln>
                    <a:effectLst/>
                  </c:spPr>
                  <c:trendlineType val="power"/>
                  <c:dispRSqr val="0"/>
                  <c:dispEq val="0"/>
                </c:trendline>
                <c:xVal>
                  <c:numRef>
                    <c:extLst xmlns:c15="http://schemas.microsoft.com/office/drawing/2012/chart">
                      <c:ext xmlns:c15="http://schemas.microsoft.com/office/drawing/2012/chart" uri="{02D57815-91ED-43cb-92C2-25804820EDAC}">
                        <c15:formulaRef>
                          <c15:sqref>'EF25 P240 AVGS'!$L$8:$L$12</c15:sqref>
                        </c15:formulaRef>
                      </c:ext>
                    </c:extLst>
                    <c:numCache>
                      <c:formatCode>0.0E+00</c:formatCode>
                      <c:ptCount val="5"/>
                      <c:pt idx="0">
                        <c:v>24959.435551948049</c:v>
                      </c:pt>
                      <c:pt idx="1">
                        <c:v>32971.106222943716</c:v>
                      </c:pt>
                      <c:pt idx="2">
                        <c:v>40212.423944805189</c:v>
                      </c:pt>
                      <c:pt idx="3">
                        <c:v>46837.459307359313</c:v>
                      </c:pt>
                      <c:pt idx="4">
                        <c:v>51767.718181818185</c:v>
                      </c:pt>
                    </c:numCache>
                  </c:numRef>
                </c:xVal>
                <c:yVal>
                  <c:numRef>
                    <c:extLst xmlns:c15="http://schemas.microsoft.com/office/drawing/2012/chart">
                      <c:ext xmlns:c15="http://schemas.microsoft.com/office/drawing/2012/chart" uri="{02D57815-91ED-43cb-92C2-25804820EDAC}">
                        <c15:formulaRef>
                          <c15:sqref>'EF25 P240 AVGS'!$O$8:$O$12</c15:sqref>
                        </c15:formulaRef>
                      </c:ext>
                    </c:extLst>
                    <c:numCache>
                      <c:formatCode>0.000</c:formatCode>
                      <c:ptCount val="5"/>
                      <c:pt idx="0">
                        <c:v>8.2918058912631841E-3</c:v>
                      </c:pt>
                      <c:pt idx="1">
                        <c:v>8.0103373727871859E-3</c:v>
                      </c:pt>
                      <c:pt idx="2">
                        <c:v>7.8994868078460165E-3</c:v>
                      </c:pt>
                      <c:pt idx="3">
                        <c:v>7.1540356801380782E-3</c:v>
                      </c:pt>
                      <c:pt idx="4">
                        <c:v>6.1201523299938771E-3</c:v>
                      </c:pt>
                    </c:numCache>
                  </c:numRef>
                </c:yVal>
                <c:smooth val="0"/>
                <c:extLst xmlns:c15="http://schemas.microsoft.com/office/drawing/2012/chart">
                  <c:ext xmlns:c16="http://schemas.microsoft.com/office/drawing/2014/chart" uri="{C3380CC4-5D6E-409C-BE32-E72D297353CC}">
                    <c16:uniqueId val="{0000000D-FD3E-4862-B12B-46FAEDF777B6}"/>
                  </c:ext>
                </c:extLst>
              </c15:ser>
            </c15:filteredScatterSeries>
            <c15:filteredScatterSeries>
              <c15:ser>
                <c:idx val="3"/>
                <c:order val="5"/>
                <c:tx>
                  <c:v>Filler P80</c:v>
                </c:tx>
                <c:spPr>
                  <a:ln w="25400" cap="rnd">
                    <a:noFill/>
                    <a:round/>
                  </a:ln>
                  <a:effectLst/>
                </c:spPr>
                <c:marker>
                  <c:symbol val="circle"/>
                  <c:size val="5"/>
                  <c:spPr>
                    <a:solidFill>
                      <a:schemeClr val="dk1">
                        <a:tint val="98500"/>
                      </a:schemeClr>
                    </a:solidFill>
                    <a:ln w="9525">
                      <a:solidFill>
                        <a:schemeClr val="dk1">
                          <a:tint val="98500"/>
                        </a:schemeClr>
                      </a:solidFill>
                    </a:ln>
                    <a:effectLst/>
                  </c:spPr>
                </c:marker>
                <c:trendline>
                  <c:spPr>
                    <a:ln w="19050" cap="rnd">
                      <a:solidFill>
                        <a:schemeClr val="dk1">
                          <a:tint val="98500"/>
                        </a:schemeClr>
                      </a:solidFill>
                      <a:prstDash val="sysDot"/>
                    </a:ln>
                    <a:effectLst/>
                  </c:spPr>
                  <c:trendlineType val="power"/>
                  <c:dispRSqr val="0"/>
                  <c:dispEq val="0"/>
                </c:trendline>
                <c:xVal>
                  <c:numRef>
                    <c:extLst xmlns:c15="http://schemas.microsoft.com/office/drawing/2012/chart">
                      <c:ext xmlns:c15="http://schemas.microsoft.com/office/drawing/2012/chart" uri="{02D57815-91ED-43cb-92C2-25804820EDAC}">
                        <c15:formulaRef>
                          <c15:sqref>'EF25 P80 AVGS'!$M$8:$M$12</c15:sqref>
                        </c15:formulaRef>
                      </c:ext>
                    </c:extLst>
                    <c:numCache>
                      <c:formatCode>0.0E+00</c:formatCode>
                      <c:ptCount val="5"/>
                      <c:pt idx="0">
                        <c:v>23135.899487723014</c:v>
                      </c:pt>
                      <c:pt idx="1">
                        <c:v>30320.96144043202</c:v>
                      </c:pt>
                      <c:pt idx="2">
                        <c:v>36500.114719761768</c:v>
                      </c:pt>
                      <c:pt idx="3">
                        <c:v>43254.072955308235</c:v>
                      </c:pt>
                      <c:pt idx="4">
                        <c:v>49002.122517475444</c:v>
                      </c:pt>
                    </c:numCache>
                  </c:numRef>
                </c:xVal>
                <c:yVal>
                  <c:numRef>
                    <c:extLst xmlns:c15="http://schemas.microsoft.com/office/drawing/2012/chart">
                      <c:ext xmlns:c15="http://schemas.microsoft.com/office/drawing/2012/chart" uri="{02D57815-91ED-43cb-92C2-25804820EDAC}">
                        <c15:formulaRef>
                          <c15:sqref>'EF25 P80 AVGS'!$P$8:$P$12</c15:sqref>
                        </c15:formulaRef>
                      </c:ext>
                    </c:extLst>
                    <c:numCache>
                      <c:formatCode>0.000</c:formatCode>
                      <c:ptCount val="5"/>
                      <c:pt idx="0">
                        <c:v>1.1156585428062358E-2</c:v>
                      </c:pt>
                      <c:pt idx="1">
                        <c:v>1.0682836246979188E-2</c:v>
                      </c:pt>
                      <c:pt idx="2">
                        <c:v>1.042866723901972E-2</c:v>
                      </c:pt>
                      <c:pt idx="3">
                        <c:v>9.6013458520381265E-3</c:v>
                      </c:pt>
                      <c:pt idx="4">
                        <c:v>8.3077964975756102E-3</c:v>
                      </c:pt>
                    </c:numCache>
                  </c:numRef>
                </c:yVal>
                <c:smooth val="0"/>
                <c:extLst xmlns:c15="http://schemas.microsoft.com/office/drawing/2012/chart">
                  <c:ext xmlns:c16="http://schemas.microsoft.com/office/drawing/2014/chart" uri="{C3380CC4-5D6E-409C-BE32-E72D297353CC}">
                    <c16:uniqueId val="{0000000F-FD3E-4862-B12B-46FAEDF777B6}"/>
                  </c:ext>
                </c:extLst>
              </c15:ser>
            </c15:filteredScatterSeries>
            <c15:filteredScatterSeries>
              <c15:ser>
                <c:idx val="0"/>
                <c:order val="6"/>
                <c:tx>
                  <c:v>Filler P40</c:v>
                </c:tx>
                <c:spPr>
                  <a:ln w="25400" cap="rnd">
                    <a:noFill/>
                    <a:round/>
                  </a:ln>
                  <a:effectLst/>
                </c:spPr>
                <c:marker>
                  <c:symbol val="dash"/>
                  <c:size val="5"/>
                  <c:spPr>
                    <a:solidFill>
                      <a:schemeClr val="dk1">
                        <a:tint val="88500"/>
                      </a:schemeClr>
                    </a:solidFill>
                    <a:ln w="9525">
                      <a:solidFill>
                        <a:schemeClr val="dk1">
                          <a:tint val="88500"/>
                        </a:schemeClr>
                      </a:solidFill>
                    </a:ln>
                    <a:effectLst/>
                  </c:spPr>
                </c:marker>
                <c:xVal>
                  <c:numRef>
                    <c:extLst xmlns:c15="http://schemas.microsoft.com/office/drawing/2012/chart">
                      <c:ext xmlns:c15="http://schemas.microsoft.com/office/drawing/2012/chart" uri="{02D57815-91ED-43cb-92C2-25804820EDAC}">
                        <c15:formulaRef>
                          <c15:sqref>'EF25 P40 AVGS'!$L$9:$L$13</c15:sqref>
                        </c15:formulaRef>
                      </c:ext>
                    </c:extLst>
                    <c:numCache>
                      <c:formatCode>0.0E+00</c:formatCode>
                      <c:ptCount val="5"/>
                      <c:pt idx="0">
                        <c:v>21722.522169394077</c:v>
                      </c:pt>
                      <c:pt idx="1">
                        <c:v>27809.02596564942</c:v>
                      </c:pt>
                      <c:pt idx="2">
                        <c:v>34000.469482529857</c:v>
                      </c:pt>
                      <c:pt idx="3">
                        <c:v>40017.013465035139</c:v>
                      </c:pt>
                      <c:pt idx="4">
                        <c:v>44494.441545039066</c:v>
                      </c:pt>
                    </c:numCache>
                  </c:numRef>
                </c:xVal>
                <c:yVal>
                  <c:numRef>
                    <c:extLst xmlns:c15="http://schemas.microsoft.com/office/drawing/2012/chart">
                      <c:ext xmlns:c15="http://schemas.microsoft.com/office/drawing/2012/chart" uri="{02D57815-91ED-43cb-92C2-25804820EDAC}">
                        <c15:formulaRef>
                          <c15:sqref>'EF25 P40 AVGS'!$O$9:$O$13</c15:sqref>
                        </c15:formulaRef>
                      </c:ext>
                    </c:extLst>
                    <c:numCache>
                      <c:formatCode>0.000</c:formatCode>
                      <c:ptCount val="5"/>
                      <c:pt idx="0">
                        <c:v>1.512538070955566E-2</c:v>
                      </c:pt>
                      <c:pt idx="1">
                        <c:v>1.5215090833516069E-2</c:v>
                      </c:pt>
                      <c:pt idx="2">
                        <c:v>1.3945610093808108E-2</c:v>
                      </c:pt>
                      <c:pt idx="3">
                        <c:v>1.0595984233301277E-2</c:v>
                      </c:pt>
                      <c:pt idx="4">
                        <c:v>8.6969785125901831E-3</c:v>
                      </c:pt>
                    </c:numCache>
                  </c:numRef>
                </c:yVal>
                <c:smooth val="0"/>
                <c:extLst xmlns:c15="http://schemas.microsoft.com/office/drawing/2012/chart">
                  <c:ext xmlns:c16="http://schemas.microsoft.com/office/drawing/2014/chart" uri="{C3380CC4-5D6E-409C-BE32-E72D297353CC}">
                    <c16:uniqueId val="{00000010-FD3E-4862-B12B-46FAEDF777B6}"/>
                  </c:ext>
                </c:extLst>
              </c15:ser>
            </c15:filteredScatterSeries>
            <c15:filteredScatterSeries>
              <c15:ser>
                <c:idx val="2"/>
                <c:order val="11"/>
                <c:tx>
                  <c:v>Rigid-P40</c:v>
                </c:tx>
                <c:spPr>
                  <a:ln w="25400" cap="rnd">
                    <a:noFill/>
                    <a:round/>
                  </a:ln>
                  <a:effectLst/>
                </c:spPr>
                <c:marker>
                  <c:symbol val="circle"/>
                  <c:size val="5"/>
                  <c:spPr>
                    <a:solidFill>
                      <a:schemeClr val="dk1">
                        <a:tint val="75000"/>
                      </a:schemeClr>
                    </a:solidFill>
                    <a:ln w="9525">
                      <a:solidFill>
                        <a:schemeClr val="dk1">
                          <a:tint val="75000"/>
                        </a:schemeClr>
                      </a:solidFill>
                    </a:ln>
                    <a:effectLst/>
                  </c:spPr>
                </c:marker>
                <c:xVal>
                  <c:numRef>
                    <c:extLst xmlns:c15="http://schemas.microsoft.com/office/drawing/2012/chart">
                      <c:ext xmlns:c15="http://schemas.microsoft.com/office/drawing/2012/chart" uri="{02D57815-91ED-43cb-92C2-25804820EDAC}">
                        <c15:formulaRef>
                          <c15:sqref>'Rigid data'!$F$29:$F$33</c15:sqref>
                        </c15:formulaRef>
                      </c:ext>
                    </c:extLst>
                    <c:numCache>
                      <c:formatCode>General</c:formatCode>
                      <c:ptCount val="5"/>
                      <c:pt idx="0">
                        <c:v>21722.522169394077</c:v>
                      </c:pt>
                      <c:pt idx="1">
                        <c:v>27809.02596564942</c:v>
                      </c:pt>
                      <c:pt idx="2">
                        <c:v>34000.469482529857</c:v>
                      </c:pt>
                      <c:pt idx="3">
                        <c:v>40017.013465035139</c:v>
                      </c:pt>
                      <c:pt idx="4">
                        <c:v>44494.441545039066</c:v>
                      </c:pt>
                    </c:numCache>
                  </c:numRef>
                </c:xVal>
                <c:yVal>
                  <c:numRef>
                    <c:extLst xmlns:c15="http://schemas.microsoft.com/office/drawing/2012/chart">
                      <c:ext xmlns:c15="http://schemas.microsoft.com/office/drawing/2012/chart" uri="{02D57815-91ED-43cb-92C2-25804820EDAC}">
                        <c15:formulaRef>
                          <c15:sqref>'Rigid data'!$G$29:$G$33</c15:sqref>
                        </c15:formulaRef>
                      </c:ext>
                    </c:extLst>
                    <c:numCache>
                      <c:formatCode>General</c:formatCode>
                      <c:ptCount val="5"/>
                      <c:pt idx="0">
                        <c:v>1.512538070955566E-2</c:v>
                      </c:pt>
                      <c:pt idx="1">
                        <c:v>1.5215090833516069E-2</c:v>
                      </c:pt>
                      <c:pt idx="2">
                        <c:v>1.3945610093808108E-2</c:v>
                      </c:pt>
                      <c:pt idx="3">
                        <c:v>1.0595984233301277E-2</c:v>
                      </c:pt>
                      <c:pt idx="4">
                        <c:v>8.6969785125901831E-3</c:v>
                      </c:pt>
                    </c:numCache>
                  </c:numRef>
                </c:yVal>
                <c:smooth val="0"/>
                <c:extLst xmlns:c15="http://schemas.microsoft.com/office/drawing/2012/chart">
                  <c:ext xmlns:c16="http://schemas.microsoft.com/office/drawing/2014/chart" uri="{C3380CC4-5D6E-409C-BE32-E72D297353CC}">
                    <c16:uniqueId val="{00000000-FD3E-4862-B12B-46FAEDF777B6}"/>
                  </c:ext>
                </c:extLst>
              </c15:ser>
            </c15:filteredScatterSeries>
            <c15:filteredScatterSeries>
              <c15:ser>
                <c:idx val="5"/>
                <c:order val="12"/>
                <c:tx>
                  <c:v>Rigid-P80</c:v>
                </c:tx>
                <c:spPr>
                  <a:ln w="25400" cap="rnd">
                    <a:noFill/>
                    <a:round/>
                  </a:ln>
                  <a:effectLst/>
                </c:spPr>
                <c:marker>
                  <c:symbol val="circle"/>
                  <c:size val="5"/>
                  <c:spPr>
                    <a:solidFill>
                      <a:schemeClr val="dk1">
                        <a:tint val="60000"/>
                      </a:schemeClr>
                    </a:solidFill>
                    <a:ln w="9525">
                      <a:solidFill>
                        <a:schemeClr val="dk1">
                          <a:tint val="60000"/>
                        </a:schemeClr>
                      </a:solidFill>
                    </a:ln>
                    <a:effectLst/>
                  </c:spPr>
                </c:marker>
                <c:xVal>
                  <c:numRef>
                    <c:extLst xmlns:c15="http://schemas.microsoft.com/office/drawing/2012/chart">
                      <c:ext xmlns:c15="http://schemas.microsoft.com/office/drawing/2012/chart" uri="{02D57815-91ED-43cb-92C2-25804820EDAC}">
                        <c15:formulaRef>
                          <c15:sqref>'Rigid data'!$F$21:$F$25</c15:sqref>
                        </c15:formulaRef>
                      </c:ext>
                    </c:extLst>
                    <c:numCache>
                      <c:formatCode>General</c:formatCode>
                      <c:ptCount val="5"/>
                      <c:pt idx="0">
                        <c:v>23742.310705312753</c:v>
                      </c:pt>
                      <c:pt idx="1">
                        <c:v>31285.462126111706</c:v>
                      </c:pt>
                      <c:pt idx="2">
                        <c:v>37841.909768044148</c:v>
                      </c:pt>
                      <c:pt idx="3">
                        <c:v>44605.134981055482</c:v>
                      </c:pt>
                      <c:pt idx="4">
                        <c:v>50744.46849683296</c:v>
                      </c:pt>
                    </c:numCache>
                  </c:numRef>
                </c:xVal>
                <c:yVal>
                  <c:numRef>
                    <c:extLst xmlns:c15="http://schemas.microsoft.com/office/drawing/2012/chart">
                      <c:ext xmlns:c15="http://schemas.microsoft.com/office/drawing/2012/chart" uri="{02D57815-91ED-43cb-92C2-25804820EDAC}">
                        <c15:formulaRef>
                          <c15:sqref>'Rigid data'!$G$21:$G$25</c15:sqref>
                        </c15:formulaRef>
                      </c:ext>
                    </c:extLst>
                    <c:numCache>
                      <c:formatCode>General</c:formatCode>
                      <c:ptCount val="5"/>
                      <c:pt idx="0">
                        <c:v>1.1790104593465946E-2</c:v>
                      </c:pt>
                      <c:pt idx="1">
                        <c:v>1.1624438801028699E-2</c:v>
                      </c:pt>
                      <c:pt idx="2">
                        <c:v>1.1558497860050348E-2</c:v>
                      </c:pt>
                      <c:pt idx="3">
                        <c:v>1.09188912506272E-2</c:v>
                      </c:pt>
                      <c:pt idx="4">
                        <c:v>9.0196022706357099E-3</c:v>
                      </c:pt>
                    </c:numCache>
                  </c:numRef>
                </c:yVal>
                <c:smooth val="0"/>
                <c:extLst xmlns:c15="http://schemas.microsoft.com/office/drawing/2012/chart">
                  <c:ext xmlns:c16="http://schemas.microsoft.com/office/drawing/2014/chart" uri="{C3380CC4-5D6E-409C-BE32-E72D297353CC}">
                    <c16:uniqueId val="{00000001-FD3E-4862-B12B-46FAEDF777B6}"/>
                  </c:ext>
                </c:extLst>
              </c15:ser>
            </c15:filteredScatterSeries>
            <c15:filteredScatterSeries>
              <c15:ser>
                <c:idx val="13"/>
                <c:order val="13"/>
                <c:tx>
                  <c:v>Rigid-P240</c:v>
                </c:tx>
                <c:spPr>
                  <a:ln w="25400" cap="rnd">
                    <a:noFill/>
                    <a:round/>
                  </a:ln>
                  <a:effectLst/>
                </c:spPr>
                <c:marker>
                  <c:symbol val="circle"/>
                  <c:size val="5"/>
                  <c:spPr>
                    <a:solidFill>
                      <a:schemeClr val="dk1">
                        <a:tint val="80000"/>
                      </a:schemeClr>
                    </a:solidFill>
                    <a:ln w="9525">
                      <a:solidFill>
                        <a:schemeClr val="dk1">
                          <a:tint val="80000"/>
                        </a:schemeClr>
                      </a:solidFill>
                    </a:ln>
                    <a:effectLst/>
                  </c:spPr>
                </c:marker>
                <c:xVal>
                  <c:numRef>
                    <c:extLst xmlns:c15="http://schemas.microsoft.com/office/drawing/2012/chart">
                      <c:ext xmlns:c15="http://schemas.microsoft.com/office/drawing/2012/chart" uri="{02D57815-91ED-43cb-92C2-25804820EDAC}">
                        <c15:formulaRef>
                          <c15:sqref>'Rigid data'!$F$13:$F$17</c15:sqref>
                        </c15:formulaRef>
                      </c:ext>
                    </c:extLst>
                    <c:numCache>
                      <c:formatCode>General</c:formatCode>
                      <c:ptCount val="5"/>
                      <c:pt idx="0">
                        <c:v>25290.467566696789</c:v>
                      </c:pt>
                      <c:pt idx="1">
                        <c:v>32978.434578570021</c:v>
                      </c:pt>
                      <c:pt idx="2">
                        <c:v>40511.358345649627</c:v>
                      </c:pt>
                      <c:pt idx="3">
                        <c:v>46815.608013981706</c:v>
                      </c:pt>
                      <c:pt idx="4">
                        <c:v>52656.02482122193</c:v>
                      </c:pt>
                    </c:numCache>
                  </c:numRef>
                </c:xVal>
                <c:yVal>
                  <c:numRef>
                    <c:extLst xmlns:c15="http://schemas.microsoft.com/office/drawing/2012/chart">
                      <c:ext xmlns:c15="http://schemas.microsoft.com/office/drawing/2012/chart" uri="{02D57815-91ED-43cb-92C2-25804820EDAC}">
                        <c15:formulaRef>
                          <c15:sqref>'Rigid data'!$G$13:$G$17</c15:sqref>
                        </c15:formulaRef>
                      </c:ext>
                    </c:extLst>
                    <c:numCache>
                      <c:formatCode>General</c:formatCode>
                      <c:ptCount val="5"/>
                      <c:pt idx="0">
                        <c:v>7.8343058133838392E-3</c:v>
                      </c:pt>
                      <c:pt idx="1">
                        <c:v>7.8074196943544068E-3</c:v>
                      </c:pt>
                      <c:pt idx="2">
                        <c:v>7.7908973348861411E-3</c:v>
                      </c:pt>
                      <c:pt idx="3">
                        <c:v>7.4998239369390065E-3</c:v>
                      </c:pt>
                      <c:pt idx="4">
                        <c:v>6.8547267988590902E-3</c:v>
                      </c:pt>
                    </c:numCache>
                  </c:numRef>
                </c:yVal>
                <c:smooth val="0"/>
                <c:extLst xmlns:c15="http://schemas.microsoft.com/office/drawing/2012/chart">
                  <c:ext xmlns:c16="http://schemas.microsoft.com/office/drawing/2014/chart" uri="{C3380CC4-5D6E-409C-BE32-E72D297353CC}">
                    <c16:uniqueId val="{00000002-FD3E-4862-B12B-46FAEDF777B6}"/>
                  </c:ext>
                </c:extLst>
              </c15:ser>
            </c15:filteredScatterSeries>
            <c15:filteredScatterSeries>
              <c15:ser>
                <c:idx val="14"/>
                <c:order val="14"/>
                <c:tx>
                  <c:v>Rigid-smooth</c:v>
                </c:tx>
                <c:spPr>
                  <a:ln w="25400" cap="rnd">
                    <a:noFill/>
                    <a:round/>
                  </a:ln>
                  <a:effectLst/>
                </c:spPr>
                <c:marker>
                  <c:symbol val="circle"/>
                  <c:size val="5"/>
                  <c:spPr>
                    <a:solidFill>
                      <a:schemeClr val="dk1">
                        <a:tint val="88500"/>
                      </a:schemeClr>
                    </a:solidFill>
                    <a:ln w="9525">
                      <a:solidFill>
                        <a:schemeClr val="dk1">
                          <a:tint val="88500"/>
                        </a:schemeClr>
                      </a:solidFill>
                    </a:ln>
                    <a:effectLst/>
                  </c:spPr>
                </c:marker>
                <c:xVal>
                  <c:numRef>
                    <c:extLst xmlns:c15="http://schemas.microsoft.com/office/drawing/2012/chart">
                      <c:ext xmlns:c15="http://schemas.microsoft.com/office/drawing/2012/chart" uri="{02D57815-91ED-43cb-92C2-25804820EDAC}">
                        <c15:formulaRef>
                          <c15:sqref>'Rigid data'!$F$5:$F$9</c15:sqref>
                        </c15:formulaRef>
                      </c:ext>
                    </c:extLst>
                    <c:numCache>
                      <c:formatCode>General</c:formatCode>
                      <c:ptCount val="5"/>
                      <c:pt idx="0">
                        <c:v>25082.692023809526</c:v>
                      </c:pt>
                      <c:pt idx="1">
                        <c:v>31409.857579365082</c:v>
                      </c:pt>
                      <c:pt idx="2">
                        <c:v>38866.874126984127</c:v>
                      </c:pt>
                      <c:pt idx="3">
                        <c:v>45758.96517857143</c:v>
                      </c:pt>
                      <c:pt idx="4">
                        <c:v>52538.071130952383</c:v>
                      </c:pt>
                    </c:numCache>
                  </c:numRef>
                </c:xVal>
                <c:yVal>
                  <c:numRef>
                    <c:extLst xmlns:c15="http://schemas.microsoft.com/office/drawing/2012/chart">
                      <c:ext xmlns:c15="http://schemas.microsoft.com/office/drawing/2012/chart" uri="{02D57815-91ED-43cb-92C2-25804820EDAC}">
                        <c15:formulaRef>
                          <c15:sqref>'Rigid data'!$G$5:$G$9</c15:sqref>
                        </c15:formulaRef>
                      </c:ext>
                    </c:extLst>
                    <c:numCache>
                      <c:formatCode>General</c:formatCode>
                      <c:ptCount val="5"/>
                      <c:pt idx="0">
                        <c:v>7.1839706304657261E-3</c:v>
                      </c:pt>
                      <c:pt idx="1">
                        <c:v>7.0274521052176592E-3</c:v>
                      </c:pt>
                      <c:pt idx="2">
                        <c:v>6.7889378576837765E-3</c:v>
                      </c:pt>
                      <c:pt idx="3">
                        <c:v>6.5846611642014757E-3</c:v>
                      </c:pt>
                      <c:pt idx="4">
                        <c:v>6.2573312953811393E-3</c:v>
                      </c:pt>
                    </c:numCache>
                  </c:numRef>
                </c:yVal>
                <c:smooth val="0"/>
                <c:extLst xmlns:c15="http://schemas.microsoft.com/office/drawing/2012/chart">
                  <c:ext xmlns:c16="http://schemas.microsoft.com/office/drawing/2014/chart" uri="{C3380CC4-5D6E-409C-BE32-E72D297353CC}">
                    <c16:uniqueId val="{00000003-FD3E-4862-B12B-46FAEDF777B6}"/>
                  </c:ext>
                </c:extLst>
              </c15:ser>
            </c15:filteredScatterSeries>
          </c:ext>
        </c:extLst>
      </c:scatterChart>
      <c:valAx>
        <c:axId val="727497488"/>
        <c:scaling>
          <c:orientation val="minMax"/>
          <c:min val="100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727498144"/>
        <c:crosses val="autoZero"/>
        <c:crossBetween val="midCat"/>
      </c:valAx>
      <c:valAx>
        <c:axId val="727498144"/>
        <c:scaling>
          <c:orientation val="minMax"/>
          <c:max val="2.0000000000000004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Average Fanning Friction Factor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72749748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Re vs u</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trendline>
            <c:spPr>
              <a:ln w="19050" cap="rnd">
                <a:solidFill>
                  <a:schemeClr val="accent1"/>
                </a:solidFill>
                <a:prstDash val="sysDot"/>
              </a:ln>
              <a:effectLst/>
            </c:spPr>
            <c:trendlineType val="linear"/>
            <c:dispRSqr val="0"/>
            <c:dispEq val="1"/>
            <c:trendlineLbl>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'4 EF25 P40'!$L$9:$L$13</c:f>
              <c:numCache>
                <c:formatCode>0.0E+00</c:formatCode>
                <c:ptCount val="5"/>
                <c:pt idx="0">
                  <c:v>22115.620690438333</c:v>
                </c:pt>
                <c:pt idx="1">
                  <c:v>27849.300128700121</c:v>
                </c:pt>
                <c:pt idx="2">
                  <c:v>33992.528098266324</c:v>
                </c:pt>
                <c:pt idx="3">
                  <c:v>40545.304599136944</c:v>
                </c:pt>
                <c:pt idx="4">
                  <c:v>0</c:v>
                </c:pt>
              </c:numCache>
            </c:numRef>
          </c:xVal>
          <c:yVal>
            <c:numRef>
              <c:f>'4 EF25 P40'!$F$9:$F$13</c:f>
              <c:numCache>
                <c:formatCode>0.00</c:formatCode>
                <c:ptCount val="5"/>
                <c:pt idx="0">
                  <c:v>1.5000012</c:v>
                </c:pt>
                <c:pt idx="1">
                  <c:v>1.8888904</c:v>
                </c:pt>
                <c:pt idx="2">
                  <c:v>2.3055574000000001</c:v>
                </c:pt>
                <c:pt idx="3">
                  <c:v>2.7500022</c:v>
                </c:pt>
                <c:pt idx="4">
                  <c:v>0</c:v>
                </c:pt>
              </c:numCache>
            </c:numRef>
          </c:yVal>
          <c:smooth val="0"/>
          <c:extLst>
            <c:ext xmlns:c16="http://schemas.microsoft.com/office/drawing/2014/chart" uri="{C3380CC4-5D6E-409C-BE32-E72D297353CC}">
              <c16:uniqueId val="{00000002-4178-4DFB-93F3-06083A01701D}"/>
            </c:ext>
          </c:extLst>
        </c:ser>
        <c:dLbls>
          <c:showLegendKey val="0"/>
          <c:showVal val="0"/>
          <c:showCatName val="0"/>
          <c:showSerName val="0"/>
          <c:showPercent val="0"/>
          <c:showBubbleSize val="0"/>
        </c:dLbls>
        <c:axId val="316297167"/>
        <c:axId val="475166127"/>
      </c:scatterChart>
      <c:valAx>
        <c:axId val="316297167"/>
        <c:scaling>
          <c:orientation val="minMax"/>
        </c:scaling>
        <c:delete val="0"/>
        <c:axPos val="b"/>
        <c:majorGridlines>
          <c:spPr>
            <a:ln w="9525" cap="flat" cmpd="sng" algn="ctr">
              <a:solidFill>
                <a:schemeClr val="tx1">
                  <a:lumMod val="15000"/>
                  <a:lumOff val="85000"/>
                </a:schemeClr>
              </a:solidFill>
              <a:round/>
            </a:ln>
            <a:effectLst/>
          </c:spPr>
        </c:majorGridlines>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166127"/>
        <c:crosses val="autoZero"/>
        <c:crossBetween val="midCat"/>
      </c:valAx>
      <c:valAx>
        <c:axId val="4751661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629716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08598608118161"/>
          <c:y val="4.3763676148796497E-2"/>
          <c:w val="0.82828789732495367"/>
          <c:h val="0.77957705555355417"/>
        </c:manualLayout>
      </c:layout>
      <c:scatterChart>
        <c:scatterStyle val="lineMarker"/>
        <c:varyColors val="0"/>
        <c:ser>
          <c:idx val="0"/>
          <c:order val="0"/>
          <c:tx>
            <c:v>Area Loading</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1"/>
            <c:dispEq val="1"/>
            <c:trendlineLbl>
              <c:layout>
                <c:manualLayout>
                  <c:x val="8.5529773927890906E-2"/>
                  <c:y val="3.25051990539662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'4 EF25 P40'!$L$9:$L$13</c:f>
              <c:numCache>
                <c:formatCode>0.0E+00</c:formatCode>
                <c:ptCount val="5"/>
                <c:pt idx="0">
                  <c:v>22115.620690438333</c:v>
                </c:pt>
                <c:pt idx="1">
                  <c:v>27849.300128700121</c:v>
                </c:pt>
                <c:pt idx="2">
                  <c:v>33992.528098266324</c:v>
                </c:pt>
                <c:pt idx="3">
                  <c:v>40545.304599136944</c:v>
                </c:pt>
                <c:pt idx="4">
                  <c:v>0</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1-3E1A-4E13-8CCD-D9CBDB61C388}"/>
            </c:ext>
          </c:extLst>
        </c:ser>
        <c:ser>
          <c:idx val="1"/>
          <c:order val="1"/>
          <c:tx>
            <c:v>Perimeter Loading</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1"/>
            <c:dispEq val="1"/>
            <c:trendlineLbl>
              <c:layout>
                <c:manualLayout>
                  <c:x val="6.3051450244787866E-2"/>
                  <c:y val="6.463679239967798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'4 EF25 P40'!$L$9:$L$13</c:f>
              <c:numCache>
                <c:formatCode>0.0E+00</c:formatCode>
                <c:ptCount val="5"/>
                <c:pt idx="0">
                  <c:v>22115.620690438333</c:v>
                </c:pt>
                <c:pt idx="1">
                  <c:v>27849.300128700121</c:v>
                </c:pt>
                <c:pt idx="2">
                  <c:v>33992.528098266324</c:v>
                </c:pt>
                <c:pt idx="3">
                  <c:v>40545.304599136944</c:v>
                </c:pt>
                <c:pt idx="4">
                  <c:v>0</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3-3E1A-4E13-8CCD-D9CBDB61C388}"/>
            </c:ext>
          </c:extLst>
        </c:ser>
        <c:ser>
          <c:idx val="2"/>
          <c:order val="2"/>
          <c:tx>
            <c:v>Elongation Loading</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1"/>
            <c:dispEq val="1"/>
            <c:trendlineLbl>
              <c:layout>
                <c:manualLayout>
                  <c:x val="8.1408721028838948E-2"/>
                  <c:y val="-0.4480664706827612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'4 EF25 P40'!$L$9:$L$13</c:f>
              <c:numCache>
                <c:formatCode>0.0E+00</c:formatCode>
                <c:ptCount val="5"/>
                <c:pt idx="0">
                  <c:v>22115.620690438333</c:v>
                </c:pt>
                <c:pt idx="1">
                  <c:v>27849.300128700121</c:v>
                </c:pt>
                <c:pt idx="2">
                  <c:v>33992.528098266324</c:v>
                </c:pt>
                <c:pt idx="3">
                  <c:v>40545.304599136944</c:v>
                </c:pt>
                <c:pt idx="4">
                  <c:v>0</c:v>
                </c:pt>
              </c:numCache>
            </c:numRef>
          </c:xVal>
          <c:yVal>
            <c:numRef>
              <c:f>'2 EF25 P40'!#REF!</c:f>
              <c:numCache>
                <c:formatCode>General</c:formatCode>
                <c:ptCount val="1"/>
                <c:pt idx="0">
                  <c:v>1</c:v>
                </c:pt>
              </c:numCache>
            </c:numRef>
          </c:yVal>
          <c:smooth val="0"/>
          <c:extLst>
            <c:ext xmlns:c16="http://schemas.microsoft.com/office/drawing/2014/chart" uri="{C3380CC4-5D6E-409C-BE32-E72D297353CC}">
              <c16:uniqueId val="{00000005-3E1A-4E13-8CCD-D9CBDB61C388}"/>
            </c:ext>
          </c:extLst>
        </c:ser>
        <c:ser>
          <c:idx val="3"/>
          <c:order val="3"/>
          <c:tx>
            <c:v>Area Unloading</c:v>
          </c:tx>
          <c:spPr>
            <a:ln w="25400" cap="rnd">
              <a:noFill/>
              <a:round/>
            </a:ln>
            <a:effectLst/>
          </c:spPr>
          <c:marker>
            <c:symbol val="circle"/>
            <c:size val="5"/>
            <c:spPr>
              <a:solidFill>
                <a:schemeClr val="accent4"/>
              </a:solidFill>
              <a:ln w="9525">
                <a:solidFill>
                  <a:schemeClr val="accent4"/>
                </a:solidFill>
              </a:ln>
              <a:effectLst/>
            </c:spPr>
          </c:marker>
          <c:xVal>
            <c:numRef>
              <c:f>'4 EF25 P40'!$L$14:$L$19</c:f>
              <c:numCache>
                <c:formatCode>0.0E+00</c:formatCode>
                <c:ptCount val="6"/>
                <c:pt idx="0">
                  <c:v>0</c:v>
                </c:pt>
                <c:pt idx="1">
                  <c:v>0</c:v>
                </c:pt>
                <c:pt idx="2">
                  <c:v>0</c:v>
                </c:pt>
                <c:pt idx="3">
                  <c:v>0</c:v>
                </c:pt>
                <c:pt idx="4">
                  <c:v>0</c:v>
                </c:pt>
                <c:pt idx="5">
                  <c:v>0</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6-3E1A-4E13-8CCD-D9CBDB61C388}"/>
            </c:ext>
          </c:extLst>
        </c:ser>
        <c:ser>
          <c:idx val="4"/>
          <c:order val="4"/>
          <c:tx>
            <c:v>Perimeter Unloading</c:v>
          </c:tx>
          <c:spPr>
            <a:ln w="25400" cap="rnd">
              <a:noFill/>
              <a:round/>
            </a:ln>
            <a:effectLst/>
          </c:spPr>
          <c:marker>
            <c:symbol val="circle"/>
            <c:size val="5"/>
            <c:spPr>
              <a:solidFill>
                <a:schemeClr val="accent5"/>
              </a:solidFill>
              <a:ln w="9525">
                <a:solidFill>
                  <a:schemeClr val="accent5"/>
                </a:solidFill>
              </a:ln>
              <a:effectLst/>
            </c:spPr>
          </c:marker>
          <c:xVal>
            <c:numRef>
              <c:f>'4 EF25 P40'!$L$14:$L$19</c:f>
              <c:numCache>
                <c:formatCode>0.0E+00</c:formatCode>
                <c:ptCount val="6"/>
                <c:pt idx="0">
                  <c:v>0</c:v>
                </c:pt>
                <c:pt idx="1">
                  <c:v>0</c:v>
                </c:pt>
                <c:pt idx="2">
                  <c:v>0</c:v>
                </c:pt>
                <c:pt idx="3">
                  <c:v>0</c:v>
                </c:pt>
                <c:pt idx="4">
                  <c:v>0</c:v>
                </c:pt>
                <c:pt idx="5">
                  <c:v>0</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7-3E1A-4E13-8CCD-D9CBDB61C388}"/>
            </c:ext>
          </c:extLst>
        </c:ser>
        <c:ser>
          <c:idx val="5"/>
          <c:order val="5"/>
          <c:tx>
            <c:v>Elongation Unloading</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1"/>
            <c:dispEq val="1"/>
            <c:trendlineLbl>
              <c:layout>
                <c:manualLayout>
                  <c:x val="-0.42601223288423129"/>
                  <c:y val="3.810721138849240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'4 EF25 P40'!$L$14:$L$19</c:f>
              <c:numCache>
                <c:formatCode>0.0E+00</c:formatCode>
                <c:ptCount val="6"/>
                <c:pt idx="0">
                  <c:v>0</c:v>
                </c:pt>
                <c:pt idx="1">
                  <c:v>0</c:v>
                </c:pt>
                <c:pt idx="2">
                  <c:v>0</c:v>
                </c:pt>
                <c:pt idx="3">
                  <c:v>0</c:v>
                </c:pt>
                <c:pt idx="4">
                  <c:v>0</c:v>
                </c:pt>
                <c:pt idx="5">
                  <c:v>0</c:v>
                </c:pt>
              </c:numCache>
            </c:numRef>
          </c:xVal>
          <c:yVal>
            <c:numRef>
              <c:f>'2 EF25 P40'!#REF!</c:f>
              <c:numCache>
                <c:formatCode>General</c:formatCode>
                <c:ptCount val="1"/>
                <c:pt idx="0">
                  <c:v>1</c:v>
                </c:pt>
              </c:numCache>
            </c:numRef>
          </c:yVal>
          <c:smooth val="0"/>
          <c:extLst>
            <c:ext xmlns:c16="http://schemas.microsoft.com/office/drawing/2014/chart" uri="{C3380CC4-5D6E-409C-BE32-E72D297353CC}">
              <c16:uniqueId val="{00000009-3E1A-4E13-8CCD-D9CBDB61C388}"/>
            </c:ext>
          </c:extLst>
        </c:ser>
        <c:dLbls>
          <c:showLegendKey val="0"/>
          <c:showVal val="0"/>
          <c:showCatName val="0"/>
          <c:showSerName val="0"/>
          <c:showPercent val="0"/>
          <c:showBubbleSize val="0"/>
        </c:dLbls>
        <c:axId val="1172848367"/>
        <c:axId val="1448508735"/>
        <c:extLst/>
      </c:scatterChart>
      <c:valAx>
        <c:axId val="11728483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8508735"/>
        <c:crosses val="autoZero"/>
        <c:crossBetween val="midCat"/>
      </c:valAx>
      <c:valAx>
        <c:axId val="1448508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Elongation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84836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08598608118161"/>
          <c:y val="4.3763676148796497E-2"/>
          <c:w val="0.82828789732495367"/>
          <c:h val="0.77957705555355417"/>
        </c:manualLayout>
      </c:layout>
      <c:scatterChart>
        <c:scatterStyle val="lineMarker"/>
        <c:varyColors val="0"/>
        <c:ser>
          <c:idx val="0"/>
          <c:order val="0"/>
          <c:tx>
            <c:v>Area Loading</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1"/>
            <c:dispEq val="1"/>
            <c:trendlineLbl>
              <c:layout>
                <c:manualLayout>
                  <c:x val="8.5529773927890906E-2"/>
                  <c:y val="3.25051990539662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'4 EF25 P40'!$L$9:$L$13</c:f>
              <c:numCache>
                <c:formatCode>0.0E+00</c:formatCode>
                <c:ptCount val="5"/>
                <c:pt idx="0">
                  <c:v>22115.620690438333</c:v>
                </c:pt>
                <c:pt idx="1">
                  <c:v>27849.300128700121</c:v>
                </c:pt>
                <c:pt idx="2">
                  <c:v>33992.528098266324</c:v>
                </c:pt>
                <c:pt idx="3">
                  <c:v>40545.304599136944</c:v>
                </c:pt>
                <c:pt idx="4">
                  <c:v>0</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1-F6A9-4A7B-88E8-6309B58DE3F8}"/>
            </c:ext>
          </c:extLst>
        </c:ser>
        <c:ser>
          <c:idx val="1"/>
          <c:order val="1"/>
          <c:tx>
            <c:v>Perimeter Loading</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1"/>
            <c:dispEq val="1"/>
            <c:trendlineLbl>
              <c:layout>
                <c:manualLayout>
                  <c:x val="0.11551530724962839"/>
                  <c:y val="0.3495300381305410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'4 EF25 P40'!$L$9:$L$13</c:f>
              <c:numCache>
                <c:formatCode>0.0E+00</c:formatCode>
                <c:ptCount val="5"/>
                <c:pt idx="0">
                  <c:v>22115.620690438333</c:v>
                </c:pt>
                <c:pt idx="1">
                  <c:v>27849.300128700121</c:v>
                </c:pt>
                <c:pt idx="2">
                  <c:v>33992.528098266324</c:v>
                </c:pt>
                <c:pt idx="3">
                  <c:v>40545.304599136944</c:v>
                </c:pt>
                <c:pt idx="4">
                  <c:v>0</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3-F6A9-4A7B-88E8-6309B58DE3F8}"/>
            </c:ext>
          </c:extLst>
        </c:ser>
        <c:ser>
          <c:idx val="2"/>
          <c:order val="2"/>
          <c:tx>
            <c:v>Elongation Loading</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1"/>
            <c:dispEq val="1"/>
            <c:trendlineLbl>
              <c:layout>
                <c:manualLayout>
                  <c:x val="8.1408721028838948E-2"/>
                  <c:y val="-0.4480664706827612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'4 EF25 P40'!$L$9:$L$13</c:f>
              <c:numCache>
                <c:formatCode>0.0E+00</c:formatCode>
                <c:ptCount val="5"/>
                <c:pt idx="0">
                  <c:v>22115.620690438333</c:v>
                </c:pt>
                <c:pt idx="1">
                  <c:v>27849.300128700121</c:v>
                </c:pt>
                <c:pt idx="2">
                  <c:v>33992.528098266324</c:v>
                </c:pt>
                <c:pt idx="3">
                  <c:v>40545.304599136944</c:v>
                </c:pt>
                <c:pt idx="4">
                  <c:v>0</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5-F6A9-4A7B-88E8-6309B58DE3F8}"/>
            </c:ext>
          </c:extLst>
        </c:ser>
        <c:ser>
          <c:idx val="3"/>
          <c:order val="3"/>
          <c:tx>
            <c:v>Area Unloading</c:v>
          </c:tx>
          <c:spPr>
            <a:ln w="25400" cap="rnd">
              <a:noFill/>
              <a:round/>
            </a:ln>
            <a:effectLst/>
          </c:spPr>
          <c:marker>
            <c:symbol val="circle"/>
            <c:size val="5"/>
            <c:spPr>
              <a:solidFill>
                <a:schemeClr val="accent4"/>
              </a:solidFill>
              <a:ln w="9525">
                <a:solidFill>
                  <a:schemeClr val="accent4"/>
                </a:solidFill>
              </a:ln>
              <a:effectLst/>
            </c:spPr>
          </c:marker>
          <c:xVal>
            <c:numRef>
              <c:f>'4 EF25 P40'!$L$14:$L$19</c:f>
              <c:numCache>
                <c:formatCode>0.0E+00</c:formatCode>
                <c:ptCount val="6"/>
                <c:pt idx="0">
                  <c:v>0</c:v>
                </c:pt>
                <c:pt idx="1">
                  <c:v>0</c:v>
                </c:pt>
                <c:pt idx="2">
                  <c:v>0</c:v>
                </c:pt>
                <c:pt idx="3">
                  <c:v>0</c:v>
                </c:pt>
                <c:pt idx="4">
                  <c:v>0</c:v>
                </c:pt>
                <c:pt idx="5">
                  <c:v>0</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6-F6A9-4A7B-88E8-6309B58DE3F8}"/>
            </c:ext>
          </c:extLst>
        </c:ser>
        <c:ser>
          <c:idx val="4"/>
          <c:order val="4"/>
          <c:tx>
            <c:v>Perimeter Unloading</c:v>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poly"/>
            <c:order val="2"/>
            <c:dispRSqr val="1"/>
            <c:dispEq val="1"/>
            <c:trendlineLbl>
              <c:layout>
                <c:manualLayout>
                  <c:x val="0.16379511400628177"/>
                  <c:y val="-0.15135629035875764"/>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'4 EF25 P40'!$L$14:$L$19</c:f>
              <c:numCache>
                <c:formatCode>0.0E+00</c:formatCode>
                <c:ptCount val="6"/>
                <c:pt idx="0">
                  <c:v>0</c:v>
                </c:pt>
                <c:pt idx="1">
                  <c:v>0</c:v>
                </c:pt>
                <c:pt idx="2">
                  <c:v>0</c:v>
                </c:pt>
                <c:pt idx="3">
                  <c:v>0</c:v>
                </c:pt>
                <c:pt idx="4">
                  <c:v>0</c:v>
                </c:pt>
                <c:pt idx="5">
                  <c:v>0</c:v>
                </c:pt>
              </c:numCache>
            </c:numRef>
          </c:xVal>
          <c:yVal>
            <c:numRef>
              <c:f>'2 EF25 P40'!#REF!</c:f>
              <c:numCache>
                <c:formatCode>General</c:formatCode>
                <c:ptCount val="1"/>
                <c:pt idx="0">
                  <c:v>1</c:v>
                </c:pt>
              </c:numCache>
            </c:numRef>
          </c:yVal>
          <c:smooth val="0"/>
          <c:extLst>
            <c:ext xmlns:c16="http://schemas.microsoft.com/office/drawing/2014/chart" uri="{C3380CC4-5D6E-409C-BE32-E72D297353CC}">
              <c16:uniqueId val="{00000008-F6A9-4A7B-88E8-6309B58DE3F8}"/>
            </c:ext>
          </c:extLst>
        </c:ser>
        <c:ser>
          <c:idx val="5"/>
          <c:order val="5"/>
          <c:tx>
            <c:v>Elongation Unloading</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1"/>
            <c:dispEq val="1"/>
            <c:trendlineLbl>
              <c:layout>
                <c:manualLayout>
                  <c:x val="-0.42601223288423129"/>
                  <c:y val="3.810721138849240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'4 EF25 P40'!$L$14:$L$19</c:f>
              <c:numCache>
                <c:formatCode>0.0E+00</c:formatCode>
                <c:ptCount val="6"/>
                <c:pt idx="0">
                  <c:v>0</c:v>
                </c:pt>
                <c:pt idx="1">
                  <c:v>0</c:v>
                </c:pt>
                <c:pt idx="2">
                  <c:v>0</c:v>
                </c:pt>
                <c:pt idx="3">
                  <c:v>0</c:v>
                </c:pt>
                <c:pt idx="4">
                  <c:v>0</c:v>
                </c:pt>
                <c:pt idx="5">
                  <c:v>0</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A-F6A9-4A7B-88E8-6309B58DE3F8}"/>
            </c:ext>
          </c:extLst>
        </c:ser>
        <c:dLbls>
          <c:showLegendKey val="0"/>
          <c:showVal val="0"/>
          <c:showCatName val="0"/>
          <c:showSerName val="0"/>
          <c:showPercent val="0"/>
          <c:showBubbleSize val="0"/>
        </c:dLbls>
        <c:axId val="1172848367"/>
        <c:axId val="1448508735"/>
        <c:extLst/>
      </c:scatterChart>
      <c:valAx>
        <c:axId val="11728483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8508735"/>
        <c:crosses val="autoZero"/>
        <c:crossBetween val="midCat"/>
      </c:valAx>
      <c:valAx>
        <c:axId val="1448508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Perimeter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84836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'EF25 P40 AVGS'!$G$7:$G$12</c:f>
              <c:numCache>
                <c:formatCode>0.00</c:formatCode>
                <c:ptCount val="6"/>
                <c:pt idx="0">
                  <c:v>0</c:v>
                </c:pt>
                <c:pt idx="1">
                  <c:v>1.0774700047884878</c:v>
                </c:pt>
                <c:pt idx="2">
                  <c:v>2.2896504778408011</c:v>
                </c:pt>
                <c:pt idx="3">
                  <c:v>3.7524960864050558</c:v>
                </c:pt>
                <c:pt idx="4">
                  <c:v>5.6094272576213173</c:v>
                </c:pt>
                <c:pt idx="5">
                  <c:v>7.7703045261459698</c:v>
                </c:pt>
              </c:numCache>
            </c:numRef>
          </c:xVal>
          <c:yVal>
            <c:numRef>
              <c:f>'EF25 P40 AVGS'!$K$7:$K$12</c:f>
              <c:numCache>
                <c:formatCode>0</c:formatCode>
                <c:ptCount val="6"/>
                <c:pt idx="0">
                  <c:v>0</c:v>
                </c:pt>
                <c:pt idx="1">
                  <c:v>1517.7004608294931</c:v>
                </c:pt>
                <c:pt idx="2">
                  <c:v>3557.2362903225817</c:v>
                </c:pt>
                <c:pt idx="3">
                  <c:v>5864.5137096774197</c:v>
                </c:pt>
                <c:pt idx="4">
                  <c:v>8035.1362903225809</c:v>
                </c:pt>
                <c:pt idx="5">
                  <c:v>8457.004301075267</c:v>
                </c:pt>
              </c:numCache>
            </c:numRef>
          </c:yVal>
          <c:smooth val="0"/>
          <c:extLst>
            <c:ext xmlns:c16="http://schemas.microsoft.com/office/drawing/2014/chart" uri="{C3380CC4-5D6E-409C-BE32-E72D297353CC}">
              <c16:uniqueId val="{00000001-4EF3-400E-A6DC-BA6B1DCBED09}"/>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'EF25 P40 AVGS'!$O$6</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'EF25 P40 AVGS'!$L$8:$L$12</c:f>
              <c:numCache>
                <c:formatCode>0.0E+00</c:formatCode>
                <c:ptCount val="5"/>
                <c:pt idx="0">
                  <c:v>14901.440328763087</c:v>
                </c:pt>
                <c:pt idx="1">
                  <c:v>21722.522169394077</c:v>
                </c:pt>
                <c:pt idx="2">
                  <c:v>27809.02596564942</c:v>
                </c:pt>
                <c:pt idx="3">
                  <c:v>34000.469482529857</c:v>
                </c:pt>
                <c:pt idx="4">
                  <c:v>40017.013465035139</c:v>
                </c:pt>
              </c:numCache>
            </c:numRef>
          </c:xVal>
          <c:yVal>
            <c:numRef>
              <c:f>'EF25 P40 AVGS'!$O$8:$O$12</c:f>
              <c:numCache>
                <c:formatCode>0.000</c:formatCode>
                <c:ptCount val="5"/>
                <c:pt idx="0">
                  <c:v>1.3713353415781136E-2</c:v>
                </c:pt>
                <c:pt idx="1">
                  <c:v>1.512538070955566E-2</c:v>
                </c:pt>
                <c:pt idx="2">
                  <c:v>1.5215090833516069E-2</c:v>
                </c:pt>
                <c:pt idx="3">
                  <c:v>1.3945610093808108E-2</c:v>
                </c:pt>
                <c:pt idx="4">
                  <c:v>1.0595984233301277E-2</c:v>
                </c:pt>
              </c:numCache>
            </c:numRef>
          </c:yVal>
          <c:smooth val="0"/>
          <c:extLst>
            <c:ext xmlns:c16="http://schemas.microsoft.com/office/drawing/2014/chart" uri="{C3380CC4-5D6E-409C-BE32-E72D297353CC}">
              <c16:uniqueId val="{00000001-D84A-46AB-AB49-2B4B4DBF03C4}"/>
            </c:ext>
          </c:extLst>
        </c:ser>
        <c:ser>
          <c:idx val="1"/>
          <c:order val="1"/>
          <c:tx>
            <c:strRef>
              <c:f>'EF25 P40 AVGS'!$T$6</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'EF25 P40 AVGS'!$S$8:$S$32</c:f>
              <c:numCache>
                <c:formatCode>0.00000</c:formatCode>
                <c:ptCount val="25"/>
                <c:pt idx="0">
                  <c:v>1435.5742296918768</c:v>
                </c:pt>
                <c:pt idx="1">
                  <c:v>2871.1484593837536</c:v>
                </c:pt>
                <c:pt idx="2">
                  <c:v>4306.7226890756301</c:v>
                </c:pt>
                <c:pt idx="3">
                  <c:v>5742.2969187675071</c:v>
                </c:pt>
                <c:pt idx="4">
                  <c:v>7177.8711484593841</c:v>
                </c:pt>
                <c:pt idx="5">
                  <c:v>8613.4453781512602</c:v>
                </c:pt>
                <c:pt idx="6">
                  <c:v>10049.019607843138</c:v>
                </c:pt>
                <c:pt idx="7">
                  <c:v>11484.593837535014</c:v>
                </c:pt>
                <c:pt idx="8">
                  <c:v>12920.168067226892</c:v>
                </c:pt>
                <c:pt idx="9">
                  <c:v>14355.742296918768</c:v>
                </c:pt>
                <c:pt idx="10">
                  <c:v>15791.316526610646</c:v>
                </c:pt>
                <c:pt idx="11">
                  <c:v>17226.89075630252</c:v>
                </c:pt>
                <c:pt idx="12">
                  <c:v>18662.4649859944</c:v>
                </c:pt>
                <c:pt idx="13">
                  <c:v>20098.039215686276</c:v>
                </c:pt>
                <c:pt idx="14">
                  <c:v>21533.613445378152</c:v>
                </c:pt>
                <c:pt idx="15">
                  <c:v>22969.187675070028</c:v>
                </c:pt>
                <c:pt idx="16">
                  <c:v>24404.761904761905</c:v>
                </c:pt>
                <c:pt idx="17">
                  <c:v>25840.336134453784</c:v>
                </c:pt>
                <c:pt idx="18">
                  <c:v>27275.91036414566</c:v>
                </c:pt>
                <c:pt idx="19">
                  <c:v>28711.484593837537</c:v>
                </c:pt>
                <c:pt idx="20">
                  <c:v>30147.058823529416</c:v>
                </c:pt>
                <c:pt idx="21">
                  <c:v>31582.633053221292</c:v>
                </c:pt>
                <c:pt idx="22">
                  <c:v>33018.207282913165</c:v>
                </c:pt>
                <c:pt idx="23">
                  <c:v>34453.781512605041</c:v>
                </c:pt>
                <c:pt idx="24">
                  <c:v>35889.355742296917</c:v>
                </c:pt>
              </c:numCache>
            </c:numRef>
          </c:xVal>
          <c:yVal>
            <c:numRef>
              <c:f>'EF25 P40 AVGS'!$U$8:$U$32</c:f>
              <c:numCache>
                <c:formatCode>0.00000</c:formatCode>
                <c:ptCount val="25"/>
                <c:pt idx="0">
                  <c:v>1.2850501305993444E-2</c:v>
                </c:pt>
                <c:pt idx="1">
                  <c:v>1.0805940482423067E-2</c:v>
                </c:pt>
                <c:pt idx="2">
                  <c:v>9.7642694708062177E-3</c:v>
                </c:pt>
                <c:pt idx="3">
                  <c:v>9.0866766151145497E-3</c:v>
                </c:pt>
                <c:pt idx="4">
                  <c:v>8.5936481624699669E-3</c:v>
                </c:pt>
                <c:pt idx="5">
                  <c:v>8.2107391955722319E-3</c:v>
                </c:pt>
                <c:pt idx="6">
                  <c:v>7.9003359624095198E-3</c:v>
                </c:pt>
                <c:pt idx="7">
                  <c:v>7.6409537922195814E-3</c:v>
                </c:pt>
                <c:pt idx="8">
                  <c:v>7.4192403882369553E-3</c:v>
                </c:pt>
                <c:pt idx="9">
                  <c:v>7.2263679337726677E-3</c:v>
                </c:pt>
                <c:pt idx="10">
                  <c:v>7.0562165224380691E-3</c:v>
                </c:pt>
                <c:pt idx="11">
                  <c:v>6.9043811561398574E-3</c:v>
                </c:pt>
                <c:pt idx="12">
                  <c:v>6.7675929918286758E-3</c:v>
                </c:pt>
                <c:pt idx="13">
                  <c:v>6.6433641900901707E-3</c:v>
                </c:pt>
                <c:pt idx="14">
                  <c:v>6.5297605437789142E-3</c:v>
                </c:pt>
                <c:pt idx="15">
                  <c:v>6.4252506529967222E-3</c:v>
                </c:pt>
                <c:pt idx="16">
                  <c:v>6.3286028101997415E-3</c:v>
                </c:pt>
                <c:pt idx="17">
                  <c:v>6.2388126463740331E-3</c:v>
                </c:pt>
                <c:pt idx="18">
                  <c:v>6.155051199299072E-3</c:v>
                </c:pt>
                <c:pt idx="19">
                  <c:v>6.076626890813828E-3</c:v>
                </c:pt>
                <c:pt idx="20">
                  <c:v>6.0029571928753725E-3</c:v>
                </c:pt>
                <c:pt idx="21">
                  <c:v>5.9335471789722033E-3</c:v>
                </c:pt>
                <c:pt idx="22">
                  <c:v>5.8679730568864759E-3</c:v>
                </c:pt>
                <c:pt idx="23">
                  <c:v>5.8058693637433037E-3</c:v>
                </c:pt>
                <c:pt idx="24">
                  <c:v>5.7469188930302333E-3</c:v>
                </c:pt>
              </c:numCache>
            </c:numRef>
          </c:yVal>
          <c:smooth val="0"/>
          <c:extLst>
            <c:ext xmlns:c16="http://schemas.microsoft.com/office/drawing/2014/chart" uri="{C3380CC4-5D6E-409C-BE32-E72D297353CC}">
              <c16:uniqueId val="{00000003-D84A-46AB-AB49-2B4B4DBF03C4}"/>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08598608118161"/>
          <c:y val="4.3763676148796497E-2"/>
          <c:w val="0.82828789732495367"/>
          <c:h val="0.77957705555355417"/>
        </c:manualLayout>
      </c:layout>
      <c:scatterChart>
        <c:scatterStyle val="lineMarker"/>
        <c:varyColors val="0"/>
        <c:ser>
          <c:idx val="0"/>
          <c:order val="0"/>
          <c:tx>
            <c:v>Area Loading</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1"/>
            <c:dispEq val="1"/>
            <c:trendlineLbl>
              <c:layout>
                <c:manualLayout>
                  <c:x val="8.5529773927890906E-2"/>
                  <c:y val="3.25051990539662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'EF25 P40 AVGS'!$L$9:$L$13</c:f>
              <c:numCache>
                <c:formatCode>0.0E+00</c:formatCode>
                <c:ptCount val="5"/>
                <c:pt idx="0">
                  <c:v>21722.522169394077</c:v>
                </c:pt>
                <c:pt idx="1">
                  <c:v>27809.02596564942</c:v>
                </c:pt>
                <c:pt idx="2">
                  <c:v>34000.469482529857</c:v>
                </c:pt>
                <c:pt idx="3">
                  <c:v>40017.013465035139</c:v>
                </c:pt>
                <c:pt idx="4">
                  <c:v>44494.441545039066</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1-10D5-4B97-AAAC-11E22D07B525}"/>
            </c:ext>
          </c:extLst>
        </c:ser>
        <c:ser>
          <c:idx val="1"/>
          <c:order val="1"/>
          <c:tx>
            <c:v>Perimeter Loading</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1"/>
            <c:dispEq val="1"/>
            <c:trendlineLbl>
              <c:layout>
                <c:manualLayout>
                  <c:x val="6.3051450244787866E-2"/>
                  <c:y val="6.463679239967798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'EF25 P40 AVGS'!$L$9:$L$13</c:f>
              <c:numCache>
                <c:formatCode>0.0E+00</c:formatCode>
                <c:ptCount val="5"/>
                <c:pt idx="0">
                  <c:v>21722.522169394077</c:v>
                </c:pt>
                <c:pt idx="1">
                  <c:v>27809.02596564942</c:v>
                </c:pt>
                <c:pt idx="2">
                  <c:v>34000.469482529857</c:v>
                </c:pt>
                <c:pt idx="3">
                  <c:v>40017.013465035139</c:v>
                </c:pt>
                <c:pt idx="4">
                  <c:v>44494.441545039066</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3-10D5-4B97-AAAC-11E22D07B525}"/>
            </c:ext>
          </c:extLst>
        </c:ser>
        <c:ser>
          <c:idx val="2"/>
          <c:order val="2"/>
          <c:tx>
            <c:v>Elongation Loading</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1"/>
            <c:dispEq val="1"/>
            <c:trendlineLbl>
              <c:layout>
                <c:manualLayout>
                  <c:x val="8.1408721028838948E-2"/>
                  <c:y val="-0.4480664706827612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'EF25 P40 AVGS'!$L$9:$L$13</c:f>
              <c:numCache>
                <c:formatCode>0.0E+00</c:formatCode>
                <c:ptCount val="5"/>
                <c:pt idx="0">
                  <c:v>21722.522169394077</c:v>
                </c:pt>
                <c:pt idx="1">
                  <c:v>27809.02596564942</c:v>
                </c:pt>
                <c:pt idx="2">
                  <c:v>34000.469482529857</c:v>
                </c:pt>
                <c:pt idx="3">
                  <c:v>40017.013465035139</c:v>
                </c:pt>
                <c:pt idx="4">
                  <c:v>44494.441545039066</c:v>
                </c:pt>
              </c:numCache>
            </c:numRef>
          </c:xVal>
          <c:yVal>
            <c:numRef>
              <c:f>'2 EF25 P40'!#REF!</c:f>
              <c:numCache>
                <c:formatCode>General</c:formatCode>
                <c:ptCount val="1"/>
                <c:pt idx="0">
                  <c:v>1</c:v>
                </c:pt>
              </c:numCache>
            </c:numRef>
          </c:yVal>
          <c:smooth val="0"/>
          <c:extLst>
            <c:ext xmlns:c16="http://schemas.microsoft.com/office/drawing/2014/chart" uri="{C3380CC4-5D6E-409C-BE32-E72D297353CC}">
              <c16:uniqueId val="{00000005-10D5-4B97-AAAC-11E22D07B525}"/>
            </c:ext>
          </c:extLst>
        </c:ser>
        <c:ser>
          <c:idx val="3"/>
          <c:order val="3"/>
          <c:tx>
            <c:v>Area Unloading</c:v>
          </c:tx>
          <c:spPr>
            <a:ln w="25400" cap="rnd">
              <a:noFill/>
              <a:round/>
            </a:ln>
            <a:effectLst/>
          </c:spPr>
          <c:marker>
            <c:symbol val="circle"/>
            <c:size val="5"/>
            <c:spPr>
              <a:solidFill>
                <a:schemeClr val="accent4"/>
              </a:solidFill>
              <a:ln w="9525">
                <a:solidFill>
                  <a:schemeClr val="accent4"/>
                </a:solidFill>
              </a:ln>
              <a:effectLst/>
            </c:spPr>
          </c:marker>
          <c:xVal>
            <c:numRef>
              <c:f>'EF25 P40 AVGS'!$L$14:$L$19</c:f>
              <c:numCache>
                <c:formatCode>0.0E+00</c:formatCode>
                <c:ptCount val="6"/>
                <c:pt idx="0">
                  <c:v>44494.441545039066</c:v>
                </c:pt>
                <c:pt idx="1">
                  <c:v>38198.058307533545</c:v>
                </c:pt>
                <c:pt idx="2">
                  <c:v>31901.67507002801</c:v>
                </c:pt>
                <c:pt idx="3">
                  <c:v>26025.050715022851</c:v>
                </c:pt>
                <c:pt idx="4">
                  <c:v>20148.426360017693</c:v>
                </c:pt>
                <c:pt idx="5">
                  <c:v>14271.802005012531</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6-10D5-4B97-AAAC-11E22D07B525}"/>
            </c:ext>
          </c:extLst>
        </c:ser>
        <c:ser>
          <c:idx val="4"/>
          <c:order val="4"/>
          <c:tx>
            <c:v>Perimeter Unloading</c:v>
          </c:tx>
          <c:spPr>
            <a:ln w="25400" cap="rnd">
              <a:noFill/>
              <a:round/>
            </a:ln>
            <a:effectLst/>
          </c:spPr>
          <c:marker>
            <c:symbol val="circle"/>
            <c:size val="5"/>
            <c:spPr>
              <a:solidFill>
                <a:schemeClr val="accent5"/>
              </a:solidFill>
              <a:ln w="9525">
                <a:solidFill>
                  <a:schemeClr val="accent5"/>
                </a:solidFill>
              </a:ln>
              <a:effectLst/>
            </c:spPr>
          </c:marker>
          <c:xVal>
            <c:numRef>
              <c:f>'EF25 P40 AVGS'!$L$14:$L$19</c:f>
              <c:numCache>
                <c:formatCode>0.0E+00</c:formatCode>
                <c:ptCount val="6"/>
                <c:pt idx="0">
                  <c:v>44494.441545039066</c:v>
                </c:pt>
                <c:pt idx="1">
                  <c:v>38198.058307533545</c:v>
                </c:pt>
                <c:pt idx="2">
                  <c:v>31901.67507002801</c:v>
                </c:pt>
                <c:pt idx="3">
                  <c:v>26025.050715022851</c:v>
                </c:pt>
                <c:pt idx="4">
                  <c:v>20148.426360017693</c:v>
                </c:pt>
                <c:pt idx="5">
                  <c:v>14271.802005012531</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7-10D5-4B97-AAAC-11E22D07B525}"/>
            </c:ext>
          </c:extLst>
        </c:ser>
        <c:ser>
          <c:idx val="5"/>
          <c:order val="5"/>
          <c:tx>
            <c:v>Elongation Unloading</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1"/>
            <c:dispEq val="1"/>
            <c:trendlineLbl>
              <c:layout>
                <c:manualLayout>
                  <c:x val="-0.42601223288423129"/>
                  <c:y val="3.810721138849240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'EF25 P40 AVGS'!$L$14:$L$19</c:f>
              <c:numCache>
                <c:formatCode>0.0E+00</c:formatCode>
                <c:ptCount val="6"/>
                <c:pt idx="0">
                  <c:v>44494.441545039066</c:v>
                </c:pt>
                <c:pt idx="1">
                  <c:v>38198.058307533545</c:v>
                </c:pt>
                <c:pt idx="2">
                  <c:v>31901.67507002801</c:v>
                </c:pt>
                <c:pt idx="3">
                  <c:v>26025.050715022851</c:v>
                </c:pt>
                <c:pt idx="4">
                  <c:v>20148.426360017693</c:v>
                </c:pt>
                <c:pt idx="5">
                  <c:v>14271.802005012531</c:v>
                </c:pt>
              </c:numCache>
            </c:numRef>
          </c:xVal>
          <c:yVal>
            <c:numRef>
              <c:f>'2 EF25 P40'!#REF!</c:f>
              <c:numCache>
                <c:formatCode>General</c:formatCode>
                <c:ptCount val="1"/>
                <c:pt idx="0">
                  <c:v>1</c:v>
                </c:pt>
              </c:numCache>
            </c:numRef>
          </c:yVal>
          <c:smooth val="0"/>
          <c:extLst>
            <c:ext xmlns:c16="http://schemas.microsoft.com/office/drawing/2014/chart" uri="{C3380CC4-5D6E-409C-BE32-E72D297353CC}">
              <c16:uniqueId val="{00000009-10D5-4B97-AAAC-11E22D07B525}"/>
            </c:ext>
          </c:extLst>
        </c:ser>
        <c:dLbls>
          <c:showLegendKey val="0"/>
          <c:showVal val="0"/>
          <c:showCatName val="0"/>
          <c:showSerName val="0"/>
          <c:showPercent val="0"/>
          <c:showBubbleSize val="0"/>
        </c:dLbls>
        <c:axId val="1172848367"/>
        <c:axId val="1448508735"/>
        <c:extLst/>
      </c:scatterChart>
      <c:valAx>
        <c:axId val="11728483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8508735"/>
        <c:crosses val="autoZero"/>
        <c:crossBetween val="midCat"/>
      </c:valAx>
      <c:valAx>
        <c:axId val="1448508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Elongation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84836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08598608118161"/>
          <c:y val="4.3763676148796497E-2"/>
          <c:w val="0.82828789732495367"/>
          <c:h val="0.77957705555355417"/>
        </c:manualLayout>
      </c:layout>
      <c:scatterChart>
        <c:scatterStyle val="lineMarker"/>
        <c:varyColors val="0"/>
        <c:ser>
          <c:idx val="0"/>
          <c:order val="0"/>
          <c:tx>
            <c:v>Area Loading</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1"/>
            <c:dispEq val="1"/>
            <c:trendlineLbl>
              <c:layout>
                <c:manualLayout>
                  <c:x val="8.5529773927890906E-2"/>
                  <c:y val="3.25051990539662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'EF25 P40 AVGS'!$L$9:$L$13</c:f>
              <c:numCache>
                <c:formatCode>0.0E+00</c:formatCode>
                <c:ptCount val="5"/>
                <c:pt idx="0">
                  <c:v>21722.522169394077</c:v>
                </c:pt>
                <c:pt idx="1">
                  <c:v>27809.02596564942</c:v>
                </c:pt>
                <c:pt idx="2">
                  <c:v>34000.469482529857</c:v>
                </c:pt>
                <c:pt idx="3">
                  <c:v>40017.013465035139</c:v>
                </c:pt>
                <c:pt idx="4">
                  <c:v>44494.441545039066</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1-FE79-494C-A542-08A33C0D525B}"/>
            </c:ext>
          </c:extLst>
        </c:ser>
        <c:ser>
          <c:idx val="1"/>
          <c:order val="1"/>
          <c:tx>
            <c:v>Perimeter Loading</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1"/>
            <c:dispEq val="1"/>
            <c:trendlineLbl>
              <c:layout>
                <c:manualLayout>
                  <c:x val="0.11551530724962839"/>
                  <c:y val="0.3495300381305410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'EF25 P40 AVGS'!$L$9:$L$13</c:f>
              <c:numCache>
                <c:formatCode>0.0E+00</c:formatCode>
                <c:ptCount val="5"/>
                <c:pt idx="0">
                  <c:v>21722.522169394077</c:v>
                </c:pt>
                <c:pt idx="1">
                  <c:v>27809.02596564942</c:v>
                </c:pt>
                <c:pt idx="2">
                  <c:v>34000.469482529857</c:v>
                </c:pt>
                <c:pt idx="3">
                  <c:v>40017.013465035139</c:v>
                </c:pt>
                <c:pt idx="4">
                  <c:v>44494.441545039066</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3-FE79-494C-A542-08A33C0D525B}"/>
            </c:ext>
          </c:extLst>
        </c:ser>
        <c:ser>
          <c:idx val="2"/>
          <c:order val="2"/>
          <c:tx>
            <c:v>Elongation Loading</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1"/>
            <c:dispEq val="1"/>
            <c:trendlineLbl>
              <c:layout>
                <c:manualLayout>
                  <c:x val="8.1408721028838948E-2"/>
                  <c:y val="-0.4480664706827612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'EF25 P40 AVGS'!$L$9:$L$13</c:f>
              <c:numCache>
                <c:formatCode>0.0E+00</c:formatCode>
                <c:ptCount val="5"/>
                <c:pt idx="0">
                  <c:v>21722.522169394077</c:v>
                </c:pt>
                <c:pt idx="1">
                  <c:v>27809.02596564942</c:v>
                </c:pt>
                <c:pt idx="2">
                  <c:v>34000.469482529857</c:v>
                </c:pt>
                <c:pt idx="3">
                  <c:v>40017.013465035139</c:v>
                </c:pt>
                <c:pt idx="4">
                  <c:v>44494.441545039066</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5-FE79-494C-A542-08A33C0D525B}"/>
            </c:ext>
          </c:extLst>
        </c:ser>
        <c:ser>
          <c:idx val="3"/>
          <c:order val="3"/>
          <c:tx>
            <c:v>Area Unloading</c:v>
          </c:tx>
          <c:spPr>
            <a:ln w="25400" cap="rnd">
              <a:noFill/>
              <a:round/>
            </a:ln>
            <a:effectLst/>
          </c:spPr>
          <c:marker>
            <c:symbol val="circle"/>
            <c:size val="5"/>
            <c:spPr>
              <a:solidFill>
                <a:schemeClr val="accent4"/>
              </a:solidFill>
              <a:ln w="9525">
                <a:solidFill>
                  <a:schemeClr val="accent4"/>
                </a:solidFill>
              </a:ln>
              <a:effectLst/>
            </c:spPr>
          </c:marker>
          <c:xVal>
            <c:numRef>
              <c:f>'EF25 P40 AVGS'!$L$14:$L$19</c:f>
              <c:numCache>
                <c:formatCode>0.0E+00</c:formatCode>
                <c:ptCount val="6"/>
                <c:pt idx="0">
                  <c:v>44494.441545039066</c:v>
                </c:pt>
                <c:pt idx="1">
                  <c:v>38198.058307533545</c:v>
                </c:pt>
                <c:pt idx="2">
                  <c:v>31901.67507002801</c:v>
                </c:pt>
                <c:pt idx="3">
                  <c:v>26025.050715022851</c:v>
                </c:pt>
                <c:pt idx="4">
                  <c:v>20148.426360017693</c:v>
                </c:pt>
                <c:pt idx="5">
                  <c:v>14271.802005012531</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6-FE79-494C-A542-08A33C0D525B}"/>
            </c:ext>
          </c:extLst>
        </c:ser>
        <c:ser>
          <c:idx val="4"/>
          <c:order val="4"/>
          <c:tx>
            <c:v>Perimeter Unloading</c:v>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poly"/>
            <c:order val="2"/>
            <c:dispRSqr val="1"/>
            <c:dispEq val="1"/>
            <c:trendlineLbl>
              <c:layout>
                <c:manualLayout>
                  <c:x val="0.16379511400628177"/>
                  <c:y val="-0.15135629035875764"/>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'EF25 P40 AVGS'!$L$14:$L$19</c:f>
              <c:numCache>
                <c:formatCode>0.0E+00</c:formatCode>
                <c:ptCount val="6"/>
                <c:pt idx="0">
                  <c:v>44494.441545039066</c:v>
                </c:pt>
                <c:pt idx="1">
                  <c:v>38198.058307533545</c:v>
                </c:pt>
                <c:pt idx="2">
                  <c:v>31901.67507002801</c:v>
                </c:pt>
                <c:pt idx="3">
                  <c:v>26025.050715022851</c:v>
                </c:pt>
                <c:pt idx="4">
                  <c:v>20148.426360017693</c:v>
                </c:pt>
                <c:pt idx="5">
                  <c:v>14271.802005012531</c:v>
                </c:pt>
              </c:numCache>
            </c:numRef>
          </c:xVal>
          <c:yVal>
            <c:numRef>
              <c:f>'2 EF25 P40'!#REF!</c:f>
              <c:numCache>
                <c:formatCode>General</c:formatCode>
                <c:ptCount val="1"/>
                <c:pt idx="0">
                  <c:v>1</c:v>
                </c:pt>
              </c:numCache>
            </c:numRef>
          </c:yVal>
          <c:smooth val="0"/>
          <c:extLst>
            <c:ext xmlns:c16="http://schemas.microsoft.com/office/drawing/2014/chart" uri="{C3380CC4-5D6E-409C-BE32-E72D297353CC}">
              <c16:uniqueId val="{00000008-FE79-494C-A542-08A33C0D525B}"/>
            </c:ext>
          </c:extLst>
        </c:ser>
        <c:ser>
          <c:idx val="5"/>
          <c:order val="5"/>
          <c:tx>
            <c:v>Elongation Unloading</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1"/>
            <c:dispEq val="1"/>
            <c:trendlineLbl>
              <c:layout>
                <c:manualLayout>
                  <c:x val="-0.42601223288423129"/>
                  <c:y val="3.810721138849240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'EF25 P40 AVGS'!$L$14:$L$19</c:f>
              <c:numCache>
                <c:formatCode>0.0E+00</c:formatCode>
                <c:ptCount val="6"/>
                <c:pt idx="0">
                  <c:v>44494.441545039066</c:v>
                </c:pt>
                <c:pt idx="1">
                  <c:v>38198.058307533545</c:v>
                </c:pt>
                <c:pt idx="2">
                  <c:v>31901.67507002801</c:v>
                </c:pt>
                <c:pt idx="3">
                  <c:v>26025.050715022851</c:v>
                </c:pt>
                <c:pt idx="4">
                  <c:v>20148.426360017693</c:v>
                </c:pt>
                <c:pt idx="5">
                  <c:v>14271.802005012531</c:v>
                </c:pt>
              </c:numCache>
            </c:numRef>
          </c:xVal>
          <c:yVal>
            <c:numRef>
              <c:f>'2 EF25 P40'!#REF!</c:f>
              <c:numCache>
                <c:formatCode>General</c:formatCode>
                <c:ptCount val="1"/>
                <c:pt idx="0">
                  <c:v>1</c:v>
                </c:pt>
              </c:numCache>
            </c:numRef>
          </c:yVal>
          <c:smooth val="0"/>
          <c:extLst xmlns:c15="http://schemas.microsoft.com/office/drawing/2012/chart">
            <c:ext xmlns:c16="http://schemas.microsoft.com/office/drawing/2014/chart" uri="{C3380CC4-5D6E-409C-BE32-E72D297353CC}">
              <c16:uniqueId val="{0000000A-FE79-494C-A542-08A33C0D525B}"/>
            </c:ext>
          </c:extLst>
        </c:ser>
        <c:dLbls>
          <c:showLegendKey val="0"/>
          <c:showVal val="0"/>
          <c:showCatName val="0"/>
          <c:showSerName val="0"/>
          <c:showPercent val="0"/>
          <c:showBubbleSize val="0"/>
        </c:dLbls>
        <c:axId val="1172848367"/>
        <c:axId val="1448508735"/>
        <c:extLst/>
      </c:scatterChart>
      <c:valAx>
        <c:axId val="11728483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8508735"/>
        <c:crosses val="autoZero"/>
        <c:crossBetween val="midCat"/>
      </c:valAx>
      <c:valAx>
        <c:axId val="1448508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Perimeter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84836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v>1</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0"/>
            <c:dispEq val="1"/>
            <c:trendlineLbl>
              <c:layout>
                <c:manualLayout>
                  <c:x val="0.2660357696923572"/>
                  <c:y val="8.1956307207163959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EF25 P40'!$L$9:$L$11</c:f>
              <c:numCache>
                <c:formatCode>0.0E+00</c:formatCode>
                <c:ptCount val="3"/>
                <c:pt idx="0">
                  <c:v>20613.030926955398</c:v>
                </c:pt>
                <c:pt idx="1">
                  <c:v>25669.057380736911</c:v>
                </c:pt>
                <c:pt idx="2">
                  <c:v>31891.859170006464</c:v>
                </c:pt>
              </c:numCache>
            </c:numRef>
          </c:xVal>
          <c:yVal>
            <c:numRef>
              <c:f>'1 EF25 P40'!$O$9:$O$11</c:f>
              <c:numCache>
                <c:formatCode>0.000</c:formatCode>
                <c:ptCount val="3"/>
                <c:pt idx="0">
                  <c:v>1.6802869471175094E-2</c:v>
                </c:pt>
                <c:pt idx="1">
                  <c:v>1.7093658964969897E-2</c:v>
                </c:pt>
                <c:pt idx="2">
                  <c:v>1.6167922187894725E-2</c:v>
                </c:pt>
              </c:numCache>
            </c:numRef>
          </c:yVal>
          <c:smooth val="0"/>
          <c:extLst>
            <c:ext xmlns:c16="http://schemas.microsoft.com/office/drawing/2014/chart" uri="{C3380CC4-5D6E-409C-BE32-E72D297353CC}">
              <c16:uniqueId val="{00000000-A9F9-48A2-A2A3-6F502B57DB3E}"/>
            </c:ext>
          </c:extLst>
        </c:ser>
        <c:ser>
          <c:idx val="1"/>
          <c:order val="1"/>
          <c:tx>
            <c:v>2</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0.1935380382284928"/>
                  <c:y val="2.2361170705102362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P40'!$L$9:$L$12</c:f>
              <c:numCache>
                <c:formatCode>0.0E+00</c:formatCode>
                <c:ptCount val="4"/>
                <c:pt idx="0">
                  <c:v>20736.088795518212</c:v>
                </c:pt>
                <c:pt idx="1">
                  <c:v>26717.652871148461</c:v>
                </c:pt>
                <c:pt idx="2">
                  <c:v>32300.446008403367</c:v>
                </c:pt>
                <c:pt idx="3">
                  <c:v>38282.010084033616</c:v>
                </c:pt>
              </c:numCache>
            </c:numRef>
          </c:xVal>
          <c:yVal>
            <c:numRef>
              <c:f>'2 EF25 P40'!$O$9:$O$12</c:f>
              <c:numCache>
                <c:formatCode>0.000</c:formatCode>
                <c:ptCount val="4"/>
                <c:pt idx="0">
                  <c:v>1.7326506922180695E-2</c:v>
                </c:pt>
                <c:pt idx="1">
                  <c:v>1.7382839789525102E-2</c:v>
                </c:pt>
                <c:pt idx="2">
                  <c:v>1.5437805926112678E-2</c:v>
                </c:pt>
                <c:pt idx="3">
                  <c:v>1.1614619338794496E-2</c:v>
                </c:pt>
              </c:numCache>
            </c:numRef>
          </c:yVal>
          <c:smooth val="0"/>
          <c:extLst>
            <c:ext xmlns:c16="http://schemas.microsoft.com/office/drawing/2014/chart" uri="{C3380CC4-5D6E-409C-BE32-E72D297353CC}">
              <c16:uniqueId val="{00000002-A9F9-48A2-A2A3-6F502B57DB3E}"/>
            </c:ext>
          </c:extLst>
        </c:ser>
        <c:ser>
          <c:idx val="2"/>
          <c:order val="2"/>
          <c:tx>
            <c:v>3</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wer"/>
            <c:dispRSqr val="0"/>
            <c:dispEq val="1"/>
            <c:trendlineLbl>
              <c:layout>
                <c:manualLayout>
                  <c:x val="0.14741855223487399"/>
                  <c:y val="3.477759718794238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EF25 P40'!$L$9:$L$13</c:f>
              <c:numCache>
                <c:formatCode>0.0E+00</c:formatCode>
                <c:ptCount val="5"/>
                <c:pt idx="0">
                  <c:v>19141.005042016808</c:v>
                </c:pt>
                <c:pt idx="1">
                  <c:v>25521.340056022411</c:v>
                </c:pt>
                <c:pt idx="2">
                  <c:v>31104.133193277317</c:v>
                </c:pt>
                <c:pt idx="3">
                  <c:v>36288.15539215687</c:v>
                </c:pt>
                <c:pt idx="4">
                  <c:v>42269.719467787116</c:v>
                </c:pt>
              </c:numCache>
            </c:numRef>
          </c:xVal>
          <c:yVal>
            <c:numRef>
              <c:f>'3 EF25 P40'!$O$9:$O$13</c:f>
              <c:numCache>
                <c:formatCode>0.000</c:formatCode>
                <c:ptCount val="5"/>
                <c:pt idx="0">
                  <c:v>1.5772037927130295E-2</c:v>
                </c:pt>
                <c:pt idx="1">
                  <c:v>1.5645084585573201E-2</c:v>
                </c:pt>
                <c:pt idx="2">
                  <c:v>1.533616030502042E-2</c:v>
                </c:pt>
                <c:pt idx="3">
                  <c:v>1.2853135726026014E-2</c:v>
                </c:pt>
                <c:pt idx="4">
                  <c:v>9.6365412881885687E-3</c:v>
                </c:pt>
              </c:numCache>
            </c:numRef>
          </c:yVal>
          <c:smooth val="0"/>
          <c:extLst>
            <c:ext xmlns:c16="http://schemas.microsoft.com/office/drawing/2014/chart" uri="{C3380CC4-5D6E-409C-BE32-E72D297353CC}">
              <c16:uniqueId val="{00000003-A9F9-48A2-A2A3-6F502B57DB3E}"/>
            </c:ext>
          </c:extLst>
        </c:ser>
        <c:ser>
          <c:idx val="3"/>
          <c:order val="3"/>
          <c:tx>
            <c:v>4</c:v>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power"/>
            <c:dispRSqr val="0"/>
            <c:dispEq val="1"/>
            <c:trendlineLbl>
              <c:layout>
                <c:manualLayout>
                  <c:x val="0.18490667291123924"/>
                  <c:y val="0.1057392915610294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'4 EF25 P40'!$L$9:$L$12</c:f>
              <c:numCache>
                <c:formatCode>0.0E+00</c:formatCode>
                <c:ptCount val="4"/>
                <c:pt idx="0">
                  <c:v>22115.620690438333</c:v>
                </c:pt>
                <c:pt idx="1">
                  <c:v>27849.300128700121</c:v>
                </c:pt>
                <c:pt idx="2">
                  <c:v>33992.528098266324</c:v>
                </c:pt>
                <c:pt idx="3">
                  <c:v>40545.304599136944</c:v>
                </c:pt>
              </c:numCache>
            </c:numRef>
          </c:xVal>
          <c:yVal>
            <c:numRef>
              <c:f>'4 EF25 P40'!$O$9:$O$12</c:f>
              <c:numCache>
                <c:formatCode>0.000</c:formatCode>
                <c:ptCount val="4"/>
                <c:pt idx="0">
                  <c:v>1.6836827078833511E-2</c:v>
                </c:pt>
                <c:pt idx="1">
                  <c:v>1.7156426150670107E-2</c:v>
                </c:pt>
                <c:pt idx="2">
                  <c:v>1.4823009239414781E-2</c:v>
                </c:pt>
                <c:pt idx="3">
                  <c:v>1.08802188874473E-2</c:v>
                </c:pt>
              </c:numCache>
            </c:numRef>
          </c:yVal>
          <c:smooth val="0"/>
          <c:extLst>
            <c:ext xmlns:c16="http://schemas.microsoft.com/office/drawing/2014/chart" uri="{C3380CC4-5D6E-409C-BE32-E72D297353CC}">
              <c16:uniqueId val="{00000004-A9F9-48A2-A2A3-6F502B57DB3E}"/>
            </c:ext>
          </c:extLst>
        </c:ser>
        <c:dLbls>
          <c:showLegendKey val="0"/>
          <c:showVal val="0"/>
          <c:showCatName val="0"/>
          <c:showSerName val="0"/>
          <c:showPercent val="0"/>
          <c:showBubbleSize val="0"/>
        </c:dLbls>
        <c:axId val="1382331695"/>
        <c:axId val="1382834095"/>
      </c:scatterChart>
      <c:valAx>
        <c:axId val="138233169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2834095"/>
        <c:crosses val="autoZero"/>
        <c:crossBetween val="midCat"/>
      </c:valAx>
      <c:valAx>
        <c:axId val="13828340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2331695"/>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'1 EF25 P80'!$G$6:$G$12</c:f>
              <c:numCache>
                <c:formatCode>0.00</c:formatCode>
                <c:ptCount val="7"/>
                <c:pt idx="0">
                  <c:v>0</c:v>
                </c:pt>
                <c:pt idx="1">
                  <c:v>1.4371966499102939</c:v>
                </c:pt>
                <c:pt idx="2">
                  <c:v>2.5862699976077561</c:v>
                </c:pt>
                <c:pt idx="3">
                  <c:v>4.189329913480333</c:v>
                </c:pt>
                <c:pt idx="4">
                  <c:v>6.1771242091623284</c:v>
                </c:pt>
                <c:pt idx="5">
                  <c:v>8.2110866304214536</c:v>
                </c:pt>
                <c:pt idx="6">
                  <c:v>10.53402731918187</c:v>
                </c:pt>
              </c:numCache>
            </c:numRef>
          </c:xVal>
          <c:yVal>
            <c:numRef>
              <c:f>'1 EF25 P80'!$K$6:$K$12</c:f>
              <c:numCache>
                <c:formatCode>0</c:formatCode>
                <c:ptCount val="7"/>
                <c:pt idx="0">
                  <c:v>0</c:v>
                </c:pt>
                <c:pt idx="1">
                  <c:v>1765.0999999999997</c:v>
                </c:pt>
                <c:pt idx="2">
                  <c:v>2818.6</c:v>
                </c:pt>
                <c:pt idx="3">
                  <c:v>4286.5999999999995</c:v>
                </c:pt>
                <c:pt idx="4">
                  <c:v>6146.0999999999985</c:v>
                </c:pt>
                <c:pt idx="5">
                  <c:v>8010.0999999999967</c:v>
                </c:pt>
                <c:pt idx="6">
                  <c:v>9833.6000000000022</c:v>
                </c:pt>
              </c:numCache>
            </c:numRef>
          </c:yVal>
          <c:smooth val="0"/>
          <c:extLst>
            <c:ext xmlns:c16="http://schemas.microsoft.com/office/drawing/2014/chart" uri="{C3380CC4-5D6E-409C-BE32-E72D297353CC}">
              <c16:uniqueId val="{00000001-07F9-4D16-BA2C-7213B4403C75}"/>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'1 EF25 P80'!$O$5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'1 EF25 P80'!$L$7:$L$12</c:f>
              <c:numCache>
                <c:formatCode>0.0E+00</c:formatCode>
                <c:ptCount val="6"/>
                <c:pt idx="0">
                  <c:v>15586.246962785113</c:v>
                </c:pt>
                <c:pt idx="1">
                  <c:v>20908.380072028813</c:v>
                </c:pt>
                <c:pt idx="2">
                  <c:v>26610.665546218486</c:v>
                </c:pt>
                <c:pt idx="3">
                  <c:v>32312.951020408163</c:v>
                </c:pt>
                <c:pt idx="4">
                  <c:v>37254.931764705885</c:v>
                </c:pt>
                <c:pt idx="5">
                  <c:v>42196.912509003596</c:v>
                </c:pt>
              </c:numCache>
            </c:numRef>
          </c:xVal>
          <c:yVal>
            <c:numRef>
              <c:f>'1 EF25 P80'!$O$7:$O$12</c:f>
              <c:numCache>
                <c:formatCode>0.000</c:formatCode>
                <c:ptCount val="6"/>
                <c:pt idx="0">
                  <c:v>1.1945172200410852E-2</c:v>
                </c:pt>
                <c:pt idx="1">
                  <c:v>1.0599829557385167E-2</c:v>
                </c:pt>
                <c:pt idx="2">
                  <c:v>9.9519387158901393E-3</c:v>
                </c:pt>
                <c:pt idx="3">
                  <c:v>9.6772638917895608E-3</c:v>
                </c:pt>
                <c:pt idx="4">
                  <c:v>9.4880420318076593E-3</c:v>
                </c:pt>
                <c:pt idx="5">
                  <c:v>9.0794051151637419E-3</c:v>
                </c:pt>
              </c:numCache>
            </c:numRef>
          </c:yVal>
          <c:smooth val="0"/>
          <c:extLst>
            <c:ext xmlns:c16="http://schemas.microsoft.com/office/drawing/2014/chart" uri="{C3380CC4-5D6E-409C-BE32-E72D297353CC}">
              <c16:uniqueId val="{00000001-D0C0-42D6-9981-37BCA8E59B95}"/>
            </c:ext>
          </c:extLst>
        </c:ser>
        <c:ser>
          <c:idx val="1"/>
          <c:order val="1"/>
          <c:tx>
            <c:strRef>
              <c:f>'1 EF25 P80'!$W$5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EF25 P80'!$V$7:$V$31</c:f>
              <c:numCache>
                <c:formatCode>0.00000</c:formatCode>
                <c:ptCount val="25"/>
                <c:pt idx="0">
                  <c:v>1300.1200480192076</c:v>
                </c:pt>
                <c:pt idx="1">
                  <c:v>2600.2400960384152</c:v>
                </c:pt>
                <c:pt idx="2">
                  <c:v>3900.3601440576222</c:v>
                </c:pt>
                <c:pt idx="3">
                  <c:v>5200.4801920768305</c:v>
                </c:pt>
                <c:pt idx="4">
                  <c:v>6500.6002400960379</c:v>
                </c:pt>
                <c:pt idx="5">
                  <c:v>7800.7202881152443</c:v>
                </c:pt>
                <c:pt idx="6">
                  <c:v>9100.8403361344535</c:v>
                </c:pt>
                <c:pt idx="7">
                  <c:v>10400.960384153661</c:v>
                </c:pt>
                <c:pt idx="8">
                  <c:v>11701.08043217287</c:v>
                </c:pt>
                <c:pt idx="9">
                  <c:v>13001.200480192076</c:v>
                </c:pt>
                <c:pt idx="10">
                  <c:v>14301.320528211285</c:v>
                </c:pt>
                <c:pt idx="11">
                  <c:v>15601.440576230489</c:v>
                </c:pt>
                <c:pt idx="12">
                  <c:v>16901.560624249702</c:v>
                </c:pt>
                <c:pt idx="13">
                  <c:v>18201.680672268907</c:v>
                </c:pt>
                <c:pt idx="14">
                  <c:v>19501.800720288113</c:v>
                </c:pt>
                <c:pt idx="15">
                  <c:v>20801.920768307322</c:v>
                </c:pt>
                <c:pt idx="16">
                  <c:v>22102.040816326527</c:v>
                </c:pt>
                <c:pt idx="17">
                  <c:v>23402.16086434574</c:v>
                </c:pt>
                <c:pt idx="18">
                  <c:v>24702.280912364942</c:v>
                </c:pt>
                <c:pt idx="19">
                  <c:v>26002.400960384151</c:v>
                </c:pt>
                <c:pt idx="20">
                  <c:v>27302.521008403364</c:v>
                </c:pt>
                <c:pt idx="21">
                  <c:v>28602.64105642257</c:v>
                </c:pt>
                <c:pt idx="22">
                  <c:v>29902.761104441775</c:v>
                </c:pt>
                <c:pt idx="23">
                  <c:v>31202.881152460977</c:v>
                </c:pt>
                <c:pt idx="24">
                  <c:v>32503.00120048019</c:v>
                </c:pt>
              </c:numCache>
            </c:numRef>
          </c:xVal>
          <c:yVal>
            <c:numRef>
              <c:f>'1 EF25 P80'!$X$7:$X$31</c:f>
              <c:numCache>
                <c:formatCode>0.00000</c:formatCode>
                <c:ptCount val="25"/>
                <c:pt idx="0">
                  <c:v>1.3172876484891004E-2</c:v>
                </c:pt>
                <c:pt idx="1">
                  <c:v>1.1077024614724798E-2</c:v>
                </c:pt>
                <c:pt idx="2">
                  <c:v>1.0009221635900897E-2</c:v>
                </c:pt>
                <c:pt idx="3">
                  <c:v>9.3146302901992422E-3</c:v>
                </c:pt>
                <c:pt idx="4">
                  <c:v>8.8092334379227481E-3</c:v>
                </c:pt>
                <c:pt idx="5">
                  <c:v>8.4167185931089839E-3</c:v>
                </c:pt>
                <c:pt idx="6">
                  <c:v>8.0985284032012873E-3</c:v>
                </c:pt>
                <c:pt idx="7">
                  <c:v>7.8326392204422102E-3</c:v>
                </c:pt>
                <c:pt idx="8">
                  <c:v>7.6053637845535137E-3</c:v>
                </c:pt>
                <c:pt idx="9">
                  <c:v>7.4076528190823955E-3</c:v>
                </c:pt>
                <c:pt idx="10">
                  <c:v>7.2332328900952571E-3</c:v>
                </c:pt>
                <c:pt idx="11">
                  <c:v>7.0775884931446355E-3</c:v>
                </c:pt>
                <c:pt idx="12">
                  <c:v>6.9373687810758309E-3</c:v>
                </c:pt>
                <c:pt idx="13">
                  <c:v>6.8100235030823511E-3</c:v>
                </c:pt>
                <c:pt idx="14">
                  <c:v>6.6935699293689688E-3</c:v>
                </c:pt>
                <c:pt idx="15">
                  <c:v>6.5864382424455029E-3</c:v>
                </c:pt>
                <c:pt idx="16">
                  <c:v>6.4873658354334873E-3</c:v>
                </c:pt>
                <c:pt idx="17">
                  <c:v>6.3953231431314733E-3</c:v>
                </c:pt>
                <c:pt idx="18">
                  <c:v>6.3094604074886585E-3</c:v>
                </c:pt>
                <c:pt idx="19">
                  <c:v>6.2290687010104588E-3</c:v>
                </c:pt>
                <c:pt idx="20">
                  <c:v>6.1535508820153443E-3</c:v>
                </c:pt>
                <c:pt idx="21">
                  <c:v>6.0823996079763668E-3</c:v>
                </c:pt>
                <c:pt idx="22">
                  <c:v>6.0151804551766561E-3</c:v>
                </c:pt>
                <c:pt idx="23">
                  <c:v>5.9515187925262628E-3</c:v>
                </c:pt>
                <c:pt idx="24">
                  <c:v>5.8910894558849552E-3</c:v>
                </c:pt>
              </c:numCache>
            </c:numRef>
          </c:yVal>
          <c:smooth val="0"/>
          <c:extLst>
            <c:ext xmlns:c16="http://schemas.microsoft.com/office/drawing/2014/chart" uri="{C3380CC4-5D6E-409C-BE32-E72D297353CC}">
              <c16:uniqueId val="{00000003-D0C0-42D6-9981-37BCA8E59B95}"/>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P240 Rigid Area</c:v>
          </c:tx>
          <c:spPr>
            <a:ln w="25400" cap="rnd">
              <a:noFill/>
              <a:round/>
            </a:ln>
            <a:effectLst/>
          </c:spPr>
          <c:marker>
            <c:symbol val="circle"/>
            <c:size val="5"/>
            <c:spPr>
              <a:solidFill>
                <a:schemeClr val="accent1"/>
              </a:solidFill>
              <a:ln w="9525">
                <a:solidFill>
                  <a:schemeClr val="accent1"/>
                </a:solidFill>
              </a:ln>
              <a:effectLst/>
            </c:spPr>
          </c:marker>
          <c:xVal>
            <c:numRef>
              <c:f>'EF25 P240 AVGS'!$L$7:$L$12</c:f>
              <c:numCache>
                <c:formatCode>0.0E+00</c:formatCode>
                <c:ptCount val="6"/>
                <c:pt idx="0">
                  <c:v>17255.906060606056</c:v>
                </c:pt>
                <c:pt idx="1">
                  <c:v>24959.435551948049</c:v>
                </c:pt>
                <c:pt idx="2">
                  <c:v>32971.106222943716</c:v>
                </c:pt>
                <c:pt idx="3">
                  <c:v>40212.423944805189</c:v>
                </c:pt>
                <c:pt idx="4">
                  <c:v>46837.459307359313</c:v>
                </c:pt>
                <c:pt idx="5">
                  <c:v>51767.718181818185</c:v>
                </c:pt>
              </c:numCache>
            </c:numRef>
          </c:xVal>
          <c:yVal>
            <c:numRef>
              <c:f>'EF25 P240 AVGS'!$R$7:$R$12</c:f>
              <c:numCache>
                <c:formatCode>0.00</c:formatCode>
                <c:ptCount val="6"/>
                <c:pt idx="0">
                  <c:v>1016895.0135000001</c:v>
                </c:pt>
                <c:pt idx="1">
                  <c:v>1044996.4274444445</c:v>
                </c:pt>
                <c:pt idx="2">
                  <c:v>1037823.4328888889</c:v>
                </c:pt>
                <c:pt idx="3">
                  <c:v>1049610.6315555556</c:v>
                </c:pt>
                <c:pt idx="4">
                  <c:v>1043511.9251111111</c:v>
                </c:pt>
                <c:pt idx="5">
                  <c:v>1066293.8119999999</c:v>
                </c:pt>
              </c:numCache>
            </c:numRef>
          </c:yVal>
          <c:smooth val="0"/>
          <c:extLst>
            <c:ext xmlns:c16="http://schemas.microsoft.com/office/drawing/2014/chart" uri="{C3380CC4-5D6E-409C-BE32-E72D297353CC}">
              <c16:uniqueId val="{00000000-1DA6-42AE-9EA6-305D93AA4590}"/>
            </c:ext>
          </c:extLst>
        </c:ser>
        <c:ser>
          <c:idx val="1"/>
          <c:order val="1"/>
          <c:tx>
            <c:v>P80 Rigid Area</c:v>
          </c:tx>
          <c:spPr>
            <a:ln w="25400" cap="rnd">
              <a:noFill/>
              <a:round/>
            </a:ln>
            <a:effectLst/>
          </c:spPr>
          <c:marker>
            <c:symbol val="circle"/>
            <c:size val="5"/>
            <c:spPr>
              <a:solidFill>
                <a:schemeClr val="accent2"/>
              </a:solidFill>
              <a:ln w="9525">
                <a:solidFill>
                  <a:schemeClr val="accent2"/>
                </a:solidFill>
              </a:ln>
              <a:effectLst/>
            </c:spPr>
          </c:marker>
          <c:xVal>
            <c:numRef>
              <c:f>'EF25 P80 AVGS'!$M$7:$M$12</c:f>
              <c:numCache>
                <c:formatCode>0.0E+00</c:formatCode>
                <c:ptCount val="6"/>
                <c:pt idx="0">
                  <c:v>16525.642491230723</c:v>
                </c:pt>
                <c:pt idx="1">
                  <c:v>23135.899487723014</c:v>
                </c:pt>
                <c:pt idx="2">
                  <c:v>30320.96144043202</c:v>
                </c:pt>
                <c:pt idx="3">
                  <c:v>36500.114719761768</c:v>
                </c:pt>
                <c:pt idx="4">
                  <c:v>43254.072955308235</c:v>
                </c:pt>
                <c:pt idx="5">
                  <c:v>49002.122517475444</c:v>
                </c:pt>
              </c:numCache>
            </c:numRef>
          </c:xVal>
          <c:yVal>
            <c:numRef>
              <c:f>'EF25 P80 AVGS'!$X$7:$X$12</c:f>
              <c:numCache>
                <c:formatCode>0.00</c:formatCode>
                <c:ptCount val="6"/>
                <c:pt idx="0">
                  <c:v>1063104.5269999998</c:v>
                </c:pt>
                <c:pt idx="1">
                  <c:v>1057924.3423333336</c:v>
                </c:pt>
                <c:pt idx="2">
                  <c:v>1047534.0216666666</c:v>
                </c:pt>
                <c:pt idx="3">
                  <c:v>1061728.6984999999</c:v>
                </c:pt>
                <c:pt idx="4">
                  <c:v>1047224.8286666666</c:v>
                </c:pt>
                <c:pt idx="5">
                  <c:v>1042908.961888889</c:v>
                </c:pt>
              </c:numCache>
            </c:numRef>
          </c:yVal>
          <c:smooth val="0"/>
          <c:extLst>
            <c:ext xmlns:c16="http://schemas.microsoft.com/office/drawing/2014/chart" uri="{C3380CC4-5D6E-409C-BE32-E72D297353CC}">
              <c16:uniqueId val="{00000001-1DA6-42AE-9EA6-305D93AA4590}"/>
            </c:ext>
          </c:extLst>
        </c:ser>
        <c:ser>
          <c:idx val="2"/>
          <c:order val="2"/>
          <c:tx>
            <c:v>Smooth Rigid Area</c:v>
          </c:tx>
          <c:spPr>
            <a:ln w="25400" cap="rnd">
              <a:noFill/>
              <a:round/>
            </a:ln>
            <a:effectLst/>
          </c:spPr>
          <c:marker>
            <c:symbol val="circle"/>
            <c:size val="5"/>
            <c:spPr>
              <a:solidFill>
                <a:schemeClr val="accent3"/>
              </a:solidFill>
              <a:ln w="9525">
                <a:solidFill>
                  <a:schemeClr val="accent3"/>
                </a:solidFill>
              </a:ln>
              <a:effectLst/>
            </c:spPr>
          </c:marker>
          <c:xVal>
            <c:numRef>
              <c:f>'EF25 flat AVGS'!$L$7:$L$12</c:f>
              <c:numCache>
                <c:formatCode>0.0E+00</c:formatCode>
                <c:ptCount val="6"/>
                <c:pt idx="0">
                  <c:v>17031.803384494291</c:v>
                </c:pt>
                <c:pt idx="1">
                  <c:v>24203.089020070838</c:v>
                </c:pt>
                <c:pt idx="2">
                  <c:v>30702.066627312077</c:v>
                </c:pt>
                <c:pt idx="3">
                  <c:v>38097.454939000396</c:v>
                </c:pt>
                <c:pt idx="4">
                  <c:v>45268.740574576928</c:v>
                </c:pt>
                <c:pt idx="5">
                  <c:v>51991.820857929946</c:v>
                </c:pt>
              </c:numCache>
            </c:numRef>
          </c:xVal>
          <c:yVal>
            <c:numRef>
              <c:f>'EF25 flat AVGS'!$R$7:$R$12</c:f>
              <c:numCache>
                <c:formatCode>General</c:formatCode>
                <c:ptCount val="6"/>
                <c:pt idx="0">
                  <c:v>937249.19433333341</c:v>
                </c:pt>
                <c:pt idx="1">
                  <c:v>900847.43833333324</c:v>
                </c:pt>
                <c:pt idx="2">
                  <c:v>897404.25116666663</c:v>
                </c:pt>
                <c:pt idx="3">
                  <c:v>879664.20666666655</c:v>
                </c:pt>
                <c:pt idx="4">
                  <c:v>820210.11249999993</c:v>
                </c:pt>
                <c:pt idx="5">
                  <c:v>762489.26533333329</c:v>
                </c:pt>
              </c:numCache>
            </c:numRef>
          </c:yVal>
          <c:smooth val="0"/>
          <c:extLst>
            <c:ext xmlns:c16="http://schemas.microsoft.com/office/drawing/2014/chart" uri="{C3380CC4-5D6E-409C-BE32-E72D297353CC}">
              <c16:uniqueId val="{00000000-02F4-44CF-9386-2FD38019ADC6}"/>
            </c:ext>
          </c:extLst>
        </c:ser>
        <c:ser>
          <c:idx val="3"/>
          <c:order val="3"/>
          <c:tx>
            <c:v>Smooth Elastomer Area</c:v>
          </c:tx>
          <c:spPr>
            <a:ln w="25400" cap="rnd">
              <a:noFill/>
              <a:round/>
            </a:ln>
            <a:effectLst/>
          </c:spPr>
          <c:marker>
            <c:symbol val="circle"/>
            <c:size val="5"/>
            <c:spPr>
              <a:solidFill>
                <a:schemeClr val="accent4"/>
              </a:solidFill>
              <a:ln w="9525">
                <a:solidFill>
                  <a:schemeClr val="accent4"/>
                </a:solidFill>
              </a:ln>
              <a:effectLst/>
            </c:spPr>
          </c:marker>
          <c:xVal>
            <c:numRef>
              <c:f>'MMHSE flat AVG'!$L$7:$L$12</c:f>
              <c:numCache>
                <c:formatCode>0.0E+00</c:formatCode>
                <c:ptCount val="6"/>
                <c:pt idx="0">
                  <c:v>16791.76035066746</c:v>
                </c:pt>
                <c:pt idx="1">
                  <c:v>24733.809165172341</c:v>
                </c:pt>
                <c:pt idx="2">
                  <c:v>31541.279577605099</c:v>
                </c:pt>
                <c:pt idx="3">
                  <c:v>38802.581350866705</c:v>
                </c:pt>
                <c:pt idx="4">
                  <c:v>46971.545845786015</c:v>
                </c:pt>
                <c:pt idx="5">
                  <c:v>52871.353536561066</c:v>
                </c:pt>
              </c:numCache>
            </c:numRef>
          </c:xVal>
          <c:yVal>
            <c:numRef>
              <c:f>'MMHSE flat AVG'!$R$7:$R$12</c:f>
              <c:numCache>
                <c:formatCode>General</c:formatCode>
                <c:ptCount val="6"/>
                <c:pt idx="0">
                  <c:v>1024110.0598333334</c:v>
                </c:pt>
                <c:pt idx="1">
                  <c:v>1022214.7045</c:v>
                </c:pt>
                <c:pt idx="2">
                  <c:v>987787.13108333328</c:v>
                </c:pt>
                <c:pt idx="3">
                  <c:v>998142.8615</c:v>
                </c:pt>
                <c:pt idx="4">
                  <c:v>961295.10616666672</c:v>
                </c:pt>
                <c:pt idx="5">
                  <c:v>945739.87533333339</c:v>
                </c:pt>
              </c:numCache>
            </c:numRef>
          </c:yVal>
          <c:smooth val="0"/>
          <c:extLst>
            <c:ext xmlns:c16="http://schemas.microsoft.com/office/drawing/2014/chart" uri="{C3380CC4-5D6E-409C-BE32-E72D297353CC}">
              <c16:uniqueId val="{00000000-CE83-40F3-9950-59A0BF77A918}"/>
            </c:ext>
          </c:extLst>
        </c:ser>
        <c:ser>
          <c:idx val="4"/>
          <c:order val="4"/>
          <c:tx>
            <c:v>Smooth Control Area</c:v>
          </c:tx>
          <c:spPr>
            <a:ln w="25400" cap="rnd">
              <a:noFill/>
              <a:round/>
            </a:ln>
            <a:effectLst/>
          </c:spPr>
          <c:marker>
            <c:symbol val="circle"/>
            <c:size val="5"/>
            <c:spPr>
              <a:solidFill>
                <a:schemeClr val="accent5"/>
              </a:solidFill>
              <a:ln w="9525">
                <a:solidFill>
                  <a:schemeClr val="accent5"/>
                </a:solidFill>
              </a:ln>
              <a:effectLst/>
            </c:spPr>
          </c:marker>
          <c:xVal>
            <c:numRef>
              <c:f>'PLAIN PANEL AVGS'!$L$7:$L$9</c:f>
              <c:numCache>
                <c:formatCode>0.0E+00</c:formatCode>
                <c:ptCount val="3"/>
                <c:pt idx="0">
                  <c:v>17173.73507936508</c:v>
                </c:pt>
                <c:pt idx="1">
                  <c:v>25760.602619047622</c:v>
                </c:pt>
                <c:pt idx="2">
                  <c:v>31861.797976190479</c:v>
                </c:pt>
              </c:numCache>
            </c:numRef>
          </c:xVal>
          <c:yVal>
            <c:numRef>
              <c:f>'PLAIN PANEL AVGS'!$R$7:$R$9</c:f>
              <c:numCache>
                <c:formatCode>General</c:formatCode>
                <c:ptCount val="3"/>
                <c:pt idx="0">
                  <c:v>200023.01116666666</c:v>
                </c:pt>
                <c:pt idx="1">
                  <c:v>195721.63250000001</c:v>
                </c:pt>
                <c:pt idx="2">
                  <c:v>176521.65183333337</c:v>
                </c:pt>
              </c:numCache>
            </c:numRef>
          </c:yVal>
          <c:smooth val="0"/>
          <c:extLst>
            <c:ext xmlns:c16="http://schemas.microsoft.com/office/drawing/2014/chart" uri="{C3380CC4-5D6E-409C-BE32-E72D297353CC}">
              <c16:uniqueId val="{00000000-8842-443B-BC3F-2686FB2A149B}"/>
            </c:ext>
          </c:extLst>
        </c:ser>
        <c:ser>
          <c:idx val="5"/>
          <c:order val="5"/>
          <c:tx>
            <c:v>P80 Elastomer Area</c:v>
          </c:tx>
          <c:spPr>
            <a:ln w="25400" cap="rnd">
              <a:noFill/>
              <a:round/>
            </a:ln>
            <a:effectLst/>
          </c:spPr>
          <c:marker>
            <c:symbol val="circle"/>
            <c:size val="5"/>
            <c:spPr>
              <a:solidFill>
                <a:schemeClr val="accent6"/>
              </a:solidFill>
              <a:ln w="9525">
                <a:solidFill>
                  <a:schemeClr val="accent6"/>
                </a:solidFill>
              </a:ln>
              <a:effectLst/>
            </c:spPr>
          </c:marker>
          <c:xVal>
            <c:numRef>
              <c:f>'MMHSE P80 AVGS'!$L$7:$L$12</c:f>
              <c:numCache>
                <c:formatCode>0.0E+00</c:formatCode>
                <c:ptCount val="6"/>
                <c:pt idx="0">
                  <c:v>13610.328035679087</c:v>
                </c:pt>
                <c:pt idx="1">
                  <c:v>18801.896461659773</c:v>
                </c:pt>
                <c:pt idx="2">
                  <c:v>24835.340848610296</c:v>
                </c:pt>
                <c:pt idx="3">
                  <c:v>30447.8472550759</c:v>
                </c:pt>
                <c:pt idx="4">
                  <c:v>34727.383390005925</c:v>
                </c:pt>
                <c:pt idx="5">
                  <c:v>39568.170165582502</c:v>
                </c:pt>
              </c:numCache>
            </c:numRef>
          </c:xVal>
          <c:yVal>
            <c:numRef>
              <c:f>'MMHSE P80 AVGS'!$Q$7:$Q$12</c:f>
              <c:numCache>
                <c:formatCode>General</c:formatCode>
                <c:ptCount val="6"/>
                <c:pt idx="0">
                  <c:v>1010352.5844444445</c:v>
                </c:pt>
                <c:pt idx="1">
                  <c:v>1025928.3693333335</c:v>
                </c:pt>
                <c:pt idx="2">
                  <c:v>1037970.4456111112</c:v>
                </c:pt>
                <c:pt idx="3">
                  <c:v>1020420.8881111112</c:v>
                </c:pt>
                <c:pt idx="4">
                  <c:v>921675.71508333343</c:v>
                </c:pt>
                <c:pt idx="5">
                  <c:v>854356.73933333333</c:v>
                </c:pt>
              </c:numCache>
            </c:numRef>
          </c:yVal>
          <c:smooth val="0"/>
          <c:extLst>
            <c:ext xmlns:c16="http://schemas.microsoft.com/office/drawing/2014/chart" uri="{C3380CC4-5D6E-409C-BE32-E72D297353CC}">
              <c16:uniqueId val="{00000001-8842-443B-BC3F-2686FB2A149B}"/>
            </c:ext>
          </c:extLst>
        </c:ser>
        <c:ser>
          <c:idx val="6"/>
          <c:order val="6"/>
          <c:tx>
            <c:v>P240 Elastomer Area</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xVal>
            <c:numRef>
              <c:f>'MMHSE P240 AVG'!$L$7:$L$10</c:f>
              <c:numCache>
                <c:formatCode>0.0E+00</c:formatCode>
                <c:ptCount val="4"/>
                <c:pt idx="0">
                  <c:v>11807.649133593246</c:v>
                </c:pt>
                <c:pt idx="1">
                  <c:v>18828.41348329734</c:v>
                </c:pt>
                <c:pt idx="2">
                  <c:v>24891.800876223599</c:v>
                </c:pt>
                <c:pt idx="3">
                  <c:v>31832.783812862872</c:v>
                </c:pt>
              </c:numCache>
            </c:numRef>
          </c:xVal>
          <c:yVal>
            <c:numRef>
              <c:f>'MMHSE P240 AVG'!$R$7:$R$10</c:f>
              <c:numCache>
                <c:formatCode>General</c:formatCode>
                <c:ptCount val="4"/>
                <c:pt idx="0">
                  <c:v>1117797.5945555556</c:v>
                </c:pt>
                <c:pt idx="1">
                  <c:v>1271016.885</c:v>
                </c:pt>
                <c:pt idx="2">
                  <c:v>1249274.6313333332</c:v>
                </c:pt>
                <c:pt idx="3">
                  <c:v>1119243.578</c:v>
                </c:pt>
              </c:numCache>
            </c:numRef>
          </c:yVal>
          <c:smooth val="0"/>
          <c:extLst>
            <c:ext xmlns:c16="http://schemas.microsoft.com/office/drawing/2014/chart" uri="{C3380CC4-5D6E-409C-BE32-E72D297353CC}">
              <c16:uniqueId val="{00000000-9D0B-476C-82ED-A5D59444E8AE}"/>
            </c:ext>
          </c:extLst>
        </c:ser>
        <c:ser>
          <c:idx val="7"/>
          <c:order val="7"/>
          <c:tx>
            <c:v>P80 Control Area</c:v>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xVal>
            <c:numRef>
              <c:f>'P80 sandpaper AVGS'!$S$41:$S$46</c:f>
              <c:numCache>
                <c:formatCode>General</c:formatCode>
                <c:ptCount val="6"/>
              </c:numCache>
            </c:numRef>
          </c:xVal>
          <c:yVal>
            <c:numRef>
              <c:f>'P80 sandpaper AVGS'!$T$41:$T$46</c:f>
              <c:numCache>
                <c:formatCode>General</c:formatCode>
                <c:ptCount val="6"/>
              </c:numCache>
            </c:numRef>
          </c:yVal>
          <c:smooth val="0"/>
          <c:extLst>
            <c:ext xmlns:c16="http://schemas.microsoft.com/office/drawing/2014/chart" uri="{C3380CC4-5D6E-409C-BE32-E72D297353CC}">
              <c16:uniqueId val="{00000000-A06B-4B23-951A-BF8EE72FB0D6}"/>
            </c:ext>
          </c:extLst>
        </c:ser>
        <c:ser>
          <c:idx val="8"/>
          <c:order val="8"/>
          <c:tx>
            <c:v>P240 Control Area</c:v>
          </c:tx>
          <c:spPr>
            <a:ln w="25400" cap="rnd">
              <a:noFill/>
              <a:round/>
            </a:ln>
            <a:effectLst/>
          </c:spPr>
          <c:marker>
            <c:symbol val="circle"/>
            <c:size val="5"/>
            <c:spPr>
              <a:solidFill>
                <a:schemeClr val="accent3">
                  <a:lumMod val="60000"/>
                </a:schemeClr>
              </a:solidFill>
              <a:ln w="9525">
                <a:solidFill>
                  <a:schemeClr val="accent3">
                    <a:lumMod val="60000"/>
                  </a:schemeClr>
                </a:solidFill>
              </a:ln>
              <a:effectLst/>
            </c:spPr>
          </c:marker>
          <c:xVal>
            <c:numRef>
              <c:f>'P240 sandpaper'!$L$7:$L$12</c:f>
              <c:numCache>
                <c:formatCode>0.0E+00</c:formatCode>
                <c:ptCount val="6"/>
                <c:pt idx="0">
                  <c:v>17029.859003236244</c:v>
                </c:pt>
                <c:pt idx="1">
                  <c:v>25314.655275080902</c:v>
                </c:pt>
                <c:pt idx="2">
                  <c:v>32218.652168284785</c:v>
                </c:pt>
                <c:pt idx="3">
                  <c:v>40043.181980582514</c:v>
                </c:pt>
                <c:pt idx="4">
                  <c:v>46026.645954692547</c:v>
                </c:pt>
                <c:pt idx="5">
                  <c:v>52930.642847896444</c:v>
                </c:pt>
              </c:numCache>
            </c:numRef>
          </c:xVal>
          <c:yVal>
            <c:numRef>
              <c:f>'P240 sandpaper'!$Q$7:$Q$12</c:f>
              <c:numCache>
                <c:formatCode>0.00</c:formatCode>
                <c:ptCount val="6"/>
                <c:pt idx="0" formatCode="General">
                  <c:v>1180252.5826666665</c:v>
                </c:pt>
                <c:pt idx="1">
                  <c:v>1173489.5013333333</c:v>
                </c:pt>
                <c:pt idx="2" formatCode="0.000">
                  <c:v>1078149.9656666666</c:v>
                </c:pt>
                <c:pt idx="3" formatCode="0.000">
                  <c:v>1150581.057</c:v>
                </c:pt>
                <c:pt idx="4" formatCode="General">
                  <c:v>1172880.5183333333</c:v>
                </c:pt>
                <c:pt idx="5" formatCode="General">
                  <c:v>1171923.1363333333</c:v>
                </c:pt>
              </c:numCache>
            </c:numRef>
          </c:yVal>
          <c:smooth val="0"/>
          <c:extLst>
            <c:ext xmlns:c16="http://schemas.microsoft.com/office/drawing/2014/chart" uri="{C3380CC4-5D6E-409C-BE32-E72D297353CC}">
              <c16:uniqueId val="{00000001-A06B-4B23-951A-BF8EE72FB0D6}"/>
            </c:ext>
          </c:extLst>
        </c:ser>
        <c:dLbls>
          <c:showLegendKey val="0"/>
          <c:showVal val="0"/>
          <c:showCatName val="0"/>
          <c:showSerName val="0"/>
          <c:showPercent val="0"/>
          <c:showBubbleSize val="0"/>
        </c:dLbls>
        <c:axId val="420696127"/>
        <c:axId val="651585247"/>
      </c:scatterChart>
      <c:valAx>
        <c:axId val="420696127"/>
        <c:scaling>
          <c:orientation val="minMax"/>
        </c:scaling>
        <c:delete val="0"/>
        <c:axPos val="b"/>
        <c:majorGridlines>
          <c:spPr>
            <a:ln w="9525" cap="flat" cmpd="sng" algn="ctr">
              <a:solidFill>
                <a:schemeClr val="tx1">
                  <a:lumMod val="15000"/>
                  <a:lumOff val="85000"/>
                </a:schemeClr>
              </a:solidFill>
              <a:round/>
            </a:ln>
            <a:effectLst/>
          </c:spPr>
        </c:majorGridlines>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1585247"/>
        <c:crosses val="autoZero"/>
        <c:crossBetween val="midCat"/>
      </c:valAx>
      <c:valAx>
        <c:axId val="65158524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69612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0"/>
            <c:dispEq val="1"/>
            <c:trendlineLbl>
              <c:layout>
                <c:manualLayout>
                  <c:x val="-1.2229036274102455E-2"/>
                  <c:y val="-4.2143755798142056E-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EF25 P80'!$F$7:$F$12</c:f>
              <c:numCache>
                <c:formatCode>0.00</c:formatCode>
                <c:ptCount val="6"/>
                <c:pt idx="0">
                  <c:v>1.1988313684210528</c:v>
                </c:pt>
                <c:pt idx="1">
                  <c:v>1.6081884210526316</c:v>
                </c:pt>
                <c:pt idx="2">
                  <c:v>2.0467852631578949</c:v>
                </c:pt>
                <c:pt idx="3">
                  <c:v>2.4853821052631582</c:v>
                </c:pt>
                <c:pt idx="4">
                  <c:v>2.865499368421053</c:v>
                </c:pt>
                <c:pt idx="5">
                  <c:v>3.245616631578947</c:v>
                </c:pt>
              </c:numCache>
            </c:numRef>
          </c:xVal>
          <c:yVal>
            <c:numRef>
              <c:f>'1 EF25 P80'!$K$7:$K$12</c:f>
              <c:numCache>
                <c:formatCode>0</c:formatCode>
                <c:ptCount val="6"/>
                <c:pt idx="0">
                  <c:v>1765.0999999999997</c:v>
                </c:pt>
                <c:pt idx="1">
                  <c:v>2818.6</c:v>
                </c:pt>
                <c:pt idx="2">
                  <c:v>4286.5999999999995</c:v>
                </c:pt>
                <c:pt idx="3">
                  <c:v>6146.0999999999985</c:v>
                </c:pt>
                <c:pt idx="4">
                  <c:v>8010.0999999999967</c:v>
                </c:pt>
                <c:pt idx="5">
                  <c:v>9833.6000000000022</c:v>
                </c:pt>
              </c:numCache>
            </c:numRef>
          </c:yVal>
          <c:smooth val="0"/>
          <c:extLst>
            <c:ext xmlns:c16="http://schemas.microsoft.com/office/drawing/2014/chart" uri="{C3380CC4-5D6E-409C-BE32-E72D297353CC}">
              <c16:uniqueId val="{00000001-D0B3-47A3-A349-932E8BA58AD5}"/>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P(kPa)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Area Loading</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1"/>
            <c:dispEq val="1"/>
            <c:trendlineLbl>
              <c:layout>
                <c:manualLayout>
                  <c:x val="8.5529773927890906E-2"/>
                  <c:y val="3.25051990539662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EF25 P80'!$L$8:$L$12</c:f>
              <c:numCache>
                <c:formatCode>0.0E+00</c:formatCode>
                <c:ptCount val="5"/>
                <c:pt idx="0">
                  <c:v>20908.380072028813</c:v>
                </c:pt>
                <c:pt idx="1">
                  <c:v>26610.665546218486</c:v>
                </c:pt>
                <c:pt idx="2">
                  <c:v>32312.951020408163</c:v>
                </c:pt>
                <c:pt idx="3">
                  <c:v>37254.931764705885</c:v>
                </c:pt>
                <c:pt idx="4">
                  <c:v>42196.912509003596</c:v>
                </c:pt>
              </c:numCache>
            </c:numRef>
          </c:xVal>
          <c:yVal>
            <c:numRef>
              <c:f>'1 EF25 P80'!$Q$8:$Q$12</c:f>
              <c:numCache>
                <c:formatCode>0.00</c:formatCode>
                <c:ptCount val="5"/>
                <c:pt idx="0">
                  <c:v>1052205.7966666669</c:v>
                </c:pt>
                <c:pt idx="1">
                  <c:v>1018428.9990000001</c:v>
                </c:pt>
                <c:pt idx="2" formatCode="General">
                  <c:v>1059115.1285000001</c:v>
                </c:pt>
                <c:pt idx="3" formatCode="General">
                  <c:v>1064313.7119999998</c:v>
                </c:pt>
                <c:pt idx="4">
                  <c:v>1078627.0009999999</c:v>
                </c:pt>
              </c:numCache>
            </c:numRef>
          </c:yVal>
          <c:smooth val="0"/>
          <c:extLst>
            <c:ext xmlns:c16="http://schemas.microsoft.com/office/drawing/2014/chart" uri="{C3380CC4-5D6E-409C-BE32-E72D297353CC}">
              <c16:uniqueId val="{00000000-515A-4175-9506-59BA2CB39223}"/>
            </c:ext>
          </c:extLst>
        </c:ser>
        <c:ser>
          <c:idx val="1"/>
          <c:order val="1"/>
          <c:tx>
            <c:v>Perimeter Loading</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1"/>
            <c:dispEq val="1"/>
            <c:trendlineLbl>
              <c:layout>
                <c:manualLayout>
                  <c:x val="6.3051450244787866E-2"/>
                  <c:y val="6.463679239967798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EF25 P80'!$L$8:$L$12</c:f>
              <c:numCache>
                <c:formatCode>0.0E+00</c:formatCode>
                <c:ptCount val="5"/>
                <c:pt idx="0">
                  <c:v>20908.380072028813</c:v>
                </c:pt>
                <c:pt idx="1">
                  <c:v>26610.665546218486</c:v>
                </c:pt>
                <c:pt idx="2">
                  <c:v>32312.951020408163</c:v>
                </c:pt>
                <c:pt idx="3">
                  <c:v>37254.931764705885</c:v>
                </c:pt>
                <c:pt idx="4">
                  <c:v>42196.912509003596</c:v>
                </c:pt>
              </c:numCache>
            </c:numRef>
          </c:xVal>
          <c:yVal>
            <c:numRef>
              <c:f>'1 EF25 P80'!$R$8:$R$12</c:f>
              <c:numCache>
                <c:formatCode>0.00</c:formatCode>
                <c:ptCount val="5"/>
                <c:pt idx="0">
                  <c:v>21499.819333333333</c:v>
                </c:pt>
                <c:pt idx="1">
                  <c:v>20876.273000000001</c:v>
                </c:pt>
                <c:pt idx="2" formatCode="General">
                  <c:v>21145.369500000001</c:v>
                </c:pt>
                <c:pt idx="3" formatCode="General">
                  <c:v>21366.888999999999</c:v>
                </c:pt>
                <c:pt idx="4">
                  <c:v>21600.528333333332</c:v>
                </c:pt>
              </c:numCache>
            </c:numRef>
          </c:yVal>
          <c:smooth val="0"/>
          <c:extLst>
            <c:ext xmlns:c16="http://schemas.microsoft.com/office/drawing/2014/chart" uri="{C3380CC4-5D6E-409C-BE32-E72D297353CC}">
              <c16:uniqueId val="{00000001-515A-4175-9506-59BA2CB39223}"/>
            </c:ext>
          </c:extLst>
        </c:ser>
        <c:ser>
          <c:idx val="2"/>
          <c:order val="2"/>
          <c:tx>
            <c:v>Elognation Loading</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1"/>
            <c:dispEq val="1"/>
            <c:trendlineLbl>
              <c:layout>
                <c:manualLayout>
                  <c:x val="7.1226303232795773E-2"/>
                  <c:y val="4.730319029726944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EF25 P80'!$L$8:$L$12</c:f>
              <c:numCache>
                <c:formatCode>0.0E+00</c:formatCode>
                <c:ptCount val="5"/>
                <c:pt idx="0">
                  <c:v>20908.380072028813</c:v>
                </c:pt>
                <c:pt idx="1">
                  <c:v>26610.665546218486</c:v>
                </c:pt>
                <c:pt idx="2">
                  <c:v>32312.951020408163</c:v>
                </c:pt>
                <c:pt idx="3">
                  <c:v>37254.931764705885</c:v>
                </c:pt>
                <c:pt idx="4">
                  <c:v>42196.912509003596</c:v>
                </c:pt>
              </c:numCache>
            </c:numRef>
          </c:xVal>
          <c:yVal>
            <c:numRef>
              <c:f>'1 EF25 P80'!$S$8:$S$12</c:f>
              <c:numCache>
                <c:formatCode>0.00</c:formatCode>
                <c:ptCount val="5"/>
                <c:pt idx="0">
                  <c:v>45.044666666666672</c:v>
                </c:pt>
                <c:pt idx="1">
                  <c:v>45.397999999999996</c:v>
                </c:pt>
                <c:pt idx="2" formatCode="General">
                  <c:v>44.158500000000004</c:v>
                </c:pt>
                <c:pt idx="3" formatCode="General">
                  <c:v>43.708500000000001</c:v>
                </c:pt>
                <c:pt idx="4">
                  <c:v>43.066000000000003</c:v>
                </c:pt>
              </c:numCache>
            </c:numRef>
          </c:yVal>
          <c:smooth val="0"/>
          <c:extLst>
            <c:ext xmlns:c16="http://schemas.microsoft.com/office/drawing/2014/chart" uri="{C3380CC4-5D6E-409C-BE32-E72D297353CC}">
              <c16:uniqueId val="{00000002-515A-4175-9506-59BA2CB39223}"/>
            </c:ext>
          </c:extLst>
        </c:ser>
        <c:dLbls>
          <c:showLegendKey val="0"/>
          <c:showVal val="0"/>
          <c:showCatName val="0"/>
          <c:showSerName val="0"/>
          <c:showPercent val="0"/>
          <c:showBubbleSize val="0"/>
        </c:dLbls>
        <c:axId val="1172848367"/>
        <c:axId val="1448508735"/>
      </c:scatterChart>
      <c:valAx>
        <c:axId val="11728483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8508735"/>
        <c:crosses val="autoZero"/>
        <c:crossBetween val="midCat"/>
      </c:valAx>
      <c:valAx>
        <c:axId val="1448508735"/>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Shape</a:t>
                </a:r>
                <a:r>
                  <a:rPr lang="en-GB" baseline="0"/>
                  <a:t> Parameter</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84836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08598608118161"/>
          <c:y val="4.3763676148796497E-2"/>
          <c:w val="0.82828789732495367"/>
          <c:h val="0.77957705555355417"/>
        </c:manualLayout>
      </c:layout>
      <c:scatterChart>
        <c:scatterStyle val="lineMarker"/>
        <c:varyColors val="0"/>
        <c:ser>
          <c:idx val="2"/>
          <c:order val="2"/>
          <c:tx>
            <c:v>Elongation Loading</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1"/>
            <c:dispEq val="1"/>
            <c:trendlineLbl>
              <c:layout>
                <c:manualLayout>
                  <c:x val="8.1408721028838948E-2"/>
                  <c:y val="-0.4480664706827612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EF25 P80'!$L$8:$L$12</c:f>
              <c:numCache>
                <c:formatCode>0.0E+00</c:formatCode>
                <c:ptCount val="5"/>
                <c:pt idx="0">
                  <c:v>20908.380072028813</c:v>
                </c:pt>
                <c:pt idx="1">
                  <c:v>26610.665546218486</c:v>
                </c:pt>
                <c:pt idx="2">
                  <c:v>32312.951020408163</c:v>
                </c:pt>
                <c:pt idx="3">
                  <c:v>37254.931764705885</c:v>
                </c:pt>
                <c:pt idx="4">
                  <c:v>42196.912509003596</c:v>
                </c:pt>
              </c:numCache>
            </c:numRef>
          </c:xVal>
          <c:yVal>
            <c:numRef>
              <c:f>'1 EF25 P80'!$S$8:$S$12</c:f>
              <c:numCache>
                <c:formatCode>0.00</c:formatCode>
                <c:ptCount val="5"/>
                <c:pt idx="0">
                  <c:v>45.044666666666672</c:v>
                </c:pt>
                <c:pt idx="1">
                  <c:v>45.397999999999996</c:v>
                </c:pt>
                <c:pt idx="2" formatCode="General">
                  <c:v>44.158500000000004</c:v>
                </c:pt>
                <c:pt idx="3" formatCode="General">
                  <c:v>43.708500000000001</c:v>
                </c:pt>
                <c:pt idx="4">
                  <c:v>43.066000000000003</c:v>
                </c:pt>
              </c:numCache>
            </c:numRef>
          </c:yVal>
          <c:smooth val="0"/>
          <c:extLst>
            <c:ext xmlns:c16="http://schemas.microsoft.com/office/drawing/2014/chart" uri="{C3380CC4-5D6E-409C-BE32-E72D297353CC}">
              <c16:uniqueId val="{00000005-8B55-4599-8C10-3D2368391577}"/>
            </c:ext>
          </c:extLst>
        </c:ser>
        <c:ser>
          <c:idx val="5"/>
          <c:order val="5"/>
          <c:tx>
            <c:v>Elongation Unloading</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1"/>
            <c:dispEq val="1"/>
            <c:trendlineLbl>
              <c:layout>
                <c:manualLayout>
                  <c:x val="-0.42601223288423129"/>
                  <c:y val="3.810721138849240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EF25 P80'!$L$13:$L$18</c:f>
              <c:numCache>
                <c:formatCode>0.0E+00</c:formatCode>
                <c:ptCount val="6"/>
                <c:pt idx="0">
                  <c:v>39535.845954381759</c:v>
                </c:pt>
                <c:pt idx="1">
                  <c:v>34593.865210084034</c:v>
                </c:pt>
                <c:pt idx="2">
                  <c:v>29651.884465786316</c:v>
                </c:pt>
                <c:pt idx="3">
                  <c:v>23569.446626650657</c:v>
                </c:pt>
                <c:pt idx="4">
                  <c:v>19007.618247298917</c:v>
                </c:pt>
                <c:pt idx="5">
                  <c:v>12925.180408163264</c:v>
                </c:pt>
              </c:numCache>
            </c:numRef>
          </c:xVal>
          <c:yVal>
            <c:numRef>
              <c:f>'1 EF25 P80'!$S$13:$S$18</c:f>
              <c:numCache>
                <c:formatCode>General</c:formatCode>
                <c:ptCount val="6"/>
                <c:pt idx="0" formatCode="0.00">
                  <c:v>43.066000000000003</c:v>
                </c:pt>
                <c:pt idx="1">
                  <c:v>42.662999999999997</c:v>
                </c:pt>
                <c:pt idx="2" formatCode="0.00">
                  <c:v>43.021000000000001</c:v>
                </c:pt>
                <c:pt idx="3" formatCode="0.00">
                  <c:v>42.613500000000002</c:v>
                </c:pt>
                <c:pt idx="4" formatCode="0.00">
                  <c:v>42.8125</c:v>
                </c:pt>
                <c:pt idx="5" formatCode="0.00">
                  <c:v>42.35</c:v>
                </c:pt>
              </c:numCache>
            </c:numRef>
          </c:yVal>
          <c:smooth val="0"/>
          <c:extLst>
            <c:ext xmlns:c16="http://schemas.microsoft.com/office/drawing/2014/chart" uri="{C3380CC4-5D6E-409C-BE32-E72D297353CC}">
              <c16:uniqueId val="{00000008-8B55-4599-8C10-3D2368391577}"/>
            </c:ext>
          </c:extLst>
        </c:ser>
        <c:dLbls>
          <c:showLegendKey val="0"/>
          <c:showVal val="0"/>
          <c:showCatName val="0"/>
          <c:showSerName val="0"/>
          <c:showPercent val="0"/>
          <c:showBubbleSize val="0"/>
        </c:dLbls>
        <c:axId val="1172848367"/>
        <c:axId val="1448508735"/>
        <c:extLst>
          <c:ext xmlns:c15="http://schemas.microsoft.com/office/drawing/2012/chart" uri="{02D57815-91ED-43cb-92C2-25804820EDAC}">
            <c15:filteredScatterSeries>
              <c15:ser>
                <c:idx val="0"/>
                <c:order val="0"/>
                <c:tx>
                  <c:v>Area Loading</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1"/>
                  <c:dispEq val="1"/>
                  <c:trendlineLbl>
                    <c:layout>
                      <c:manualLayout>
                        <c:x val="8.5529773927890906E-2"/>
                        <c:y val="3.25051990539662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extLst>
                      <c:ext uri="{02D57815-91ED-43cb-92C2-25804820EDAC}">
                        <c15:formulaRef>
                          <c15:sqref>'1 EF25 P80'!$L$8:$L$12</c15:sqref>
                        </c15:formulaRef>
                      </c:ext>
                    </c:extLst>
                    <c:numCache>
                      <c:formatCode>0.0E+00</c:formatCode>
                      <c:ptCount val="5"/>
                      <c:pt idx="0">
                        <c:v>20908.380072028813</c:v>
                      </c:pt>
                      <c:pt idx="1">
                        <c:v>26610.665546218486</c:v>
                      </c:pt>
                      <c:pt idx="2">
                        <c:v>32312.951020408163</c:v>
                      </c:pt>
                      <c:pt idx="3">
                        <c:v>37254.931764705885</c:v>
                      </c:pt>
                      <c:pt idx="4">
                        <c:v>42196.912509003596</c:v>
                      </c:pt>
                    </c:numCache>
                  </c:numRef>
                </c:xVal>
                <c:yVal>
                  <c:numRef>
                    <c:extLst>
                      <c:ext uri="{02D57815-91ED-43cb-92C2-25804820EDAC}">
                        <c15:formulaRef>
                          <c15:sqref>'1 EF25 P80'!$Q$8:$Q$12</c15:sqref>
                        </c15:formulaRef>
                      </c:ext>
                    </c:extLst>
                    <c:numCache>
                      <c:formatCode>0.00</c:formatCode>
                      <c:ptCount val="5"/>
                      <c:pt idx="0">
                        <c:v>1052205.7966666669</c:v>
                      </c:pt>
                      <c:pt idx="1">
                        <c:v>1018428.9990000001</c:v>
                      </c:pt>
                      <c:pt idx="2" formatCode="General">
                        <c:v>1059115.1285000001</c:v>
                      </c:pt>
                      <c:pt idx="3" formatCode="General">
                        <c:v>1064313.7119999998</c:v>
                      </c:pt>
                      <c:pt idx="4">
                        <c:v>1078627.0009999999</c:v>
                      </c:pt>
                    </c:numCache>
                  </c:numRef>
                </c:yVal>
                <c:smooth val="0"/>
                <c:extLst>
                  <c:ext xmlns:c16="http://schemas.microsoft.com/office/drawing/2014/chart" uri="{C3380CC4-5D6E-409C-BE32-E72D297353CC}">
                    <c16:uniqueId val="{00000001-8B55-4599-8C10-3D2368391577}"/>
                  </c:ext>
                </c:extLst>
              </c15:ser>
            </c15:filteredScatterSeries>
            <c15:filteredScatterSeries>
              <c15:ser>
                <c:idx val="1"/>
                <c:order val="1"/>
                <c:tx>
                  <c:v>Perimeter Loading</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1"/>
                  <c:dispEq val="1"/>
                  <c:trendlineLbl>
                    <c:layout>
                      <c:manualLayout>
                        <c:x val="6.3051450244787866E-2"/>
                        <c:y val="6.463679239967798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extLst xmlns:c15="http://schemas.microsoft.com/office/drawing/2012/chart">
                      <c:ext xmlns:c15="http://schemas.microsoft.com/office/drawing/2012/chart" uri="{02D57815-91ED-43cb-92C2-25804820EDAC}">
                        <c15:formulaRef>
                          <c15:sqref>'1 EF25 P80'!$L$8:$L$12</c15:sqref>
                        </c15:formulaRef>
                      </c:ext>
                    </c:extLst>
                    <c:numCache>
                      <c:formatCode>0.0E+00</c:formatCode>
                      <c:ptCount val="5"/>
                      <c:pt idx="0">
                        <c:v>20908.380072028813</c:v>
                      </c:pt>
                      <c:pt idx="1">
                        <c:v>26610.665546218486</c:v>
                      </c:pt>
                      <c:pt idx="2">
                        <c:v>32312.951020408163</c:v>
                      </c:pt>
                      <c:pt idx="3">
                        <c:v>37254.931764705885</c:v>
                      </c:pt>
                      <c:pt idx="4">
                        <c:v>42196.912509003596</c:v>
                      </c:pt>
                    </c:numCache>
                  </c:numRef>
                </c:xVal>
                <c:yVal>
                  <c:numRef>
                    <c:extLst xmlns:c15="http://schemas.microsoft.com/office/drawing/2012/chart">
                      <c:ext xmlns:c15="http://schemas.microsoft.com/office/drawing/2012/chart" uri="{02D57815-91ED-43cb-92C2-25804820EDAC}">
                        <c15:formulaRef>
                          <c15:sqref>'1 EF25 P80'!$R$8:$R$12</c15:sqref>
                        </c15:formulaRef>
                      </c:ext>
                    </c:extLst>
                    <c:numCache>
                      <c:formatCode>0.00</c:formatCode>
                      <c:ptCount val="5"/>
                      <c:pt idx="0">
                        <c:v>21499.819333333333</c:v>
                      </c:pt>
                      <c:pt idx="1">
                        <c:v>20876.273000000001</c:v>
                      </c:pt>
                      <c:pt idx="2" formatCode="General">
                        <c:v>21145.369500000001</c:v>
                      </c:pt>
                      <c:pt idx="3" formatCode="General">
                        <c:v>21366.888999999999</c:v>
                      </c:pt>
                      <c:pt idx="4">
                        <c:v>21600.528333333332</c:v>
                      </c:pt>
                    </c:numCache>
                  </c:numRef>
                </c:yVal>
                <c:smooth val="0"/>
                <c:extLst xmlns:c15="http://schemas.microsoft.com/office/drawing/2012/chart">
                  <c:ext xmlns:c16="http://schemas.microsoft.com/office/drawing/2014/chart" uri="{C3380CC4-5D6E-409C-BE32-E72D297353CC}">
                    <c16:uniqueId val="{00000003-8B55-4599-8C10-3D2368391577}"/>
                  </c:ext>
                </c:extLst>
              </c15:ser>
            </c15:filteredScatterSeries>
            <c15:filteredScatterSeries>
              <c15:ser>
                <c:idx val="3"/>
                <c:order val="3"/>
                <c:tx>
                  <c:v>Area Unloading</c:v>
                </c:tx>
                <c:spPr>
                  <a:ln w="25400" cap="rnd">
                    <a:noFill/>
                    <a:round/>
                  </a:ln>
                  <a:effectLst/>
                </c:spPr>
                <c:marker>
                  <c:symbol val="circle"/>
                  <c:size val="5"/>
                  <c:spPr>
                    <a:solidFill>
                      <a:schemeClr val="accent4"/>
                    </a:solidFill>
                    <a:ln w="9525">
                      <a:solidFill>
                        <a:schemeClr val="accent4"/>
                      </a:solidFill>
                    </a:ln>
                    <a:effectLst/>
                  </c:spPr>
                </c:marker>
                <c:xVal>
                  <c:numRef>
                    <c:extLst xmlns:c15="http://schemas.microsoft.com/office/drawing/2012/chart">
                      <c:ext xmlns:c15="http://schemas.microsoft.com/office/drawing/2012/chart" uri="{02D57815-91ED-43cb-92C2-25804820EDAC}">
                        <c15:formulaRef>
                          <c15:sqref>'1 EF25 P80'!$L$13:$L$18</c15:sqref>
                        </c15:formulaRef>
                      </c:ext>
                    </c:extLst>
                    <c:numCache>
                      <c:formatCode>0.0E+00</c:formatCode>
                      <c:ptCount val="6"/>
                      <c:pt idx="0">
                        <c:v>39535.845954381759</c:v>
                      </c:pt>
                      <c:pt idx="1">
                        <c:v>34593.865210084034</c:v>
                      </c:pt>
                      <c:pt idx="2">
                        <c:v>29651.884465786316</c:v>
                      </c:pt>
                      <c:pt idx="3">
                        <c:v>23569.446626650657</c:v>
                      </c:pt>
                      <c:pt idx="4">
                        <c:v>19007.618247298917</c:v>
                      </c:pt>
                      <c:pt idx="5">
                        <c:v>12925.180408163264</c:v>
                      </c:pt>
                    </c:numCache>
                  </c:numRef>
                </c:xVal>
                <c:yVal>
                  <c:numRef>
                    <c:extLst xmlns:c15="http://schemas.microsoft.com/office/drawing/2012/chart">
                      <c:ext xmlns:c15="http://schemas.microsoft.com/office/drawing/2012/chart" uri="{02D57815-91ED-43cb-92C2-25804820EDAC}">
                        <c15:formulaRef>
                          <c15:sqref>'1 EF25 P80'!$Q$13:$Q$18</c15:sqref>
                        </c15:formulaRef>
                      </c:ext>
                    </c:extLst>
                    <c:numCache>
                      <c:formatCode>General</c:formatCode>
                      <c:ptCount val="6"/>
                      <c:pt idx="0" formatCode="0.00">
                        <c:v>1078627.0009999999</c:v>
                      </c:pt>
                      <c:pt idx="1">
                        <c:v>1069671.71</c:v>
                      </c:pt>
                      <c:pt idx="2" formatCode="0.00">
                        <c:v>1081288.3404999999</c:v>
                      </c:pt>
                      <c:pt idx="3" formatCode="0.00">
                        <c:v>1092811.9010000001</c:v>
                      </c:pt>
                      <c:pt idx="4" formatCode="0.00">
                        <c:v>1106837.3870000001</c:v>
                      </c:pt>
                      <c:pt idx="5">
                        <c:v>1138788.7294999999</c:v>
                      </c:pt>
                    </c:numCache>
                  </c:numRef>
                </c:yVal>
                <c:smooth val="0"/>
                <c:extLst xmlns:c15="http://schemas.microsoft.com/office/drawing/2012/chart">
                  <c:ext xmlns:c16="http://schemas.microsoft.com/office/drawing/2014/chart" uri="{C3380CC4-5D6E-409C-BE32-E72D297353CC}">
                    <c16:uniqueId val="{00000006-8B55-4599-8C10-3D2368391577}"/>
                  </c:ext>
                </c:extLst>
              </c15:ser>
            </c15:filteredScatterSeries>
            <c15:filteredScatterSeries>
              <c15:ser>
                <c:idx val="4"/>
                <c:order val="4"/>
                <c:tx>
                  <c:v>Perimeter Unloading</c:v>
                </c:tx>
                <c:spPr>
                  <a:ln w="25400" cap="rnd">
                    <a:noFill/>
                    <a:round/>
                  </a:ln>
                  <a:effectLst/>
                </c:spPr>
                <c:marker>
                  <c:symbol val="circle"/>
                  <c:size val="5"/>
                  <c:spPr>
                    <a:solidFill>
                      <a:schemeClr val="accent5"/>
                    </a:solidFill>
                    <a:ln w="9525">
                      <a:solidFill>
                        <a:schemeClr val="accent5"/>
                      </a:solidFill>
                    </a:ln>
                    <a:effectLst/>
                  </c:spPr>
                </c:marker>
                <c:xVal>
                  <c:numRef>
                    <c:extLst xmlns:c15="http://schemas.microsoft.com/office/drawing/2012/chart">
                      <c:ext xmlns:c15="http://schemas.microsoft.com/office/drawing/2012/chart" uri="{02D57815-91ED-43cb-92C2-25804820EDAC}">
                        <c15:formulaRef>
                          <c15:sqref>'1 EF25 P80'!$L$13:$L$18</c15:sqref>
                        </c15:formulaRef>
                      </c:ext>
                    </c:extLst>
                    <c:numCache>
                      <c:formatCode>0.0E+00</c:formatCode>
                      <c:ptCount val="6"/>
                      <c:pt idx="0">
                        <c:v>39535.845954381759</c:v>
                      </c:pt>
                      <c:pt idx="1">
                        <c:v>34593.865210084034</c:v>
                      </c:pt>
                      <c:pt idx="2">
                        <c:v>29651.884465786316</c:v>
                      </c:pt>
                      <c:pt idx="3">
                        <c:v>23569.446626650657</c:v>
                      </c:pt>
                      <c:pt idx="4">
                        <c:v>19007.618247298917</c:v>
                      </c:pt>
                      <c:pt idx="5">
                        <c:v>12925.180408163264</c:v>
                      </c:pt>
                    </c:numCache>
                  </c:numRef>
                </c:xVal>
                <c:yVal>
                  <c:numRef>
                    <c:extLst xmlns:c15="http://schemas.microsoft.com/office/drawing/2012/chart">
                      <c:ext xmlns:c15="http://schemas.microsoft.com/office/drawing/2012/chart" uri="{02D57815-91ED-43cb-92C2-25804820EDAC}">
                        <c15:formulaRef>
                          <c15:sqref>'1 EF25 P80'!$R$13:$R$18</c15:sqref>
                        </c15:formulaRef>
                      </c:ext>
                    </c:extLst>
                    <c:numCache>
                      <c:formatCode>General</c:formatCode>
                      <c:ptCount val="6"/>
                      <c:pt idx="0" formatCode="0.00">
                        <c:v>21600.528333333332</c:v>
                      </c:pt>
                      <c:pt idx="1">
                        <c:v>21899.074000000001</c:v>
                      </c:pt>
                      <c:pt idx="2" formatCode="0.00">
                        <c:v>21778.300499999998</c:v>
                      </c:pt>
                      <c:pt idx="3" formatCode="0.00">
                        <c:v>21601.076000000001</c:v>
                      </c:pt>
                      <c:pt idx="4" formatCode="0.00">
                        <c:v>21572.584000000003</c:v>
                      </c:pt>
                      <c:pt idx="5" formatCode="0.00">
                        <c:v>21717.148499999999</c:v>
                      </c:pt>
                    </c:numCache>
                  </c:numRef>
                </c:yVal>
                <c:smooth val="0"/>
                <c:extLst xmlns:c15="http://schemas.microsoft.com/office/drawing/2012/chart">
                  <c:ext xmlns:c16="http://schemas.microsoft.com/office/drawing/2014/chart" uri="{C3380CC4-5D6E-409C-BE32-E72D297353CC}">
                    <c16:uniqueId val="{00000007-8B55-4599-8C10-3D2368391577}"/>
                  </c:ext>
                </c:extLst>
              </c15:ser>
            </c15:filteredScatterSeries>
          </c:ext>
        </c:extLst>
      </c:scatterChart>
      <c:valAx>
        <c:axId val="11728483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8508735"/>
        <c:crosses val="autoZero"/>
        <c:crossBetween val="midCat"/>
      </c:valAx>
      <c:valAx>
        <c:axId val="1448508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Elongation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84836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08597941434724"/>
          <c:y val="3.7766707197582308E-2"/>
          <c:w val="0.82828789732495367"/>
          <c:h val="0.77957705555355417"/>
        </c:manualLayout>
      </c:layout>
      <c:scatterChart>
        <c:scatterStyle val="lineMarker"/>
        <c:varyColors val="0"/>
        <c:ser>
          <c:idx val="0"/>
          <c:order val="0"/>
          <c:tx>
            <c:v>Area Loading</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1"/>
            <c:dispEq val="1"/>
            <c:trendlineLbl>
              <c:layout>
                <c:manualLayout>
                  <c:x val="0.12729613469769518"/>
                  <c:y val="0.2021572678227815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EF25 P80'!$L$8:$L$12</c:f>
              <c:numCache>
                <c:formatCode>0.0E+00</c:formatCode>
                <c:ptCount val="5"/>
                <c:pt idx="0">
                  <c:v>20908.380072028813</c:v>
                </c:pt>
                <c:pt idx="1">
                  <c:v>26610.665546218486</c:v>
                </c:pt>
                <c:pt idx="2">
                  <c:v>32312.951020408163</c:v>
                </c:pt>
                <c:pt idx="3">
                  <c:v>37254.931764705885</c:v>
                </c:pt>
                <c:pt idx="4">
                  <c:v>42196.912509003596</c:v>
                </c:pt>
              </c:numCache>
              <c:extLst xmlns:c15="http://schemas.microsoft.com/office/drawing/2012/chart"/>
            </c:numRef>
          </c:xVal>
          <c:yVal>
            <c:numRef>
              <c:f>'1 EF25 P80'!$Q$8:$Q$12</c:f>
              <c:numCache>
                <c:formatCode>0.00</c:formatCode>
                <c:ptCount val="5"/>
                <c:pt idx="0">
                  <c:v>1052205.7966666669</c:v>
                </c:pt>
                <c:pt idx="1">
                  <c:v>1018428.9990000001</c:v>
                </c:pt>
                <c:pt idx="2" formatCode="General">
                  <c:v>1059115.1285000001</c:v>
                </c:pt>
                <c:pt idx="3" formatCode="General">
                  <c:v>1064313.7119999998</c:v>
                </c:pt>
                <c:pt idx="4">
                  <c:v>1078627.0009999999</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5-F447-4529-95AB-33F4D676BF80}"/>
            </c:ext>
          </c:extLst>
        </c:ser>
        <c:ser>
          <c:idx val="3"/>
          <c:order val="3"/>
          <c:tx>
            <c:v>Area Unloading</c:v>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poly"/>
            <c:order val="2"/>
            <c:dispRSqr val="1"/>
            <c:dispEq val="1"/>
            <c:trendlineLbl>
              <c:layout>
                <c:manualLayout>
                  <c:x val="-7.0629270041599251E-3"/>
                  <c:y val="-0.1238128180004485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EF25 P80'!$L$13:$L$18</c:f>
              <c:numCache>
                <c:formatCode>0.0E+00</c:formatCode>
                <c:ptCount val="6"/>
                <c:pt idx="0">
                  <c:v>39535.845954381759</c:v>
                </c:pt>
                <c:pt idx="1">
                  <c:v>34593.865210084034</c:v>
                </c:pt>
                <c:pt idx="2">
                  <c:v>29651.884465786316</c:v>
                </c:pt>
                <c:pt idx="3">
                  <c:v>23569.446626650657</c:v>
                </c:pt>
                <c:pt idx="4">
                  <c:v>19007.618247298917</c:v>
                </c:pt>
                <c:pt idx="5">
                  <c:v>12925.180408163264</c:v>
                </c:pt>
              </c:numCache>
              <c:extLst xmlns:c15="http://schemas.microsoft.com/office/drawing/2012/chart"/>
            </c:numRef>
          </c:xVal>
          <c:yVal>
            <c:numRef>
              <c:f>'1 EF25 P80'!$Q$13:$Q$18</c:f>
              <c:numCache>
                <c:formatCode>General</c:formatCode>
                <c:ptCount val="6"/>
                <c:pt idx="0" formatCode="0.00">
                  <c:v>1078627.0009999999</c:v>
                </c:pt>
                <c:pt idx="1">
                  <c:v>1069671.71</c:v>
                </c:pt>
                <c:pt idx="2" formatCode="0.00">
                  <c:v>1081288.3404999999</c:v>
                </c:pt>
                <c:pt idx="3" formatCode="0.00">
                  <c:v>1092811.9010000001</c:v>
                </c:pt>
                <c:pt idx="4" formatCode="0.00">
                  <c:v>1106837.3870000001</c:v>
                </c:pt>
                <c:pt idx="5">
                  <c:v>1138788.7294999999</c:v>
                </c:pt>
              </c:numCache>
              <c:extLst xmlns:c15="http://schemas.microsoft.com/office/drawing/2012/chart"/>
            </c:numRef>
          </c:yVal>
          <c:smooth val="0"/>
          <c:extLst>
            <c:ext xmlns:c16="http://schemas.microsoft.com/office/drawing/2014/chart" uri="{C3380CC4-5D6E-409C-BE32-E72D297353CC}">
              <c16:uniqueId val="{00000008-F447-4529-95AB-33F4D676BF80}"/>
            </c:ext>
          </c:extLst>
        </c:ser>
        <c:dLbls>
          <c:showLegendKey val="0"/>
          <c:showVal val="0"/>
          <c:showCatName val="0"/>
          <c:showSerName val="0"/>
          <c:showPercent val="0"/>
          <c:showBubbleSize val="0"/>
        </c:dLbls>
        <c:axId val="1172848367"/>
        <c:axId val="1448508735"/>
        <c:extLst>
          <c:ext xmlns:c15="http://schemas.microsoft.com/office/drawing/2012/chart" uri="{02D57815-91ED-43cb-92C2-25804820EDAC}">
            <c15:filteredScatterSeries>
              <c15:ser>
                <c:idx val="1"/>
                <c:order val="1"/>
                <c:tx>
                  <c:v>Perimeter Loading</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1"/>
                  <c:dispEq val="1"/>
                  <c:trendlineLbl>
                    <c:layout>
                      <c:manualLayout>
                        <c:x val="6.3051450244787866E-2"/>
                        <c:y val="6.463679239967798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extLst>
                      <c:ext uri="{02D57815-91ED-43cb-92C2-25804820EDAC}">
                        <c15:formulaRef>
                          <c15:sqref>'1 EF25 P80'!$L$8:$L$12</c15:sqref>
                        </c15:formulaRef>
                      </c:ext>
                    </c:extLst>
                    <c:numCache>
                      <c:formatCode>0.0E+00</c:formatCode>
                      <c:ptCount val="5"/>
                      <c:pt idx="0">
                        <c:v>20908.380072028813</c:v>
                      </c:pt>
                      <c:pt idx="1">
                        <c:v>26610.665546218486</c:v>
                      </c:pt>
                      <c:pt idx="2">
                        <c:v>32312.951020408163</c:v>
                      </c:pt>
                      <c:pt idx="3">
                        <c:v>37254.931764705885</c:v>
                      </c:pt>
                      <c:pt idx="4">
                        <c:v>42196.912509003596</c:v>
                      </c:pt>
                    </c:numCache>
                  </c:numRef>
                </c:xVal>
                <c:yVal>
                  <c:numRef>
                    <c:extLst>
                      <c:ext uri="{02D57815-91ED-43cb-92C2-25804820EDAC}">
                        <c15:formulaRef>
                          <c15:sqref>'1 EF25 P80'!$R$8:$R$12</c15:sqref>
                        </c15:formulaRef>
                      </c:ext>
                    </c:extLst>
                    <c:numCache>
                      <c:formatCode>0.00</c:formatCode>
                      <c:ptCount val="5"/>
                      <c:pt idx="0">
                        <c:v>21499.819333333333</c:v>
                      </c:pt>
                      <c:pt idx="1">
                        <c:v>20876.273000000001</c:v>
                      </c:pt>
                      <c:pt idx="2" formatCode="General">
                        <c:v>21145.369500000001</c:v>
                      </c:pt>
                      <c:pt idx="3" formatCode="General">
                        <c:v>21366.888999999999</c:v>
                      </c:pt>
                      <c:pt idx="4">
                        <c:v>21600.528333333332</c:v>
                      </c:pt>
                    </c:numCache>
                  </c:numRef>
                </c:yVal>
                <c:smooth val="0"/>
                <c:extLst>
                  <c:ext xmlns:c16="http://schemas.microsoft.com/office/drawing/2014/chart" uri="{C3380CC4-5D6E-409C-BE32-E72D297353CC}">
                    <c16:uniqueId val="{00000007-F447-4529-95AB-33F4D676BF80}"/>
                  </c:ext>
                </c:extLst>
              </c15:ser>
            </c15:filteredScatterSeries>
            <c15:filteredScatterSeries>
              <c15:ser>
                <c:idx val="2"/>
                <c:order val="2"/>
                <c:tx>
                  <c:v>Elongation Loading</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1"/>
                  <c:dispEq val="1"/>
                  <c:trendlineLbl>
                    <c:layout>
                      <c:manualLayout>
                        <c:x val="8.1408721028838948E-2"/>
                        <c:y val="-0.4480664706827612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extLst xmlns:c15="http://schemas.microsoft.com/office/drawing/2012/chart">
                      <c:ext xmlns:c15="http://schemas.microsoft.com/office/drawing/2012/chart" uri="{02D57815-91ED-43cb-92C2-25804820EDAC}">
                        <c15:formulaRef>
                          <c15:sqref>'1 EF25 P80'!$L$8:$L$12</c15:sqref>
                        </c15:formulaRef>
                      </c:ext>
                    </c:extLst>
                    <c:numCache>
                      <c:formatCode>0.0E+00</c:formatCode>
                      <c:ptCount val="5"/>
                      <c:pt idx="0">
                        <c:v>20908.380072028813</c:v>
                      </c:pt>
                      <c:pt idx="1">
                        <c:v>26610.665546218486</c:v>
                      </c:pt>
                      <c:pt idx="2">
                        <c:v>32312.951020408163</c:v>
                      </c:pt>
                      <c:pt idx="3">
                        <c:v>37254.931764705885</c:v>
                      </c:pt>
                      <c:pt idx="4">
                        <c:v>42196.912509003596</c:v>
                      </c:pt>
                    </c:numCache>
                  </c:numRef>
                </c:xVal>
                <c:yVal>
                  <c:numRef>
                    <c:extLst xmlns:c15="http://schemas.microsoft.com/office/drawing/2012/chart">
                      <c:ext xmlns:c15="http://schemas.microsoft.com/office/drawing/2012/chart" uri="{02D57815-91ED-43cb-92C2-25804820EDAC}">
                        <c15:formulaRef>
                          <c15:sqref>'1 EF25 P80'!$S$8:$S$12</c15:sqref>
                        </c15:formulaRef>
                      </c:ext>
                    </c:extLst>
                    <c:numCache>
                      <c:formatCode>0.00</c:formatCode>
                      <c:ptCount val="5"/>
                      <c:pt idx="0">
                        <c:v>45.044666666666672</c:v>
                      </c:pt>
                      <c:pt idx="1">
                        <c:v>45.397999999999996</c:v>
                      </c:pt>
                      <c:pt idx="2" formatCode="General">
                        <c:v>44.158500000000004</c:v>
                      </c:pt>
                      <c:pt idx="3" formatCode="General">
                        <c:v>43.708500000000001</c:v>
                      </c:pt>
                      <c:pt idx="4">
                        <c:v>43.066000000000003</c:v>
                      </c:pt>
                    </c:numCache>
                  </c:numRef>
                </c:yVal>
                <c:smooth val="0"/>
                <c:extLst xmlns:c15="http://schemas.microsoft.com/office/drawing/2012/chart">
                  <c:ext xmlns:c16="http://schemas.microsoft.com/office/drawing/2014/chart" uri="{C3380CC4-5D6E-409C-BE32-E72D297353CC}">
                    <c16:uniqueId val="{00000001-F447-4529-95AB-33F4D676BF80}"/>
                  </c:ext>
                </c:extLst>
              </c15:ser>
            </c15:filteredScatterSeries>
            <c15:filteredScatterSeries>
              <c15:ser>
                <c:idx val="4"/>
                <c:order val="4"/>
                <c:tx>
                  <c:v>Perimeter Unloading</c:v>
                </c:tx>
                <c:spPr>
                  <a:ln w="25400" cap="rnd">
                    <a:noFill/>
                    <a:round/>
                  </a:ln>
                  <a:effectLst/>
                </c:spPr>
                <c:marker>
                  <c:symbol val="circle"/>
                  <c:size val="5"/>
                  <c:spPr>
                    <a:solidFill>
                      <a:schemeClr val="accent5"/>
                    </a:solidFill>
                    <a:ln w="9525">
                      <a:solidFill>
                        <a:schemeClr val="accent5"/>
                      </a:solidFill>
                    </a:ln>
                    <a:effectLst/>
                  </c:spPr>
                </c:marker>
                <c:xVal>
                  <c:numRef>
                    <c:extLst xmlns:c15="http://schemas.microsoft.com/office/drawing/2012/chart">
                      <c:ext xmlns:c15="http://schemas.microsoft.com/office/drawing/2012/chart" uri="{02D57815-91ED-43cb-92C2-25804820EDAC}">
                        <c15:formulaRef>
                          <c15:sqref>'1 EF25 P80'!$L$13:$L$18</c15:sqref>
                        </c15:formulaRef>
                      </c:ext>
                    </c:extLst>
                    <c:numCache>
                      <c:formatCode>0.0E+00</c:formatCode>
                      <c:ptCount val="6"/>
                      <c:pt idx="0">
                        <c:v>39535.845954381759</c:v>
                      </c:pt>
                      <c:pt idx="1">
                        <c:v>34593.865210084034</c:v>
                      </c:pt>
                      <c:pt idx="2">
                        <c:v>29651.884465786316</c:v>
                      </c:pt>
                      <c:pt idx="3">
                        <c:v>23569.446626650657</c:v>
                      </c:pt>
                      <c:pt idx="4">
                        <c:v>19007.618247298917</c:v>
                      </c:pt>
                      <c:pt idx="5">
                        <c:v>12925.180408163264</c:v>
                      </c:pt>
                    </c:numCache>
                  </c:numRef>
                </c:xVal>
                <c:yVal>
                  <c:numRef>
                    <c:extLst xmlns:c15="http://schemas.microsoft.com/office/drawing/2012/chart">
                      <c:ext xmlns:c15="http://schemas.microsoft.com/office/drawing/2012/chart" uri="{02D57815-91ED-43cb-92C2-25804820EDAC}">
                        <c15:formulaRef>
                          <c15:sqref>'1 EF25 P80'!$R$13:$R$18</c15:sqref>
                        </c15:formulaRef>
                      </c:ext>
                    </c:extLst>
                    <c:numCache>
                      <c:formatCode>General</c:formatCode>
                      <c:ptCount val="6"/>
                      <c:pt idx="0" formatCode="0.00">
                        <c:v>21600.528333333332</c:v>
                      </c:pt>
                      <c:pt idx="1">
                        <c:v>21899.074000000001</c:v>
                      </c:pt>
                      <c:pt idx="2" formatCode="0.00">
                        <c:v>21778.300499999998</c:v>
                      </c:pt>
                      <c:pt idx="3" formatCode="0.00">
                        <c:v>21601.076000000001</c:v>
                      </c:pt>
                      <c:pt idx="4" formatCode="0.00">
                        <c:v>21572.584000000003</c:v>
                      </c:pt>
                      <c:pt idx="5" formatCode="0.00">
                        <c:v>21717.148499999999</c:v>
                      </c:pt>
                    </c:numCache>
                  </c:numRef>
                </c:yVal>
                <c:smooth val="0"/>
                <c:extLst xmlns:c15="http://schemas.microsoft.com/office/drawing/2012/chart">
                  <c:ext xmlns:c16="http://schemas.microsoft.com/office/drawing/2014/chart" uri="{C3380CC4-5D6E-409C-BE32-E72D297353CC}">
                    <c16:uniqueId val="{00000009-F447-4529-95AB-33F4D676BF80}"/>
                  </c:ext>
                </c:extLst>
              </c15:ser>
            </c15:filteredScatterSeries>
            <c15:filteredScatterSeries>
              <c15:ser>
                <c:idx val="5"/>
                <c:order val="5"/>
                <c:tx>
                  <c:v>Elongation Unloading</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1"/>
                  <c:dispEq val="1"/>
                  <c:trendlineLbl>
                    <c:layout>
                      <c:manualLayout>
                        <c:x val="-0.42601223288423129"/>
                        <c:y val="3.810721138849240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extLst xmlns:c15="http://schemas.microsoft.com/office/drawing/2012/chart">
                      <c:ext xmlns:c15="http://schemas.microsoft.com/office/drawing/2012/chart" uri="{02D57815-91ED-43cb-92C2-25804820EDAC}">
                        <c15:formulaRef>
                          <c15:sqref>'1 EF25 P80'!$L$13:$L$18</c15:sqref>
                        </c15:formulaRef>
                      </c:ext>
                    </c:extLst>
                    <c:numCache>
                      <c:formatCode>0.0E+00</c:formatCode>
                      <c:ptCount val="6"/>
                      <c:pt idx="0">
                        <c:v>39535.845954381759</c:v>
                      </c:pt>
                      <c:pt idx="1">
                        <c:v>34593.865210084034</c:v>
                      </c:pt>
                      <c:pt idx="2">
                        <c:v>29651.884465786316</c:v>
                      </c:pt>
                      <c:pt idx="3">
                        <c:v>23569.446626650657</c:v>
                      </c:pt>
                      <c:pt idx="4">
                        <c:v>19007.618247298917</c:v>
                      </c:pt>
                      <c:pt idx="5">
                        <c:v>12925.180408163264</c:v>
                      </c:pt>
                    </c:numCache>
                  </c:numRef>
                </c:xVal>
                <c:yVal>
                  <c:numRef>
                    <c:extLst xmlns:c15="http://schemas.microsoft.com/office/drawing/2012/chart">
                      <c:ext xmlns:c15="http://schemas.microsoft.com/office/drawing/2012/chart" uri="{02D57815-91ED-43cb-92C2-25804820EDAC}">
                        <c15:formulaRef>
                          <c15:sqref>'1 EF25 P80'!$S$13:$S$18</c15:sqref>
                        </c15:formulaRef>
                      </c:ext>
                    </c:extLst>
                    <c:numCache>
                      <c:formatCode>General</c:formatCode>
                      <c:ptCount val="6"/>
                      <c:pt idx="0" formatCode="0.00">
                        <c:v>43.066000000000003</c:v>
                      </c:pt>
                      <c:pt idx="1">
                        <c:v>42.662999999999997</c:v>
                      </c:pt>
                      <c:pt idx="2" formatCode="0.00">
                        <c:v>43.021000000000001</c:v>
                      </c:pt>
                      <c:pt idx="3" formatCode="0.00">
                        <c:v>42.613500000000002</c:v>
                      </c:pt>
                      <c:pt idx="4" formatCode="0.00">
                        <c:v>42.8125</c:v>
                      </c:pt>
                      <c:pt idx="5" formatCode="0.00">
                        <c:v>42.35</c:v>
                      </c:pt>
                    </c:numCache>
                  </c:numRef>
                </c:yVal>
                <c:smooth val="0"/>
                <c:extLst xmlns:c15="http://schemas.microsoft.com/office/drawing/2012/chart">
                  <c:ext xmlns:c16="http://schemas.microsoft.com/office/drawing/2014/chart" uri="{C3380CC4-5D6E-409C-BE32-E72D297353CC}">
                    <c16:uniqueId val="{00000003-F447-4529-95AB-33F4D676BF80}"/>
                  </c:ext>
                </c:extLst>
              </c15:ser>
            </c15:filteredScatterSeries>
          </c:ext>
        </c:extLst>
      </c:scatterChart>
      <c:valAx>
        <c:axId val="11728483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8508735"/>
        <c:crosses val="autoZero"/>
        <c:crossBetween val="midCat"/>
      </c:valAx>
      <c:valAx>
        <c:axId val="1448508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Area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84836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08598608118161"/>
          <c:y val="4.3763676148796497E-2"/>
          <c:w val="0.82828789732495367"/>
          <c:h val="0.77957705555355417"/>
        </c:manualLayout>
      </c:layout>
      <c:scatterChart>
        <c:scatterStyle val="lineMarker"/>
        <c:varyColors val="0"/>
        <c:ser>
          <c:idx val="1"/>
          <c:order val="1"/>
          <c:tx>
            <c:v>Perimeter Loading</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1"/>
            <c:dispEq val="1"/>
            <c:trendlineLbl>
              <c:layout>
                <c:manualLayout>
                  <c:x val="0.11551530724962839"/>
                  <c:y val="0.3495300381305410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EF25 P80'!$L$8:$L$12</c:f>
              <c:numCache>
                <c:formatCode>0.0E+00</c:formatCode>
                <c:ptCount val="5"/>
                <c:pt idx="0">
                  <c:v>20908.380072028813</c:v>
                </c:pt>
                <c:pt idx="1">
                  <c:v>26610.665546218486</c:v>
                </c:pt>
                <c:pt idx="2">
                  <c:v>32312.951020408163</c:v>
                </c:pt>
                <c:pt idx="3">
                  <c:v>37254.931764705885</c:v>
                </c:pt>
                <c:pt idx="4">
                  <c:v>42196.912509003596</c:v>
                </c:pt>
              </c:numCache>
              <c:extLst xmlns:c15="http://schemas.microsoft.com/office/drawing/2012/chart"/>
            </c:numRef>
          </c:xVal>
          <c:yVal>
            <c:numRef>
              <c:f>'1 EF25 P80'!$R$8:$R$12</c:f>
              <c:numCache>
                <c:formatCode>0.00</c:formatCode>
                <c:ptCount val="5"/>
                <c:pt idx="0">
                  <c:v>21499.819333333333</c:v>
                </c:pt>
                <c:pt idx="1">
                  <c:v>20876.273000000001</c:v>
                </c:pt>
                <c:pt idx="2" formatCode="General">
                  <c:v>21145.369500000001</c:v>
                </c:pt>
                <c:pt idx="3" formatCode="General">
                  <c:v>21366.888999999999</c:v>
                </c:pt>
                <c:pt idx="4">
                  <c:v>21600.528333333332</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7-C5AB-42EA-81FE-9D3F6311E5D0}"/>
            </c:ext>
          </c:extLst>
        </c:ser>
        <c:ser>
          <c:idx val="4"/>
          <c:order val="4"/>
          <c:tx>
            <c:v>Perimeter Unloading</c:v>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poly"/>
            <c:order val="2"/>
            <c:dispRSqr val="1"/>
            <c:dispEq val="1"/>
            <c:trendlineLbl>
              <c:layout>
                <c:manualLayout>
                  <c:x val="0.16379511400628177"/>
                  <c:y val="-0.15135629035875764"/>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EF25 P80'!$L$13:$L$18</c:f>
              <c:numCache>
                <c:formatCode>0.0E+00</c:formatCode>
                <c:ptCount val="6"/>
                <c:pt idx="0">
                  <c:v>39535.845954381759</c:v>
                </c:pt>
                <c:pt idx="1">
                  <c:v>34593.865210084034</c:v>
                </c:pt>
                <c:pt idx="2">
                  <c:v>29651.884465786316</c:v>
                </c:pt>
                <c:pt idx="3">
                  <c:v>23569.446626650657</c:v>
                </c:pt>
                <c:pt idx="4">
                  <c:v>19007.618247298917</c:v>
                </c:pt>
                <c:pt idx="5">
                  <c:v>12925.180408163264</c:v>
                </c:pt>
              </c:numCache>
              <c:extLst xmlns:c15="http://schemas.microsoft.com/office/drawing/2012/chart"/>
            </c:numRef>
          </c:xVal>
          <c:yVal>
            <c:numRef>
              <c:f>'1 EF25 P80'!$R$13:$R$18</c:f>
              <c:numCache>
                <c:formatCode>General</c:formatCode>
                <c:ptCount val="6"/>
                <c:pt idx="0" formatCode="0.00">
                  <c:v>21600.528333333332</c:v>
                </c:pt>
                <c:pt idx="1">
                  <c:v>21899.074000000001</c:v>
                </c:pt>
                <c:pt idx="2" formatCode="0.00">
                  <c:v>21778.300499999998</c:v>
                </c:pt>
                <c:pt idx="3" formatCode="0.00">
                  <c:v>21601.076000000001</c:v>
                </c:pt>
                <c:pt idx="4" formatCode="0.00">
                  <c:v>21572.584000000003</c:v>
                </c:pt>
                <c:pt idx="5" formatCode="0.00">
                  <c:v>21717.148499999999</c:v>
                </c:pt>
              </c:numCache>
              <c:extLst xmlns:c15="http://schemas.microsoft.com/office/drawing/2012/chart"/>
            </c:numRef>
          </c:yVal>
          <c:smooth val="0"/>
          <c:extLst>
            <c:ext xmlns:c16="http://schemas.microsoft.com/office/drawing/2014/chart" uri="{C3380CC4-5D6E-409C-BE32-E72D297353CC}">
              <c16:uniqueId val="{00000009-C5AB-42EA-81FE-9D3F6311E5D0}"/>
            </c:ext>
          </c:extLst>
        </c:ser>
        <c:dLbls>
          <c:showLegendKey val="0"/>
          <c:showVal val="0"/>
          <c:showCatName val="0"/>
          <c:showSerName val="0"/>
          <c:showPercent val="0"/>
          <c:showBubbleSize val="0"/>
        </c:dLbls>
        <c:axId val="1172848367"/>
        <c:axId val="1448508735"/>
        <c:extLst>
          <c:ext xmlns:c15="http://schemas.microsoft.com/office/drawing/2012/chart" uri="{02D57815-91ED-43cb-92C2-25804820EDAC}">
            <c15:filteredScatterSeries>
              <c15:ser>
                <c:idx val="0"/>
                <c:order val="0"/>
                <c:tx>
                  <c:v>Area Loading</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1"/>
                  <c:dispEq val="1"/>
                  <c:trendlineLbl>
                    <c:layout>
                      <c:manualLayout>
                        <c:x val="8.5529773927890906E-2"/>
                        <c:y val="3.25051990539662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extLst>
                      <c:ext uri="{02D57815-91ED-43cb-92C2-25804820EDAC}">
                        <c15:formulaRef>
                          <c15:sqref>'1 EF25 P80'!$L$8:$L$12</c15:sqref>
                        </c15:formulaRef>
                      </c:ext>
                    </c:extLst>
                    <c:numCache>
                      <c:formatCode>0.0E+00</c:formatCode>
                      <c:ptCount val="5"/>
                      <c:pt idx="0">
                        <c:v>20908.380072028813</c:v>
                      </c:pt>
                      <c:pt idx="1">
                        <c:v>26610.665546218486</c:v>
                      </c:pt>
                      <c:pt idx="2">
                        <c:v>32312.951020408163</c:v>
                      </c:pt>
                      <c:pt idx="3">
                        <c:v>37254.931764705885</c:v>
                      </c:pt>
                      <c:pt idx="4">
                        <c:v>42196.912509003596</c:v>
                      </c:pt>
                    </c:numCache>
                  </c:numRef>
                </c:xVal>
                <c:yVal>
                  <c:numRef>
                    <c:extLst>
                      <c:ext uri="{02D57815-91ED-43cb-92C2-25804820EDAC}">
                        <c15:formulaRef>
                          <c15:sqref>'1 EF25 P80'!$Q$8:$Q$12</c15:sqref>
                        </c15:formulaRef>
                      </c:ext>
                    </c:extLst>
                    <c:numCache>
                      <c:formatCode>0.00</c:formatCode>
                      <c:ptCount val="5"/>
                      <c:pt idx="0">
                        <c:v>1052205.7966666669</c:v>
                      </c:pt>
                      <c:pt idx="1">
                        <c:v>1018428.9990000001</c:v>
                      </c:pt>
                      <c:pt idx="2" formatCode="General">
                        <c:v>1059115.1285000001</c:v>
                      </c:pt>
                      <c:pt idx="3" formatCode="General">
                        <c:v>1064313.7119999998</c:v>
                      </c:pt>
                      <c:pt idx="4">
                        <c:v>1078627.0009999999</c:v>
                      </c:pt>
                    </c:numCache>
                  </c:numRef>
                </c:yVal>
                <c:smooth val="0"/>
                <c:extLst>
                  <c:ext xmlns:c16="http://schemas.microsoft.com/office/drawing/2014/chart" uri="{C3380CC4-5D6E-409C-BE32-E72D297353CC}">
                    <c16:uniqueId val="{00000005-C5AB-42EA-81FE-9D3F6311E5D0}"/>
                  </c:ext>
                </c:extLst>
              </c15:ser>
            </c15:filteredScatterSeries>
            <c15:filteredScatterSeries>
              <c15:ser>
                <c:idx val="2"/>
                <c:order val="2"/>
                <c:tx>
                  <c:v>Elongation Loading</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1"/>
                  <c:dispEq val="1"/>
                  <c:trendlineLbl>
                    <c:layout>
                      <c:manualLayout>
                        <c:x val="8.1408721028838948E-2"/>
                        <c:y val="-0.4480664706827612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extLst xmlns:c15="http://schemas.microsoft.com/office/drawing/2012/chart">
                      <c:ext xmlns:c15="http://schemas.microsoft.com/office/drawing/2012/chart" uri="{02D57815-91ED-43cb-92C2-25804820EDAC}">
                        <c15:formulaRef>
                          <c15:sqref>'1 EF25 P80'!$L$8:$L$12</c15:sqref>
                        </c15:formulaRef>
                      </c:ext>
                    </c:extLst>
                    <c:numCache>
                      <c:formatCode>0.0E+00</c:formatCode>
                      <c:ptCount val="5"/>
                      <c:pt idx="0">
                        <c:v>20908.380072028813</c:v>
                      </c:pt>
                      <c:pt idx="1">
                        <c:v>26610.665546218486</c:v>
                      </c:pt>
                      <c:pt idx="2">
                        <c:v>32312.951020408163</c:v>
                      </c:pt>
                      <c:pt idx="3">
                        <c:v>37254.931764705885</c:v>
                      </c:pt>
                      <c:pt idx="4">
                        <c:v>42196.912509003596</c:v>
                      </c:pt>
                    </c:numCache>
                  </c:numRef>
                </c:xVal>
                <c:yVal>
                  <c:numRef>
                    <c:extLst xmlns:c15="http://schemas.microsoft.com/office/drawing/2012/chart">
                      <c:ext xmlns:c15="http://schemas.microsoft.com/office/drawing/2012/chart" uri="{02D57815-91ED-43cb-92C2-25804820EDAC}">
                        <c15:formulaRef>
                          <c15:sqref>'1 EF25 P80'!$S$8:$S$12</c15:sqref>
                        </c15:formulaRef>
                      </c:ext>
                    </c:extLst>
                    <c:numCache>
                      <c:formatCode>0.00</c:formatCode>
                      <c:ptCount val="5"/>
                      <c:pt idx="0">
                        <c:v>45.044666666666672</c:v>
                      </c:pt>
                      <c:pt idx="1">
                        <c:v>45.397999999999996</c:v>
                      </c:pt>
                      <c:pt idx="2" formatCode="General">
                        <c:v>44.158500000000004</c:v>
                      </c:pt>
                      <c:pt idx="3" formatCode="General">
                        <c:v>43.708500000000001</c:v>
                      </c:pt>
                      <c:pt idx="4">
                        <c:v>43.066000000000003</c:v>
                      </c:pt>
                    </c:numCache>
                  </c:numRef>
                </c:yVal>
                <c:smooth val="0"/>
                <c:extLst xmlns:c15="http://schemas.microsoft.com/office/drawing/2012/chart">
                  <c:ext xmlns:c16="http://schemas.microsoft.com/office/drawing/2014/chart" uri="{C3380CC4-5D6E-409C-BE32-E72D297353CC}">
                    <c16:uniqueId val="{00000001-C5AB-42EA-81FE-9D3F6311E5D0}"/>
                  </c:ext>
                </c:extLst>
              </c15:ser>
            </c15:filteredScatterSeries>
            <c15:filteredScatterSeries>
              <c15:ser>
                <c:idx val="3"/>
                <c:order val="3"/>
                <c:tx>
                  <c:v>Area Unloading</c:v>
                </c:tx>
                <c:spPr>
                  <a:ln w="25400" cap="rnd">
                    <a:noFill/>
                    <a:round/>
                  </a:ln>
                  <a:effectLst/>
                </c:spPr>
                <c:marker>
                  <c:symbol val="circle"/>
                  <c:size val="5"/>
                  <c:spPr>
                    <a:solidFill>
                      <a:schemeClr val="accent4"/>
                    </a:solidFill>
                    <a:ln w="9525">
                      <a:solidFill>
                        <a:schemeClr val="accent4"/>
                      </a:solidFill>
                    </a:ln>
                    <a:effectLst/>
                  </c:spPr>
                </c:marker>
                <c:xVal>
                  <c:numRef>
                    <c:extLst xmlns:c15="http://schemas.microsoft.com/office/drawing/2012/chart">
                      <c:ext xmlns:c15="http://schemas.microsoft.com/office/drawing/2012/chart" uri="{02D57815-91ED-43cb-92C2-25804820EDAC}">
                        <c15:formulaRef>
                          <c15:sqref>'1 EF25 P80'!$L$13:$L$18</c15:sqref>
                        </c15:formulaRef>
                      </c:ext>
                    </c:extLst>
                    <c:numCache>
                      <c:formatCode>0.0E+00</c:formatCode>
                      <c:ptCount val="6"/>
                      <c:pt idx="0">
                        <c:v>39535.845954381759</c:v>
                      </c:pt>
                      <c:pt idx="1">
                        <c:v>34593.865210084034</c:v>
                      </c:pt>
                      <c:pt idx="2">
                        <c:v>29651.884465786316</c:v>
                      </c:pt>
                      <c:pt idx="3">
                        <c:v>23569.446626650657</c:v>
                      </c:pt>
                      <c:pt idx="4">
                        <c:v>19007.618247298917</c:v>
                      </c:pt>
                      <c:pt idx="5">
                        <c:v>12925.180408163264</c:v>
                      </c:pt>
                    </c:numCache>
                  </c:numRef>
                </c:xVal>
                <c:yVal>
                  <c:numRef>
                    <c:extLst xmlns:c15="http://schemas.microsoft.com/office/drawing/2012/chart">
                      <c:ext xmlns:c15="http://schemas.microsoft.com/office/drawing/2012/chart" uri="{02D57815-91ED-43cb-92C2-25804820EDAC}">
                        <c15:formulaRef>
                          <c15:sqref>'1 EF25 P80'!$Q$13:$Q$18</c15:sqref>
                        </c15:formulaRef>
                      </c:ext>
                    </c:extLst>
                    <c:numCache>
                      <c:formatCode>General</c:formatCode>
                      <c:ptCount val="6"/>
                      <c:pt idx="0" formatCode="0.00">
                        <c:v>1078627.0009999999</c:v>
                      </c:pt>
                      <c:pt idx="1">
                        <c:v>1069671.71</c:v>
                      </c:pt>
                      <c:pt idx="2" formatCode="0.00">
                        <c:v>1081288.3404999999</c:v>
                      </c:pt>
                      <c:pt idx="3" formatCode="0.00">
                        <c:v>1092811.9010000001</c:v>
                      </c:pt>
                      <c:pt idx="4" formatCode="0.00">
                        <c:v>1106837.3870000001</c:v>
                      </c:pt>
                      <c:pt idx="5">
                        <c:v>1138788.7294999999</c:v>
                      </c:pt>
                    </c:numCache>
                  </c:numRef>
                </c:yVal>
                <c:smooth val="0"/>
                <c:extLst xmlns:c15="http://schemas.microsoft.com/office/drawing/2012/chart">
                  <c:ext xmlns:c16="http://schemas.microsoft.com/office/drawing/2014/chart" uri="{C3380CC4-5D6E-409C-BE32-E72D297353CC}">
                    <c16:uniqueId val="{00000008-C5AB-42EA-81FE-9D3F6311E5D0}"/>
                  </c:ext>
                </c:extLst>
              </c15:ser>
            </c15:filteredScatterSeries>
            <c15:filteredScatterSeries>
              <c15:ser>
                <c:idx val="5"/>
                <c:order val="5"/>
                <c:tx>
                  <c:v>Elongation Unloading</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1"/>
                  <c:dispEq val="1"/>
                  <c:trendlineLbl>
                    <c:layout>
                      <c:manualLayout>
                        <c:x val="-0.42601223288423129"/>
                        <c:y val="3.810721138849240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extLst xmlns:c15="http://schemas.microsoft.com/office/drawing/2012/chart">
                      <c:ext xmlns:c15="http://schemas.microsoft.com/office/drawing/2012/chart" uri="{02D57815-91ED-43cb-92C2-25804820EDAC}">
                        <c15:formulaRef>
                          <c15:sqref>'1 EF25 P80'!$L$13:$L$18</c15:sqref>
                        </c15:formulaRef>
                      </c:ext>
                    </c:extLst>
                    <c:numCache>
                      <c:formatCode>0.0E+00</c:formatCode>
                      <c:ptCount val="6"/>
                      <c:pt idx="0">
                        <c:v>39535.845954381759</c:v>
                      </c:pt>
                      <c:pt idx="1">
                        <c:v>34593.865210084034</c:v>
                      </c:pt>
                      <c:pt idx="2">
                        <c:v>29651.884465786316</c:v>
                      </c:pt>
                      <c:pt idx="3">
                        <c:v>23569.446626650657</c:v>
                      </c:pt>
                      <c:pt idx="4">
                        <c:v>19007.618247298917</c:v>
                      </c:pt>
                      <c:pt idx="5">
                        <c:v>12925.180408163264</c:v>
                      </c:pt>
                    </c:numCache>
                  </c:numRef>
                </c:xVal>
                <c:yVal>
                  <c:numRef>
                    <c:extLst xmlns:c15="http://schemas.microsoft.com/office/drawing/2012/chart">
                      <c:ext xmlns:c15="http://schemas.microsoft.com/office/drawing/2012/chart" uri="{02D57815-91ED-43cb-92C2-25804820EDAC}">
                        <c15:formulaRef>
                          <c15:sqref>'1 EF25 P80'!$S$13:$S$18</c15:sqref>
                        </c15:formulaRef>
                      </c:ext>
                    </c:extLst>
                    <c:numCache>
                      <c:formatCode>General</c:formatCode>
                      <c:ptCount val="6"/>
                      <c:pt idx="0" formatCode="0.00">
                        <c:v>43.066000000000003</c:v>
                      </c:pt>
                      <c:pt idx="1">
                        <c:v>42.662999999999997</c:v>
                      </c:pt>
                      <c:pt idx="2" formatCode="0.00">
                        <c:v>43.021000000000001</c:v>
                      </c:pt>
                      <c:pt idx="3" formatCode="0.00">
                        <c:v>42.613500000000002</c:v>
                      </c:pt>
                      <c:pt idx="4" formatCode="0.00">
                        <c:v>42.8125</c:v>
                      </c:pt>
                      <c:pt idx="5" formatCode="0.00">
                        <c:v>42.35</c:v>
                      </c:pt>
                    </c:numCache>
                  </c:numRef>
                </c:yVal>
                <c:smooth val="0"/>
                <c:extLst xmlns:c15="http://schemas.microsoft.com/office/drawing/2012/chart">
                  <c:ext xmlns:c16="http://schemas.microsoft.com/office/drawing/2014/chart" uri="{C3380CC4-5D6E-409C-BE32-E72D297353CC}">
                    <c16:uniqueId val="{00000003-C5AB-42EA-81FE-9D3F6311E5D0}"/>
                  </c:ext>
                </c:extLst>
              </c15:ser>
            </c15:filteredScatterSeries>
          </c:ext>
        </c:extLst>
      </c:scatterChart>
      <c:valAx>
        <c:axId val="11728483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8508735"/>
        <c:crosses val="autoZero"/>
        <c:crossBetween val="midCat"/>
      </c:valAx>
      <c:valAx>
        <c:axId val="1448508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Perimeter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84836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'2 EF25 P80'!$G$6:$G$12</c:f>
              <c:numCache>
                <c:formatCode>0.00</c:formatCode>
                <c:ptCount val="7"/>
                <c:pt idx="0">
                  <c:v>0</c:v>
                </c:pt>
                <c:pt idx="1">
                  <c:v>1.3041096921209383</c:v>
                </c:pt>
                <c:pt idx="2">
                  <c:v>2.5758309769868646</c:v>
                </c:pt>
                <c:pt idx="3">
                  <c:v>4.9382795061760012</c:v>
                </c:pt>
                <c:pt idx="4">
                  <c:v>6.8825365416901239</c:v>
                </c:pt>
                <c:pt idx="5">
                  <c:v>9.7174747767170864</c:v>
                </c:pt>
                <c:pt idx="6">
                  <c:v>12.379992373121782</c:v>
                </c:pt>
              </c:numCache>
            </c:numRef>
          </c:xVal>
          <c:yVal>
            <c:numRef>
              <c:f>'2 EF25 P80'!$K$6:$K$12</c:f>
              <c:numCache>
                <c:formatCode>0</c:formatCode>
                <c:ptCount val="7"/>
                <c:pt idx="0">
                  <c:v>0</c:v>
                </c:pt>
                <c:pt idx="1">
                  <c:v>1603.1677419354835</c:v>
                </c:pt>
                <c:pt idx="2">
                  <c:v>3062.8967741935485</c:v>
                </c:pt>
                <c:pt idx="3">
                  <c:v>5524.8580645161301</c:v>
                </c:pt>
                <c:pt idx="4">
                  <c:v>7475.854838709678</c:v>
                </c:pt>
                <c:pt idx="5">
                  <c:v>8670.4903225806484</c:v>
                </c:pt>
                <c:pt idx="6">
                  <c:v>8811.1709677419421</c:v>
                </c:pt>
              </c:numCache>
            </c:numRef>
          </c:yVal>
          <c:smooth val="0"/>
          <c:extLst>
            <c:ext xmlns:c16="http://schemas.microsoft.com/office/drawing/2014/chart" uri="{C3380CC4-5D6E-409C-BE32-E72D297353CC}">
              <c16:uniqueId val="{00000001-24EA-4F2A-A8D8-D364C49F7FFE}"/>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'2 EF25 P80'!$O$5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'2 EF25 P80'!$L$7:$L$12</c:f>
              <c:numCache>
                <c:formatCode>0.0E+00</c:formatCode>
                <c:ptCount val="6"/>
                <c:pt idx="0">
                  <c:v>17318.500681257199</c:v>
                </c:pt>
                <c:pt idx="1">
                  <c:v>24339.514470956063</c:v>
                </c:pt>
                <c:pt idx="2">
                  <c:v>33700.866190554545</c:v>
                </c:pt>
                <c:pt idx="3">
                  <c:v>39785.744808293559</c:v>
                </c:pt>
                <c:pt idx="4">
                  <c:v>47274.826183972349</c:v>
                </c:pt>
                <c:pt idx="5">
                  <c:v>53359.70480171137</c:v>
                </c:pt>
              </c:numCache>
            </c:numRef>
          </c:xVal>
          <c:yVal>
            <c:numRef>
              <c:f>'2 EF25 P80'!$O$7:$O$12</c:f>
              <c:numCache>
                <c:formatCode>0.000</c:formatCode>
                <c:ptCount val="6"/>
                <c:pt idx="0">
                  <c:v>1.1445516651751041E-2</c:v>
                </c:pt>
                <c:pt idx="1">
                  <c:v>1.1070967025205339E-2</c:v>
                </c:pt>
                <c:pt idx="2">
                  <c:v>1.041636084823749E-2</c:v>
                </c:pt>
                <c:pt idx="3">
                  <c:v>1.0113067187798083E-2</c:v>
                </c:pt>
                <c:pt idx="4">
                  <c:v>8.3073172149779311E-3</c:v>
                </c:pt>
                <c:pt idx="5">
                  <c:v>6.6264940071228112E-3</c:v>
                </c:pt>
              </c:numCache>
            </c:numRef>
          </c:yVal>
          <c:smooth val="0"/>
          <c:extLst>
            <c:ext xmlns:c16="http://schemas.microsoft.com/office/drawing/2014/chart" uri="{C3380CC4-5D6E-409C-BE32-E72D297353CC}">
              <c16:uniqueId val="{00000001-18B9-48ED-9AFA-9B8B88A68A32}"/>
            </c:ext>
          </c:extLst>
        </c:ser>
        <c:ser>
          <c:idx val="1"/>
          <c:order val="1"/>
          <c:tx>
            <c:strRef>
              <c:f>'2 EF25 P80'!$AA$5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P80'!$Z$7:$Z$31</c:f>
              <c:numCache>
                <c:formatCode>0.00000</c:formatCode>
                <c:ptCount val="25"/>
                <c:pt idx="0">
                  <c:v>1516.5377653447424</c:v>
                </c:pt>
                <c:pt idx="1">
                  <c:v>3033.0755306894848</c:v>
                </c:pt>
                <c:pt idx="2">
                  <c:v>4549.6132960342266</c:v>
                </c:pt>
                <c:pt idx="3">
                  <c:v>6066.1510613789696</c:v>
                </c:pt>
                <c:pt idx="4">
                  <c:v>7582.6888267237109</c:v>
                </c:pt>
                <c:pt idx="5">
                  <c:v>9099.2265920684531</c:v>
                </c:pt>
                <c:pt idx="6">
                  <c:v>10615.764357413194</c:v>
                </c:pt>
                <c:pt idx="7">
                  <c:v>12132.302122757939</c:v>
                </c:pt>
                <c:pt idx="8">
                  <c:v>13648.839888102679</c:v>
                </c:pt>
                <c:pt idx="9">
                  <c:v>15165.377653447422</c:v>
                </c:pt>
                <c:pt idx="10">
                  <c:v>16681.915418792163</c:v>
                </c:pt>
                <c:pt idx="11">
                  <c:v>18198.453184136906</c:v>
                </c:pt>
                <c:pt idx="12">
                  <c:v>19714.990949481649</c:v>
                </c:pt>
                <c:pt idx="13">
                  <c:v>21231.528714826389</c:v>
                </c:pt>
                <c:pt idx="14">
                  <c:v>22748.066480171135</c:v>
                </c:pt>
                <c:pt idx="15">
                  <c:v>24264.604245515879</c:v>
                </c:pt>
                <c:pt idx="16">
                  <c:v>25781.142010860618</c:v>
                </c:pt>
                <c:pt idx="17">
                  <c:v>27297.679776205357</c:v>
                </c:pt>
                <c:pt idx="18">
                  <c:v>28814.217541550101</c:v>
                </c:pt>
                <c:pt idx="19">
                  <c:v>30330.755306894844</c:v>
                </c:pt>
                <c:pt idx="20">
                  <c:v>31847.29307223959</c:v>
                </c:pt>
                <c:pt idx="21">
                  <c:v>33363.830837584326</c:v>
                </c:pt>
                <c:pt idx="22">
                  <c:v>34880.368602929069</c:v>
                </c:pt>
                <c:pt idx="23">
                  <c:v>36396.906368273812</c:v>
                </c:pt>
                <c:pt idx="24">
                  <c:v>37913.444133618555</c:v>
                </c:pt>
              </c:numCache>
            </c:numRef>
          </c:xVal>
          <c:yVal>
            <c:numRef>
              <c:f>'2 EF25 P80'!$AB$7:$AB$31</c:f>
              <c:numCache>
                <c:formatCode>0.00000</c:formatCode>
                <c:ptCount val="25"/>
                <c:pt idx="0">
                  <c:v>1.2675443859029677E-2</c:v>
                </c:pt>
                <c:pt idx="1">
                  <c:v>1.0658735302807766E-2</c:v>
                </c:pt>
                <c:pt idx="2">
                  <c:v>9.6312545755640831E-3</c:v>
                </c:pt>
                <c:pt idx="3">
                  <c:v>8.9628923072692657E-3</c:v>
                </c:pt>
                <c:pt idx="4">
                  <c:v>8.4765801919990235E-3</c:v>
                </c:pt>
                <c:pt idx="5">
                  <c:v>8.098887446987774E-3</c:v>
                </c:pt>
                <c:pt idx="6">
                  <c:v>7.7927127179303023E-3</c:v>
                </c:pt>
                <c:pt idx="7">
                  <c:v>7.5368640114878193E-3</c:v>
                </c:pt>
                <c:pt idx="8">
                  <c:v>7.3181709241087753E-3</c:v>
                </c:pt>
                <c:pt idx="9">
                  <c:v>7.1279258970626223E-3</c:v>
                </c:pt>
                <c:pt idx="10">
                  <c:v>6.9600923930964809E-3</c:v>
                </c:pt>
                <c:pt idx="11">
                  <c:v>6.8103254217153275E-3</c:v>
                </c:pt>
                <c:pt idx="12">
                  <c:v>6.6754006700640092E-3</c:v>
                </c:pt>
                <c:pt idx="13">
                  <c:v>6.5528641896096217E-3</c:v>
                </c:pt>
                <c:pt idx="14">
                  <c:v>6.4408081221682843E-3</c:v>
                </c:pt>
                <c:pt idx="15">
                  <c:v>6.3377219295148385E-3</c:v>
                </c:pt>
                <c:pt idx="16">
                  <c:v>6.2423906831845424E-3</c:v>
                </c:pt>
                <c:pt idx="17">
                  <c:v>6.1538236962970323E-3</c:v>
                </c:pt>
                <c:pt idx="18">
                  <c:v>6.07120329926594E-3</c:v>
                </c:pt>
                <c:pt idx="19">
                  <c:v>5.9938473350340769E-3</c:v>
                </c:pt>
                <c:pt idx="20">
                  <c:v>5.9211812111144568E-3</c:v>
                </c:pt>
                <c:pt idx="21">
                  <c:v>5.8527167431894778E-3</c:v>
                </c:pt>
                <c:pt idx="22">
                  <c:v>5.7880359122000173E-3</c:v>
                </c:pt>
                <c:pt idx="23">
                  <c:v>5.7267782338316607E-3</c:v>
                </c:pt>
                <c:pt idx="24">
                  <c:v>5.6686308227545234E-3</c:v>
                </c:pt>
              </c:numCache>
            </c:numRef>
          </c:yVal>
          <c:smooth val="0"/>
          <c:extLst>
            <c:ext xmlns:c16="http://schemas.microsoft.com/office/drawing/2014/chart" uri="{C3380CC4-5D6E-409C-BE32-E72D297353CC}">
              <c16:uniqueId val="{00000003-18B9-48ED-9AFA-9B8B88A68A32}"/>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2"/>
          <c:tx>
            <c:v>Perimeter Loading</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1"/>
            <c:dispEq val="1"/>
            <c:trendlineLbl>
              <c:layout>
                <c:manualLayout>
                  <c:x val="9.5822473841657943E-2"/>
                  <c:y val="9.473121741149642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P80'!$L$7:$L$12</c:f>
              <c:numCache>
                <c:formatCode>0.0E+00</c:formatCode>
                <c:ptCount val="6"/>
                <c:pt idx="0">
                  <c:v>17318.500681257199</c:v>
                </c:pt>
                <c:pt idx="1">
                  <c:v>24339.514470956063</c:v>
                </c:pt>
                <c:pt idx="2">
                  <c:v>33700.866190554545</c:v>
                </c:pt>
                <c:pt idx="3">
                  <c:v>39785.744808293559</c:v>
                </c:pt>
                <c:pt idx="4">
                  <c:v>47274.826183972349</c:v>
                </c:pt>
                <c:pt idx="5">
                  <c:v>53359.70480171137</c:v>
                </c:pt>
              </c:numCache>
            </c:numRef>
          </c:xVal>
          <c:yVal>
            <c:numRef>
              <c:f>'2 EF25 P80'!$R$7:$R$12</c:f>
              <c:numCache>
                <c:formatCode>0.00</c:formatCode>
                <c:ptCount val="6"/>
                <c:pt idx="0">
                  <c:v>23327.078666666668</c:v>
                </c:pt>
                <c:pt idx="1">
                  <c:v>23418.409666666663</c:v>
                </c:pt>
                <c:pt idx="2">
                  <c:v>23494.981333333333</c:v>
                </c:pt>
                <c:pt idx="3">
                  <c:v>23225.183666666668</c:v>
                </c:pt>
                <c:pt idx="4">
                  <c:v>23470.997000000003</c:v>
                </c:pt>
                <c:pt idx="5">
                  <c:v>23484.244333333336</c:v>
                </c:pt>
              </c:numCache>
            </c:numRef>
          </c:yVal>
          <c:smooth val="0"/>
          <c:extLst>
            <c:ext xmlns:c16="http://schemas.microsoft.com/office/drawing/2014/chart" uri="{C3380CC4-5D6E-409C-BE32-E72D297353CC}">
              <c16:uniqueId val="{00000004-1D47-49AE-ABAB-51AE49F2C6E1}"/>
            </c:ext>
          </c:extLst>
        </c:ser>
        <c:ser>
          <c:idx val="3"/>
          <c:order val="3"/>
          <c:tx>
            <c:v>Perimeter Unloading</c:v>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poly"/>
            <c:order val="2"/>
            <c:dispRSqr val="1"/>
            <c:dispEq val="1"/>
            <c:trendlineLbl>
              <c:layout>
                <c:manualLayout>
                  <c:x val="0.11184060519551101"/>
                  <c:y val="-0.2499324481222688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P80'!$L$13:$L$18</c:f>
              <c:numCache>
                <c:formatCode>0.0E+00</c:formatCode>
                <c:ptCount val="6"/>
                <c:pt idx="0">
                  <c:v>53359.70480171137</c:v>
                </c:pt>
                <c:pt idx="1">
                  <c:v>45402.555840052657</c:v>
                </c:pt>
                <c:pt idx="2">
                  <c:v>40253.812394273489</c:v>
                </c:pt>
                <c:pt idx="3">
                  <c:v>32296.663432614776</c:v>
                </c:pt>
                <c:pt idx="4">
                  <c:v>24339.514470956063</c:v>
                </c:pt>
                <c:pt idx="5">
                  <c:v>18254.635853217045</c:v>
                </c:pt>
              </c:numCache>
            </c:numRef>
          </c:xVal>
          <c:yVal>
            <c:numRef>
              <c:f>'2 EF25 P80'!$R$13:$R$18</c:f>
              <c:numCache>
                <c:formatCode>0.00</c:formatCode>
                <c:ptCount val="6"/>
                <c:pt idx="0">
                  <c:v>23484.244333333336</c:v>
                </c:pt>
                <c:pt idx="1">
                  <c:v>23778.144</c:v>
                </c:pt>
                <c:pt idx="2" formatCode="General">
                  <c:v>23871.789333333334</c:v>
                </c:pt>
                <c:pt idx="3" formatCode="General">
                  <c:v>23740.222666666668</c:v>
                </c:pt>
                <c:pt idx="4" formatCode="General">
                  <c:v>23614.298333333329</c:v>
                </c:pt>
                <c:pt idx="5" formatCode="General">
                  <c:v>23619.704333333331</c:v>
                </c:pt>
              </c:numCache>
            </c:numRef>
          </c:yVal>
          <c:smooth val="0"/>
          <c:extLst>
            <c:ext xmlns:c16="http://schemas.microsoft.com/office/drawing/2014/chart" uri="{C3380CC4-5D6E-409C-BE32-E72D297353CC}">
              <c16:uniqueId val="{00000005-1D47-49AE-ABAB-51AE49F2C6E1}"/>
            </c:ext>
          </c:extLst>
        </c:ser>
        <c:dLbls>
          <c:showLegendKey val="0"/>
          <c:showVal val="0"/>
          <c:showCatName val="0"/>
          <c:showSerName val="0"/>
          <c:showPercent val="0"/>
          <c:showBubbleSize val="0"/>
        </c:dLbls>
        <c:axId val="1172848367"/>
        <c:axId val="1448508735"/>
        <c:extLst>
          <c:ext xmlns:c15="http://schemas.microsoft.com/office/drawing/2012/chart" uri="{02D57815-91ED-43cb-92C2-25804820EDAC}">
            <c15:filteredScatterSeries>
              <c15:ser>
                <c:idx val="0"/>
                <c:order val="0"/>
                <c:tx>
                  <c:v>Area Loading</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1"/>
                  <c:dispEq val="1"/>
                  <c:trendlineLbl>
                    <c:layout>
                      <c:manualLayout>
                        <c:x val="9.2367549474189972E-2"/>
                        <c:y val="5.9392160850742365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extLst>
                      <c:ext uri="{02D57815-91ED-43cb-92C2-25804820EDAC}">
                        <c15:formulaRef>
                          <c15:sqref>'2 EF25 P80'!$L$7:$L$12</c15:sqref>
                        </c15:formulaRef>
                      </c:ext>
                    </c:extLst>
                    <c:numCache>
                      <c:formatCode>0.0E+00</c:formatCode>
                      <c:ptCount val="6"/>
                      <c:pt idx="0">
                        <c:v>17318.500681257199</c:v>
                      </c:pt>
                      <c:pt idx="1">
                        <c:v>24339.514470956063</c:v>
                      </c:pt>
                      <c:pt idx="2">
                        <c:v>33700.866190554545</c:v>
                      </c:pt>
                      <c:pt idx="3">
                        <c:v>39785.744808293559</c:v>
                      </c:pt>
                      <c:pt idx="4">
                        <c:v>47274.826183972349</c:v>
                      </c:pt>
                      <c:pt idx="5">
                        <c:v>53359.70480171137</c:v>
                      </c:pt>
                    </c:numCache>
                  </c:numRef>
                </c:xVal>
                <c:yVal>
                  <c:numRef>
                    <c:extLst>
                      <c:ext uri="{02D57815-91ED-43cb-92C2-25804820EDAC}">
                        <c15:formulaRef>
                          <c15:sqref>'2 EF25 P80'!$Q$7:$Q$12</c15:sqref>
                        </c15:formulaRef>
                      </c:ext>
                    </c:extLst>
                    <c:numCache>
                      <c:formatCode>0.00</c:formatCode>
                      <c:ptCount val="6"/>
                      <c:pt idx="0">
                        <c:v>1038518.9939999999</c:v>
                      </c:pt>
                      <c:pt idx="1">
                        <c:v>1067987.2073333336</c:v>
                      </c:pt>
                      <c:pt idx="2">
                        <c:v>1085521.0760000001</c:v>
                      </c:pt>
                      <c:pt idx="3">
                        <c:v>1085521.0760000001</c:v>
                      </c:pt>
                      <c:pt idx="4">
                        <c:v>1084549.2170000002</c:v>
                      </c:pt>
                      <c:pt idx="5">
                        <c:v>1073103.4263333334</c:v>
                      </c:pt>
                    </c:numCache>
                  </c:numRef>
                </c:yVal>
                <c:smooth val="0"/>
                <c:extLst>
                  <c:ext xmlns:c16="http://schemas.microsoft.com/office/drawing/2014/chart" uri="{C3380CC4-5D6E-409C-BE32-E72D297353CC}">
                    <c16:uniqueId val="{00000001-1D47-49AE-ABAB-51AE49F2C6E1}"/>
                  </c:ext>
                </c:extLst>
              </c15:ser>
            </c15:filteredScatterSeries>
            <c15:filteredScatterSeries>
              <c15:ser>
                <c:idx val="1"/>
                <c:order val="1"/>
                <c:tx>
                  <c:v>Area Unloading</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1"/>
                  <c:dispEq val="1"/>
                  <c:trendlineLbl>
                    <c:layout>
                      <c:manualLayout>
                        <c:x val="8.5779574329878941E-2"/>
                        <c:y val="-0.254822537488080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extLst xmlns:c15="http://schemas.microsoft.com/office/drawing/2012/chart">
                      <c:ext xmlns:c15="http://schemas.microsoft.com/office/drawing/2012/chart" uri="{02D57815-91ED-43cb-92C2-25804820EDAC}">
                        <c15:formulaRef>
                          <c15:sqref>'2 EF25 P80'!$L$13:$L$18</c15:sqref>
                        </c15:formulaRef>
                      </c:ext>
                    </c:extLst>
                    <c:numCache>
                      <c:formatCode>0.0E+00</c:formatCode>
                      <c:ptCount val="6"/>
                      <c:pt idx="0">
                        <c:v>53359.70480171137</c:v>
                      </c:pt>
                      <c:pt idx="1">
                        <c:v>45402.555840052657</c:v>
                      </c:pt>
                      <c:pt idx="2">
                        <c:v>40253.812394273489</c:v>
                      </c:pt>
                      <c:pt idx="3">
                        <c:v>32296.663432614776</c:v>
                      </c:pt>
                      <c:pt idx="4">
                        <c:v>24339.514470956063</c:v>
                      </c:pt>
                      <c:pt idx="5">
                        <c:v>18254.635853217045</c:v>
                      </c:pt>
                    </c:numCache>
                  </c:numRef>
                </c:xVal>
                <c:yVal>
                  <c:numRef>
                    <c:extLst xmlns:c15="http://schemas.microsoft.com/office/drawing/2012/chart">
                      <c:ext xmlns:c15="http://schemas.microsoft.com/office/drawing/2012/chart" uri="{02D57815-91ED-43cb-92C2-25804820EDAC}">
                        <c15:formulaRef>
                          <c15:sqref>'2 EF25 P80'!$Q$13:$Q$18</c15:sqref>
                        </c15:formulaRef>
                      </c:ext>
                    </c:extLst>
                    <c:numCache>
                      <c:formatCode>0.00</c:formatCode>
                      <c:ptCount val="6"/>
                      <c:pt idx="0">
                        <c:v>1073103.4263333334</c:v>
                      </c:pt>
                      <c:pt idx="1">
                        <c:v>1085266.2193333334</c:v>
                      </c:pt>
                      <c:pt idx="2" formatCode="General">
                        <c:v>1097526.3736666667</c:v>
                      </c:pt>
                      <c:pt idx="3" formatCode="General">
                        <c:v>1080459.9006666667</c:v>
                      </c:pt>
                      <c:pt idx="4" formatCode="General">
                        <c:v>1089783.3190000001</c:v>
                      </c:pt>
                      <c:pt idx="5" formatCode="General">
                        <c:v>1096937.1169999999</c:v>
                      </c:pt>
                    </c:numCache>
                  </c:numRef>
                </c:yVal>
                <c:smooth val="0"/>
                <c:extLst xmlns:c15="http://schemas.microsoft.com/office/drawing/2012/chart">
                  <c:ext xmlns:c16="http://schemas.microsoft.com/office/drawing/2014/chart" uri="{C3380CC4-5D6E-409C-BE32-E72D297353CC}">
                    <c16:uniqueId val="{00000003-1D47-49AE-ABAB-51AE49F2C6E1}"/>
                  </c:ext>
                </c:extLst>
              </c15:ser>
            </c15:filteredScatterSeries>
          </c:ext>
        </c:extLst>
      </c:scatterChart>
      <c:valAx>
        <c:axId val="11728483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8508735"/>
        <c:crosses val="autoZero"/>
        <c:crossBetween val="midCat"/>
      </c:valAx>
      <c:valAx>
        <c:axId val="1448508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Perimeter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84836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4"/>
          <c:order val="4"/>
          <c:tx>
            <c:v>Elongation Loading</c:v>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poly"/>
            <c:order val="2"/>
            <c:dispRSqr val="1"/>
            <c:dispEq val="1"/>
            <c:trendlineLbl>
              <c:layout>
                <c:manualLayout>
                  <c:x val="9.5388380790198526E-2"/>
                  <c:y val="-0.273197514467318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P80'!$L$7:$L$12</c:f>
              <c:numCache>
                <c:formatCode>0.0E+00</c:formatCode>
                <c:ptCount val="6"/>
                <c:pt idx="0">
                  <c:v>17318.500681257199</c:v>
                </c:pt>
                <c:pt idx="1">
                  <c:v>24339.514470956063</c:v>
                </c:pt>
                <c:pt idx="2">
                  <c:v>33700.866190554545</c:v>
                </c:pt>
                <c:pt idx="3">
                  <c:v>39785.744808293559</c:v>
                </c:pt>
                <c:pt idx="4">
                  <c:v>47274.826183972349</c:v>
                </c:pt>
                <c:pt idx="5">
                  <c:v>53359.70480171137</c:v>
                </c:pt>
              </c:numCache>
            </c:numRef>
          </c:xVal>
          <c:yVal>
            <c:numRef>
              <c:f>'2 EF25 P80'!$S$7:$S$12</c:f>
              <c:numCache>
                <c:formatCode>0.00</c:formatCode>
                <c:ptCount val="6"/>
                <c:pt idx="0">
                  <c:v>39.871999999999993</c:v>
                </c:pt>
                <c:pt idx="1">
                  <c:v>40.043999999999997</c:v>
                </c:pt>
                <c:pt idx="2">
                  <c:v>40.75866666666667</c:v>
                </c:pt>
                <c:pt idx="3">
                  <c:v>39.978333333333332</c:v>
                </c:pt>
                <c:pt idx="4">
                  <c:v>40.042999999999999</c:v>
                </c:pt>
                <c:pt idx="5">
                  <c:v>38.918666666666667</c:v>
                </c:pt>
              </c:numCache>
            </c:numRef>
          </c:yVal>
          <c:smooth val="0"/>
          <c:extLst>
            <c:ext xmlns:c16="http://schemas.microsoft.com/office/drawing/2014/chart" uri="{C3380CC4-5D6E-409C-BE32-E72D297353CC}">
              <c16:uniqueId val="{00000008-579F-4589-95D6-5A47ACB5AB14}"/>
            </c:ext>
          </c:extLst>
        </c:ser>
        <c:ser>
          <c:idx val="5"/>
          <c:order val="5"/>
          <c:tx>
            <c:v>Elongation Unloading</c:v>
          </c:tx>
          <c:spPr>
            <a:ln w="25400" cap="rnd">
              <a:noFill/>
              <a:round/>
            </a:ln>
            <a:effectLst/>
          </c:spPr>
          <c:marker>
            <c:symbol val="circle"/>
            <c:size val="5"/>
            <c:spPr>
              <a:solidFill>
                <a:schemeClr val="accent6"/>
              </a:solidFill>
              <a:ln w="9525">
                <a:solidFill>
                  <a:schemeClr val="accent6"/>
                </a:solidFill>
              </a:ln>
              <a:effectLst/>
            </c:spPr>
          </c:marker>
          <c:trendline>
            <c:spPr>
              <a:ln w="19050" cap="rnd">
                <a:solidFill>
                  <a:schemeClr val="accent6"/>
                </a:solidFill>
                <a:prstDash val="sysDot"/>
              </a:ln>
              <a:effectLst/>
            </c:spPr>
            <c:trendlineType val="poly"/>
            <c:order val="2"/>
            <c:dispRSqr val="1"/>
            <c:dispEq val="1"/>
            <c:trendlineLbl>
              <c:layout>
                <c:manualLayout>
                  <c:x val="0.1039199008510267"/>
                  <c:y val="0.15042057995762578"/>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P80'!$L$13:$L$18</c:f>
              <c:numCache>
                <c:formatCode>0.0E+00</c:formatCode>
                <c:ptCount val="6"/>
                <c:pt idx="0">
                  <c:v>53359.70480171137</c:v>
                </c:pt>
                <c:pt idx="1">
                  <c:v>45402.555840052657</c:v>
                </c:pt>
                <c:pt idx="2">
                  <c:v>40253.812394273489</c:v>
                </c:pt>
                <c:pt idx="3">
                  <c:v>32296.663432614776</c:v>
                </c:pt>
                <c:pt idx="4">
                  <c:v>24339.514470956063</c:v>
                </c:pt>
                <c:pt idx="5">
                  <c:v>18254.635853217045</c:v>
                </c:pt>
              </c:numCache>
            </c:numRef>
          </c:xVal>
          <c:yVal>
            <c:numRef>
              <c:f>'2 EF25 P80'!$S$13:$S$18</c:f>
              <c:numCache>
                <c:formatCode>0.00</c:formatCode>
                <c:ptCount val="6"/>
                <c:pt idx="0">
                  <c:v>38.918666666666667</c:v>
                </c:pt>
                <c:pt idx="1">
                  <c:v>38.503333333333337</c:v>
                </c:pt>
                <c:pt idx="2" formatCode="General">
                  <c:v>37.947666666666663</c:v>
                </c:pt>
                <c:pt idx="3" formatCode="General">
                  <c:v>38.412000000000006</c:v>
                </c:pt>
                <c:pt idx="4" formatCode="General">
                  <c:v>38.678666666666665</c:v>
                </c:pt>
                <c:pt idx="5" formatCode="General">
                  <c:v>38.551000000000009</c:v>
                </c:pt>
              </c:numCache>
            </c:numRef>
          </c:yVal>
          <c:smooth val="0"/>
          <c:extLst>
            <c:ext xmlns:c16="http://schemas.microsoft.com/office/drawing/2014/chart" uri="{C3380CC4-5D6E-409C-BE32-E72D297353CC}">
              <c16:uniqueId val="{00000009-579F-4589-95D6-5A47ACB5AB14}"/>
            </c:ext>
          </c:extLst>
        </c:ser>
        <c:dLbls>
          <c:showLegendKey val="0"/>
          <c:showVal val="0"/>
          <c:showCatName val="0"/>
          <c:showSerName val="0"/>
          <c:showPercent val="0"/>
          <c:showBubbleSize val="0"/>
        </c:dLbls>
        <c:axId val="1172848367"/>
        <c:axId val="1448508735"/>
        <c:extLst>
          <c:ext xmlns:c15="http://schemas.microsoft.com/office/drawing/2012/chart" uri="{02D57815-91ED-43cb-92C2-25804820EDAC}">
            <c15:filteredScatterSeries>
              <c15:ser>
                <c:idx val="0"/>
                <c:order val="0"/>
                <c:tx>
                  <c:v>Area Loading</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1"/>
                  <c:dispEq val="1"/>
                  <c:trendlineLbl>
                    <c:layout>
                      <c:manualLayout>
                        <c:x val="9.2367549474189972E-2"/>
                        <c:y val="5.9392160850742365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extLst>
                      <c:ext uri="{02D57815-91ED-43cb-92C2-25804820EDAC}">
                        <c15:formulaRef>
                          <c15:sqref>'2 EF25 P80'!$L$7:$L$12</c15:sqref>
                        </c15:formulaRef>
                      </c:ext>
                    </c:extLst>
                    <c:numCache>
                      <c:formatCode>0.0E+00</c:formatCode>
                      <c:ptCount val="6"/>
                      <c:pt idx="0">
                        <c:v>17318.500681257199</c:v>
                      </c:pt>
                      <c:pt idx="1">
                        <c:v>24339.514470956063</c:v>
                      </c:pt>
                      <c:pt idx="2">
                        <c:v>33700.866190554545</c:v>
                      </c:pt>
                      <c:pt idx="3">
                        <c:v>39785.744808293559</c:v>
                      </c:pt>
                      <c:pt idx="4">
                        <c:v>47274.826183972349</c:v>
                      </c:pt>
                      <c:pt idx="5">
                        <c:v>53359.70480171137</c:v>
                      </c:pt>
                    </c:numCache>
                  </c:numRef>
                </c:xVal>
                <c:yVal>
                  <c:numRef>
                    <c:extLst>
                      <c:ext uri="{02D57815-91ED-43cb-92C2-25804820EDAC}">
                        <c15:formulaRef>
                          <c15:sqref>'2 EF25 P80'!$Q$7:$Q$12</c15:sqref>
                        </c15:formulaRef>
                      </c:ext>
                    </c:extLst>
                    <c:numCache>
                      <c:formatCode>0.00</c:formatCode>
                      <c:ptCount val="6"/>
                      <c:pt idx="0">
                        <c:v>1038518.9939999999</c:v>
                      </c:pt>
                      <c:pt idx="1">
                        <c:v>1067987.2073333336</c:v>
                      </c:pt>
                      <c:pt idx="2">
                        <c:v>1085521.0760000001</c:v>
                      </c:pt>
                      <c:pt idx="3">
                        <c:v>1085521.0760000001</c:v>
                      </c:pt>
                      <c:pt idx="4">
                        <c:v>1084549.2170000002</c:v>
                      </c:pt>
                      <c:pt idx="5">
                        <c:v>1073103.4263333334</c:v>
                      </c:pt>
                    </c:numCache>
                  </c:numRef>
                </c:yVal>
                <c:smooth val="0"/>
                <c:extLst>
                  <c:ext xmlns:c16="http://schemas.microsoft.com/office/drawing/2014/chart" uri="{C3380CC4-5D6E-409C-BE32-E72D297353CC}">
                    <c16:uniqueId val="{00000005-579F-4589-95D6-5A47ACB5AB14}"/>
                  </c:ext>
                </c:extLst>
              </c15:ser>
            </c15:filteredScatterSeries>
            <c15:filteredScatterSeries>
              <c15:ser>
                <c:idx val="1"/>
                <c:order val="1"/>
                <c:tx>
                  <c:v>Area Unloading</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1"/>
                  <c:dispEq val="1"/>
                  <c:trendlineLbl>
                    <c:layout>
                      <c:manualLayout>
                        <c:x val="8.5779574329878941E-2"/>
                        <c:y val="-0.254822537488080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extLst xmlns:c15="http://schemas.microsoft.com/office/drawing/2012/chart">
                      <c:ext xmlns:c15="http://schemas.microsoft.com/office/drawing/2012/chart" uri="{02D57815-91ED-43cb-92C2-25804820EDAC}">
                        <c15:formulaRef>
                          <c15:sqref>'2 EF25 P80'!$L$13:$L$18</c15:sqref>
                        </c15:formulaRef>
                      </c:ext>
                    </c:extLst>
                    <c:numCache>
                      <c:formatCode>0.0E+00</c:formatCode>
                      <c:ptCount val="6"/>
                      <c:pt idx="0">
                        <c:v>53359.70480171137</c:v>
                      </c:pt>
                      <c:pt idx="1">
                        <c:v>45402.555840052657</c:v>
                      </c:pt>
                      <c:pt idx="2">
                        <c:v>40253.812394273489</c:v>
                      </c:pt>
                      <c:pt idx="3">
                        <c:v>32296.663432614776</c:v>
                      </c:pt>
                      <c:pt idx="4">
                        <c:v>24339.514470956063</c:v>
                      </c:pt>
                      <c:pt idx="5">
                        <c:v>18254.635853217045</c:v>
                      </c:pt>
                    </c:numCache>
                  </c:numRef>
                </c:xVal>
                <c:yVal>
                  <c:numRef>
                    <c:extLst xmlns:c15="http://schemas.microsoft.com/office/drawing/2012/chart">
                      <c:ext xmlns:c15="http://schemas.microsoft.com/office/drawing/2012/chart" uri="{02D57815-91ED-43cb-92C2-25804820EDAC}">
                        <c15:formulaRef>
                          <c15:sqref>'2 EF25 P80'!$Q$13:$Q$18</c15:sqref>
                        </c15:formulaRef>
                      </c:ext>
                    </c:extLst>
                    <c:numCache>
                      <c:formatCode>0.00</c:formatCode>
                      <c:ptCount val="6"/>
                      <c:pt idx="0">
                        <c:v>1073103.4263333334</c:v>
                      </c:pt>
                      <c:pt idx="1">
                        <c:v>1085266.2193333334</c:v>
                      </c:pt>
                      <c:pt idx="2" formatCode="General">
                        <c:v>1097526.3736666667</c:v>
                      </c:pt>
                      <c:pt idx="3" formatCode="General">
                        <c:v>1080459.9006666667</c:v>
                      </c:pt>
                      <c:pt idx="4" formatCode="General">
                        <c:v>1089783.3190000001</c:v>
                      </c:pt>
                      <c:pt idx="5" formatCode="General">
                        <c:v>1096937.1169999999</c:v>
                      </c:pt>
                    </c:numCache>
                  </c:numRef>
                </c:yVal>
                <c:smooth val="0"/>
                <c:extLst xmlns:c15="http://schemas.microsoft.com/office/drawing/2012/chart">
                  <c:ext xmlns:c16="http://schemas.microsoft.com/office/drawing/2014/chart" uri="{C3380CC4-5D6E-409C-BE32-E72D297353CC}">
                    <c16:uniqueId val="{00000007-579F-4589-95D6-5A47ACB5AB14}"/>
                  </c:ext>
                </c:extLst>
              </c15:ser>
            </c15:filteredScatterSeries>
            <c15:filteredScatterSeries>
              <c15:ser>
                <c:idx val="2"/>
                <c:order val="2"/>
                <c:tx>
                  <c:v>Perimeter Loading</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1"/>
                  <c:dispEq val="1"/>
                  <c:trendlineLbl>
                    <c:layout>
                      <c:manualLayout>
                        <c:x val="9.5822473841657943E-2"/>
                        <c:y val="9.4731217411496427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extLst xmlns:c15="http://schemas.microsoft.com/office/drawing/2012/chart">
                      <c:ext xmlns:c15="http://schemas.microsoft.com/office/drawing/2012/chart" uri="{02D57815-91ED-43cb-92C2-25804820EDAC}">
                        <c15:formulaRef>
                          <c15:sqref>'2 EF25 P80'!$L$7:$L$12</c15:sqref>
                        </c15:formulaRef>
                      </c:ext>
                    </c:extLst>
                    <c:numCache>
                      <c:formatCode>0.0E+00</c:formatCode>
                      <c:ptCount val="6"/>
                      <c:pt idx="0">
                        <c:v>17318.500681257199</c:v>
                      </c:pt>
                      <c:pt idx="1">
                        <c:v>24339.514470956063</c:v>
                      </c:pt>
                      <c:pt idx="2">
                        <c:v>33700.866190554545</c:v>
                      </c:pt>
                      <c:pt idx="3">
                        <c:v>39785.744808293559</c:v>
                      </c:pt>
                      <c:pt idx="4">
                        <c:v>47274.826183972349</c:v>
                      </c:pt>
                      <c:pt idx="5">
                        <c:v>53359.70480171137</c:v>
                      </c:pt>
                    </c:numCache>
                  </c:numRef>
                </c:xVal>
                <c:yVal>
                  <c:numRef>
                    <c:extLst xmlns:c15="http://schemas.microsoft.com/office/drawing/2012/chart">
                      <c:ext xmlns:c15="http://schemas.microsoft.com/office/drawing/2012/chart" uri="{02D57815-91ED-43cb-92C2-25804820EDAC}">
                        <c15:formulaRef>
                          <c15:sqref>'2 EF25 P80'!$R$7:$R$12</c15:sqref>
                        </c15:formulaRef>
                      </c:ext>
                    </c:extLst>
                    <c:numCache>
                      <c:formatCode>0.00</c:formatCode>
                      <c:ptCount val="6"/>
                      <c:pt idx="0">
                        <c:v>23327.078666666668</c:v>
                      </c:pt>
                      <c:pt idx="1">
                        <c:v>23418.409666666663</c:v>
                      </c:pt>
                      <c:pt idx="2">
                        <c:v>23494.981333333333</c:v>
                      </c:pt>
                      <c:pt idx="3">
                        <c:v>23225.183666666668</c:v>
                      </c:pt>
                      <c:pt idx="4">
                        <c:v>23470.997000000003</c:v>
                      </c:pt>
                      <c:pt idx="5">
                        <c:v>23484.244333333336</c:v>
                      </c:pt>
                    </c:numCache>
                  </c:numRef>
                </c:yVal>
                <c:smooth val="0"/>
                <c:extLst xmlns:c15="http://schemas.microsoft.com/office/drawing/2012/chart">
                  <c:ext xmlns:c16="http://schemas.microsoft.com/office/drawing/2014/chart" uri="{C3380CC4-5D6E-409C-BE32-E72D297353CC}">
                    <c16:uniqueId val="{00000001-579F-4589-95D6-5A47ACB5AB14}"/>
                  </c:ext>
                </c:extLst>
              </c15:ser>
            </c15:filteredScatterSeries>
            <c15:filteredScatterSeries>
              <c15:ser>
                <c:idx val="3"/>
                <c:order val="3"/>
                <c:tx>
                  <c:v>Perimeter Unloading</c:v>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poly"/>
                  <c:order val="2"/>
                  <c:dispRSqr val="1"/>
                  <c:dispEq val="1"/>
                  <c:trendlineLbl>
                    <c:layout>
                      <c:manualLayout>
                        <c:x val="0.11184060519551101"/>
                        <c:y val="-0.2499324481222688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extLst xmlns:c15="http://schemas.microsoft.com/office/drawing/2012/chart">
                      <c:ext xmlns:c15="http://schemas.microsoft.com/office/drawing/2012/chart" uri="{02D57815-91ED-43cb-92C2-25804820EDAC}">
                        <c15:formulaRef>
                          <c15:sqref>'2 EF25 P80'!$L$13:$L$18</c15:sqref>
                        </c15:formulaRef>
                      </c:ext>
                    </c:extLst>
                    <c:numCache>
                      <c:formatCode>0.0E+00</c:formatCode>
                      <c:ptCount val="6"/>
                      <c:pt idx="0">
                        <c:v>53359.70480171137</c:v>
                      </c:pt>
                      <c:pt idx="1">
                        <c:v>45402.555840052657</c:v>
                      </c:pt>
                      <c:pt idx="2">
                        <c:v>40253.812394273489</c:v>
                      </c:pt>
                      <c:pt idx="3">
                        <c:v>32296.663432614776</c:v>
                      </c:pt>
                      <c:pt idx="4">
                        <c:v>24339.514470956063</c:v>
                      </c:pt>
                      <c:pt idx="5">
                        <c:v>18254.635853217045</c:v>
                      </c:pt>
                    </c:numCache>
                  </c:numRef>
                </c:xVal>
                <c:yVal>
                  <c:numRef>
                    <c:extLst xmlns:c15="http://schemas.microsoft.com/office/drawing/2012/chart">
                      <c:ext xmlns:c15="http://schemas.microsoft.com/office/drawing/2012/chart" uri="{02D57815-91ED-43cb-92C2-25804820EDAC}">
                        <c15:formulaRef>
                          <c15:sqref>'2 EF25 P80'!$R$13:$R$18</c15:sqref>
                        </c15:formulaRef>
                      </c:ext>
                    </c:extLst>
                    <c:numCache>
                      <c:formatCode>0.00</c:formatCode>
                      <c:ptCount val="6"/>
                      <c:pt idx="0">
                        <c:v>23484.244333333336</c:v>
                      </c:pt>
                      <c:pt idx="1">
                        <c:v>23778.144</c:v>
                      </c:pt>
                      <c:pt idx="2" formatCode="General">
                        <c:v>23871.789333333334</c:v>
                      </c:pt>
                      <c:pt idx="3" formatCode="General">
                        <c:v>23740.222666666668</c:v>
                      </c:pt>
                      <c:pt idx="4" formatCode="General">
                        <c:v>23614.298333333329</c:v>
                      </c:pt>
                      <c:pt idx="5" formatCode="General">
                        <c:v>23619.704333333331</c:v>
                      </c:pt>
                    </c:numCache>
                  </c:numRef>
                </c:yVal>
                <c:smooth val="0"/>
                <c:extLst xmlns:c15="http://schemas.microsoft.com/office/drawing/2012/chart">
                  <c:ext xmlns:c16="http://schemas.microsoft.com/office/drawing/2014/chart" uri="{C3380CC4-5D6E-409C-BE32-E72D297353CC}">
                    <c16:uniqueId val="{00000003-579F-4589-95D6-5A47ACB5AB14}"/>
                  </c:ext>
                </c:extLst>
              </c15:ser>
            </c15:filteredScatterSeries>
          </c:ext>
        </c:extLst>
      </c:scatterChart>
      <c:valAx>
        <c:axId val="11728483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8508735"/>
        <c:crosses val="autoZero"/>
        <c:crossBetween val="midCat"/>
      </c:valAx>
      <c:valAx>
        <c:axId val="1448508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Elongation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84836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'3 EF25 P80'!$G$6:$G$12</c:f>
              <c:numCache>
                <c:formatCode>0.00</c:formatCode>
                <c:ptCount val="7"/>
                <c:pt idx="0">
                  <c:v>0</c:v>
                </c:pt>
                <c:pt idx="1">
                  <c:v>1.1704474799090971</c:v>
                </c:pt>
                <c:pt idx="2">
                  <c:v>2.4930787811650306</c:v>
                </c:pt>
                <c:pt idx="3">
                  <c:v>4.070489738383646</c:v>
                </c:pt>
                <c:pt idx="4">
                  <c:v>6.0326350754116795</c:v>
                </c:pt>
                <c:pt idx="5">
                  <c:v>8.8950588611937533</c:v>
                </c:pt>
                <c:pt idx="6">
                  <c:v>11.504412921590076</c:v>
                </c:pt>
              </c:numCache>
            </c:numRef>
          </c:xVal>
          <c:yVal>
            <c:numRef>
              <c:f>'3 EF25 P80'!$K$6:$K$12</c:f>
              <c:numCache>
                <c:formatCode>0</c:formatCode>
                <c:ptCount val="7"/>
                <c:pt idx="0">
                  <c:v>0</c:v>
                </c:pt>
                <c:pt idx="1">
                  <c:v>1242.9354838709673</c:v>
                </c:pt>
                <c:pt idx="2">
                  <c:v>2583.9032258064526</c:v>
                </c:pt>
                <c:pt idx="3">
                  <c:v>4110.9999999999982</c:v>
                </c:pt>
                <c:pt idx="4">
                  <c:v>6073.2580645161288</c:v>
                </c:pt>
                <c:pt idx="5">
                  <c:v>8783.5806451612934</c:v>
                </c:pt>
                <c:pt idx="6">
                  <c:v>9633.9032258064526</c:v>
                </c:pt>
              </c:numCache>
            </c:numRef>
          </c:yVal>
          <c:smooth val="0"/>
          <c:extLst>
            <c:ext xmlns:c16="http://schemas.microsoft.com/office/drawing/2014/chart" uri="{C3380CC4-5D6E-409C-BE32-E72D297353CC}">
              <c16:uniqueId val="{00000001-4676-4803-AFF5-FF91AA2D398D}"/>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P240 Rigid Perimeter</c:v>
          </c:tx>
          <c:spPr>
            <a:ln w="25400" cap="rnd">
              <a:noFill/>
              <a:round/>
            </a:ln>
            <a:effectLst/>
          </c:spPr>
          <c:marker>
            <c:symbol val="circle"/>
            <c:size val="5"/>
            <c:spPr>
              <a:solidFill>
                <a:schemeClr val="accent1"/>
              </a:solidFill>
              <a:ln w="9525">
                <a:solidFill>
                  <a:schemeClr val="accent1"/>
                </a:solidFill>
              </a:ln>
              <a:effectLst/>
            </c:spPr>
          </c:marker>
          <c:xVal>
            <c:numRef>
              <c:f>'EF25 P240 AVGS'!$L$7:$L$12</c:f>
              <c:numCache>
                <c:formatCode>0.0E+00</c:formatCode>
                <c:ptCount val="6"/>
                <c:pt idx="0">
                  <c:v>17255.906060606056</c:v>
                </c:pt>
                <c:pt idx="1">
                  <c:v>24959.435551948049</c:v>
                </c:pt>
                <c:pt idx="2">
                  <c:v>32971.106222943716</c:v>
                </c:pt>
                <c:pt idx="3">
                  <c:v>40212.423944805189</c:v>
                </c:pt>
                <c:pt idx="4">
                  <c:v>46837.459307359313</c:v>
                </c:pt>
                <c:pt idx="5">
                  <c:v>51767.718181818185</c:v>
                </c:pt>
              </c:numCache>
            </c:numRef>
          </c:xVal>
          <c:yVal>
            <c:numRef>
              <c:f>'EF25 P240 AVGS'!$S$7:$S$12</c:f>
              <c:numCache>
                <c:formatCode>0.00</c:formatCode>
                <c:ptCount val="6"/>
                <c:pt idx="0">
                  <c:v>21687.608833333332</c:v>
                </c:pt>
                <c:pt idx="1">
                  <c:v>21655.727555555557</c:v>
                </c:pt>
                <c:pt idx="2">
                  <c:v>21794.080555555556</c:v>
                </c:pt>
                <c:pt idx="3">
                  <c:v>21916.073</c:v>
                </c:pt>
                <c:pt idx="4">
                  <c:v>22066.766333333333</c:v>
                </c:pt>
                <c:pt idx="5">
                  <c:v>21884.416833333336</c:v>
                </c:pt>
              </c:numCache>
            </c:numRef>
          </c:yVal>
          <c:smooth val="0"/>
          <c:extLst>
            <c:ext xmlns:c16="http://schemas.microsoft.com/office/drawing/2014/chart" uri="{C3380CC4-5D6E-409C-BE32-E72D297353CC}">
              <c16:uniqueId val="{00000000-7092-4916-AFBF-0468E06CEDF8}"/>
            </c:ext>
          </c:extLst>
        </c:ser>
        <c:ser>
          <c:idx val="1"/>
          <c:order val="1"/>
          <c:tx>
            <c:v>P80 Rigid Perimeter</c:v>
          </c:tx>
          <c:spPr>
            <a:ln w="25400" cap="rnd">
              <a:noFill/>
              <a:round/>
            </a:ln>
            <a:effectLst/>
          </c:spPr>
          <c:marker>
            <c:symbol val="circle"/>
            <c:size val="5"/>
            <c:spPr>
              <a:solidFill>
                <a:schemeClr val="accent2"/>
              </a:solidFill>
              <a:ln w="9525">
                <a:solidFill>
                  <a:schemeClr val="accent2"/>
                </a:solidFill>
              </a:ln>
              <a:effectLst/>
            </c:spPr>
          </c:marker>
          <c:xVal>
            <c:numRef>
              <c:f>'EF25 P80 AVGS'!$M$7:$M$12</c:f>
              <c:numCache>
                <c:formatCode>0.0E+00</c:formatCode>
                <c:ptCount val="6"/>
                <c:pt idx="0">
                  <c:v>16525.642491230723</c:v>
                </c:pt>
                <c:pt idx="1">
                  <c:v>23135.899487723014</c:v>
                </c:pt>
                <c:pt idx="2">
                  <c:v>30320.96144043202</c:v>
                </c:pt>
                <c:pt idx="3">
                  <c:v>36500.114719761768</c:v>
                </c:pt>
                <c:pt idx="4">
                  <c:v>43254.072955308235</c:v>
                </c:pt>
                <c:pt idx="5">
                  <c:v>49002.122517475444</c:v>
                </c:pt>
              </c:numCache>
            </c:numRef>
          </c:xVal>
          <c:yVal>
            <c:numRef>
              <c:f>'EF25 P80 AVGS'!$Y$7:$Y$12</c:f>
              <c:numCache>
                <c:formatCode>0.00</c:formatCode>
                <c:ptCount val="6"/>
                <c:pt idx="0">
                  <c:v>23075.976666666669</c:v>
                </c:pt>
                <c:pt idx="1">
                  <c:v>22594.141444444442</c:v>
                </c:pt>
                <c:pt idx="2">
                  <c:v>22461.787222222221</c:v>
                </c:pt>
                <c:pt idx="3">
                  <c:v>22375.668722222221</c:v>
                </c:pt>
                <c:pt idx="4">
                  <c:v>22369.264888888891</c:v>
                </c:pt>
                <c:pt idx="5">
                  <c:v>22392.954222222223</c:v>
                </c:pt>
              </c:numCache>
            </c:numRef>
          </c:yVal>
          <c:smooth val="0"/>
          <c:extLst>
            <c:ext xmlns:c16="http://schemas.microsoft.com/office/drawing/2014/chart" uri="{C3380CC4-5D6E-409C-BE32-E72D297353CC}">
              <c16:uniqueId val="{00000001-7092-4916-AFBF-0468E06CEDF8}"/>
            </c:ext>
          </c:extLst>
        </c:ser>
        <c:ser>
          <c:idx val="2"/>
          <c:order val="2"/>
          <c:tx>
            <c:v>Smooth Rigid Perimeter</c:v>
          </c:tx>
          <c:spPr>
            <a:ln w="25400" cap="rnd">
              <a:noFill/>
              <a:round/>
            </a:ln>
            <a:effectLst/>
          </c:spPr>
          <c:marker>
            <c:symbol val="circle"/>
            <c:size val="5"/>
            <c:spPr>
              <a:solidFill>
                <a:schemeClr val="accent3"/>
              </a:solidFill>
              <a:ln w="9525">
                <a:solidFill>
                  <a:schemeClr val="accent3"/>
                </a:solidFill>
              </a:ln>
              <a:effectLst/>
            </c:spPr>
          </c:marker>
          <c:xVal>
            <c:numRef>
              <c:f>'EF25 flat AVGS'!$L$7:$L$12</c:f>
              <c:numCache>
                <c:formatCode>0.0E+00</c:formatCode>
                <c:ptCount val="6"/>
                <c:pt idx="0">
                  <c:v>17031.803384494291</c:v>
                </c:pt>
                <c:pt idx="1">
                  <c:v>24203.089020070838</c:v>
                </c:pt>
                <c:pt idx="2">
                  <c:v>30702.066627312077</c:v>
                </c:pt>
                <c:pt idx="3">
                  <c:v>38097.454939000396</c:v>
                </c:pt>
                <c:pt idx="4">
                  <c:v>45268.740574576928</c:v>
                </c:pt>
                <c:pt idx="5">
                  <c:v>51991.820857929946</c:v>
                </c:pt>
              </c:numCache>
            </c:numRef>
          </c:xVal>
          <c:yVal>
            <c:numRef>
              <c:f>'EF25 flat AVGS'!$S$7:$S$12</c:f>
              <c:numCache>
                <c:formatCode>General</c:formatCode>
                <c:ptCount val="6"/>
                <c:pt idx="0">
                  <c:v>19257.999500000002</c:v>
                </c:pt>
                <c:pt idx="1">
                  <c:v>19143.595666666668</c:v>
                </c:pt>
                <c:pt idx="2">
                  <c:v>19330.602166666664</c:v>
                </c:pt>
                <c:pt idx="3">
                  <c:v>19474.391166666668</c:v>
                </c:pt>
                <c:pt idx="4">
                  <c:v>19823.477500000001</c:v>
                </c:pt>
                <c:pt idx="5">
                  <c:v>20233.074166666669</c:v>
                </c:pt>
              </c:numCache>
            </c:numRef>
          </c:yVal>
          <c:smooth val="0"/>
          <c:extLst>
            <c:ext xmlns:c16="http://schemas.microsoft.com/office/drawing/2014/chart" uri="{C3380CC4-5D6E-409C-BE32-E72D297353CC}">
              <c16:uniqueId val="{00000001-060F-4D62-BF3D-CEB529549299}"/>
            </c:ext>
          </c:extLst>
        </c:ser>
        <c:ser>
          <c:idx val="3"/>
          <c:order val="3"/>
          <c:tx>
            <c:v>Smooth Elastomer Perimeter</c:v>
          </c:tx>
          <c:spPr>
            <a:ln w="25400" cap="rnd">
              <a:noFill/>
              <a:round/>
            </a:ln>
            <a:effectLst/>
          </c:spPr>
          <c:marker>
            <c:symbol val="circle"/>
            <c:size val="5"/>
            <c:spPr>
              <a:solidFill>
                <a:schemeClr val="accent4"/>
              </a:solidFill>
              <a:ln w="9525">
                <a:solidFill>
                  <a:schemeClr val="accent4"/>
                </a:solidFill>
              </a:ln>
              <a:effectLst/>
            </c:spPr>
          </c:marker>
          <c:xVal>
            <c:numRef>
              <c:f>'MMHSE flat AVG'!$L$7:$L$12</c:f>
              <c:numCache>
                <c:formatCode>0.0E+00</c:formatCode>
                <c:ptCount val="6"/>
                <c:pt idx="0">
                  <c:v>16791.76035066746</c:v>
                </c:pt>
                <c:pt idx="1">
                  <c:v>24733.809165172341</c:v>
                </c:pt>
                <c:pt idx="2">
                  <c:v>31541.279577605099</c:v>
                </c:pt>
                <c:pt idx="3">
                  <c:v>38802.581350866705</c:v>
                </c:pt>
                <c:pt idx="4">
                  <c:v>46971.545845786015</c:v>
                </c:pt>
                <c:pt idx="5">
                  <c:v>52871.353536561066</c:v>
                </c:pt>
              </c:numCache>
            </c:numRef>
          </c:xVal>
          <c:yVal>
            <c:numRef>
              <c:f>'MMHSE flat AVG'!$S$7:$S$12</c:f>
              <c:numCache>
                <c:formatCode>General</c:formatCode>
                <c:ptCount val="6"/>
                <c:pt idx="0">
                  <c:v>18698.820166666668</c:v>
                </c:pt>
                <c:pt idx="1">
                  <c:v>18733.765166666668</c:v>
                </c:pt>
                <c:pt idx="2">
                  <c:v>18691.917750000001</c:v>
                </c:pt>
                <c:pt idx="3">
                  <c:v>18773.87875</c:v>
                </c:pt>
                <c:pt idx="4">
                  <c:v>18689.630416666667</c:v>
                </c:pt>
                <c:pt idx="5">
                  <c:v>18637.233333333334</c:v>
                </c:pt>
              </c:numCache>
            </c:numRef>
          </c:yVal>
          <c:smooth val="0"/>
          <c:extLst>
            <c:ext xmlns:c16="http://schemas.microsoft.com/office/drawing/2014/chart" uri="{C3380CC4-5D6E-409C-BE32-E72D297353CC}">
              <c16:uniqueId val="{00000000-7731-43A9-9EF1-EEC624AFB3B3}"/>
            </c:ext>
          </c:extLst>
        </c:ser>
        <c:ser>
          <c:idx val="4"/>
          <c:order val="4"/>
          <c:tx>
            <c:v>Smooth Control Perimeter</c:v>
          </c:tx>
          <c:spPr>
            <a:ln w="25400" cap="rnd">
              <a:noFill/>
              <a:round/>
            </a:ln>
            <a:effectLst/>
          </c:spPr>
          <c:marker>
            <c:symbol val="circle"/>
            <c:size val="5"/>
            <c:spPr>
              <a:solidFill>
                <a:schemeClr val="accent5"/>
              </a:solidFill>
              <a:ln w="9525">
                <a:solidFill>
                  <a:schemeClr val="accent5"/>
                </a:solidFill>
              </a:ln>
              <a:effectLst/>
            </c:spPr>
          </c:marker>
          <c:xVal>
            <c:numRef>
              <c:f>'PLAIN PANEL AVGS'!$L$7:$L$9</c:f>
              <c:numCache>
                <c:formatCode>0.0E+00</c:formatCode>
                <c:ptCount val="3"/>
                <c:pt idx="0">
                  <c:v>17173.73507936508</c:v>
                </c:pt>
                <c:pt idx="1">
                  <c:v>25760.602619047622</c:v>
                </c:pt>
                <c:pt idx="2">
                  <c:v>31861.797976190479</c:v>
                </c:pt>
              </c:numCache>
            </c:numRef>
          </c:xVal>
          <c:yVal>
            <c:numRef>
              <c:f>'PLAIN PANEL AVGS'!$S$7:$S$9</c:f>
              <c:numCache>
                <c:formatCode>General</c:formatCode>
                <c:ptCount val="3"/>
                <c:pt idx="0">
                  <c:v>14943.442666666666</c:v>
                </c:pt>
                <c:pt idx="1">
                  <c:v>14641.919249999999</c:v>
                </c:pt>
                <c:pt idx="2">
                  <c:v>13564.852333333332</c:v>
                </c:pt>
              </c:numCache>
            </c:numRef>
          </c:yVal>
          <c:smooth val="0"/>
          <c:extLst>
            <c:ext xmlns:c16="http://schemas.microsoft.com/office/drawing/2014/chart" uri="{C3380CC4-5D6E-409C-BE32-E72D297353CC}">
              <c16:uniqueId val="{00000000-074E-432C-868F-16BF185935EA}"/>
            </c:ext>
          </c:extLst>
        </c:ser>
        <c:ser>
          <c:idx val="5"/>
          <c:order val="5"/>
          <c:tx>
            <c:v>P80 Elastomer Perimeter</c:v>
          </c:tx>
          <c:spPr>
            <a:ln w="25400" cap="rnd">
              <a:noFill/>
              <a:round/>
            </a:ln>
            <a:effectLst/>
          </c:spPr>
          <c:marker>
            <c:symbol val="circle"/>
            <c:size val="5"/>
            <c:spPr>
              <a:solidFill>
                <a:schemeClr val="accent6"/>
              </a:solidFill>
              <a:ln w="9525">
                <a:solidFill>
                  <a:schemeClr val="accent6"/>
                </a:solidFill>
              </a:ln>
              <a:effectLst/>
            </c:spPr>
          </c:marker>
          <c:xVal>
            <c:numRef>
              <c:f>'MMHSE P80 AVGS'!$L$7:$L$12</c:f>
              <c:numCache>
                <c:formatCode>0.0E+00</c:formatCode>
                <c:ptCount val="6"/>
                <c:pt idx="0">
                  <c:v>13610.328035679087</c:v>
                </c:pt>
                <c:pt idx="1">
                  <c:v>18801.896461659773</c:v>
                </c:pt>
                <c:pt idx="2">
                  <c:v>24835.340848610296</c:v>
                </c:pt>
                <c:pt idx="3">
                  <c:v>30447.8472550759</c:v>
                </c:pt>
                <c:pt idx="4">
                  <c:v>34727.383390005925</c:v>
                </c:pt>
                <c:pt idx="5">
                  <c:v>39568.170165582502</c:v>
                </c:pt>
              </c:numCache>
            </c:numRef>
          </c:xVal>
          <c:yVal>
            <c:numRef>
              <c:f>'MMHSE P80 AVGS'!$R$7:$R$12</c:f>
              <c:numCache>
                <c:formatCode>General</c:formatCode>
                <c:ptCount val="6"/>
                <c:pt idx="0">
                  <c:v>20408.349999999999</c:v>
                </c:pt>
                <c:pt idx="1">
                  <c:v>20440.242444444444</c:v>
                </c:pt>
                <c:pt idx="2">
                  <c:v>20415.755499999999</c:v>
                </c:pt>
                <c:pt idx="3">
                  <c:v>20517.468611111111</c:v>
                </c:pt>
                <c:pt idx="4">
                  <c:v>20703.696583333338</c:v>
                </c:pt>
                <c:pt idx="5">
                  <c:v>20241.991333333335</c:v>
                </c:pt>
              </c:numCache>
            </c:numRef>
          </c:yVal>
          <c:smooth val="0"/>
          <c:extLst>
            <c:ext xmlns:c16="http://schemas.microsoft.com/office/drawing/2014/chart" uri="{C3380CC4-5D6E-409C-BE32-E72D297353CC}">
              <c16:uniqueId val="{00000001-074E-432C-868F-16BF185935EA}"/>
            </c:ext>
          </c:extLst>
        </c:ser>
        <c:ser>
          <c:idx val="6"/>
          <c:order val="6"/>
          <c:tx>
            <c:v>P240 Elastomer Perimeter</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xVal>
            <c:numRef>
              <c:f>'MMHSE P240 AVG'!$L$7:$L$10</c:f>
              <c:numCache>
                <c:formatCode>0.0E+00</c:formatCode>
                <c:ptCount val="4"/>
                <c:pt idx="0">
                  <c:v>11807.649133593246</c:v>
                </c:pt>
                <c:pt idx="1">
                  <c:v>18828.41348329734</c:v>
                </c:pt>
                <c:pt idx="2">
                  <c:v>24891.800876223599</c:v>
                </c:pt>
                <c:pt idx="3">
                  <c:v>31832.783812862872</c:v>
                </c:pt>
              </c:numCache>
            </c:numRef>
          </c:xVal>
          <c:yVal>
            <c:numRef>
              <c:f>'MMHSE P240 AVG'!$S$7:$S$10</c:f>
              <c:numCache>
                <c:formatCode>General</c:formatCode>
                <c:ptCount val="4"/>
                <c:pt idx="0">
                  <c:v>21370.371444444445</c:v>
                </c:pt>
                <c:pt idx="1">
                  <c:v>21886.250777777779</c:v>
                </c:pt>
                <c:pt idx="2">
                  <c:v>21641.595555555556</c:v>
                </c:pt>
                <c:pt idx="3">
                  <c:v>21010.785</c:v>
                </c:pt>
              </c:numCache>
            </c:numRef>
          </c:yVal>
          <c:smooth val="0"/>
          <c:extLst>
            <c:ext xmlns:c16="http://schemas.microsoft.com/office/drawing/2014/chart" uri="{C3380CC4-5D6E-409C-BE32-E72D297353CC}">
              <c16:uniqueId val="{00000000-C009-44AB-8238-4778DA95B309}"/>
            </c:ext>
          </c:extLst>
        </c:ser>
        <c:ser>
          <c:idx val="7"/>
          <c:order val="7"/>
          <c:tx>
            <c:v>P80 Control Perimeter</c:v>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xVal>
            <c:numRef>
              <c:f>'P80 sandpaper AVGS'!$S$41:$S$46</c:f>
              <c:numCache>
                <c:formatCode>General</c:formatCode>
                <c:ptCount val="6"/>
              </c:numCache>
            </c:numRef>
          </c:xVal>
          <c:yVal>
            <c:numRef>
              <c:f>'P80 sandpaper AVGS'!$U$41:$U$46</c:f>
              <c:numCache>
                <c:formatCode>General</c:formatCode>
                <c:ptCount val="6"/>
              </c:numCache>
            </c:numRef>
          </c:yVal>
          <c:smooth val="0"/>
          <c:extLst>
            <c:ext xmlns:c16="http://schemas.microsoft.com/office/drawing/2014/chart" uri="{C3380CC4-5D6E-409C-BE32-E72D297353CC}">
              <c16:uniqueId val="{00000000-0C27-4FFB-8D5E-38D25099F520}"/>
            </c:ext>
          </c:extLst>
        </c:ser>
        <c:ser>
          <c:idx val="8"/>
          <c:order val="8"/>
          <c:tx>
            <c:v>P240 Control Perimeter</c:v>
          </c:tx>
          <c:spPr>
            <a:ln w="25400" cap="rnd">
              <a:noFill/>
              <a:round/>
            </a:ln>
            <a:effectLst/>
          </c:spPr>
          <c:marker>
            <c:symbol val="circle"/>
            <c:size val="5"/>
            <c:spPr>
              <a:solidFill>
                <a:schemeClr val="accent3">
                  <a:lumMod val="60000"/>
                </a:schemeClr>
              </a:solidFill>
              <a:ln w="9525">
                <a:solidFill>
                  <a:schemeClr val="accent3">
                    <a:lumMod val="60000"/>
                  </a:schemeClr>
                </a:solidFill>
              </a:ln>
              <a:effectLst/>
            </c:spPr>
          </c:marker>
          <c:xVal>
            <c:numRef>
              <c:f>'P240 sandpaper'!$L$7:$L$12</c:f>
              <c:numCache>
                <c:formatCode>0.0E+00</c:formatCode>
                <c:ptCount val="6"/>
                <c:pt idx="0">
                  <c:v>17029.859003236244</c:v>
                </c:pt>
                <c:pt idx="1">
                  <c:v>25314.655275080902</c:v>
                </c:pt>
                <c:pt idx="2">
                  <c:v>32218.652168284785</c:v>
                </c:pt>
                <c:pt idx="3">
                  <c:v>40043.181980582514</c:v>
                </c:pt>
                <c:pt idx="4">
                  <c:v>46026.645954692547</c:v>
                </c:pt>
                <c:pt idx="5">
                  <c:v>52930.642847896444</c:v>
                </c:pt>
              </c:numCache>
            </c:numRef>
          </c:xVal>
          <c:yVal>
            <c:numRef>
              <c:f>'P240 sandpaper'!$R$7:$R$12</c:f>
              <c:numCache>
                <c:formatCode>0.00</c:formatCode>
                <c:ptCount val="6"/>
                <c:pt idx="0" formatCode="General">
                  <c:v>24195.881666666668</c:v>
                </c:pt>
                <c:pt idx="1">
                  <c:v>23922.705666666665</c:v>
                </c:pt>
                <c:pt idx="2" formatCode="0.000">
                  <c:v>24109.877666666667</c:v>
                </c:pt>
                <c:pt idx="3" formatCode="0.000">
                  <c:v>23733.654999999999</c:v>
                </c:pt>
                <c:pt idx="4" formatCode="General">
                  <c:v>23789.495999999999</c:v>
                </c:pt>
                <c:pt idx="5" formatCode="General">
                  <c:v>24347.279666666665</c:v>
                </c:pt>
              </c:numCache>
            </c:numRef>
          </c:yVal>
          <c:smooth val="0"/>
          <c:extLst>
            <c:ext xmlns:c16="http://schemas.microsoft.com/office/drawing/2014/chart" uri="{C3380CC4-5D6E-409C-BE32-E72D297353CC}">
              <c16:uniqueId val="{00000001-0C27-4FFB-8D5E-38D25099F520}"/>
            </c:ext>
          </c:extLst>
        </c:ser>
        <c:dLbls>
          <c:showLegendKey val="0"/>
          <c:showVal val="0"/>
          <c:showCatName val="0"/>
          <c:showSerName val="0"/>
          <c:showPercent val="0"/>
          <c:showBubbleSize val="0"/>
        </c:dLbls>
        <c:axId val="420696127"/>
        <c:axId val="651585247"/>
      </c:scatterChart>
      <c:valAx>
        <c:axId val="420696127"/>
        <c:scaling>
          <c:orientation val="minMax"/>
        </c:scaling>
        <c:delete val="0"/>
        <c:axPos val="b"/>
        <c:majorGridlines>
          <c:spPr>
            <a:ln w="9525" cap="flat" cmpd="sng" algn="ctr">
              <a:solidFill>
                <a:schemeClr val="tx1">
                  <a:lumMod val="15000"/>
                  <a:lumOff val="85000"/>
                </a:schemeClr>
              </a:solidFill>
              <a:round/>
            </a:ln>
            <a:effectLst/>
          </c:spPr>
        </c:majorGridlines>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1585247"/>
        <c:crosses val="autoZero"/>
        <c:crossBetween val="midCat"/>
      </c:valAx>
      <c:valAx>
        <c:axId val="65158524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69612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'3 EF25 P80'!$O$5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'3 EF25 P80'!$L$7:$L$12</c:f>
              <c:numCache>
                <c:formatCode>0.0E+00</c:formatCode>
                <c:ptCount val="6"/>
                <c:pt idx="0">
                  <c:v>17172.967062086969</c:v>
                </c:pt>
                <c:pt idx="1">
                  <c:v>25063.249225748546</c:v>
                </c:pt>
                <c:pt idx="2">
                  <c:v>32025.262899567588</c:v>
                </c:pt>
                <c:pt idx="3">
                  <c:v>38987.276573386633</c:v>
                </c:pt>
                <c:pt idx="4">
                  <c:v>47341.692981969485</c:v>
                </c:pt>
                <c:pt idx="5">
                  <c:v>53839.572410867258</c:v>
                </c:pt>
              </c:numCache>
            </c:numRef>
          </c:xVal>
          <c:yVal>
            <c:numRef>
              <c:f>'3 EF25 P80'!$O$7:$O$12</c:f>
              <c:numCache>
                <c:formatCode>0.000</c:formatCode>
                <c:ptCount val="6"/>
                <c:pt idx="0">
                  <c:v>1.0348641826910643E-2</c:v>
                </c:pt>
                <c:pt idx="1">
                  <c:v>1.0100129495431837E-2</c:v>
                </c:pt>
                <c:pt idx="2">
                  <c:v>9.8420940958272238E-3</c:v>
                </c:pt>
                <c:pt idx="3">
                  <c:v>9.8107312922403669E-3</c:v>
                </c:pt>
                <c:pt idx="4">
                  <c:v>9.6229774267984486E-3</c:v>
                </c:pt>
                <c:pt idx="5">
                  <c:v>8.1606456138750803E-3</c:v>
                </c:pt>
              </c:numCache>
            </c:numRef>
          </c:yVal>
          <c:smooth val="0"/>
          <c:extLst>
            <c:ext xmlns:c16="http://schemas.microsoft.com/office/drawing/2014/chart" uri="{C3380CC4-5D6E-409C-BE32-E72D297353CC}">
              <c16:uniqueId val="{00000001-99BF-4BEF-8DA8-55A52EA01324}"/>
            </c:ext>
          </c:extLst>
        </c:ser>
        <c:ser>
          <c:idx val="1"/>
          <c:order val="1"/>
          <c:tx>
            <c:strRef>
              <c:f>'3 EF25 P80'!$Z$5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EF25 P80'!$Y$7:$Y$31</c:f>
              <c:numCache>
                <c:formatCode>0.00000</c:formatCode>
                <c:ptCount val="25"/>
                <c:pt idx="0">
                  <c:v>1587.3378477604631</c:v>
                </c:pt>
                <c:pt idx="1">
                  <c:v>3174.6756955209262</c:v>
                </c:pt>
                <c:pt idx="2">
                  <c:v>4762.0135432813886</c:v>
                </c:pt>
                <c:pt idx="3">
                  <c:v>6349.3513910418524</c:v>
                </c:pt>
                <c:pt idx="4">
                  <c:v>7936.6892388023152</c:v>
                </c:pt>
                <c:pt idx="5">
                  <c:v>9524.0270865627772</c:v>
                </c:pt>
                <c:pt idx="6">
                  <c:v>11111.364934323241</c:v>
                </c:pt>
                <c:pt idx="7">
                  <c:v>12698.702782083705</c:v>
                </c:pt>
                <c:pt idx="8">
                  <c:v>14286.040629844169</c:v>
                </c:pt>
                <c:pt idx="9">
                  <c:v>15873.37847760463</c:v>
                </c:pt>
                <c:pt idx="10">
                  <c:v>17460.716325365094</c:v>
                </c:pt>
                <c:pt idx="11">
                  <c:v>19048.054173125554</c:v>
                </c:pt>
                <c:pt idx="12">
                  <c:v>20635.392020886022</c:v>
                </c:pt>
                <c:pt idx="13">
                  <c:v>22222.729868646482</c:v>
                </c:pt>
                <c:pt idx="14">
                  <c:v>23810.067716406946</c:v>
                </c:pt>
                <c:pt idx="15">
                  <c:v>25397.405564167409</c:v>
                </c:pt>
                <c:pt idx="16">
                  <c:v>26984.74341192787</c:v>
                </c:pt>
                <c:pt idx="17">
                  <c:v>28572.081259688337</c:v>
                </c:pt>
                <c:pt idx="18">
                  <c:v>30159.419107448797</c:v>
                </c:pt>
                <c:pt idx="19">
                  <c:v>31746.756955209261</c:v>
                </c:pt>
                <c:pt idx="20">
                  <c:v>33334.094802969732</c:v>
                </c:pt>
                <c:pt idx="21">
                  <c:v>34921.432650730188</c:v>
                </c:pt>
                <c:pt idx="22">
                  <c:v>36508.770498490652</c:v>
                </c:pt>
                <c:pt idx="23">
                  <c:v>38096.108346251109</c:v>
                </c:pt>
                <c:pt idx="24">
                  <c:v>39683.44619401158</c:v>
                </c:pt>
              </c:numCache>
            </c:numRef>
          </c:xVal>
          <c:yVal>
            <c:numRef>
              <c:f>'3 EF25 P80'!$AA$7:$AA$31</c:f>
              <c:numCache>
                <c:formatCode>0.00000</c:formatCode>
                <c:ptCount val="25"/>
                <c:pt idx="0">
                  <c:v>1.2531675501620239E-2</c:v>
                </c:pt>
                <c:pt idx="1">
                  <c:v>1.0537841006435256E-2</c:v>
                </c:pt>
                <c:pt idx="2">
                  <c:v>9.5220142471368792E-3</c:v>
                </c:pt>
                <c:pt idx="3">
                  <c:v>8.8612327268250031E-3</c:v>
                </c:pt>
                <c:pt idx="4">
                  <c:v>8.3804364968190753E-3</c:v>
                </c:pt>
                <c:pt idx="5">
                  <c:v>8.007027646412198E-3</c:v>
                </c:pt>
                <c:pt idx="6">
                  <c:v>7.7043256350257175E-3</c:v>
                </c:pt>
                <c:pt idx="7">
                  <c:v>7.4513788347160418E-3</c:v>
                </c:pt>
                <c:pt idx="8">
                  <c:v>7.2351662242574845E-3</c:v>
                </c:pt>
                <c:pt idx="9">
                  <c:v>7.0470790084365582E-3</c:v>
                </c:pt>
                <c:pt idx="10">
                  <c:v>6.8811491180599572E-3</c:v>
                </c:pt>
                <c:pt idx="11">
                  <c:v>6.733080844705407E-3</c:v>
                </c:pt>
                <c:pt idx="12">
                  <c:v>6.5996864465576429E-3</c:v>
                </c:pt>
                <c:pt idx="13">
                  <c:v>6.4785398084404233E-3</c:v>
                </c:pt>
                <c:pt idx="14">
                  <c:v>6.3677547116201532E-3</c:v>
                </c:pt>
                <c:pt idx="15">
                  <c:v>6.2658377508101205E-3</c:v>
                </c:pt>
                <c:pt idx="16">
                  <c:v>6.1715877775971283E-3</c:v>
                </c:pt>
                <c:pt idx="17">
                  <c:v>6.0840253417428717E-3</c:v>
                </c:pt>
                <c:pt idx="18">
                  <c:v>6.0023420478934756E-3</c:v>
                </c:pt>
                <c:pt idx="19">
                  <c:v>5.9258634762040024E-3</c:v>
                </c:pt>
                <c:pt idx="20">
                  <c:v>5.8540215513729057E-3</c:v>
                </c:pt>
                <c:pt idx="21">
                  <c:v>5.7863336262028772E-3</c:v>
                </c:pt>
                <c:pt idx="22">
                  <c:v>5.7223864229214993E-3</c:v>
                </c:pt>
                <c:pt idx="23">
                  <c:v>5.6618235459262294E-3</c:v>
                </c:pt>
                <c:pt idx="24">
                  <c:v>5.6043356587183266E-3</c:v>
                </c:pt>
              </c:numCache>
            </c:numRef>
          </c:yVal>
          <c:smooth val="0"/>
          <c:extLst>
            <c:ext xmlns:c16="http://schemas.microsoft.com/office/drawing/2014/chart" uri="{C3380CC4-5D6E-409C-BE32-E72D297353CC}">
              <c16:uniqueId val="{00000003-99BF-4BEF-8DA8-55A52EA01324}"/>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2"/>
          <c:order val="2"/>
          <c:tx>
            <c:v>Elongation Loading</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ly"/>
            <c:order val="2"/>
            <c:dispRSqr val="1"/>
            <c:dispEq val="1"/>
            <c:trendlineLbl>
              <c:layout>
                <c:manualLayout>
                  <c:x val="6.3760506377745592E-3"/>
                  <c:y val="-1.039861351819757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EF25 P80'!$L$7:$L$12</c:f>
              <c:numCache>
                <c:formatCode>0.0E+00</c:formatCode>
                <c:ptCount val="6"/>
                <c:pt idx="0">
                  <c:v>17172.967062086969</c:v>
                </c:pt>
                <c:pt idx="1">
                  <c:v>25063.249225748546</c:v>
                </c:pt>
                <c:pt idx="2">
                  <c:v>32025.262899567588</c:v>
                </c:pt>
                <c:pt idx="3">
                  <c:v>38987.276573386633</c:v>
                </c:pt>
                <c:pt idx="4">
                  <c:v>47341.692981969485</c:v>
                </c:pt>
                <c:pt idx="5">
                  <c:v>53839.572410867258</c:v>
                </c:pt>
              </c:numCache>
              <c:extLst xmlns:c15="http://schemas.microsoft.com/office/drawing/2012/chart"/>
            </c:numRef>
          </c:xVal>
          <c:yVal>
            <c:numRef>
              <c:f>'3 EF25 P80'!$S$7:$S$12</c:f>
              <c:numCache>
                <c:formatCode>0.00</c:formatCode>
                <c:ptCount val="6"/>
                <c:pt idx="0">
                  <c:v>42.449999999999996</c:v>
                </c:pt>
                <c:pt idx="1">
                  <c:v>42.928333333333335</c:v>
                </c:pt>
                <c:pt idx="2">
                  <c:v>43.206666666666671</c:v>
                </c:pt>
                <c:pt idx="3" formatCode="General">
                  <c:v>43.530333333333338</c:v>
                </c:pt>
                <c:pt idx="4">
                  <c:v>44.967666666666673</c:v>
                </c:pt>
                <c:pt idx="5">
                  <c:v>45.483333333333327</c:v>
                </c:pt>
              </c:numCache>
              <c:extLst xmlns:c15="http://schemas.microsoft.com/office/drawing/2012/chart"/>
            </c:numRef>
          </c:yVal>
          <c:smooth val="0"/>
          <c:extLst xmlns:c15="http://schemas.microsoft.com/office/drawing/2012/chart">
            <c:ext xmlns:c16="http://schemas.microsoft.com/office/drawing/2014/chart" uri="{C3380CC4-5D6E-409C-BE32-E72D297353CC}">
              <c16:uniqueId val="{00000007-6DCF-4F46-8190-07C5EBD45F3A}"/>
            </c:ext>
          </c:extLst>
        </c:ser>
        <c:ser>
          <c:idx val="4"/>
          <c:order val="4"/>
          <c:tx>
            <c:v>Elongation Unloading</c:v>
          </c:tx>
          <c:spPr>
            <a:ln w="25400" cap="rnd">
              <a:noFill/>
              <a:round/>
            </a:ln>
            <a:effectLst/>
          </c:spPr>
          <c:marker>
            <c:symbol val="circle"/>
            <c:size val="5"/>
            <c:spPr>
              <a:solidFill>
                <a:schemeClr val="accent5"/>
              </a:solidFill>
              <a:ln w="9525">
                <a:solidFill>
                  <a:schemeClr val="accent5"/>
                </a:solidFill>
              </a:ln>
              <a:effectLst/>
            </c:spPr>
          </c:marker>
          <c:trendline>
            <c:spPr>
              <a:ln w="19050" cap="rnd">
                <a:solidFill>
                  <a:schemeClr val="accent5"/>
                </a:solidFill>
                <a:prstDash val="sysDot"/>
              </a:ln>
              <a:effectLst/>
            </c:spPr>
            <c:trendlineType val="power"/>
            <c:dispRSqr val="1"/>
            <c:dispEq val="1"/>
            <c:trendlineLbl>
              <c:layout>
                <c:manualLayout>
                  <c:x val="0.10620862657654519"/>
                  <c:y val="0.10302897146522196"/>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EF25 P80'!$L$13:$L$18</c:f>
              <c:numCache>
                <c:formatCode>0.0E+00</c:formatCode>
                <c:ptCount val="6"/>
                <c:pt idx="0">
                  <c:v>53839.572410867258</c:v>
                </c:pt>
                <c:pt idx="1">
                  <c:v>45021.021757363138</c:v>
                </c:pt>
                <c:pt idx="2">
                  <c:v>38987.276573386633</c:v>
                </c:pt>
                <c:pt idx="3">
                  <c:v>33417.665634331395</c:v>
                </c:pt>
                <c:pt idx="4">
                  <c:v>25063.249225748546</c:v>
                </c:pt>
                <c:pt idx="5">
                  <c:v>17637.101307008237</c:v>
                </c:pt>
              </c:numCache>
            </c:numRef>
          </c:xVal>
          <c:yVal>
            <c:numRef>
              <c:f>'3 EF25 P80'!$S$13:$S$18</c:f>
              <c:numCache>
                <c:formatCode>0.00</c:formatCode>
                <c:ptCount val="6"/>
                <c:pt idx="0">
                  <c:v>45.483333333333327</c:v>
                </c:pt>
                <c:pt idx="1">
                  <c:v>44.632000000000005</c:v>
                </c:pt>
                <c:pt idx="2">
                  <c:v>43.702999999999996</c:v>
                </c:pt>
                <c:pt idx="3">
                  <c:v>43.146666666666668</c:v>
                </c:pt>
                <c:pt idx="4">
                  <c:v>42.010999999999996</c:v>
                </c:pt>
                <c:pt idx="5">
                  <c:v>42.341333333333331</c:v>
                </c:pt>
              </c:numCache>
            </c:numRef>
          </c:yVal>
          <c:smooth val="0"/>
          <c:extLst>
            <c:ext xmlns:c16="http://schemas.microsoft.com/office/drawing/2014/chart" uri="{C3380CC4-5D6E-409C-BE32-E72D297353CC}">
              <c16:uniqueId val="{00000008-6DCF-4F46-8190-07C5EBD45F3A}"/>
            </c:ext>
          </c:extLst>
        </c:ser>
        <c:dLbls>
          <c:showLegendKey val="0"/>
          <c:showVal val="0"/>
          <c:showCatName val="0"/>
          <c:showSerName val="0"/>
          <c:showPercent val="0"/>
          <c:showBubbleSize val="0"/>
        </c:dLbls>
        <c:axId val="1172848367"/>
        <c:axId val="1448508735"/>
        <c:extLst>
          <c:ext xmlns:c15="http://schemas.microsoft.com/office/drawing/2012/chart" uri="{02D57815-91ED-43cb-92C2-25804820EDAC}">
            <c15:filteredScatterSeries>
              <c15:ser>
                <c:idx val="0"/>
                <c:order val="0"/>
                <c:tx>
                  <c:v>Area Loading</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1"/>
                  <c:dispEq val="1"/>
                  <c:trendlineLbl>
                    <c:layout>
                      <c:manualLayout>
                        <c:x val="-3.1457947699025039E-2"/>
                        <c:y val="2.2665467753705378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extLst>
                      <c:ext uri="{02D57815-91ED-43cb-92C2-25804820EDAC}">
                        <c15:formulaRef>
                          <c15:sqref>'3 EF25 P80'!$L$7:$L$12</c15:sqref>
                        </c15:formulaRef>
                      </c:ext>
                    </c:extLst>
                    <c:numCache>
                      <c:formatCode>0.0E+00</c:formatCode>
                      <c:ptCount val="6"/>
                      <c:pt idx="0">
                        <c:v>17172.967062086969</c:v>
                      </c:pt>
                      <c:pt idx="1">
                        <c:v>25063.249225748546</c:v>
                      </c:pt>
                      <c:pt idx="2">
                        <c:v>32025.262899567588</c:v>
                      </c:pt>
                      <c:pt idx="3">
                        <c:v>38987.276573386633</c:v>
                      </c:pt>
                      <c:pt idx="4">
                        <c:v>47341.692981969485</c:v>
                      </c:pt>
                      <c:pt idx="5">
                        <c:v>53839.572410867258</c:v>
                      </c:pt>
                    </c:numCache>
                  </c:numRef>
                </c:xVal>
                <c:yVal>
                  <c:numRef>
                    <c:extLst>
                      <c:ext uri="{02D57815-91ED-43cb-92C2-25804820EDAC}">
                        <c15:formulaRef>
                          <c15:sqref>'3 EF25 P80'!$Q$7:$Q$12</c15:sqref>
                        </c15:formulaRef>
                      </c:ext>
                    </c:extLst>
                    <c:numCache>
                      <c:formatCode>0.00</c:formatCode>
                      <c:ptCount val="6"/>
                      <c:pt idx="0">
                        <c:v>1087690.0599999998</c:v>
                      </c:pt>
                      <c:pt idx="1">
                        <c:v>1053580.023</c:v>
                      </c:pt>
                      <c:pt idx="2">
                        <c:v>1038651.9899999999</c:v>
                      </c:pt>
                      <c:pt idx="3" formatCode="General">
                        <c:v>1040549.8909999999</c:v>
                      </c:pt>
                      <c:pt idx="4">
                        <c:v>992811.55700000003</c:v>
                      </c:pt>
                      <c:pt idx="5">
                        <c:v>976996.45833333337</c:v>
                      </c:pt>
                    </c:numCache>
                  </c:numRef>
                </c:yVal>
                <c:smooth val="0"/>
                <c:extLst>
                  <c:ext xmlns:c16="http://schemas.microsoft.com/office/drawing/2014/chart" uri="{C3380CC4-5D6E-409C-BE32-E72D297353CC}">
                    <c16:uniqueId val="{00000001-6DCF-4F46-8190-07C5EBD45F3A}"/>
                  </c:ext>
                </c:extLst>
              </c15:ser>
            </c15:filteredScatterSeries>
            <c15:filteredScatterSeries>
              <c15:ser>
                <c:idx val="1"/>
                <c:order val="1"/>
                <c:tx>
                  <c:v>Perimeter Loading</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ly"/>
                  <c:order val="2"/>
                  <c:dispRSqr val="1"/>
                  <c:dispEq val="1"/>
                  <c:trendlineLbl>
                    <c:layout>
                      <c:manualLayout>
                        <c:x val="6.3051450244787866E-2"/>
                        <c:y val="6.4636792399677984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extLst xmlns:c15="http://schemas.microsoft.com/office/drawing/2012/chart">
                      <c:ext xmlns:c15="http://schemas.microsoft.com/office/drawing/2012/chart" uri="{02D57815-91ED-43cb-92C2-25804820EDAC}">
                        <c15:formulaRef>
                          <c15:sqref>'3 EF25 P80'!$L$7:$L$12</c15:sqref>
                        </c15:formulaRef>
                      </c:ext>
                    </c:extLst>
                    <c:numCache>
                      <c:formatCode>0.0E+00</c:formatCode>
                      <c:ptCount val="6"/>
                      <c:pt idx="0">
                        <c:v>17172.967062086969</c:v>
                      </c:pt>
                      <c:pt idx="1">
                        <c:v>25063.249225748546</c:v>
                      </c:pt>
                      <c:pt idx="2">
                        <c:v>32025.262899567588</c:v>
                      </c:pt>
                      <c:pt idx="3">
                        <c:v>38987.276573386633</c:v>
                      </c:pt>
                      <c:pt idx="4">
                        <c:v>47341.692981969485</c:v>
                      </c:pt>
                      <c:pt idx="5">
                        <c:v>53839.572410867258</c:v>
                      </c:pt>
                    </c:numCache>
                  </c:numRef>
                </c:xVal>
                <c:yVal>
                  <c:numRef>
                    <c:extLst xmlns:c15="http://schemas.microsoft.com/office/drawing/2012/chart">
                      <c:ext xmlns:c15="http://schemas.microsoft.com/office/drawing/2012/chart" uri="{02D57815-91ED-43cb-92C2-25804820EDAC}">
                        <c15:formulaRef>
                          <c15:sqref>'3 EF25 P80'!$R$7:$R$12</c15:sqref>
                        </c15:formulaRef>
                      </c:ext>
                    </c:extLst>
                    <c:numCache>
                      <c:formatCode>0.00</c:formatCode>
                      <c:ptCount val="6"/>
                      <c:pt idx="0">
                        <c:v>22824.874666666667</c:v>
                      </c:pt>
                      <c:pt idx="1">
                        <c:v>22864.195333333337</c:v>
                      </c:pt>
                      <c:pt idx="2">
                        <c:v>23014.107333333333</c:v>
                      </c:pt>
                      <c:pt idx="3" formatCode="General">
                        <c:v>22756.452999999998</c:v>
                      </c:pt>
                      <c:pt idx="4">
                        <c:v>22269.90866666667</c:v>
                      </c:pt>
                      <c:pt idx="5">
                        <c:v>22094.09</c:v>
                      </c:pt>
                    </c:numCache>
                  </c:numRef>
                </c:yVal>
                <c:smooth val="0"/>
                <c:extLst xmlns:c15="http://schemas.microsoft.com/office/drawing/2012/chart">
                  <c:ext xmlns:c16="http://schemas.microsoft.com/office/drawing/2014/chart" uri="{C3380CC4-5D6E-409C-BE32-E72D297353CC}">
                    <c16:uniqueId val="{00000005-6DCF-4F46-8190-07C5EBD45F3A}"/>
                  </c:ext>
                </c:extLst>
              </c15:ser>
            </c15:filteredScatterSeries>
            <c15:filteredScatterSeries>
              <c15:ser>
                <c:idx val="3"/>
                <c:order val="3"/>
                <c:tx>
                  <c:v>Area Unloading</c:v>
                </c:tx>
                <c:spPr>
                  <a:ln w="25400" cap="rnd">
                    <a:noFill/>
                    <a:round/>
                  </a:ln>
                  <a:effectLst/>
                </c:spPr>
                <c:marker>
                  <c:symbol val="circle"/>
                  <c:size val="5"/>
                  <c:spPr>
                    <a:solidFill>
                      <a:schemeClr val="accent4"/>
                    </a:solidFill>
                    <a:ln w="9525">
                      <a:solidFill>
                        <a:schemeClr val="accent4"/>
                      </a:solidFill>
                    </a:ln>
                    <a:effectLst/>
                  </c:spPr>
                </c:marker>
                <c:trendline>
                  <c:spPr>
                    <a:ln w="19050" cap="rnd">
                      <a:solidFill>
                        <a:schemeClr val="accent4"/>
                      </a:solidFill>
                      <a:prstDash val="sysDot"/>
                    </a:ln>
                    <a:effectLst/>
                  </c:spPr>
                  <c:trendlineType val="poly"/>
                  <c:order val="2"/>
                  <c:dispRSqr val="1"/>
                  <c:dispEq val="1"/>
                  <c:trendlineLbl>
                    <c:layout>
                      <c:manualLayout>
                        <c:x val="0.10447533921667412"/>
                        <c:y val="-0.3496270706529611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extLst xmlns:c15="http://schemas.microsoft.com/office/drawing/2012/chart">
                      <c:ext xmlns:c15="http://schemas.microsoft.com/office/drawing/2012/chart" uri="{02D57815-91ED-43cb-92C2-25804820EDAC}">
                        <c15:formulaRef>
                          <c15:sqref>'3 EF25 P80'!$L$13:$L$18</c15:sqref>
                        </c15:formulaRef>
                      </c:ext>
                    </c:extLst>
                    <c:numCache>
                      <c:formatCode>0.0E+00</c:formatCode>
                      <c:ptCount val="6"/>
                      <c:pt idx="0">
                        <c:v>53839.572410867258</c:v>
                      </c:pt>
                      <c:pt idx="1">
                        <c:v>45021.021757363138</c:v>
                      </c:pt>
                      <c:pt idx="2">
                        <c:v>38987.276573386633</c:v>
                      </c:pt>
                      <c:pt idx="3">
                        <c:v>33417.665634331395</c:v>
                      </c:pt>
                      <c:pt idx="4">
                        <c:v>25063.249225748546</c:v>
                      </c:pt>
                      <c:pt idx="5">
                        <c:v>17637.101307008237</c:v>
                      </c:pt>
                    </c:numCache>
                  </c:numRef>
                </c:xVal>
                <c:yVal>
                  <c:numRef>
                    <c:extLst xmlns:c15="http://schemas.microsoft.com/office/drawing/2012/chart">
                      <c:ext xmlns:c15="http://schemas.microsoft.com/office/drawing/2012/chart" uri="{02D57815-91ED-43cb-92C2-25804820EDAC}">
                        <c15:formulaRef>
                          <c15:sqref>'3 EF25 P80'!$Q$13:$Q$18</c15:sqref>
                        </c15:formulaRef>
                      </c:ext>
                    </c:extLst>
                    <c:numCache>
                      <c:formatCode>0.00</c:formatCode>
                      <c:ptCount val="6"/>
                      <c:pt idx="0">
                        <c:v>976996.45833333337</c:v>
                      </c:pt>
                      <c:pt idx="1">
                        <c:v>1021829.556</c:v>
                      </c:pt>
                      <c:pt idx="2">
                        <c:v>1023627.8689999999</c:v>
                      </c:pt>
                      <c:pt idx="3">
                        <c:v>1048262.0826666667</c:v>
                      </c:pt>
                      <c:pt idx="4">
                        <c:v>1069164.1286666666</c:v>
                      </c:pt>
                      <c:pt idx="5">
                        <c:v>1074665.3370000001</c:v>
                      </c:pt>
                    </c:numCache>
                  </c:numRef>
                </c:yVal>
                <c:smooth val="0"/>
                <c:extLst xmlns:c15="http://schemas.microsoft.com/office/drawing/2012/chart">
                  <c:ext xmlns:c16="http://schemas.microsoft.com/office/drawing/2014/chart" uri="{C3380CC4-5D6E-409C-BE32-E72D297353CC}">
                    <c16:uniqueId val="{00000003-6DCF-4F46-8190-07C5EBD45F3A}"/>
                  </c:ext>
                </c:extLst>
              </c15:ser>
            </c15:filteredScatterSeries>
          </c:ext>
        </c:extLst>
      </c:scatterChart>
      <c:valAx>
        <c:axId val="117284836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8508735"/>
        <c:crosses val="autoZero"/>
        <c:crossBetween val="midCat"/>
      </c:valAx>
      <c:valAx>
        <c:axId val="1448508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Elongation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284836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'EF25 P80 AVGS'!$G$6:$G$12</c:f>
              <c:numCache>
                <c:formatCode>0.00</c:formatCode>
                <c:ptCount val="7"/>
                <c:pt idx="0">
                  <c:v>0</c:v>
                </c:pt>
                <c:pt idx="1">
                  <c:v>1.2563239933282861</c:v>
                </c:pt>
                <c:pt idx="2">
                  <c:v>2.4623950269234403</c:v>
                </c:pt>
                <c:pt idx="3">
                  <c:v>4.2293232897518784</c:v>
                </c:pt>
                <c:pt idx="4">
                  <c:v>6.1287711722924527</c:v>
                </c:pt>
                <c:pt idx="5">
                  <c:v>8.6067455666945953</c:v>
                </c:pt>
                <c:pt idx="6">
                  <c:v>11.046246523115794</c:v>
                </c:pt>
              </c:numCache>
            </c:numRef>
          </c:xVal>
          <c:yVal>
            <c:numRef>
              <c:f>'EF25 P80 AVGS'!$K$6:$K$12</c:f>
              <c:numCache>
                <c:formatCode>0</c:formatCode>
                <c:ptCount val="7"/>
                <c:pt idx="0">
                  <c:v>0</c:v>
                </c:pt>
                <c:pt idx="1">
                  <c:v>1537.0677419354834</c:v>
                </c:pt>
                <c:pt idx="2">
                  <c:v>2821.8</c:v>
                </c:pt>
                <c:pt idx="3">
                  <c:v>4640.8193548387089</c:v>
                </c:pt>
                <c:pt idx="4">
                  <c:v>6565.0709677419345</c:v>
                </c:pt>
                <c:pt idx="5">
                  <c:v>8488.056989247314</c:v>
                </c:pt>
                <c:pt idx="6">
                  <c:v>9426.2247311827978</c:v>
                </c:pt>
              </c:numCache>
            </c:numRef>
          </c:yVal>
          <c:smooth val="0"/>
          <c:extLst>
            <c:ext xmlns:c16="http://schemas.microsoft.com/office/drawing/2014/chart" uri="{C3380CC4-5D6E-409C-BE32-E72D297353CC}">
              <c16:uniqueId val="{00000001-FF03-4CB5-B8FE-3A70EEF3438C}"/>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'EF25 P80 AVGS'!$P$5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'EF25 P80 AVGS'!$M$7:$M$12</c:f>
              <c:numCache>
                <c:formatCode>0.0E+00</c:formatCode>
                <c:ptCount val="6"/>
                <c:pt idx="0">
                  <c:v>16525.642491230723</c:v>
                </c:pt>
                <c:pt idx="1">
                  <c:v>23135.899487723014</c:v>
                </c:pt>
                <c:pt idx="2">
                  <c:v>30320.96144043202</c:v>
                </c:pt>
                <c:pt idx="3">
                  <c:v>36500.114719761768</c:v>
                </c:pt>
                <c:pt idx="4">
                  <c:v>43254.072955308235</c:v>
                </c:pt>
                <c:pt idx="5">
                  <c:v>49002.122517475444</c:v>
                </c:pt>
              </c:numCache>
            </c:numRef>
          </c:xVal>
          <c:yVal>
            <c:numRef>
              <c:f>'EF25 P80 AVGS'!$P$7:$P$12</c:f>
              <c:numCache>
                <c:formatCode>0.000</c:formatCode>
                <c:ptCount val="6"/>
                <c:pt idx="0">
                  <c:v>1.1911162392933362E-2</c:v>
                </c:pt>
                <c:pt idx="1">
                  <c:v>1.1156585428062358E-2</c:v>
                </c:pt>
                <c:pt idx="2">
                  <c:v>1.0682836246979188E-2</c:v>
                </c:pt>
                <c:pt idx="3">
                  <c:v>1.042866723901972E-2</c:v>
                </c:pt>
                <c:pt idx="4">
                  <c:v>9.6013458520381265E-3</c:v>
                </c:pt>
                <c:pt idx="5">
                  <c:v>8.3077964975756102E-3</c:v>
                </c:pt>
              </c:numCache>
            </c:numRef>
          </c:yVal>
          <c:smooth val="0"/>
          <c:extLst>
            <c:ext xmlns:c16="http://schemas.microsoft.com/office/drawing/2014/chart" uri="{C3380CC4-5D6E-409C-BE32-E72D297353CC}">
              <c16:uniqueId val="{00000001-33B6-46D9-B34B-689451B28F86}"/>
            </c:ext>
          </c:extLst>
        </c:ser>
        <c:ser>
          <c:idx val="1"/>
          <c:order val="1"/>
          <c:tx>
            <c:strRef>
              <c:f>'EF25 P80 AVGS'!$V$5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'EF25 P80 AVGS'!$U$7:$U$31</c:f>
              <c:numCache>
                <c:formatCode>0.00000</c:formatCode>
                <c:ptCount val="25"/>
                <c:pt idx="0">
                  <c:v>1474.3735331970622</c:v>
                </c:pt>
                <c:pt idx="1">
                  <c:v>2948.7470663941244</c:v>
                </c:pt>
                <c:pt idx="2">
                  <c:v>4423.120599591186</c:v>
                </c:pt>
                <c:pt idx="3">
                  <c:v>5897.4941327882489</c:v>
                </c:pt>
                <c:pt idx="4">
                  <c:v>7371.8676659853109</c:v>
                </c:pt>
                <c:pt idx="5">
                  <c:v>8846.2411991823719</c:v>
                </c:pt>
                <c:pt idx="6">
                  <c:v>10320.614732379436</c:v>
                </c:pt>
                <c:pt idx="7">
                  <c:v>11794.988265576498</c:v>
                </c:pt>
                <c:pt idx="8">
                  <c:v>13269.361798773562</c:v>
                </c:pt>
                <c:pt idx="9">
                  <c:v>14743.735331970622</c:v>
                </c:pt>
                <c:pt idx="10">
                  <c:v>16218.108865167686</c:v>
                </c:pt>
                <c:pt idx="11">
                  <c:v>17692.482398364744</c:v>
                </c:pt>
                <c:pt idx="12">
                  <c:v>19166.855931561811</c:v>
                </c:pt>
                <c:pt idx="13">
                  <c:v>20641.229464758871</c:v>
                </c:pt>
                <c:pt idx="14">
                  <c:v>22115.602997955935</c:v>
                </c:pt>
                <c:pt idx="15">
                  <c:v>23589.976531152995</c:v>
                </c:pt>
                <c:pt idx="16">
                  <c:v>25064.350064350056</c:v>
                </c:pt>
                <c:pt idx="17">
                  <c:v>26538.723597547123</c:v>
                </c:pt>
                <c:pt idx="18">
                  <c:v>28013.097130744183</c:v>
                </c:pt>
                <c:pt idx="19">
                  <c:v>29487.470663941243</c:v>
                </c:pt>
                <c:pt idx="20">
                  <c:v>30961.844197138311</c:v>
                </c:pt>
                <c:pt idx="21">
                  <c:v>32436.217730335371</c:v>
                </c:pt>
                <c:pt idx="22">
                  <c:v>33910.591263532428</c:v>
                </c:pt>
                <c:pt idx="23">
                  <c:v>35384.964796729488</c:v>
                </c:pt>
                <c:pt idx="24">
                  <c:v>36859.338329926555</c:v>
                </c:pt>
              </c:numCache>
            </c:numRef>
          </c:xVal>
          <c:yVal>
            <c:numRef>
              <c:f>'EF25 P80 AVGS'!$W$7:$W$31</c:f>
              <c:numCache>
                <c:formatCode>0.00000</c:formatCode>
                <c:ptCount val="25"/>
                <c:pt idx="0">
                  <c:v>1.2765111186900227E-2</c:v>
                </c:pt>
                <c:pt idx="1">
                  <c:v>1.0734136237379489E-2</c:v>
                </c:pt>
                <c:pt idx="2">
                  <c:v>9.6993870111171474E-3</c:v>
                </c:pt>
                <c:pt idx="3">
                  <c:v>9.0262966828574109E-3</c:v>
                </c:pt>
                <c:pt idx="4">
                  <c:v>8.536544348185595E-3</c:v>
                </c:pt>
                <c:pt idx="5">
                  <c:v>8.1561797678068506E-3</c:v>
                </c:pt>
                <c:pt idx="6">
                  <c:v>7.8478391288119148E-3</c:v>
                </c:pt>
                <c:pt idx="7">
                  <c:v>7.5901805236312904E-3</c:v>
                </c:pt>
                <c:pt idx="8">
                  <c:v>7.3699403799923494E-3</c:v>
                </c:pt>
                <c:pt idx="9">
                  <c:v>7.1783495410436236E-3</c:v>
                </c:pt>
                <c:pt idx="10">
                  <c:v>7.0093287664781141E-3</c:v>
                </c:pt>
                <c:pt idx="11">
                  <c:v>6.858502328913654E-3</c:v>
                </c:pt>
                <c:pt idx="12">
                  <c:v>6.7226231063910423E-3</c:v>
                </c:pt>
                <c:pt idx="13">
                  <c:v>6.5992197909057722E-3</c:v>
                </c:pt>
                <c:pt idx="14">
                  <c:v>6.4863710278988294E-3</c:v>
                </c:pt>
                <c:pt idx="15">
                  <c:v>6.3825555934501144E-3</c:v>
                </c:pt>
                <c:pt idx="16">
                  <c:v>6.2865499645722639E-3</c:v>
                </c:pt>
                <c:pt idx="17">
                  <c:v>6.1973564461691661E-3</c:v>
                </c:pt>
                <c:pt idx="18">
                  <c:v>6.1141515843799333E-3</c:v>
                </c:pt>
                <c:pt idx="19">
                  <c:v>6.0362483965017292E-3</c:v>
                </c:pt>
                <c:pt idx="20">
                  <c:v>5.9630682253241961E-3</c:v>
                </c:pt>
                <c:pt idx="21">
                  <c:v>5.8941194330661868E-3</c:v>
                </c:pt>
                <c:pt idx="22">
                  <c:v>5.8289810435609244E-3</c:v>
                </c:pt>
                <c:pt idx="23">
                  <c:v>5.7672900223927461E-3</c:v>
                </c:pt>
                <c:pt idx="24">
                  <c:v>5.7087312708503871E-3</c:v>
                </c:pt>
              </c:numCache>
            </c:numRef>
          </c:yVal>
          <c:smooth val="0"/>
          <c:extLst>
            <c:ext xmlns:c16="http://schemas.microsoft.com/office/drawing/2014/chart" uri="{C3380CC4-5D6E-409C-BE32-E72D297353CC}">
              <c16:uniqueId val="{00000003-33B6-46D9-B34B-689451B28F86}"/>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1 Rigid P80</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0"/>
            <c:dispEq val="1"/>
            <c:trendlineLbl>
              <c:layout>
                <c:manualLayout>
                  <c:x val="-0.40185229808785561"/>
                  <c:y val="-7.2719302129277949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EF25 P80'!$L$7:$L$12</c:f>
              <c:numCache>
                <c:formatCode>0.0E+00</c:formatCode>
                <c:ptCount val="6"/>
                <c:pt idx="0">
                  <c:v>15586.246962785113</c:v>
                </c:pt>
                <c:pt idx="1">
                  <c:v>20908.380072028813</c:v>
                </c:pt>
                <c:pt idx="2">
                  <c:v>26610.665546218486</c:v>
                </c:pt>
                <c:pt idx="3">
                  <c:v>32312.951020408163</c:v>
                </c:pt>
                <c:pt idx="4">
                  <c:v>37254.931764705885</c:v>
                </c:pt>
                <c:pt idx="5">
                  <c:v>42196.912509003596</c:v>
                </c:pt>
              </c:numCache>
            </c:numRef>
          </c:xVal>
          <c:yVal>
            <c:numRef>
              <c:f>'1 EF25 P80'!$O$7:$O$12</c:f>
              <c:numCache>
                <c:formatCode>0.000</c:formatCode>
                <c:ptCount val="6"/>
                <c:pt idx="0">
                  <c:v>1.1945172200410852E-2</c:v>
                </c:pt>
                <c:pt idx="1">
                  <c:v>1.0599829557385167E-2</c:v>
                </c:pt>
                <c:pt idx="2">
                  <c:v>9.9519387158901393E-3</c:v>
                </c:pt>
                <c:pt idx="3">
                  <c:v>9.6772638917895608E-3</c:v>
                </c:pt>
                <c:pt idx="4">
                  <c:v>9.4880420318076593E-3</c:v>
                </c:pt>
                <c:pt idx="5">
                  <c:v>9.0794051151637419E-3</c:v>
                </c:pt>
              </c:numCache>
            </c:numRef>
          </c:yVal>
          <c:smooth val="0"/>
          <c:extLst>
            <c:ext xmlns:c16="http://schemas.microsoft.com/office/drawing/2014/chart" uri="{C3380CC4-5D6E-409C-BE32-E72D297353CC}">
              <c16:uniqueId val="{00000001-5DDE-4C17-8A8B-E11C545E5422}"/>
            </c:ext>
          </c:extLst>
        </c:ser>
        <c:ser>
          <c:idx val="1"/>
          <c:order val="1"/>
          <c:tx>
            <c:v>2 Rigid P80</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0.41241597819304993"/>
                  <c:y val="-0.14874933861521808"/>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P80'!$L$7:$L$12</c:f>
              <c:numCache>
                <c:formatCode>0.0E+00</c:formatCode>
                <c:ptCount val="6"/>
                <c:pt idx="0">
                  <c:v>17318.500681257199</c:v>
                </c:pt>
                <c:pt idx="1">
                  <c:v>24339.514470956063</c:v>
                </c:pt>
                <c:pt idx="2">
                  <c:v>33700.866190554545</c:v>
                </c:pt>
                <c:pt idx="3">
                  <c:v>39785.744808293559</c:v>
                </c:pt>
                <c:pt idx="4">
                  <c:v>47274.826183972349</c:v>
                </c:pt>
                <c:pt idx="5">
                  <c:v>53359.70480171137</c:v>
                </c:pt>
              </c:numCache>
            </c:numRef>
          </c:xVal>
          <c:yVal>
            <c:numRef>
              <c:f>'2 EF25 P80'!$O$7:$O$12</c:f>
              <c:numCache>
                <c:formatCode>0.000</c:formatCode>
                <c:ptCount val="6"/>
                <c:pt idx="0">
                  <c:v>1.1445516651751041E-2</c:v>
                </c:pt>
                <c:pt idx="1">
                  <c:v>1.1070967025205339E-2</c:v>
                </c:pt>
                <c:pt idx="2">
                  <c:v>1.041636084823749E-2</c:v>
                </c:pt>
                <c:pt idx="3">
                  <c:v>1.0113067187798083E-2</c:v>
                </c:pt>
                <c:pt idx="4">
                  <c:v>8.3073172149779311E-3</c:v>
                </c:pt>
                <c:pt idx="5">
                  <c:v>6.6264940071228112E-3</c:v>
                </c:pt>
              </c:numCache>
            </c:numRef>
          </c:yVal>
          <c:smooth val="0"/>
          <c:extLst>
            <c:ext xmlns:c16="http://schemas.microsoft.com/office/drawing/2014/chart" uri="{C3380CC4-5D6E-409C-BE32-E72D297353CC}">
              <c16:uniqueId val="{00000003-5DDE-4C17-8A8B-E11C545E5422}"/>
            </c:ext>
          </c:extLst>
        </c:ser>
        <c:ser>
          <c:idx val="2"/>
          <c:order val="2"/>
          <c:tx>
            <c:v>3 Rigid P80</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wer"/>
            <c:dispRSqr val="0"/>
            <c:dispEq val="1"/>
            <c:trendlineLbl>
              <c:layout>
                <c:manualLayout>
                  <c:x val="-0.41264635218605206"/>
                  <c:y val="1.1161707399743502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EF25 P80'!$L$7:$L$12</c:f>
              <c:numCache>
                <c:formatCode>0.0E+00</c:formatCode>
                <c:ptCount val="6"/>
                <c:pt idx="0">
                  <c:v>17172.967062086969</c:v>
                </c:pt>
                <c:pt idx="1">
                  <c:v>25063.249225748546</c:v>
                </c:pt>
                <c:pt idx="2">
                  <c:v>32025.262899567588</c:v>
                </c:pt>
                <c:pt idx="3">
                  <c:v>38987.276573386633</c:v>
                </c:pt>
                <c:pt idx="4">
                  <c:v>47341.692981969485</c:v>
                </c:pt>
                <c:pt idx="5">
                  <c:v>53839.572410867258</c:v>
                </c:pt>
              </c:numCache>
            </c:numRef>
          </c:xVal>
          <c:yVal>
            <c:numRef>
              <c:f>'3 EF25 P80'!$O$7:$O$12</c:f>
              <c:numCache>
                <c:formatCode>0.000</c:formatCode>
                <c:ptCount val="6"/>
                <c:pt idx="0">
                  <c:v>1.0348641826910643E-2</c:v>
                </c:pt>
                <c:pt idx="1">
                  <c:v>1.0100129495431837E-2</c:v>
                </c:pt>
                <c:pt idx="2">
                  <c:v>9.8420940958272238E-3</c:v>
                </c:pt>
                <c:pt idx="3">
                  <c:v>9.8107312922403669E-3</c:v>
                </c:pt>
                <c:pt idx="4">
                  <c:v>9.6229774267984486E-3</c:v>
                </c:pt>
                <c:pt idx="5">
                  <c:v>8.1606456138750803E-3</c:v>
                </c:pt>
              </c:numCache>
            </c:numRef>
          </c:yVal>
          <c:smooth val="0"/>
          <c:extLst>
            <c:ext xmlns:c16="http://schemas.microsoft.com/office/drawing/2014/chart" uri="{C3380CC4-5D6E-409C-BE32-E72D297353CC}">
              <c16:uniqueId val="{00000007-5DDE-4C17-8A8B-E11C545E5422}"/>
            </c:ext>
          </c:extLst>
        </c:ser>
        <c:dLbls>
          <c:showLegendKey val="0"/>
          <c:showVal val="0"/>
          <c:showCatName val="0"/>
          <c:showSerName val="0"/>
          <c:showPercent val="0"/>
          <c:showBubbleSize val="0"/>
        </c:dLbls>
        <c:axId val="1408354767"/>
        <c:axId val="1074120591"/>
      </c:scatterChart>
      <c:valAx>
        <c:axId val="14083547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4120591"/>
        <c:crosses val="autoZero"/>
        <c:crossBetween val="midCat"/>
      </c:valAx>
      <c:valAx>
        <c:axId val="10741205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354767"/>
        <c:crosses val="autoZero"/>
        <c:crossBetween val="midCat"/>
      </c:valAx>
      <c:spPr>
        <a:noFill/>
        <a:ln>
          <a:noFill/>
        </a:ln>
        <a:effectLst/>
      </c:spPr>
    </c:plotArea>
    <c:legend>
      <c:legendPos val="r"/>
      <c:layout>
        <c:manualLayout>
          <c:xMode val="edge"/>
          <c:yMode val="edge"/>
          <c:x val="0.72755325253079506"/>
          <c:y val="9.2928825924977004E-2"/>
          <c:w val="0.27025982839425494"/>
          <c:h val="0.7772076532001782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'1 EF25 P240'!$G$8:$G$11</c:f>
              <c:numCache>
                <c:formatCode>0.00</c:formatCode>
                <c:ptCount val="4"/>
                <c:pt idx="0">
                  <c:v>3.8446812764346019</c:v>
                </c:pt>
                <c:pt idx="1">
                  <c:v>6.3319764688835409</c:v>
                </c:pt>
                <c:pt idx="2">
                  <c:v>9.4365565996044829</c:v>
                </c:pt>
                <c:pt idx="3">
                  <c:v>12.922400956905188</c:v>
                </c:pt>
              </c:numCache>
            </c:numRef>
          </c:xVal>
          <c:yVal>
            <c:numRef>
              <c:f>'1 EF25 P240'!$K$8:$K$11</c:f>
              <c:numCache>
                <c:formatCode>0</c:formatCode>
                <c:ptCount val="4"/>
                <c:pt idx="0">
                  <c:v>3521.7200000000007</c:v>
                </c:pt>
                <c:pt idx="1">
                  <c:v>5368.9449999999997</c:v>
                </c:pt>
                <c:pt idx="2">
                  <c:v>7897.6449999999986</c:v>
                </c:pt>
                <c:pt idx="3">
                  <c:v>9316.1000000000022</c:v>
                </c:pt>
              </c:numCache>
            </c:numRef>
          </c:yVal>
          <c:smooth val="0"/>
          <c:extLst>
            <c:ext xmlns:c16="http://schemas.microsoft.com/office/drawing/2014/chart" uri="{C3380CC4-5D6E-409C-BE32-E72D297353CC}">
              <c16:uniqueId val="{00000001-4CDA-409B-9EAB-2E33428D69C1}"/>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'1 EF25 P240'!$O$5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1.0337860472579874E-2"/>
                  <c:y val="-0.1493205782109107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trendline>
            <c:spPr>
              <a:ln w="19050" cap="rnd">
                <a:solidFill>
                  <a:schemeClr val="accent1"/>
                </a:solidFill>
                <a:prstDash val="sysDot"/>
              </a:ln>
              <a:effectLst/>
            </c:spPr>
            <c:trendlineType val="power"/>
            <c:dispRSqr val="0"/>
            <c:dispEq val="0"/>
          </c:trendline>
          <c:xVal>
            <c:numRef>
              <c:f>'1 EF25 P240'!$L$7:$L$11</c:f>
              <c:numCache>
                <c:formatCode>0.0E+00</c:formatCode>
                <c:ptCount val="5"/>
                <c:pt idx="0">
                  <c:v>16239.329230769232</c:v>
                </c:pt>
                <c:pt idx="1">
                  <c:v>23199.041758241761</c:v>
                </c:pt>
                <c:pt idx="2">
                  <c:v>29772.103589743587</c:v>
                </c:pt>
                <c:pt idx="3">
                  <c:v>36345.165421245423</c:v>
                </c:pt>
                <c:pt idx="4">
                  <c:v>42531.576556776556</c:v>
                </c:pt>
              </c:numCache>
            </c:numRef>
          </c:xVal>
          <c:yVal>
            <c:numRef>
              <c:f>'1 EF25 P240'!$O$7:$O$11</c:f>
              <c:numCache>
                <c:formatCode>0.000</c:formatCode>
                <c:ptCount val="5"/>
                <c:pt idx="1">
                  <c:v>8.1075604834386014E-3</c:v>
                </c:pt>
                <c:pt idx="2">
                  <c:v>7.5049081076271063E-3</c:v>
                </c:pt>
                <c:pt idx="3">
                  <c:v>7.4076384173204068E-3</c:v>
                </c:pt>
                <c:pt idx="4">
                  <c:v>6.3809691599593212E-3</c:v>
                </c:pt>
              </c:numCache>
            </c:numRef>
          </c:yVal>
          <c:smooth val="0"/>
          <c:extLst>
            <c:ext xmlns:c16="http://schemas.microsoft.com/office/drawing/2014/chart" uri="{C3380CC4-5D6E-409C-BE32-E72D297353CC}">
              <c16:uniqueId val="{00000001-FAF5-4A4A-976A-ACAAD4932AF7}"/>
            </c:ext>
          </c:extLst>
        </c:ser>
        <c:ser>
          <c:idx val="1"/>
          <c:order val="1"/>
          <c:tx>
            <c:strRef>
              <c:f>'1 EF25 P240'!$W$5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EF25 P240'!$V$7:$V$31</c:f>
              <c:numCache>
                <c:formatCode>0.00000</c:formatCode>
                <c:ptCount val="25"/>
                <c:pt idx="0">
                  <c:v>1183.1501831501832</c:v>
                </c:pt>
                <c:pt idx="1">
                  <c:v>2366.3003663003665</c:v>
                </c:pt>
                <c:pt idx="2">
                  <c:v>3549.4505494505493</c:v>
                </c:pt>
                <c:pt idx="3">
                  <c:v>4732.600732600733</c:v>
                </c:pt>
                <c:pt idx="4">
                  <c:v>5915.7509157509157</c:v>
                </c:pt>
                <c:pt idx="5">
                  <c:v>7098.9010989010985</c:v>
                </c:pt>
                <c:pt idx="6">
                  <c:v>8282.0512820512813</c:v>
                </c:pt>
                <c:pt idx="7">
                  <c:v>9465.2014652014659</c:v>
                </c:pt>
                <c:pt idx="8">
                  <c:v>10648.351648351649</c:v>
                </c:pt>
                <c:pt idx="9">
                  <c:v>11831.501831501831</c:v>
                </c:pt>
                <c:pt idx="10">
                  <c:v>13014.652014652016</c:v>
                </c:pt>
                <c:pt idx="11">
                  <c:v>14197.802197802197</c:v>
                </c:pt>
                <c:pt idx="12">
                  <c:v>15380.952380952382</c:v>
                </c:pt>
                <c:pt idx="13">
                  <c:v>16564.102564102563</c:v>
                </c:pt>
                <c:pt idx="14">
                  <c:v>17747.252747252747</c:v>
                </c:pt>
                <c:pt idx="15">
                  <c:v>18930.402930402932</c:v>
                </c:pt>
                <c:pt idx="16">
                  <c:v>20113.553113553116</c:v>
                </c:pt>
                <c:pt idx="17">
                  <c:v>21296.703296703297</c:v>
                </c:pt>
                <c:pt idx="18">
                  <c:v>22479.853479853478</c:v>
                </c:pt>
                <c:pt idx="19">
                  <c:v>23663.003663003663</c:v>
                </c:pt>
                <c:pt idx="20">
                  <c:v>24846.153846153848</c:v>
                </c:pt>
                <c:pt idx="21">
                  <c:v>26029.304029304032</c:v>
                </c:pt>
                <c:pt idx="22">
                  <c:v>27212.454212454213</c:v>
                </c:pt>
                <c:pt idx="23">
                  <c:v>28395.604395604394</c:v>
                </c:pt>
                <c:pt idx="24">
                  <c:v>29578.754578754582</c:v>
                </c:pt>
              </c:numCache>
            </c:numRef>
          </c:xVal>
          <c:yVal>
            <c:numRef>
              <c:f>'1 EF25 P240'!$X$7:$X$31</c:f>
              <c:numCache>
                <c:formatCode>0.00000</c:formatCode>
                <c:ptCount val="25"/>
                <c:pt idx="0">
                  <c:v>1.3487035935942627E-2</c:v>
                </c:pt>
                <c:pt idx="1">
                  <c:v>1.1341200170932184E-2</c:v>
                </c:pt>
                <c:pt idx="2">
                  <c:v>1.0247931197794633E-2</c:v>
                </c:pt>
                <c:pt idx="3">
                  <c:v>9.5367745684116888E-3</c:v>
                </c:pt>
                <c:pt idx="4">
                  <c:v>9.019324525030235E-3</c:v>
                </c:pt>
                <c:pt idx="5">
                  <c:v>8.6174486079922154E-3</c:v>
                </c:pt>
                <c:pt idx="6">
                  <c:v>8.2916699118454965E-3</c:v>
                </c:pt>
                <c:pt idx="7">
                  <c:v>8.0194395476601791E-3</c:v>
                </c:pt>
                <c:pt idx="8">
                  <c:v>7.7867438281866326E-3</c:v>
                </c:pt>
                <c:pt idx="9">
                  <c:v>7.5843176611078362E-3</c:v>
                </c:pt>
                <c:pt idx="10">
                  <c:v>7.4057379975930194E-3</c:v>
                </c:pt>
                <c:pt idx="11">
                  <c:v>7.2463816430937671E-3</c:v>
                </c:pt>
                <c:pt idx="12">
                  <c:v>7.1028178362237517E-3</c:v>
                </c:pt>
                <c:pt idx="13">
                  <c:v>6.9724355053379615E-3</c:v>
                </c:pt>
                <c:pt idx="14">
                  <c:v>6.8532046345905744E-3</c:v>
                </c:pt>
                <c:pt idx="15">
                  <c:v>6.7435179679713143E-3</c:v>
                </c:pt>
                <c:pt idx="16">
                  <c:v>6.642082786736299E-3</c:v>
                </c:pt>
                <c:pt idx="17">
                  <c:v>6.5478449716211253E-3</c:v>
                </c:pt>
                <c:pt idx="18">
                  <c:v>6.4599344987262171E-3</c:v>
                </c:pt>
                <c:pt idx="19">
                  <c:v>6.3776255333710162E-3</c:v>
                </c:pt>
                <c:pt idx="20">
                  <c:v>6.3003066926638034E-3</c:v>
                </c:pt>
                <c:pt idx="21">
                  <c:v>6.2274585344841912E-3</c:v>
                </c:pt>
                <c:pt idx="22">
                  <c:v>6.1586362745599324E-3</c:v>
                </c:pt>
                <c:pt idx="23">
                  <c:v>6.0934563472378701E-3</c:v>
                </c:pt>
                <c:pt idx="24">
                  <c:v>6.031585833550044E-3</c:v>
                </c:pt>
              </c:numCache>
            </c:numRef>
          </c:yVal>
          <c:smooth val="0"/>
          <c:extLst>
            <c:ext xmlns:c16="http://schemas.microsoft.com/office/drawing/2014/chart" uri="{C3380CC4-5D6E-409C-BE32-E72D297353CC}">
              <c16:uniqueId val="{00000003-FAF5-4A4A-976A-ACAAD4932AF7}"/>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'2 EF25 P240'!$G$6:$G$12</c:f>
              <c:numCache>
                <c:formatCode>0.00</c:formatCode>
                <c:ptCount val="7"/>
                <c:pt idx="0">
                  <c:v>0</c:v>
                </c:pt>
                <c:pt idx="1">
                  <c:v>1.1630160861214669</c:v>
                </c:pt>
                <c:pt idx="2">
                  <c:v>2.5641888179776329</c:v>
                </c:pt>
                <c:pt idx="3">
                  <c:v>4.9382795061759985</c:v>
                </c:pt>
                <c:pt idx="4">
                  <c:v>7.1810102507628528</c:v>
                </c:pt>
                <c:pt idx="5">
                  <c:v>9.2368467666341303</c:v>
                </c:pt>
                <c:pt idx="6">
                  <c:v>12.688516179255416</c:v>
                </c:pt>
              </c:numCache>
            </c:numRef>
          </c:xVal>
          <c:yVal>
            <c:numRef>
              <c:f>'2 EF25 P240'!$K$6:$K$12</c:f>
              <c:numCache>
                <c:formatCode>0</c:formatCode>
                <c:ptCount val="7"/>
                <c:pt idx="0">
                  <c:v>0</c:v>
                </c:pt>
                <c:pt idx="1">
                  <c:v>1058.8089247311834</c:v>
                </c:pt>
                <c:pt idx="2">
                  <c:v>2332.6806451612902</c:v>
                </c:pt>
                <c:pt idx="3">
                  <c:v>4388.9032258064508</c:v>
                </c:pt>
                <c:pt idx="4">
                  <c:v>6423.3322580645163</c:v>
                </c:pt>
                <c:pt idx="5">
                  <c:v>7993.0903225806451</c:v>
                </c:pt>
                <c:pt idx="6">
                  <c:v>8859.3096774193546</c:v>
                </c:pt>
              </c:numCache>
            </c:numRef>
          </c:yVal>
          <c:smooth val="0"/>
          <c:extLst>
            <c:ext xmlns:c16="http://schemas.microsoft.com/office/drawing/2014/chart" uri="{C3380CC4-5D6E-409C-BE32-E72D297353CC}">
              <c16:uniqueId val="{00000001-3687-4869-965C-93DFA825080C}"/>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409683878359783E-2"/>
          <c:y val="2.1723940556373958E-2"/>
          <c:w val="0.89293915458655693"/>
          <c:h val="0.8280262548880204"/>
        </c:manualLayout>
      </c:layout>
      <c:scatterChart>
        <c:scatterStyle val="lineMarker"/>
        <c:varyColors val="0"/>
        <c:ser>
          <c:idx val="0"/>
          <c:order val="0"/>
          <c:tx>
            <c:strRef>
              <c:f>'2 EF25 P240'!$O$5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1.0337860472579874E-2"/>
                  <c:y val="-0.1493205782109107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trendline>
            <c:spPr>
              <a:ln w="19050" cap="rnd">
                <a:solidFill>
                  <a:schemeClr val="accent1"/>
                </a:solidFill>
                <a:prstDash val="sysDot"/>
              </a:ln>
              <a:effectLst/>
            </c:spPr>
            <c:trendlineType val="power"/>
            <c:dispRSqr val="0"/>
            <c:dispEq val="0"/>
          </c:trendline>
          <c:xVal>
            <c:numRef>
              <c:f>'2 EF25 P240'!$L$7:$L$11</c:f>
              <c:numCache>
                <c:formatCode>0.0E+00</c:formatCode>
                <c:ptCount val="5"/>
                <c:pt idx="0">
                  <c:v>15296.444200244199</c:v>
                </c:pt>
                <c:pt idx="1">
                  <c:v>22712.901994301992</c:v>
                </c:pt>
                <c:pt idx="2">
                  <c:v>31519.945624745618</c:v>
                </c:pt>
                <c:pt idx="3">
                  <c:v>38009.346194546197</c:v>
                </c:pt>
                <c:pt idx="4">
                  <c:v>43108.160927960933</c:v>
                </c:pt>
              </c:numCache>
            </c:numRef>
          </c:xVal>
          <c:yVal>
            <c:numRef>
              <c:f>'2 EF25 P240'!$O$7:$O$11</c:f>
              <c:numCache>
                <c:formatCode>0.000</c:formatCode>
                <c:ptCount val="5"/>
                <c:pt idx="0">
                  <c:v>8.0658674958973796E-3</c:v>
                </c:pt>
                <c:pt idx="1">
                  <c:v>8.0598042761006166E-3</c:v>
                </c:pt>
                <c:pt idx="2">
                  <c:v>7.8740750368921988E-3</c:v>
                </c:pt>
                <c:pt idx="3">
                  <c:v>7.9249047689665883E-3</c:v>
                </c:pt>
                <c:pt idx="4">
                  <c:v>7.6667304271523188E-3</c:v>
                </c:pt>
              </c:numCache>
            </c:numRef>
          </c:yVal>
          <c:smooth val="0"/>
          <c:extLst>
            <c:ext xmlns:c16="http://schemas.microsoft.com/office/drawing/2014/chart" uri="{C3380CC4-5D6E-409C-BE32-E72D297353CC}">
              <c16:uniqueId val="{00000002-E5D7-402B-AF9E-160431C38142}"/>
            </c:ext>
          </c:extLst>
        </c:ser>
        <c:ser>
          <c:idx val="1"/>
          <c:order val="1"/>
          <c:tx>
            <c:strRef>
              <c:f>'2 EF25 P240'!$W$5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P240'!$V$7:$V$31</c:f>
              <c:numCache>
                <c:formatCode>0.00000</c:formatCode>
                <c:ptCount val="25"/>
                <c:pt idx="0">
                  <c:v>1418.3964183964185</c:v>
                </c:pt>
                <c:pt idx="1">
                  <c:v>2836.7928367928371</c:v>
                </c:pt>
                <c:pt idx="2">
                  <c:v>4255.1892551892552</c:v>
                </c:pt>
                <c:pt idx="3">
                  <c:v>5673.5856735856742</c:v>
                </c:pt>
                <c:pt idx="4">
                  <c:v>7091.9820919820922</c:v>
                </c:pt>
                <c:pt idx="5">
                  <c:v>8510.3785103785103</c:v>
                </c:pt>
                <c:pt idx="6">
                  <c:v>9928.7749287749284</c:v>
                </c:pt>
                <c:pt idx="7">
                  <c:v>11347.171347171348</c:v>
                </c:pt>
                <c:pt idx="8">
                  <c:v>12765.567765567766</c:v>
                </c:pt>
                <c:pt idx="9">
                  <c:v>14183.964183964184</c:v>
                </c:pt>
                <c:pt idx="10">
                  <c:v>15602.360602360604</c:v>
                </c:pt>
                <c:pt idx="11">
                  <c:v>17020.757020757021</c:v>
                </c:pt>
                <c:pt idx="12">
                  <c:v>18439.153439153441</c:v>
                </c:pt>
                <c:pt idx="13">
                  <c:v>19857.549857549857</c:v>
                </c:pt>
                <c:pt idx="14">
                  <c:v>21275.946275946273</c:v>
                </c:pt>
                <c:pt idx="15">
                  <c:v>22694.342694342697</c:v>
                </c:pt>
                <c:pt idx="16">
                  <c:v>24112.739112739113</c:v>
                </c:pt>
                <c:pt idx="17">
                  <c:v>25531.135531135533</c:v>
                </c:pt>
                <c:pt idx="18">
                  <c:v>26949.531949531949</c:v>
                </c:pt>
                <c:pt idx="19">
                  <c:v>28367.928367928369</c:v>
                </c:pt>
                <c:pt idx="20">
                  <c:v>29786.324786324789</c:v>
                </c:pt>
                <c:pt idx="21">
                  <c:v>31204.721204721209</c:v>
                </c:pt>
                <c:pt idx="22">
                  <c:v>32623.117623117625</c:v>
                </c:pt>
                <c:pt idx="23">
                  <c:v>34041.514041514041</c:v>
                </c:pt>
                <c:pt idx="24">
                  <c:v>35459.910459910461</c:v>
                </c:pt>
              </c:numCache>
            </c:numRef>
          </c:xVal>
          <c:yVal>
            <c:numRef>
              <c:f>'2 EF25 P240'!$X$7:$X$31</c:f>
              <c:numCache>
                <c:formatCode>0.00000</c:formatCode>
                <c:ptCount val="25"/>
                <c:pt idx="0">
                  <c:v>1.2889233073083213E-2</c:v>
                </c:pt>
                <c:pt idx="1">
                  <c:v>1.0838509886525292E-2</c:v>
                </c:pt>
                <c:pt idx="2">
                  <c:v>9.7936992496093656E-3</c:v>
                </c:pt>
                <c:pt idx="3">
                  <c:v>9.1140641102710647E-3</c:v>
                </c:pt>
                <c:pt idx="4">
                  <c:v>8.6195496562058542E-3</c:v>
                </c:pt>
                <c:pt idx="5">
                  <c:v>8.2354865910695095E-3</c:v>
                </c:pt>
                <c:pt idx="6">
                  <c:v>7.9241477939591791E-3</c:v>
                </c:pt>
                <c:pt idx="7">
                  <c:v>7.6639838387194724E-3</c:v>
                </c:pt>
                <c:pt idx="8">
                  <c:v>7.4416021843924209E-3</c:v>
                </c:pt>
                <c:pt idx="9">
                  <c:v>7.2481484070048893E-3</c:v>
                </c:pt>
                <c:pt idx="10">
                  <c:v>7.0774841546007612E-3</c:v>
                </c:pt>
                <c:pt idx="11">
                  <c:v>6.9251911523003839E-3</c:v>
                </c:pt>
                <c:pt idx="12">
                  <c:v>6.7879907046708649E-3</c:v>
                </c:pt>
                <c:pt idx="13">
                  <c:v>6.6633874738809039E-3</c:v>
                </c:pt>
                <c:pt idx="14">
                  <c:v>6.5494414230311236E-3</c:v>
                </c:pt>
                <c:pt idx="15">
                  <c:v>6.4446165365416074E-3</c:v>
                </c:pt>
                <c:pt idx="16">
                  <c:v>6.3476773944678251E-3</c:v>
                </c:pt>
                <c:pt idx="17">
                  <c:v>6.2576166005997979E-3</c:v>
                </c:pt>
                <c:pt idx="18">
                  <c:v>6.1736026942018959E-3</c:v>
                </c:pt>
                <c:pt idx="19">
                  <c:v>6.0949420126773322E-3</c:v>
                </c:pt>
                <c:pt idx="20">
                  <c:v>6.0210502722275253E-3</c:v>
                </c:pt>
                <c:pt idx="21">
                  <c:v>5.9514310546187462E-3</c:v>
                </c:pt>
                <c:pt idx="22">
                  <c:v>5.8856592903116555E-3</c:v>
                </c:pt>
                <c:pt idx="23">
                  <c:v>5.8233684149161359E-3</c:v>
                </c:pt>
                <c:pt idx="24">
                  <c:v>5.7642402658505173E-3</c:v>
                </c:pt>
              </c:numCache>
            </c:numRef>
          </c:yVal>
          <c:smooth val="0"/>
          <c:extLst>
            <c:ext xmlns:c16="http://schemas.microsoft.com/office/drawing/2014/chart" uri="{C3380CC4-5D6E-409C-BE32-E72D297353CC}">
              <c16:uniqueId val="{00000004-E5D7-402B-AF9E-160431C38142}"/>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15382247587055"/>
          <c:y val="6.4452675675454499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'3 EF25 P240'!$G$6:$G$12</c:f>
              <c:numCache>
                <c:formatCode>0.00</c:formatCode>
                <c:ptCount val="7"/>
                <c:pt idx="0">
                  <c:v>0</c:v>
                </c:pt>
                <c:pt idx="1">
                  <c:v>1.3041096921209383</c:v>
                </c:pt>
                <c:pt idx="2">
                  <c:v>2.6758539993920496</c:v>
                </c:pt>
                <c:pt idx="3">
                  <c:v>4.5353296159151126</c:v>
                </c:pt>
                <c:pt idx="4">
                  <c:v>6.8825365416901239</c:v>
                </c:pt>
                <c:pt idx="5">
                  <c:v>9.7174747767170864</c:v>
                </c:pt>
                <c:pt idx="6">
                  <c:v>12.598137821986425</c:v>
                </c:pt>
              </c:numCache>
            </c:numRef>
          </c:xVal>
          <c:yVal>
            <c:numRef>
              <c:f>'3 EF25 P240'!$K$6:$K$12</c:f>
              <c:numCache>
                <c:formatCode>0</c:formatCode>
                <c:ptCount val="7"/>
                <c:pt idx="0">
                  <c:v>0</c:v>
                </c:pt>
                <c:pt idx="1">
                  <c:v>1219.5677419354838</c:v>
                </c:pt>
                <c:pt idx="2">
                  <c:v>2418.0193548387097</c:v>
                </c:pt>
                <c:pt idx="3">
                  <c:v>4187.5774193548377</c:v>
                </c:pt>
                <c:pt idx="4">
                  <c:v>6135.616129032258</c:v>
                </c:pt>
                <c:pt idx="5">
                  <c:v>7824.2354838709689</c:v>
                </c:pt>
                <c:pt idx="6">
                  <c:v>8651.3677419354844</c:v>
                </c:pt>
              </c:numCache>
            </c:numRef>
          </c:yVal>
          <c:smooth val="0"/>
          <c:extLst>
            <c:ext xmlns:c16="http://schemas.microsoft.com/office/drawing/2014/chart" uri="{C3380CC4-5D6E-409C-BE32-E72D297353CC}">
              <c16:uniqueId val="{00000001-8526-4E16-AA25-8EFD2E97BB5A}"/>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P240 Rigid Elongation</c:v>
          </c:tx>
          <c:spPr>
            <a:ln w="25400" cap="rnd">
              <a:noFill/>
              <a:round/>
            </a:ln>
            <a:effectLst/>
          </c:spPr>
          <c:marker>
            <c:symbol val="circle"/>
            <c:size val="5"/>
            <c:spPr>
              <a:solidFill>
                <a:schemeClr val="accent1"/>
              </a:solidFill>
              <a:ln w="9525">
                <a:solidFill>
                  <a:schemeClr val="accent1"/>
                </a:solidFill>
              </a:ln>
              <a:effectLst/>
            </c:spPr>
          </c:marker>
          <c:xVal>
            <c:numRef>
              <c:f>'EF25 P240 AVGS'!$L$7:$L$12</c:f>
              <c:numCache>
                <c:formatCode>0.0E+00</c:formatCode>
                <c:ptCount val="6"/>
                <c:pt idx="0">
                  <c:v>17255.906060606056</c:v>
                </c:pt>
                <c:pt idx="1">
                  <c:v>24959.435551948049</c:v>
                </c:pt>
                <c:pt idx="2">
                  <c:v>32971.106222943716</c:v>
                </c:pt>
                <c:pt idx="3">
                  <c:v>40212.423944805189</c:v>
                </c:pt>
                <c:pt idx="4">
                  <c:v>46837.459307359313</c:v>
                </c:pt>
                <c:pt idx="5">
                  <c:v>51767.718181818185</c:v>
                </c:pt>
              </c:numCache>
            </c:numRef>
          </c:xVal>
          <c:yVal>
            <c:numRef>
              <c:f>'EF25 P240 AVGS'!$T$7:$T$12</c:f>
              <c:numCache>
                <c:formatCode>0.00</c:formatCode>
                <c:ptCount val="6"/>
                <c:pt idx="0">
                  <c:v>65.287666666666667</c:v>
                </c:pt>
                <c:pt idx="1">
                  <c:v>64.590333333333334</c:v>
                </c:pt>
                <c:pt idx="2">
                  <c:v>65.329222222222214</c:v>
                </c:pt>
                <c:pt idx="3">
                  <c:v>64.043166666666664</c:v>
                </c:pt>
                <c:pt idx="4">
                  <c:v>64.469333333333338</c:v>
                </c:pt>
                <c:pt idx="5">
                  <c:v>64.34341666666667</c:v>
                </c:pt>
              </c:numCache>
            </c:numRef>
          </c:yVal>
          <c:smooth val="0"/>
          <c:extLst>
            <c:ext xmlns:c16="http://schemas.microsoft.com/office/drawing/2014/chart" uri="{C3380CC4-5D6E-409C-BE32-E72D297353CC}">
              <c16:uniqueId val="{00000000-B77E-4CE2-B6E2-F1146061F09B}"/>
            </c:ext>
          </c:extLst>
        </c:ser>
        <c:ser>
          <c:idx val="1"/>
          <c:order val="1"/>
          <c:tx>
            <c:v>P80 Rigid Elongation</c:v>
          </c:tx>
          <c:spPr>
            <a:ln w="25400" cap="rnd">
              <a:noFill/>
              <a:round/>
            </a:ln>
            <a:effectLst/>
          </c:spPr>
          <c:marker>
            <c:symbol val="circle"/>
            <c:size val="5"/>
            <c:spPr>
              <a:solidFill>
                <a:schemeClr val="accent2"/>
              </a:solidFill>
              <a:ln w="9525">
                <a:solidFill>
                  <a:schemeClr val="accent2"/>
                </a:solidFill>
              </a:ln>
              <a:effectLst/>
            </c:spPr>
          </c:marker>
          <c:xVal>
            <c:numRef>
              <c:f>'EF25 P80 AVGS'!$M$7:$M$12</c:f>
              <c:numCache>
                <c:formatCode>0.0E+00</c:formatCode>
                <c:ptCount val="6"/>
                <c:pt idx="0">
                  <c:v>16525.642491230723</c:v>
                </c:pt>
                <c:pt idx="1">
                  <c:v>23135.899487723014</c:v>
                </c:pt>
                <c:pt idx="2">
                  <c:v>30320.96144043202</c:v>
                </c:pt>
                <c:pt idx="3">
                  <c:v>36500.114719761768</c:v>
                </c:pt>
                <c:pt idx="4">
                  <c:v>43254.072955308235</c:v>
                </c:pt>
                <c:pt idx="5">
                  <c:v>49002.122517475444</c:v>
                </c:pt>
              </c:numCache>
            </c:numRef>
          </c:xVal>
          <c:yVal>
            <c:numRef>
              <c:f>'EF25 P80 AVGS'!$Z$7:$Z$12</c:f>
              <c:numCache>
                <c:formatCode>0.00</c:formatCode>
                <c:ptCount val="6"/>
                <c:pt idx="0">
                  <c:v>41.160999999999994</c:v>
                </c:pt>
                <c:pt idx="1">
                  <c:v>42.672333333333334</c:v>
                </c:pt>
                <c:pt idx="2">
                  <c:v>43.121111111111112</c:v>
                </c:pt>
                <c:pt idx="3">
                  <c:v>42.555722222222222</c:v>
                </c:pt>
                <c:pt idx="4">
                  <c:v>42.906388888888891</c:v>
                </c:pt>
                <c:pt idx="5">
                  <c:v>42.489333333333327</c:v>
                </c:pt>
              </c:numCache>
            </c:numRef>
          </c:yVal>
          <c:smooth val="0"/>
          <c:extLst>
            <c:ext xmlns:c16="http://schemas.microsoft.com/office/drawing/2014/chart" uri="{C3380CC4-5D6E-409C-BE32-E72D297353CC}">
              <c16:uniqueId val="{00000001-B77E-4CE2-B6E2-F1146061F09B}"/>
            </c:ext>
          </c:extLst>
        </c:ser>
        <c:ser>
          <c:idx val="2"/>
          <c:order val="2"/>
          <c:tx>
            <c:v>Smooth Rigid Elongation</c:v>
          </c:tx>
          <c:spPr>
            <a:ln w="25400" cap="rnd">
              <a:noFill/>
              <a:round/>
            </a:ln>
            <a:effectLst/>
          </c:spPr>
          <c:marker>
            <c:symbol val="circle"/>
            <c:size val="5"/>
            <c:spPr>
              <a:solidFill>
                <a:schemeClr val="accent3"/>
              </a:solidFill>
              <a:ln w="9525">
                <a:solidFill>
                  <a:schemeClr val="accent3"/>
                </a:solidFill>
              </a:ln>
              <a:effectLst/>
            </c:spPr>
          </c:marker>
          <c:xVal>
            <c:numRef>
              <c:f>'EF25 flat AVGS'!$L$7:$L$12</c:f>
              <c:numCache>
                <c:formatCode>0.0E+00</c:formatCode>
                <c:ptCount val="6"/>
                <c:pt idx="0">
                  <c:v>17031.803384494291</c:v>
                </c:pt>
                <c:pt idx="1">
                  <c:v>24203.089020070838</c:v>
                </c:pt>
                <c:pt idx="2">
                  <c:v>30702.066627312077</c:v>
                </c:pt>
                <c:pt idx="3">
                  <c:v>38097.454939000396</c:v>
                </c:pt>
                <c:pt idx="4">
                  <c:v>45268.740574576928</c:v>
                </c:pt>
                <c:pt idx="5">
                  <c:v>51991.820857929946</c:v>
                </c:pt>
              </c:numCache>
            </c:numRef>
          </c:xVal>
          <c:yVal>
            <c:numRef>
              <c:f>'EF25 flat AVGS'!$T$7:$T$12</c:f>
              <c:numCache>
                <c:formatCode>General</c:formatCode>
                <c:ptCount val="6"/>
                <c:pt idx="0">
                  <c:v>81.165666666666681</c:v>
                </c:pt>
                <c:pt idx="1">
                  <c:v>85.668166666666664</c:v>
                </c:pt>
                <c:pt idx="2">
                  <c:v>84.876666666666665</c:v>
                </c:pt>
                <c:pt idx="3">
                  <c:v>85.456333333333333</c:v>
                </c:pt>
                <c:pt idx="4">
                  <c:v>89.025333333333322</c:v>
                </c:pt>
                <c:pt idx="5">
                  <c:v>90.991500000000002</c:v>
                </c:pt>
              </c:numCache>
            </c:numRef>
          </c:yVal>
          <c:smooth val="0"/>
          <c:extLst>
            <c:ext xmlns:c16="http://schemas.microsoft.com/office/drawing/2014/chart" uri="{C3380CC4-5D6E-409C-BE32-E72D297353CC}">
              <c16:uniqueId val="{00000000-60CC-460C-BC36-E5A6B70504B2}"/>
            </c:ext>
          </c:extLst>
        </c:ser>
        <c:ser>
          <c:idx val="3"/>
          <c:order val="3"/>
          <c:tx>
            <c:v>Smooth Elastomer Elongation</c:v>
          </c:tx>
          <c:spPr>
            <a:ln w="25400" cap="rnd">
              <a:noFill/>
              <a:round/>
            </a:ln>
            <a:effectLst/>
          </c:spPr>
          <c:marker>
            <c:symbol val="circle"/>
            <c:size val="5"/>
            <c:spPr>
              <a:solidFill>
                <a:schemeClr val="accent4"/>
              </a:solidFill>
              <a:ln w="9525">
                <a:solidFill>
                  <a:schemeClr val="accent4"/>
                </a:solidFill>
              </a:ln>
              <a:effectLst/>
            </c:spPr>
          </c:marker>
          <c:xVal>
            <c:numRef>
              <c:f>'MMHSE flat AVG'!$L$7:$L$12</c:f>
              <c:numCache>
                <c:formatCode>0.0E+00</c:formatCode>
                <c:ptCount val="6"/>
                <c:pt idx="0">
                  <c:v>16791.76035066746</c:v>
                </c:pt>
                <c:pt idx="1">
                  <c:v>24733.809165172341</c:v>
                </c:pt>
                <c:pt idx="2">
                  <c:v>31541.279577605099</c:v>
                </c:pt>
                <c:pt idx="3">
                  <c:v>38802.581350866705</c:v>
                </c:pt>
                <c:pt idx="4">
                  <c:v>46971.545845786015</c:v>
                </c:pt>
                <c:pt idx="5">
                  <c:v>52871.353536561066</c:v>
                </c:pt>
              </c:numCache>
            </c:numRef>
          </c:xVal>
          <c:yVal>
            <c:numRef>
              <c:f>'MMHSE flat AVG'!$T$7:$T$12</c:f>
              <c:numCache>
                <c:formatCode>General</c:formatCode>
                <c:ptCount val="6"/>
                <c:pt idx="0">
                  <c:v>70.255666666666656</c:v>
                </c:pt>
                <c:pt idx="1">
                  <c:v>70.236333333333334</c:v>
                </c:pt>
                <c:pt idx="2">
                  <c:v>72.275749999999988</c:v>
                </c:pt>
                <c:pt idx="3">
                  <c:v>71.86399999999999</c:v>
                </c:pt>
                <c:pt idx="4">
                  <c:v>74.114500000000007</c:v>
                </c:pt>
                <c:pt idx="5">
                  <c:v>75.267499999999998</c:v>
                </c:pt>
              </c:numCache>
            </c:numRef>
          </c:yVal>
          <c:smooth val="0"/>
          <c:extLst>
            <c:ext xmlns:c16="http://schemas.microsoft.com/office/drawing/2014/chart" uri="{C3380CC4-5D6E-409C-BE32-E72D297353CC}">
              <c16:uniqueId val="{00000000-1271-4E89-8631-21D6A1ACCC53}"/>
            </c:ext>
          </c:extLst>
        </c:ser>
        <c:ser>
          <c:idx val="4"/>
          <c:order val="4"/>
          <c:tx>
            <c:v>Smooth Control Elongation</c:v>
          </c:tx>
          <c:spPr>
            <a:ln w="25400" cap="rnd">
              <a:noFill/>
              <a:round/>
            </a:ln>
            <a:effectLst/>
          </c:spPr>
          <c:marker>
            <c:symbol val="circle"/>
            <c:size val="5"/>
            <c:spPr>
              <a:solidFill>
                <a:schemeClr val="accent5"/>
              </a:solidFill>
              <a:ln w="9525">
                <a:solidFill>
                  <a:schemeClr val="accent5"/>
                </a:solidFill>
              </a:ln>
              <a:effectLst/>
            </c:spPr>
          </c:marker>
          <c:xVal>
            <c:numRef>
              <c:f>'PLAIN PANEL AVGS'!$L$7:$L$9</c:f>
              <c:numCache>
                <c:formatCode>0.0E+00</c:formatCode>
                <c:ptCount val="3"/>
                <c:pt idx="0">
                  <c:v>17173.73507936508</c:v>
                </c:pt>
                <c:pt idx="1">
                  <c:v>25760.602619047622</c:v>
                </c:pt>
                <c:pt idx="2">
                  <c:v>31861.797976190479</c:v>
                </c:pt>
              </c:numCache>
            </c:numRef>
          </c:xVal>
          <c:yVal>
            <c:numRef>
              <c:f>'PLAIN PANEL AVGS'!$T$7:$T$9</c:f>
              <c:numCache>
                <c:formatCode>General</c:formatCode>
                <c:ptCount val="3"/>
                <c:pt idx="0">
                  <c:v>238.71733333333333</c:v>
                </c:pt>
                <c:pt idx="1">
                  <c:v>238.2585</c:v>
                </c:pt>
                <c:pt idx="2">
                  <c:v>232.23649999999998</c:v>
                </c:pt>
              </c:numCache>
            </c:numRef>
          </c:yVal>
          <c:smooth val="0"/>
          <c:extLst>
            <c:ext xmlns:c16="http://schemas.microsoft.com/office/drawing/2014/chart" uri="{C3380CC4-5D6E-409C-BE32-E72D297353CC}">
              <c16:uniqueId val="{00000000-937E-4A92-9A4B-030689800C69}"/>
            </c:ext>
          </c:extLst>
        </c:ser>
        <c:ser>
          <c:idx val="5"/>
          <c:order val="5"/>
          <c:tx>
            <c:v>P80 Elastomer Elongation</c:v>
          </c:tx>
          <c:spPr>
            <a:ln w="25400" cap="rnd">
              <a:noFill/>
              <a:round/>
            </a:ln>
            <a:effectLst/>
          </c:spPr>
          <c:marker>
            <c:symbol val="circle"/>
            <c:size val="5"/>
            <c:spPr>
              <a:solidFill>
                <a:schemeClr val="accent6"/>
              </a:solidFill>
              <a:ln w="9525">
                <a:solidFill>
                  <a:schemeClr val="accent6"/>
                </a:solidFill>
              </a:ln>
              <a:effectLst/>
            </c:spPr>
          </c:marker>
          <c:xVal>
            <c:numRef>
              <c:f>'MMHSE P80 AVGS'!$L$7:$L$12</c:f>
              <c:numCache>
                <c:formatCode>0.0E+00</c:formatCode>
                <c:ptCount val="6"/>
                <c:pt idx="0">
                  <c:v>13610.328035679087</c:v>
                </c:pt>
                <c:pt idx="1">
                  <c:v>18801.896461659773</c:v>
                </c:pt>
                <c:pt idx="2">
                  <c:v>24835.340848610296</c:v>
                </c:pt>
                <c:pt idx="3">
                  <c:v>30447.8472550759</c:v>
                </c:pt>
                <c:pt idx="4">
                  <c:v>34727.383390005925</c:v>
                </c:pt>
                <c:pt idx="5">
                  <c:v>39568.170165582502</c:v>
                </c:pt>
              </c:numCache>
            </c:numRef>
          </c:xVal>
          <c:yVal>
            <c:numRef>
              <c:f>'MMHSE P80 AVGS'!$S$7:$S$12</c:f>
              <c:numCache>
                <c:formatCode>General</c:formatCode>
                <c:ptCount val="6"/>
                <c:pt idx="0">
                  <c:v>46.262833333333333</c:v>
                </c:pt>
                <c:pt idx="1">
                  <c:v>45.570444444444441</c:v>
                </c:pt>
                <c:pt idx="2">
                  <c:v>45.556777777777775</c:v>
                </c:pt>
                <c:pt idx="3">
                  <c:v>46.690722222222227</c:v>
                </c:pt>
                <c:pt idx="4">
                  <c:v>50.249250000000004</c:v>
                </c:pt>
                <c:pt idx="5">
                  <c:v>56.551666666666669</c:v>
                </c:pt>
              </c:numCache>
            </c:numRef>
          </c:yVal>
          <c:smooth val="0"/>
          <c:extLst>
            <c:ext xmlns:c16="http://schemas.microsoft.com/office/drawing/2014/chart" uri="{C3380CC4-5D6E-409C-BE32-E72D297353CC}">
              <c16:uniqueId val="{00000001-937E-4A92-9A4B-030689800C69}"/>
            </c:ext>
          </c:extLst>
        </c:ser>
        <c:ser>
          <c:idx val="6"/>
          <c:order val="6"/>
          <c:tx>
            <c:v>P240 Elastomer Elongation</c:v>
          </c:tx>
          <c:spPr>
            <a:ln w="25400" cap="rnd">
              <a:noFill/>
              <a:round/>
            </a:ln>
            <a:effectLst/>
          </c:spPr>
          <c:marker>
            <c:symbol val="circle"/>
            <c:size val="5"/>
            <c:spPr>
              <a:solidFill>
                <a:schemeClr val="accent1">
                  <a:lumMod val="60000"/>
                </a:schemeClr>
              </a:solidFill>
              <a:ln w="9525">
                <a:solidFill>
                  <a:schemeClr val="accent1">
                    <a:lumMod val="60000"/>
                  </a:schemeClr>
                </a:solidFill>
              </a:ln>
              <a:effectLst/>
            </c:spPr>
          </c:marker>
          <c:xVal>
            <c:numRef>
              <c:f>'MMHSE P240 AVG'!$L$7:$L$10</c:f>
              <c:numCache>
                <c:formatCode>0.0E+00</c:formatCode>
                <c:ptCount val="4"/>
                <c:pt idx="0">
                  <c:v>11807.649133593246</c:v>
                </c:pt>
                <c:pt idx="1">
                  <c:v>18828.41348329734</c:v>
                </c:pt>
                <c:pt idx="2">
                  <c:v>24891.800876223599</c:v>
                </c:pt>
                <c:pt idx="3">
                  <c:v>31832.783812862872</c:v>
                </c:pt>
              </c:numCache>
            </c:numRef>
          </c:xVal>
          <c:yVal>
            <c:numRef>
              <c:f>'MMHSE P240 AVG'!$T$7:$T$10</c:f>
              <c:numCache>
                <c:formatCode>General</c:formatCode>
                <c:ptCount val="4"/>
                <c:pt idx="0">
                  <c:v>55.282222222222224</c:v>
                </c:pt>
                <c:pt idx="1">
                  <c:v>52.43588888888889</c:v>
                </c:pt>
                <c:pt idx="2">
                  <c:v>53.037888888888887</c:v>
                </c:pt>
                <c:pt idx="3">
                  <c:v>56.688333333333333</c:v>
                </c:pt>
              </c:numCache>
            </c:numRef>
          </c:yVal>
          <c:smooth val="0"/>
          <c:extLst>
            <c:ext xmlns:c16="http://schemas.microsoft.com/office/drawing/2014/chart" uri="{C3380CC4-5D6E-409C-BE32-E72D297353CC}">
              <c16:uniqueId val="{00000000-536C-47B7-A0F9-89568C304D3B}"/>
            </c:ext>
          </c:extLst>
        </c:ser>
        <c:ser>
          <c:idx val="7"/>
          <c:order val="7"/>
          <c:tx>
            <c:v>P80 Control Elongation</c:v>
          </c:tx>
          <c:spPr>
            <a:ln w="25400" cap="rnd">
              <a:noFill/>
              <a:round/>
            </a:ln>
            <a:effectLst/>
          </c:spPr>
          <c:marker>
            <c:symbol val="circle"/>
            <c:size val="5"/>
            <c:spPr>
              <a:solidFill>
                <a:schemeClr val="accent2">
                  <a:lumMod val="60000"/>
                </a:schemeClr>
              </a:solidFill>
              <a:ln w="9525">
                <a:solidFill>
                  <a:schemeClr val="accent2">
                    <a:lumMod val="60000"/>
                  </a:schemeClr>
                </a:solidFill>
              </a:ln>
              <a:effectLst/>
            </c:spPr>
          </c:marker>
          <c:xVal>
            <c:numRef>
              <c:f>'P80 sandpaper AVGS'!$S$41:$S$46</c:f>
              <c:numCache>
                <c:formatCode>General</c:formatCode>
                <c:ptCount val="6"/>
              </c:numCache>
            </c:numRef>
          </c:xVal>
          <c:yVal>
            <c:numRef>
              <c:f>'P80 sandpaper AVGS'!$V$41:$V$46</c:f>
              <c:numCache>
                <c:formatCode>General</c:formatCode>
                <c:ptCount val="6"/>
              </c:numCache>
            </c:numRef>
          </c:yVal>
          <c:smooth val="0"/>
          <c:extLst>
            <c:ext xmlns:c16="http://schemas.microsoft.com/office/drawing/2014/chart" uri="{C3380CC4-5D6E-409C-BE32-E72D297353CC}">
              <c16:uniqueId val="{00000000-931A-4787-B12A-BDB58B4B39BD}"/>
            </c:ext>
          </c:extLst>
        </c:ser>
        <c:ser>
          <c:idx val="8"/>
          <c:order val="8"/>
          <c:tx>
            <c:v>P240 Control Elongation</c:v>
          </c:tx>
          <c:spPr>
            <a:ln w="25400" cap="rnd">
              <a:noFill/>
              <a:round/>
            </a:ln>
            <a:effectLst/>
          </c:spPr>
          <c:marker>
            <c:symbol val="circle"/>
            <c:size val="5"/>
            <c:spPr>
              <a:solidFill>
                <a:schemeClr val="accent3">
                  <a:lumMod val="60000"/>
                </a:schemeClr>
              </a:solidFill>
              <a:ln w="9525">
                <a:solidFill>
                  <a:schemeClr val="accent3">
                    <a:lumMod val="60000"/>
                  </a:schemeClr>
                </a:solidFill>
              </a:ln>
              <a:effectLst/>
            </c:spPr>
          </c:marker>
          <c:xVal>
            <c:numRef>
              <c:f>'P240 sandpaper'!$L$7:$L$12</c:f>
              <c:numCache>
                <c:formatCode>0.0E+00</c:formatCode>
                <c:ptCount val="6"/>
                <c:pt idx="0">
                  <c:v>17029.859003236244</c:v>
                </c:pt>
                <c:pt idx="1">
                  <c:v>25314.655275080902</c:v>
                </c:pt>
                <c:pt idx="2">
                  <c:v>32218.652168284785</c:v>
                </c:pt>
                <c:pt idx="3">
                  <c:v>40043.181980582514</c:v>
                </c:pt>
                <c:pt idx="4">
                  <c:v>46026.645954692547</c:v>
                </c:pt>
                <c:pt idx="5">
                  <c:v>52930.642847896444</c:v>
                </c:pt>
              </c:numCache>
            </c:numRef>
          </c:xVal>
          <c:yVal>
            <c:numRef>
              <c:f>'P240 sandpaper'!$S$7:$S$12</c:f>
              <c:numCache>
                <c:formatCode>0.00</c:formatCode>
                <c:ptCount val="6"/>
                <c:pt idx="0" formatCode="General">
                  <c:v>53.87566666666666</c:v>
                </c:pt>
                <c:pt idx="1">
                  <c:v>54.229333333333329</c:v>
                </c:pt>
                <c:pt idx="2" formatCode="0.000">
                  <c:v>56.719666666666662</c:v>
                </c:pt>
                <c:pt idx="3" formatCode="0.000">
                  <c:v>54.749000000000002</c:v>
                </c:pt>
                <c:pt idx="4" formatCode="General">
                  <c:v>54.546333333333337</c:v>
                </c:pt>
                <c:pt idx="5" formatCode="General">
                  <c:v>54.866999999999997</c:v>
                </c:pt>
              </c:numCache>
            </c:numRef>
          </c:yVal>
          <c:smooth val="0"/>
          <c:extLst>
            <c:ext xmlns:c16="http://schemas.microsoft.com/office/drawing/2014/chart" uri="{C3380CC4-5D6E-409C-BE32-E72D297353CC}">
              <c16:uniqueId val="{00000001-931A-4787-B12A-BDB58B4B39BD}"/>
            </c:ext>
          </c:extLst>
        </c:ser>
        <c:dLbls>
          <c:showLegendKey val="0"/>
          <c:showVal val="0"/>
          <c:showCatName val="0"/>
          <c:showSerName val="0"/>
          <c:showPercent val="0"/>
          <c:showBubbleSize val="0"/>
        </c:dLbls>
        <c:axId val="420696127"/>
        <c:axId val="651585247"/>
      </c:scatterChart>
      <c:valAx>
        <c:axId val="420696127"/>
        <c:scaling>
          <c:orientation val="minMax"/>
        </c:scaling>
        <c:delete val="0"/>
        <c:axPos val="b"/>
        <c:majorGridlines>
          <c:spPr>
            <a:ln w="9525" cap="flat" cmpd="sng" algn="ctr">
              <a:solidFill>
                <a:schemeClr val="tx1">
                  <a:lumMod val="15000"/>
                  <a:lumOff val="85000"/>
                </a:schemeClr>
              </a:solidFill>
              <a:round/>
            </a:ln>
            <a:effectLst/>
          </c:spPr>
        </c:majorGridlines>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1585247"/>
        <c:crosses val="autoZero"/>
        <c:crossBetween val="midCat"/>
      </c:valAx>
      <c:valAx>
        <c:axId val="65158524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69612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'3 EF25 P240'!$O$5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1.0337860472579874E-2"/>
                  <c:y val="-0.1493205782109107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trendline>
            <c:spPr>
              <a:ln w="19050" cap="rnd">
                <a:solidFill>
                  <a:schemeClr val="accent1"/>
                </a:solidFill>
                <a:prstDash val="sysDot"/>
              </a:ln>
              <a:effectLst/>
            </c:spPr>
            <c:trendlineType val="power"/>
            <c:dispRSqr val="0"/>
            <c:dispEq val="0"/>
          </c:trendline>
          <c:xVal>
            <c:numRef>
              <c:f>'3 EF25 P240'!$L$7:$L$11</c:f>
              <c:numCache>
                <c:formatCode>0.0E+00</c:formatCode>
                <c:ptCount val="5"/>
                <c:pt idx="0">
                  <c:v>17005.214931396287</c:v>
                </c:pt>
                <c:pt idx="1">
                  <c:v>24358.821388216304</c:v>
                </c:pt>
                <c:pt idx="2">
                  <c:v>31712.42784503632</c:v>
                </c:pt>
                <c:pt idx="3">
                  <c:v>39066.034301856336</c:v>
                </c:pt>
                <c:pt idx="4">
                  <c:v>46419.640758676345</c:v>
                </c:pt>
              </c:numCache>
            </c:numRef>
          </c:xVal>
          <c:yVal>
            <c:numRef>
              <c:f>'3 EF25 P240'!$O$7:$O$11</c:f>
              <c:numCache>
                <c:formatCode>0.000</c:formatCode>
                <c:ptCount val="5"/>
                <c:pt idx="0">
                  <c:v>8.6983815877985302E-3</c:v>
                </c:pt>
                <c:pt idx="1">
                  <c:v>8.4051217545178802E-3</c:v>
                </c:pt>
                <c:pt idx="2">
                  <c:v>8.5881702085731544E-3</c:v>
                </c:pt>
                <c:pt idx="3">
                  <c:v>8.2919429286482365E-3</c:v>
                </c:pt>
                <c:pt idx="4">
                  <c:v>7.4891950321357434E-3</c:v>
                </c:pt>
              </c:numCache>
            </c:numRef>
          </c:yVal>
          <c:smooth val="0"/>
          <c:extLst>
            <c:ext xmlns:c16="http://schemas.microsoft.com/office/drawing/2014/chart" uri="{C3380CC4-5D6E-409C-BE32-E72D297353CC}">
              <c16:uniqueId val="{00000002-5FC3-48DD-BAB6-3B52DACD6F94}"/>
            </c:ext>
          </c:extLst>
        </c:ser>
        <c:ser>
          <c:idx val="1"/>
          <c:order val="1"/>
          <c:tx>
            <c:strRef>
              <c:f>'3 EF25 P240'!$X$5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EF25 P240'!$W$7:$W$31</c:f>
              <c:numCache>
                <c:formatCode>0.00000</c:formatCode>
                <c:ptCount val="25"/>
                <c:pt idx="0">
                  <c:v>1489.1041162227602</c:v>
                </c:pt>
                <c:pt idx="1">
                  <c:v>2978.2082324455205</c:v>
                </c:pt>
                <c:pt idx="2">
                  <c:v>4467.3123486682807</c:v>
                </c:pt>
                <c:pt idx="3">
                  <c:v>5956.416464891041</c:v>
                </c:pt>
                <c:pt idx="4">
                  <c:v>7445.5205811138012</c:v>
                </c:pt>
                <c:pt idx="5">
                  <c:v>8934.6246973365614</c:v>
                </c:pt>
                <c:pt idx="6">
                  <c:v>10423.728813559321</c:v>
                </c:pt>
                <c:pt idx="7">
                  <c:v>11912.832929782082</c:v>
                </c:pt>
                <c:pt idx="8">
                  <c:v>13401.937046004841</c:v>
                </c:pt>
                <c:pt idx="9">
                  <c:v>14891.041162227602</c:v>
                </c:pt>
                <c:pt idx="10">
                  <c:v>16380.145278450362</c:v>
                </c:pt>
                <c:pt idx="11">
                  <c:v>17869.249394673123</c:v>
                </c:pt>
                <c:pt idx="12">
                  <c:v>19358.353510895882</c:v>
                </c:pt>
                <c:pt idx="13">
                  <c:v>20847.457627118642</c:v>
                </c:pt>
                <c:pt idx="14">
                  <c:v>22336.561743341405</c:v>
                </c:pt>
                <c:pt idx="15">
                  <c:v>23825.665859564164</c:v>
                </c:pt>
                <c:pt idx="16">
                  <c:v>25314.769975786923</c:v>
                </c:pt>
                <c:pt idx="17">
                  <c:v>26803.874092009682</c:v>
                </c:pt>
                <c:pt idx="18">
                  <c:v>28292.978208232442</c:v>
                </c:pt>
                <c:pt idx="19">
                  <c:v>29782.082324455205</c:v>
                </c:pt>
                <c:pt idx="20">
                  <c:v>31271.186440677968</c:v>
                </c:pt>
                <c:pt idx="21">
                  <c:v>32760.290556900723</c:v>
                </c:pt>
                <c:pt idx="22">
                  <c:v>34249.394673123483</c:v>
                </c:pt>
                <c:pt idx="23">
                  <c:v>35738.498789346246</c:v>
                </c:pt>
                <c:pt idx="24">
                  <c:v>37227.602905569001</c:v>
                </c:pt>
              </c:numCache>
            </c:numRef>
          </c:xVal>
          <c:yVal>
            <c:numRef>
              <c:f>'3 EF25 P240'!$Y$7:$Y$31</c:f>
              <c:numCache>
                <c:formatCode>0.00000</c:formatCode>
                <c:ptCount val="25"/>
                <c:pt idx="0">
                  <c:v>1.2733424496333405E-2</c:v>
                </c:pt>
                <c:pt idx="1">
                  <c:v>1.0707491012870595E-2</c:v>
                </c:pt>
                <c:pt idx="2">
                  <c:v>9.6753103328642773E-3</c:v>
                </c:pt>
                <c:pt idx="3">
                  <c:v>9.003890809084248E-3</c:v>
                </c:pt>
                <c:pt idx="4">
                  <c:v>8.515354181072245E-3</c:v>
                </c:pt>
                <c:pt idx="5">
                  <c:v>8.1359337753727952E-3</c:v>
                </c:pt>
                <c:pt idx="6">
                  <c:v>7.8283585268451965E-3</c:v>
                </c:pt>
                <c:pt idx="7">
                  <c:v>7.571339504694811E-3</c:v>
                </c:pt>
                <c:pt idx="8">
                  <c:v>7.3516460606638644E-3</c:v>
                </c:pt>
                <c:pt idx="9">
                  <c:v>7.1605308054793803E-3</c:v>
                </c:pt>
                <c:pt idx="10">
                  <c:v>6.991929589263546E-3</c:v>
                </c:pt>
                <c:pt idx="11">
                  <c:v>6.8414775464526031E-3</c:v>
                </c:pt>
                <c:pt idx="12">
                  <c:v>6.7059356153813142E-3</c:v>
                </c:pt>
                <c:pt idx="13">
                  <c:v>6.5828386225449754E-3</c:v>
                </c:pt>
                <c:pt idx="14">
                  <c:v>6.4702699827411825E-3</c:v>
                </c:pt>
                <c:pt idx="15">
                  <c:v>6.3667122481667008E-3</c:v>
                </c:pt>
                <c:pt idx="16">
                  <c:v>6.2709449329713882E-3</c:v>
                </c:pt>
                <c:pt idx="17">
                  <c:v>6.1819728186263351E-3</c:v>
                </c:pt>
                <c:pt idx="18">
                  <c:v>6.0989744953208348E-3</c:v>
                </c:pt>
                <c:pt idx="19">
                  <c:v>6.021264685641404E-3</c:v>
                </c:pt>
                <c:pt idx="20">
                  <c:v>5.948266168771912E-3</c:v>
                </c:pt>
                <c:pt idx="21">
                  <c:v>5.8794885273180924E-3</c:v>
                </c:pt>
                <c:pt idx="22">
                  <c:v>5.8145118300975303E-3</c:v>
                </c:pt>
                <c:pt idx="23">
                  <c:v>5.7529739438507716E-3</c:v>
                </c:pt>
                <c:pt idx="24">
                  <c:v>5.6945605520325026E-3</c:v>
                </c:pt>
              </c:numCache>
            </c:numRef>
          </c:yVal>
          <c:smooth val="0"/>
          <c:extLst>
            <c:ext xmlns:c16="http://schemas.microsoft.com/office/drawing/2014/chart" uri="{C3380CC4-5D6E-409C-BE32-E72D297353CC}">
              <c16:uniqueId val="{00000004-5FC3-48DD-BAB6-3B52DACD6F94}"/>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'EF25 P240 AVGS'!$G$6:$G$12</c:f>
              <c:numCache>
                <c:formatCode>0.00</c:formatCode>
                <c:ptCount val="7"/>
                <c:pt idx="0">
                  <c:v>0</c:v>
                </c:pt>
                <c:pt idx="1">
                  <c:v>1.4318088509030995</c:v>
                </c:pt>
                <c:pt idx="2">
                  <c:v>2.9955669230788389</c:v>
                </c:pt>
                <c:pt idx="3">
                  <c:v>5.2272893922160675</c:v>
                </c:pt>
                <c:pt idx="4">
                  <c:v>7.7755301923126652</c:v>
                </c:pt>
                <c:pt idx="5">
                  <c:v>10.548632554612638</c:v>
                </c:pt>
                <c:pt idx="6">
                  <c:v>12.886279658127902</c:v>
                </c:pt>
              </c:numCache>
            </c:numRef>
          </c:xVal>
          <c:yVal>
            <c:numRef>
              <c:f>'EF25 P240 AVGS'!$K$6:$K$12</c:f>
              <c:numCache>
                <c:formatCode>0</c:formatCode>
                <c:ptCount val="7"/>
                <c:pt idx="0">
                  <c:v>0</c:v>
                </c:pt>
                <c:pt idx="1">
                  <c:v>1139.1883333333335</c:v>
                </c:pt>
                <c:pt idx="2">
                  <c:v>2757.4733333333334</c:v>
                </c:pt>
                <c:pt idx="3">
                  <c:v>4648.4752150537633</c:v>
                </c:pt>
                <c:pt idx="4">
                  <c:v>6818.8644623655919</c:v>
                </c:pt>
                <c:pt idx="5">
                  <c:v>8377.8086021505387</c:v>
                </c:pt>
                <c:pt idx="6">
                  <c:v>8755.3387096774204</c:v>
                </c:pt>
              </c:numCache>
            </c:numRef>
          </c:yVal>
          <c:smooth val="0"/>
          <c:extLst>
            <c:ext xmlns:c16="http://schemas.microsoft.com/office/drawing/2014/chart" uri="{C3380CC4-5D6E-409C-BE32-E72D297353CC}">
              <c16:uniqueId val="{00000001-0F5F-4A3D-A078-D3E4CCED6009}"/>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'EF25 P240 AVGS'!$O$5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'EF25 P240 AVGS'!$L$7:$L$12</c:f>
              <c:numCache>
                <c:formatCode>0.0E+00</c:formatCode>
                <c:ptCount val="6"/>
                <c:pt idx="0">
                  <c:v>17255.906060606056</c:v>
                </c:pt>
                <c:pt idx="1">
                  <c:v>24959.435551948049</c:v>
                </c:pt>
                <c:pt idx="2">
                  <c:v>32971.106222943716</c:v>
                </c:pt>
                <c:pt idx="3">
                  <c:v>40212.423944805189</c:v>
                </c:pt>
                <c:pt idx="4">
                  <c:v>46837.459307359313</c:v>
                </c:pt>
                <c:pt idx="5">
                  <c:v>51767.718181818185</c:v>
                </c:pt>
              </c:numCache>
            </c:numRef>
          </c:xVal>
          <c:yVal>
            <c:numRef>
              <c:f>'EF25 P240 AVGS'!$O$7:$O$12</c:f>
              <c:numCache>
                <c:formatCode>0.000</c:formatCode>
                <c:ptCount val="6"/>
                <c:pt idx="0">
                  <c:v>7.1668335484965486E-3</c:v>
                </c:pt>
                <c:pt idx="1">
                  <c:v>8.2918058912631841E-3</c:v>
                </c:pt>
                <c:pt idx="2">
                  <c:v>8.0103373727871859E-3</c:v>
                </c:pt>
                <c:pt idx="3">
                  <c:v>7.8994868078460165E-3</c:v>
                </c:pt>
                <c:pt idx="4">
                  <c:v>7.1540356801380782E-3</c:v>
                </c:pt>
                <c:pt idx="5">
                  <c:v>6.1201523299938771E-3</c:v>
                </c:pt>
              </c:numCache>
            </c:numRef>
          </c:yVal>
          <c:smooth val="0"/>
          <c:extLst>
            <c:ext xmlns:c16="http://schemas.microsoft.com/office/drawing/2014/chart" uri="{C3380CC4-5D6E-409C-BE32-E72D297353CC}">
              <c16:uniqueId val="{00000001-677C-4A12-BFD4-2AAB73F571A1}"/>
            </c:ext>
          </c:extLst>
        </c:ser>
        <c:ser>
          <c:idx val="1"/>
          <c:order val="1"/>
          <c:tx>
            <c:strRef>
              <c:f>'EF25 P240 AVGS'!$X$5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'EF25 P240 AVGS'!$W$7:$W$31</c:f>
              <c:numCache>
                <c:formatCode>0.00000</c:formatCode>
                <c:ptCount val="25"/>
                <c:pt idx="0">
                  <c:v>1442.0995670995674</c:v>
                </c:pt>
                <c:pt idx="1">
                  <c:v>2884.1991341991347</c:v>
                </c:pt>
                <c:pt idx="2">
                  <c:v>4326.2987012987014</c:v>
                </c:pt>
                <c:pt idx="3">
                  <c:v>5768.3982683982695</c:v>
                </c:pt>
                <c:pt idx="4">
                  <c:v>7210.4978354978366</c:v>
                </c:pt>
                <c:pt idx="5">
                  <c:v>8652.5974025974028</c:v>
                </c:pt>
                <c:pt idx="6">
                  <c:v>10094.69696969697</c:v>
                </c:pt>
                <c:pt idx="7">
                  <c:v>11536.796536796539</c:v>
                </c:pt>
                <c:pt idx="8">
                  <c:v>12978.896103896106</c:v>
                </c:pt>
                <c:pt idx="9">
                  <c:v>14420.995670995673</c:v>
                </c:pt>
                <c:pt idx="10">
                  <c:v>15863.095238095242</c:v>
                </c:pt>
                <c:pt idx="11">
                  <c:v>17305.194805194806</c:v>
                </c:pt>
                <c:pt idx="12">
                  <c:v>18747.294372294375</c:v>
                </c:pt>
                <c:pt idx="13">
                  <c:v>20189.39393939394</c:v>
                </c:pt>
                <c:pt idx="14">
                  <c:v>21631.493506493509</c:v>
                </c:pt>
                <c:pt idx="15">
                  <c:v>23073.593073593078</c:v>
                </c:pt>
                <c:pt idx="16">
                  <c:v>24515.692640692643</c:v>
                </c:pt>
                <c:pt idx="17">
                  <c:v>25957.792207792212</c:v>
                </c:pt>
                <c:pt idx="18">
                  <c:v>27399.891774891774</c:v>
                </c:pt>
                <c:pt idx="19">
                  <c:v>28841.991341991346</c:v>
                </c:pt>
                <c:pt idx="20">
                  <c:v>30284.090909090915</c:v>
                </c:pt>
                <c:pt idx="21">
                  <c:v>31726.190476190484</c:v>
                </c:pt>
                <c:pt idx="22">
                  <c:v>33168.29004329005</c:v>
                </c:pt>
                <c:pt idx="23">
                  <c:v>34610.389610389611</c:v>
                </c:pt>
                <c:pt idx="24">
                  <c:v>36052.48917748918</c:v>
                </c:pt>
              </c:numCache>
            </c:numRef>
          </c:xVal>
          <c:yVal>
            <c:numRef>
              <c:f>'EF25 P240 AVGS'!$Y$7:$Y$31</c:f>
              <c:numCache>
                <c:formatCode>0.00000</c:formatCode>
                <c:ptCount val="25"/>
                <c:pt idx="0">
                  <c:v>1.2835939808040963E-2</c:v>
                </c:pt>
                <c:pt idx="1">
                  <c:v>1.0793695770994099E-2</c:v>
                </c:pt>
                <c:pt idx="2">
                  <c:v>9.7532051250253764E-3</c:v>
                </c:pt>
                <c:pt idx="3">
                  <c:v>9.0763800811681193E-3</c:v>
                </c:pt>
                <c:pt idx="4">
                  <c:v>8.5839103018883114E-3</c:v>
                </c:pt>
                <c:pt idx="5">
                  <c:v>8.2014352268679983E-3</c:v>
                </c:pt>
                <c:pt idx="6">
                  <c:v>7.891383725979112E-3</c:v>
                </c:pt>
                <c:pt idx="7">
                  <c:v>7.632295473734489E-3</c:v>
                </c:pt>
                <c:pt idx="8">
                  <c:v>7.4108333034742834E-3</c:v>
                </c:pt>
                <c:pt idx="9">
                  <c:v>7.2181794017173104E-3</c:v>
                </c:pt>
                <c:pt idx="10">
                  <c:v>7.0482207968241735E-3</c:v>
                </c:pt>
                <c:pt idx="11">
                  <c:v>6.8965574822088347E-3</c:v>
                </c:pt>
                <c:pt idx="12">
                  <c:v>6.7599243188993328E-3</c:v>
                </c:pt>
                <c:pt idx="13">
                  <c:v>6.6358362865673376E-3</c:v>
                </c:pt>
                <c:pt idx="14">
                  <c:v>6.5223613698070738E-3</c:v>
                </c:pt>
                <c:pt idx="15">
                  <c:v>6.4179699040204825E-3</c:v>
                </c:pt>
                <c:pt idx="16">
                  <c:v>6.3214315773685494E-3</c:v>
                </c:pt>
                <c:pt idx="17">
                  <c:v>6.2317431589343688E-3</c:v>
                </c:pt>
                <c:pt idx="18">
                  <c:v>6.1480766258328844E-3</c:v>
                </c:pt>
                <c:pt idx="19">
                  <c:v>6.0697411835622887E-3</c:v>
                </c:pt>
                <c:pt idx="20">
                  <c:v>5.996154964169156E-3</c:v>
                </c:pt>
                <c:pt idx="21">
                  <c:v>5.9268236019661266E-3</c:v>
                </c:pt>
                <c:pt idx="22">
                  <c:v>5.8613237849539325E-3</c:v>
                </c:pt>
                <c:pt idx="23">
                  <c:v>5.7992904643805925E-3</c:v>
                </c:pt>
                <c:pt idx="24">
                  <c:v>5.7404067931750404E-3</c:v>
                </c:pt>
              </c:numCache>
            </c:numRef>
          </c:yVal>
          <c:smooth val="0"/>
          <c:extLst>
            <c:ext xmlns:c16="http://schemas.microsoft.com/office/drawing/2014/chart" uri="{C3380CC4-5D6E-409C-BE32-E72D297353CC}">
              <c16:uniqueId val="{00000003-677C-4A12-BFD4-2AAB73F571A1}"/>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1 Rigid P240</c:v>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0"/>
            <c:dispEq val="1"/>
            <c:trendlineLbl>
              <c:layout>
                <c:manualLayout>
                  <c:x val="-0.26339499291445129"/>
                  <c:y val="-0.248235197726226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EF25 P240'!$L$7:$L$11</c:f>
              <c:numCache>
                <c:formatCode>0.0E+00</c:formatCode>
                <c:ptCount val="5"/>
                <c:pt idx="0">
                  <c:v>16239.329230769232</c:v>
                </c:pt>
                <c:pt idx="1">
                  <c:v>23199.041758241761</c:v>
                </c:pt>
                <c:pt idx="2">
                  <c:v>29772.103589743587</c:v>
                </c:pt>
                <c:pt idx="3">
                  <c:v>36345.165421245423</c:v>
                </c:pt>
                <c:pt idx="4">
                  <c:v>42531.576556776556</c:v>
                </c:pt>
              </c:numCache>
            </c:numRef>
          </c:xVal>
          <c:yVal>
            <c:numRef>
              <c:f>'1 EF25 P240'!$O$7:$O$11</c:f>
              <c:numCache>
                <c:formatCode>0.000</c:formatCode>
                <c:ptCount val="5"/>
                <c:pt idx="1">
                  <c:v>8.1075604834386014E-3</c:v>
                </c:pt>
                <c:pt idx="2">
                  <c:v>7.5049081076271063E-3</c:v>
                </c:pt>
                <c:pt idx="3">
                  <c:v>7.4076384173204068E-3</c:v>
                </c:pt>
                <c:pt idx="4">
                  <c:v>6.3809691599593212E-3</c:v>
                </c:pt>
              </c:numCache>
            </c:numRef>
          </c:yVal>
          <c:smooth val="0"/>
          <c:extLst>
            <c:ext xmlns:c16="http://schemas.microsoft.com/office/drawing/2014/chart" uri="{C3380CC4-5D6E-409C-BE32-E72D297353CC}">
              <c16:uniqueId val="{00000001-EB12-49A7-AF53-985756B3BA5D}"/>
            </c:ext>
          </c:extLst>
        </c:ser>
        <c:ser>
          <c:idx val="1"/>
          <c:order val="1"/>
          <c:tx>
            <c:v>2 Rigid P240</c:v>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0.39854855223797631"/>
                  <c:y val="-0.1121825460730218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P240'!$L$7:$L$12</c:f>
              <c:numCache>
                <c:formatCode>0.0E+00</c:formatCode>
                <c:ptCount val="6"/>
                <c:pt idx="0">
                  <c:v>15296.444200244199</c:v>
                </c:pt>
                <c:pt idx="1">
                  <c:v>22712.901994301992</c:v>
                </c:pt>
                <c:pt idx="2">
                  <c:v>31519.945624745618</c:v>
                </c:pt>
                <c:pt idx="3">
                  <c:v>38009.346194546197</c:v>
                </c:pt>
                <c:pt idx="4">
                  <c:v>43108.160927960933</c:v>
                </c:pt>
                <c:pt idx="5">
                  <c:v>50524.618722018713</c:v>
                </c:pt>
              </c:numCache>
            </c:numRef>
          </c:xVal>
          <c:yVal>
            <c:numRef>
              <c:f>'2 EF25 P240'!$O$7:$O$12</c:f>
              <c:numCache>
                <c:formatCode>0.000</c:formatCode>
                <c:ptCount val="6"/>
                <c:pt idx="0">
                  <c:v>8.0658674958973796E-3</c:v>
                </c:pt>
                <c:pt idx="1">
                  <c:v>8.0598042761006166E-3</c:v>
                </c:pt>
                <c:pt idx="2">
                  <c:v>7.8740750368921988E-3</c:v>
                </c:pt>
                <c:pt idx="3">
                  <c:v>7.9249047689665883E-3</c:v>
                </c:pt>
                <c:pt idx="4">
                  <c:v>7.6667304271523188E-3</c:v>
                </c:pt>
                <c:pt idx="5">
                  <c:v>6.1859763675183883E-3</c:v>
                </c:pt>
              </c:numCache>
            </c:numRef>
          </c:yVal>
          <c:smooth val="0"/>
          <c:extLst>
            <c:ext xmlns:c16="http://schemas.microsoft.com/office/drawing/2014/chart" uri="{C3380CC4-5D6E-409C-BE32-E72D297353CC}">
              <c16:uniqueId val="{00000003-EB12-49A7-AF53-985756B3BA5D}"/>
            </c:ext>
          </c:extLst>
        </c:ser>
        <c:ser>
          <c:idx val="2"/>
          <c:order val="2"/>
          <c:tx>
            <c:v>3 Rigid P240</c:v>
          </c:tx>
          <c:spPr>
            <a:ln w="25400" cap="rnd">
              <a:noFill/>
              <a:round/>
            </a:ln>
            <a:effectLst/>
          </c:spPr>
          <c:marker>
            <c:symbol val="circle"/>
            <c:size val="5"/>
            <c:spPr>
              <a:solidFill>
                <a:schemeClr val="accent3"/>
              </a:solidFill>
              <a:ln w="9525">
                <a:solidFill>
                  <a:schemeClr val="accent3"/>
                </a:solidFill>
              </a:ln>
              <a:effectLst/>
            </c:spPr>
          </c:marker>
          <c:trendline>
            <c:spPr>
              <a:ln w="19050" cap="rnd">
                <a:solidFill>
                  <a:schemeClr val="accent3"/>
                </a:solidFill>
                <a:prstDash val="sysDot"/>
              </a:ln>
              <a:effectLst/>
            </c:spPr>
            <c:trendlineType val="power"/>
            <c:dispRSqr val="0"/>
            <c:dispEq val="1"/>
            <c:trendlineLbl>
              <c:layout>
                <c:manualLayout>
                  <c:x val="-0.43050743619373733"/>
                  <c:y val="-0.16408917668929704"/>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'3 EF25 P240'!$L$7:$L$12</c:f>
              <c:numCache>
                <c:formatCode>0.0E+00</c:formatCode>
                <c:ptCount val="6"/>
                <c:pt idx="0">
                  <c:v>17005.214931396287</c:v>
                </c:pt>
                <c:pt idx="1">
                  <c:v>24358.821388216304</c:v>
                </c:pt>
                <c:pt idx="2">
                  <c:v>31712.42784503632</c:v>
                </c:pt>
                <c:pt idx="3">
                  <c:v>39066.034301856336</c:v>
                </c:pt>
                <c:pt idx="4">
                  <c:v>46419.640758676345</c:v>
                </c:pt>
                <c:pt idx="5">
                  <c:v>52854.046408393871</c:v>
                </c:pt>
              </c:numCache>
            </c:numRef>
          </c:xVal>
          <c:yVal>
            <c:numRef>
              <c:f>'3 EF25 P240'!$O$7:$O$12</c:f>
              <c:numCache>
                <c:formatCode>0.000</c:formatCode>
                <c:ptCount val="6"/>
                <c:pt idx="0">
                  <c:v>8.6983815877985302E-3</c:v>
                </c:pt>
                <c:pt idx="1">
                  <c:v>8.4051217545178802E-3</c:v>
                </c:pt>
                <c:pt idx="2">
                  <c:v>8.5881702085731544E-3</c:v>
                </c:pt>
                <c:pt idx="3">
                  <c:v>8.2919429286482365E-3</c:v>
                </c:pt>
                <c:pt idx="4">
                  <c:v>7.4891950321357434E-3</c:v>
                </c:pt>
                <c:pt idx="5">
                  <c:v>6.3874140236942351E-3</c:v>
                </c:pt>
              </c:numCache>
            </c:numRef>
          </c:yVal>
          <c:smooth val="0"/>
          <c:extLst>
            <c:ext xmlns:c16="http://schemas.microsoft.com/office/drawing/2014/chart" uri="{C3380CC4-5D6E-409C-BE32-E72D297353CC}">
              <c16:uniqueId val="{00000005-EB12-49A7-AF53-985756B3BA5D}"/>
            </c:ext>
          </c:extLst>
        </c:ser>
        <c:dLbls>
          <c:showLegendKey val="0"/>
          <c:showVal val="0"/>
          <c:showCatName val="0"/>
          <c:showSerName val="0"/>
          <c:showPercent val="0"/>
          <c:showBubbleSize val="0"/>
        </c:dLbls>
        <c:axId val="1408354767"/>
        <c:axId val="1074120591"/>
      </c:scatterChart>
      <c:valAx>
        <c:axId val="140835476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Re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4120591"/>
        <c:crosses val="autoZero"/>
        <c:crossBetween val="midCat"/>
      </c:valAx>
      <c:valAx>
        <c:axId val="10741205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835476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'1 EF25 flat'!$G$6:$G$12</c:f>
              <c:numCache>
                <c:formatCode>0.00</c:formatCode>
                <c:ptCount val="7"/>
                <c:pt idx="0">
                  <c:v>0</c:v>
                </c:pt>
                <c:pt idx="1">
                  <c:v>1.1197912712417233</c:v>
                </c:pt>
                <c:pt idx="2">
                  <c:v>2.1171053721913826</c:v>
                </c:pt>
                <c:pt idx="3">
                  <c:v>3.5280423739559543</c:v>
                </c:pt>
                <c:pt idx="4">
                  <c:v>5.1762351513148657</c:v>
                </c:pt>
                <c:pt idx="5">
                  <c:v>7.2814427412493066</c:v>
                </c:pt>
                <c:pt idx="6">
                  <c:v>9.5805141950174679</c:v>
                </c:pt>
              </c:numCache>
            </c:numRef>
          </c:xVal>
          <c:yVal>
            <c:numRef>
              <c:f>'1 EF25 flat'!$K$6:$K$12</c:f>
              <c:numCache>
                <c:formatCode>0</c:formatCode>
                <c:ptCount val="7"/>
                <c:pt idx="0">
                  <c:v>0</c:v>
                </c:pt>
                <c:pt idx="1">
                  <c:v>907.87838709677351</c:v>
                </c:pt>
                <c:pt idx="2">
                  <c:v>1502.9654838709671</c:v>
                </c:pt>
                <c:pt idx="3">
                  <c:v>2316.4687096774187</c:v>
                </c:pt>
                <c:pt idx="4">
                  <c:v>3283.4106451612897</c:v>
                </c:pt>
                <c:pt idx="5">
                  <c:v>4375.1622580645144</c:v>
                </c:pt>
                <c:pt idx="6">
                  <c:v>5620.2429032258051</c:v>
                </c:pt>
              </c:numCache>
            </c:numRef>
          </c:yVal>
          <c:smooth val="0"/>
          <c:extLst>
            <c:ext xmlns:c16="http://schemas.microsoft.com/office/drawing/2014/chart" uri="{C3380CC4-5D6E-409C-BE32-E72D297353CC}">
              <c16:uniqueId val="{00000001-F330-4CDF-91FD-AF52692D9AEC}"/>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026293177102636E-2"/>
          <c:y val="3.2459213394622467E-2"/>
          <c:w val="0.88485217635934665"/>
          <c:h val="0.79655607605151169"/>
        </c:manualLayout>
      </c:layout>
      <c:scatterChart>
        <c:scatterStyle val="lineMarker"/>
        <c:varyColors val="0"/>
        <c:ser>
          <c:idx val="0"/>
          <c:order val="0"/>
          <c:tx>
            <c:strRef>
              <c:f>'1 EF25 flat'!$O$5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1.0337860472579874E-2"/>
                  <c:y val="-0.1493205782109107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trendline>
            <c:spPr>
              <a:ln w="19050" cap="rnd">
                <a:solidFill>
                  <a:schemeClr val="accent1"/>
                </a:solidFill>
                <a:prstDash val="sysDot"/>
              </a:ln>
              <a:effectLst/>
            </c:spPr>
            <c:trendlineType val="power"/>
            <c:dispRSqr val="0"/>
            <c:dispEq val="0"/>
          </c:trendline>
          <c:xVal>
            <c:numRef>
              <c:f>'1 EF25 flat'!$L$7:$L$11</c:f>
              <c:numCache>
                <c:formatCode>0.0E+00</c:formatCode>
                <c:ptCount val="5"/>
                <c:pt idx="0">
                  <c:v>17430.20814202632</c:v>
                </c:pt>
                <c:pt idx="1">
                  <c:v>23966.536195286189</c:v>
                </c:pt>
                <c:pt idx="2">
                  <c:v>30938.619452096718</c:v>
                </c:pt>
                <c:pt idx="3">
                  <c:v>37474.947505356591</c:v>
                </c:pt>
                <c:pt idx="4">
                  <c:v>44447.030762167124</c:v>
                </c:pt>
              </c:numCache>
            </c:numRef>
          </c:xVal>
          <c:yVal>
            <c:numRef>
              <c:f>'1 EF25 flat'!$O$7:$O$11</c:f>
              <c:numCache>
                <c:formatCode>0.000</c:formatCode>
                <c:ptCount val="5"/>
                <c:pt idx="0">
                  <c:v>8.5798693750955782E-3</c:v>
                </c:pt>
                <c:pt idx="1">
                  <c:v>7.5127097285502395E-3</c:v>
                </c:pt>
                <c:pt idx="2">
                  <c:v>6.9483665671564452E-3</c:v>
                </c:pt>
                <c:pt idx="3">
                  <c:v>6.7127624784927434E-3</c:v>
                </c:pt>
                <c:pt idx="4">
                  <c:v>6.3586775391911736E-3</c:v>
                </c:pt>
              </c:numCache>
            </c:numRef>
          </c:yVal>
          <c:smooth val="0"/>
          <c:extLst>
            <c:ext xmlns:c16="http://schemas.microsoft.com/office/drawing/2014/chart" uri="{C3380CC4-5D6E-409C-BE32-E72D297353CC}">
              <c16:uniqueId val="{00000002-3B28-40D4-A860-69AE75A69FFA}"/>
            </c:ext>
          </c:extLst>
        </c:ser>
        <c:ser>
          <c:idx val="1"/>
          <c:order val="1"/>
          <c:tx>
            <c:strRef>
              <c:f>'1 EF25 flat'!$X$5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'1 EF25 flat'!$W$7:$W$31</c:f>
              <c:numCache>
                <c:formatCode>0.00000</c:formatCode>
                <c:ptCount val="25"/>
                <c:pt idx="0">
                  <c:v>1647.1533516988061</c:v>
                </c:pt>
                <c:pt idx="1">
                  <c:v>3294.3067033976122</c:v>
                </c:pt>
                <c:pt idx="2">
                  <c:v>4941.4600550964178</c:v>
                </c:pt>
                <c:pt idx="3">
                  <c:v>6588.6134067952244</c:v>
                </c:pt>
                <c:pt idx="4">
                  <c:v>8235.76675849403</c:v>
                </c:pt>
                <c:pt idx="5">
                  <c:v>9882.9201101928356</c:v>
                </c:pt>
                <c:pt idx="6">
                  <c:v>11530.073461891643</c:v>
                </c:pt>
                <c:pt idx="7">
                  <c:v>13177.226813590449</c:v>
                </c:pt>
                <c:pt idx="8">
                  <c:v>14824.380165289254</c:v>
                </c:pt>
                <c:pt idx="9">
                  <c:v>16471.53351698806</c:v>
                </c:pt>
                <c:pt idx="10">
                  <c:v>18118.686868686869</c:v>
                </c:pt>
                <c:pt idx="11">
                  <c:v>19765.840220385671</c:v>
                </c:pt>
                <c:pt idx="12">
                  <c:v>21412.993572084481</c:v>
                </c:pt>
                <c:pt idx="13">
                  <c:v>23060.146923783286</c:v>
                </c:pt>
                <c:pt idx="14">
                  <c:v>24707.300275482088</c:v>
                </c:pt>
                <c:pt idx="15">
                  <c:v>26354.453627180897</c:v>
                </c:pt>
                <c:pt idx="16">
                  <c:v>28001.606978879703</c:v>
                </c:pt>
                <c:pt idx="17">
                  <c:v>29648.760330578509</c:v>
                </c:pt>
                <c:pt idx="18">
                  <c:v>31295.913682277314</c:v>
                </c:pt>
                <c:pt idx="19">
                  <c:v>32943.06703397612</c:v>
                </c:pt>
                <c:pt idx="20">
                  <c:v>34590.220385674926</c:v>
                </c:pt>
                <c:pt idx="21">
                  <c:v>36237.373737373739</c:v>
                </c:pt>
                <c:pt idx="22">
                  <c:v>37884.527089072537</c:v>
                </c:pt>
                <c:pt idx="23">
                  <c:v>39531.680440771343</c:v>
                </c:pt>
                <c:pt idx="24">
                  <c:v>41178.833792470155</c:v>
                </c:pt>
              </c:numCache>
            </c:numRef>
          </c:xVal>
          <c:yVal>
            <c:numRef>
              <c:f>'1 EF25 flat'!$Y$7:$Y$31</c:f>
              <c:numCache>
                <c:formatCode>0.00000</c:formatCode>
                <c:ptCount val="25"/>
                <c:pt idx="0">
                  <c:v>1.2416322229719407E-2</c:v>
                </c:pt>
                <c:pt idx="1">
                  <c:v>1.0440840853606059E-2</c:v>
                </c:pt>
                <c:pt idx="2">
                  <c:v>9.4343647146899589E-3</c:v>
                </c:pt>
                <c:pt idx="3">
                  <c:v>8.7796656460318676E-3</c:v>
                </c:pt>
                <c:pt idx="4">
                  <c:v>8.3032951145880877E-3</c:v>
                </c:pt>
                <c:pt idx="5">
                  <c:v>7.9333234687789193E-3</c:v>
                </c:pt>
                <c:pt idx="6">
                  <c:v>7.63340781005692E-3</c:v>
                </c:pt>
                <c:pt idx="7">
                  <c:v>7.3827893688743849E-3</c:v>
                </c:pt>
                <c:pt idx="8">
                  <c:v>7.1685669816736368E-3</c:v>
                </c:pt>
                <c:pt idx="9">
                  <c:v>6.9822110966508031E-3</c:v>
                </c:pt>
                <c:pt idx="10">
                  <c:v>6.8178085803079925E-3</c:v>
                </c:pt>
                <c:pt idx="11">
                  <c:v>6.6711032659443571E-3</c:v>
                </c:pt>
                <c:pt idx="12">
                  <c:v>6.538936754704263E-3</c:v>
                </c:pt>
                <c:pt idx="13">
                  <c:v>6.4189052636465715E-3</c:v>
                </c:pt>
                <c:pt idx="14">
                  <c:v>6.3091399365605566E-3</c:v>
                </c:pt>
                <c:pt idx="15">
                  <c:v>6.2081611148597036E-3</c:v>
                </c:pt>
                <c:pt idx="16">
                  <c:v>6.1147787066251789E-3</c:v>
                </c:pt>
                <c:pt idx="17">
                  <c:v>6.0280222773955016E-3</c:v>
                </c:pt>
                <c:pt idx="18">
                  <c:v>5.9470908730443542E-3</c:v>
                </c:pt>
                <c:pt idx="19">
                  <c:v>5.8713162817183671E-3</c:v>
                </c:pt>
                <c:pt idx="20">
                  <c:v>5.8001356572128212E-3</c:v>
                </c:pt>
                <c:pt idx="21">
                  <c:v>5.7330707950670077E-3</c:v>
                </c:pt>
                <c:pt idx="22">
                  <c:v>5.669712221703988E-3</c:v>
                </c:pt>
                <c:pt idx="23">
                  <c:v>5.6097068221199571E-3</c:v>
                </c:pt>
                <c:pt idx="24">
                  <c:v>5.5527481072388711E-3</c:v>
                </c:pt>
              </c:numCache>
            </c:numRef>
          </c:yVal>
          <c:smooth val="0"/>
          <c:extLst>
            <c:ext xmlns:c16="http://schemas.microsoft.com/office/drawing/2014/chart" uri="{C3380CC4-5D6E-409C-BE32-E72D297353CC}">
              <c16:uniqueId val="{00000004-3B28-40D4-A860-69AE75A69FFA}"/>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'2 EF25 flat'!$G$6:$G$12</c:f>
              <c:numCache>
                <c:formatCode>0.00</c:formatCode>
                <c:ptCount val="7"/>
                <c:pt idx="0">
                  <c:v>0</c:v>
                </c:pt>
                <c:pt idx="1">
                  <c:v>0.90703092970579591</c:v>
                </c:pt>
                <c:pt idx="2">
                  <c:v>1.9659335505737499</c:v>
                </c:pt>
                <c:pt idx="3">
                  <c:v>3.0486317359555914</c:v>
                </c:pt>
                <c:pt idx="4">
                  <c:v>4.9382795061759985</c:v>
                </c:pt>
                <c:pt idx="5">
                  <c:v>6.9986954452607701</c:v>
                </c:pt>
                <c:pt idx="6">
                  <c:v>9.2557747263573695</c:v>
                </c:pt>
              </c:numCache>
            </c:numRef>
          </c:xVal>
          <c:yVal>
            <c:numRef>
              <c:f>'2 EF25 flat'!$K$6:$K$12</c:f>
              <c:numCache>
                <c:formatCode>0</c:formatCode>
                <c:ptCount val="7"/>
                <c:pt idx="0">
                  <c:v>0</c:v>
                </c:pt>
                <c:pt idx="1">
                  <c:v>681.43225806451596</c:v>
                </c:pt>
                <c:pt idx="2">
                  <c:v>1381.1354838709676</c:v>
                </c:pt>
                <c:pt idx="3">
                  <c:v>2181.9838709677415</c:v>
                </c:pt>
                <c:pt idx="4">
                  <c:v>3386.5870967741935</c:v>
                </c:pt>
                <c:pt idx="5">
                  <c:v>4671.0451612903216</c:v>
                </c:pt>
                <c:pt idx="6">
                  <c:v>5934.3161290322587</c:v>
                </c:pt>
              </c:numCache>
            </c:numRef>
          </c:yVal>
          <c:smooth val="0"/>
          <c:extLst>
            <c:ext xmlns:c16="http://schemas.microsoft.com/office/drawing/2014/chart" uri="{C3380CC4-5D6E-409C-BE32-E72D297353CC}">
              <c16:uniqueId val="{00000001-5A18-4CA3-BDD2-D5769E437DE8}"/>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'2 EF25 flat'!$O$5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1.0337860472579874E-2"/>
                  <c:y val="-0.1493205782109107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trendline>
            <c:spPr>
              <a:ln w="19050" cap="rnd">
                <a:solidFill>
                  <a:schemeClr val="accent1"/>
                </a:solidFill>
                <a:prstDash val="sysDot"/>
              </a:ln>
              <a:effectLst/>
            </c:spPr>
            <c:trendlineType val="power"/>
            <c:dispRSqr val="0"/>
            <c:dispEq val="0"/>
          </c:trendline>
          <c:xVal>
            <c:numRef>
              <c:f>'2 EF25 flat'!$L$7:$L$11</c:f>
              <c:numCache>
                <c:formatCode>0.0E+00</c:formatCode>
                <c:ptCount val="5"/>
                <c:pt idx="0">
                  <c:v>16432.653762336515</c:v>
                </c:pt>
                <c:pt idx="1">
                  <c:v>24192.518038995422</c:v>
                </c:pt>
                <c:pt idx="2">
                  <c:v>30126.53189761694</c:v>
                </c:pt>
                <c:pt idx="3">
                  <c:v>38342.858778785194</c:v>
                </c:pt>
                <c:pt idx="4">
                  <c:v>45646.260450934758</c:v>
                </c:pt>
              </c:numCache>
            </c:numRef>
          </c:xVal>
          <c:yVal>
            <c:numRef>
              <c:f>'2 EF25 flat'!$O$7:$O$11</c:f>
              <c:numCache>
                <c:formatCode>0.000</c:formatCode>
                <c:ptCount val="5"/>
                <c:pt idx="0">
                  <c:v>7.9581950097920694E-3</c:v>
                </c:pt>
                <c:pt idx="1">
                  <c:v>7.4418589435623038E-3</c:v>
                </c:pt>
                <c:pt idx="2">
                  <c:v>7.5815945397577208E-3</c:v>
                </c:pt>
                <c:pt idx="3">
                  <c:v>7.2644136724406127E-3</c:v>
                </c:pt>
                <c:pt idx="4">
                  <c:v>7.0698623168627111E-3</c:v>
                </c:pt>
              </c:numCache>
            </c:numRef>
          </c:yVal>
          <c:smooth val="0"/>
          <c:extLst>
            <c:ext xmlns:c16="http://schemas.microsoft.com/office/drawing/2014/chart" uri="{C3380CC4-5D6E-409C-BE32-E72D297353CC}">
              <c16:uniqueId val="{00000002-7755-4B3D-929C-F1B970F409BA}"/>
            </c:ext>
          </c:extLst>
        </c:ser>
        <c:ser>
          <c:idx val="1"/>
          <c:order val="1"/>
          <c:tx>
            <c:strRef>
              <c:f>'2 EF25 flat'!$W$5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'2 EF25 flat'!$V$7:$V$31</c:f>
              <c:numCache>
                <c:formatCode>0.00000</c:formatCode>
                <c:ptCount val="25"/>
                <c:pt idx="0">
                  <c:v>1725.4272647035223</c:v>
                </c:pt>
                <c:pt idx="1">
                  <c:v>3450.8545294070445</c:v>
                </c:pt>
                <c:pt idx="2">
                  <c:v>5176.2817941105668</c:v>
                </c:pt>
                <c:pt idx="3">
                  <c:v>6901.7090588140891</c:v>
                </c:pt>
                <c:pt idx="4">
                  <c:v>8627.1363235176104</c:v>
                </c:pt>
                <c:pt idx="5">
                  <c:v>10352.563588221134</c:v>
                </c:pt>
                <c:pt idx="6">
                  <c:v>12077.990852924655</c:v>
                </c:pt>
                <c:pt idx="7">
                  <c:v>13803.418117628178</c:v>
                </c:pt>
                <c:pt idx="8">
                  <c:v>15528.8453823317</c:v>
                </c:pt>
                <c:pt idx="9">
                  <c:v>17254.272647035221</c:v>
                </c:pt>
                <c:pt idx="10">
                  <c:v>18979.699911738746</c:v>
                </c:pt>
                <c:pt idx="11">
                  <c:v>20705.127176442267</c:v>
                </c:pt>
                <c:pt idx="12">
                  <c:v>22430.554441145792</c:v>
                </c:pt>
                <c:pt idx="13">
                  <c:v>24155.98170584931</c:v>
                </c:pt>
                <c:pt idx="14">
                  <c:v>25881.408970552831</c:v>
                </c:pt>
                <c:pt idx="15">
                  <c:v>27606.836235256356</c:v>
                </c:pt>
                <c:pt idx="16">
                  <c:v>29332.263499959878</c:v>
                </c:pt>
                <c:pt idx="17">
                  <c:v>31057.690764663399</c:v>
                </c:pt>
                <c:pt idx="18">
                  <c:v>32783.118029366924</c:v>
                </c:pt>
                <c:pt idx="19">
                  <c:v>34508.545294070442</c:v>
                </c:pt>
                <c:pt idx="20">
                  <c:v>36233.972558773967</c:v>
                </c:pt>
                <c:pt idx="21">
                  <c:v>37959.399823477492</c:v>
                </c:pt>
                <c:pt idx="22">
                  <c:v>39684.827088181009</c:v>
                </c:pt>
                <c:pt idx="23">
                  <c:v>41410.254352884534</c:v>
                </c:pt>
                <c:pt idx="24">
                  <c:v>43135.681617588059</c:v>
                </c:pt>
              </c:numCache>
            </c:numRef>
          </c:xVal>
          <c:yVal>
            <c:numRef>
              <c:f>'2 EF25 flat'!$X$7:$X$31</c:f>
              <c:numCache>
                <c:formatCode>0.00000</c:formatCode>
                <c:ptCount val="25"/>
                <c:pt idx="0">
                  <c:v>1.2273044797005223E-2</c:v>
                </c:pt>
                <c:pt idx="1">
                  <c:v>1.0320359374049945E-2</c:v>
                </c:pt>
                <c:pt idx="2">
                  <c:v>9.3254974083651753E-3</c:v>
                </c:pt>
                <c:pt idx="3">
                  <c:v>8.6783532017686675E-3</c:v>
                </c:pt>
                <c:pt idx="4">
                  <c:v>8.2074797205385647E-3</c:v>
                </c:pt>
                <c:pt idx="5">
                  <c:v>7.8417773411520817E-3</c:v>
                </c:pt>
                <c:pt idx="6">
                  <c:v>7.5453225418389662E-3</c:v>
                </c:pt>
                <c:pt idx="7">
                  <c:v>7.297596097672868E-3</c:v>
                </c:pt>
                <c:pt idx="8">
                  <c:v>7.0858457173273003E-3</c:v>
                </c:pt>
                <c:pt idx="9">
                  <c:v>6.9016402752684371E-3</c:v>
                </c:pt>
                <c:pt idx="10">
                  <c:v>6.7391348722606022E-3</c:v>
                </c:pt>
                <c:pt idx="11">
                  <c:v>6.5941224553925891E-3</c:v>
                </c:pt>
                <c:pt idx="12">
                  <c:v>6.4634810719698087E-3</c:v>
                </c:pt>
                <c:pt idx="13">
                  <c:v>6.3448346773654326E-3</c:v>
                </c:pt>
                <c:pt idx="14">
                  <c:v>6.2363359809269586E-3</c:v>
                </c:pt>
                <c:pt idx="15">
                  <c:v>6.1365223985026104E-3</c:v>
                </c:pt>
                <c:pt idx="16">
                  <c:v>6.0442175711704635E-3</c:v>
                </c:pt>
                <c:pt idx="17">
                  <c:v>5.9584622627414123E-3</c:v>
                </c:pt>
                <c:pt idx="18">
                  <c:v>5.8784647616529932E-3</c:v>
                </c:pt>
                <c:pt idx="19">
                  <c:v>5.8035645668438884E-3</c:v>
                </c:pt>
                <c:pt idx="20">
                  <c:v>5.7332053270406289E-3</c:v>
                </c:pt>
                <c:pt idx="21">
                  <c:v>5.6669143559952388E-3</c:v>
                </c:pt>
                <c:pt idx="22">
                  <c:v>5.6042869052274564E-3</c:v>
                </c:pt>
                <c:pt idx="23">
                  <c:v>5.544973934483651E-3</c:v>
                </c:pt>
                <c:pt idx="24">
                  <c:v>5.4886724914007569E-3</c:v>
                </c:pt>
              </c:numCache>
            </c:numRef>
          </c:yVal>
          <c:smooth val="0"/>
          <c:extLst>
            <c:ext xmlns:c16="http://schemas.microsoft.com/office/drawing/2014/chart" uri="{C3380CC4-5D6E-409C-BE32-E72D297353CC}">
              <c16:uniqueId val="{00000004-7755-4B3D-929C-F1B970F409BA}"/>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7905743009573"/>
          <c:y val="7.6000885431489737E-2"/>
          <c:w val="0.87147208843029911"/>
          <c:h val="0.8116902254688043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0"/>
            <c:dispRSqr val="1"/>
            <c:dispEq val="1"/>
            <c:trendlineLbl>
              <c:layout>
                <c:manualLayout>
                  <c:x val="-5.0976046472021953E-2"/>
                  <c:y val="0.24339626849488494"/>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'EF25 flat AVGS'!$G$6:$G$12</c:f>
              <c:numCache>
                <c:formatCode>0.00</c:formatCode>
                <c:ptCount val="7"/>
                <c:pt idx="0">
                  <c:v>0</c:v>
                </c:pt>
                <c:pt idx="1">
                  <c:v>1.0106116222956547</c:v>
                </c:pt>
                <c:pt idx="2">
                  <c:v>2.0408195918380403</c:v>
                </c:pt>
                <c:pt idx="3">
                  <c:v>3.283962870302485</c:v>
                </c:pt>
                <c:pt idx="4">
                  <c:v>5.0565574592009064</c:v>
                </c:pt>
                <c:pt idx="5">
                  <c:v>7.13936922371051</c:v>
                </c:pt>
                <c:pt idx="6">
                  <c:v>9.4174445911428943</c:v>
                </c:pt>
              </c:numCache>
            </c:numRef>
          </c:xVal>
          <c:yVal>
            <c:numRef>
              <c:f>'EF25 flat AVGS'!$K$6:$K$12</c:f>
              <c:numCache>
                <c:formatCode>0</c:formatCode>
                <c:ptCount val="7"/>
                <c:pt idx="0">
                  <c:v>0</c:v>
                </c:pt>
                <c:pt idx="1">
                  <c:v>794.65532258064468</c:v>
                </c:pt>
                <c:pt idx="2">
                  <c:v>1442.0504838709674</c:v>
                </c:pt>
                <c:pt idx="3">
                  <c:v>2249.2262903225801</c:v>
                </c:pt>
                <c:pt idx="4">
                  <c:v>3334.9988709677418</c:v>
                </c:pt>
                <c:pt idx="5">
                  <c:v>4523.103709677418</c:v>
                </c:pt>
                <c:pt idx="6">
                  <c:v>5777.2795161290314</c:v>
                </c:pt>
              </c:numCache>
            </c:numRef>
          </c:yVal>
          <c:smooth val="0"/>
          <c:extLst>
            <c:ext xmlns:c16="http://schemas.microsoft.com/office/drawing/2014/chart" uri="{C3380CC4-5D6E-409C-BE32-E72D297353CC}">
              <c16:uniqueId val="{00000001-3AF9-45B7-A5C8-7B985C5C4A4C}"/>
            </c:ext>
          </c:extLst>
        </c:ser>
        <c:dLbls>
          <c:showLegendKey val="0"/>
          <c:showVal val="0"/>
          <c:showCatName val="0"/>
          <c:showSerName val="0"/>
          <c:showPercent val="0"/>
          <c:showBubbleSize val="0"/>
        </c:dLbls>
        <c:axId val="495907024"/>
        <c:axId val="495906368"/>
      </c:scatterChart>
      <c:valAx>
        <c:axId val="495907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b="0" i="0" u="none" strike="noStrike" baseline="0">
                    <a:effectLst/>
                  </a:rPr>
                  <a:t>u</a:t>
                </a:r>
                <a:r>
                  <a:rPr lang="en-US" sz="1600" b="0" i="0" u="none" strike="noStrike" baseline="30000">
                    <a:effectLst/>
                  </a:rPr>
                  <a:t>2</a:t>
                </a:r>
                <a:r>
                  <a:rPr lang="en-US" sz="1600" b="0" i="0" u="none" strike="noStrike" baseline="0"/>
                  <a:t> </a:t>
                </a:r>
                <a:endParaRPr lang="en-US" sz="1600"/>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6368"/>
        <c:crosses val="autoZero"/>
        <c:crossBetween val="midCat"/>
      </c:valAx>
      <c:valAx>
        <c:axId val="495906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l-GR" sz="1400" b="0" i="0" u="none" strike="noStrike" baseline="0">
                    <a:effectLst/>
                  </a:rPr>
                  <a:t>Δ</a:t>
                </a:r>
                <a:r>
                  <a:rPr lang="en-US" sz="1400" b="0" i="0" u="none" strike="noStrike" baseline="0">
                    <a:effectLst/>
                  </a:rPr>
                  <a:t>P(Pa)</a:t>
                </a:r>
                <a:r>
                  <a:rPr lang="en-US" sz="1400" b="0" i="0" u="none" strike="noStrike" baseline="0"/>
                  <a:t> </a:t>
                </a:r>
                <a:endParaRPr lang="en-US" sz="1400"/>
              </a:p>
            </c:rich>
          </c:tx>
          <c:layout>
            <c:manualLayout>
              <c:xMode val="edge"/>
              <c:yMode val="edge"/>
              <c:x val="1.1874859823608077E-2"/>
              <c:y val="0.37440418485845395"/>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9590702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'EF25 flat AVGS'!$O$5</c:f>
              <c:strCache>
                <c:ptCount val="1"/>
                <c:pt idx="0">
                  <c:v>Cf (fanning)</c:v>
                </c:pt>
              </c:strCache>
            </c:strRef>
          </c:tx>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7.8757882255097826E-3"/>
                  <c:y val="-0.1501970840281609"/>
                </c:manualLayout>
              </c:layout>
              <c:numFmt formatCode="General" sourceLinked="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rendlineLbl>
          </c:trendline>
          <c:xVal>
            <c:numRef>
              <c:f>'EF25 flat AVGS'!$L$7:$L$12</c:f>
              <c:numCache>
                <c:formatCode>0.0E+00</c:formatCode>
                <c:ptCount val="6"/>
                <c:pt idx="0">
                  <c:v>17031.803384494291</c:v>
                </c:pt>
                <c:pt idx="1">
                  <c:v>24203.089020070838</c:v>
                </c:pt>
                <c:pt idx="2">
                  <c:v>30702.066627312077</c:v>
                </c:pt>
                <c:pt idx="3">
                  <c:v>38097.454939000396</c:v>
                </c:pt>
                <c:pt idx="4">
                  <c:v>45268.740574576928</c:v>
                </c:pt>
                <c:pt idx="5">
                  <c:v>51991.820857929946</c:v>
                </c:pt>
              </c:numCache>
            </c:numRef>
          </c:xVal>
          <c:yVal>
            <c:numRef>
              <c:f>'EF25 flat AVGS'!$O$7:$O$12</c:f>
              <c:numCache>
                <c:formatCode>0.000</c:formatCode>
                <c:ptCount val="6"/>
                <c:pt idx="0">
                  <c:v>8.321173638751388E-3</c:v>
                </c:pt>
                <c:pt idx="1">
                  <c:v>7.4776636450018044E-3</c:v>
                </c:pt>
                <c:pt idx="2">
                  <c:v>7.2481135651974752E-3</c:v>
                </c:pt>
                <c:pt idx="3">
                  <c:v>6.9796046123650861E-3</c:v>
                </c:pt>
                <c:pt idx="4">
                  <c:v>6.7045059317648341E-3</c:v>
                </c:pt>
                <c:pt idx="5">
                  <c:v>6.4920279779756753E-3</c:v>
                </c:pt>
              </c:numCache>
            </c:numRef>
          </c:yVal>
          <c:smooth val="0"/>
          <c:extLst>
            <c:ext xmlns:c16="http://schemas.microsoft.com/office/drawing/2014/chart" uri="{C3380CC4-5D6E-409C-BE32-E72D297353CC}">
              <c16:uniqueId val="{00000001-AD6C-49ED-874B-70463B3992BD}"/>
            </c:ext>
          </c:extLst>
        </c:ser>
        <c:ser>
          <c:idx val="1"/>
          <c:order val="1"/>
          <c:tx>
            <c:strRef>
              <c:f>'EF25 flat AVGS'!$X$5</c:f>
              <c:strCache>
                <c:ptCount val="1"/>
                <c:pt idx="0">
                  <c:v>f (Dean) </c:v>
                </c:pt>
              </c:strCache>
            </c:strRef>
          </c:tx>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power"/>
            <c:dispRSqr val="0"/>
            <c:dispEq val="1"/>
            <c:trendlineLbl>
              <c:layout>
                <c:manualLayout>
                  <c:x val="3.2841416116786721E-4"/>
                  <c:y val="4.8865132254902813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'EF25 flat AVGS'!$W$7:$W$31</c:f>
              <c:numCache>
                <c:formatCode>0.00000</c:formatCode>
                <c:ptCount val="25"/>
                <c:pt idx="0">
                  <c:v>1694.2148760330579</c:v>
                </c:pt>
                <c:pt idx="1">
                  <c:v>3388.4297520661157</c:v>
                </c:pt>
                <c:pt idx="2">
                  <c:v>5082.6446280991731</c:v>
                </c:pt>
                <c:pt idx="3">
                  <c:v>6776.8595041322315</c:v>
                </c:pt>
                <c:pt idx="4">
                  <c:v>8471.0743801652898</c:v>
                </c:pt>
                <c:pt idx="5">
                  <c:v>10165.289256198346</c:v>
                </c:pt>
                <c:pt idx="6">
                  <c:v>11859.504132231405</c:v>
                </c:pt>
                <c:pt idx="7">
                  <c:v>13553.719008264463</c:v>
                </c:pt>
                <c:pt idx="8">
                  <c:v>15247.933884297521</c:v>
                </c:pt>
                <c:pt idx="9">
                  <c:v>16942.14876033058</c:v>
                </c:pt>
                <c:pt idx="10">
                  <c:v>18636.363636363636</c:v>
                </c:pt>
                <c:pt idx="11">
                  <c:v>20330.578512396693</c:v>
                </c:pt>
                <c:pt idx="12">
                  <c:v>22024.793388429753</c:v>
                </c:pt>
                <c:pt idx="13">
                  <c:v>23719.008264462809</c:v>
                </c:pt>
                <c:pt idx="14">
                  <c:v>25413.223140495866</c:v>
                </c:pt>
                <c:pt idx="15">
                  <c:v>27107.438016528926</c:v>
                </c:pt>
                <c:pt idx="16">
                  <c:v>28801.652892561982</c:v>
                </c:pt>
                <c:pt idx="17">
                  <c:v>30495.867768595042</c:v>
                </c:pt>
                <c:pt idx="18">
                  <c:v>32190.082644628095</c:v>
                </c:pt>
                <c:pt idx="19">
                  <c:v>33884.297520661159</c:v>
                </c:pt>
                <c:pt idx="20">
                  <c:v>35578.512396694219</c:v>
                </c:pt>
                <c:pt idx="21">
                  <c:v>37272.727272727272</c:v>
                </c:pt>
                <c:pt idx="22">
                  <c:v>38966.942148760325</c:v>
                </c:pt>
                <c:pt idx="23">
                  <c:v>40661.157024793385</c:v>
                </c:pt>
                <c:pt idx="24">
                  <c:v>42355.371900826445</c:v>
                </c:pt>
              </c:numCache>
            </c:numRef>
          </c:xVal>
          <c:yVal>
            <c:numRef>
              <c:f>'EF25 flat AVGS'!$Y$7:$Y$31</c:f>
              <c:numCache>
                <c:formatCode>0.00000</c:formatCode>
                <c:ptCount val="25"/>
                <c:pt idx="0">
                  <c:v>1.2329184760773089E-2</c:v>
                </c:pt>
                <c:pt idx="1">
                  <c:v>1.0367567268334816E-2</c:v>
                </c:pt>
                <c:pt idx="2">
                  <c:v>9.3681545562271876E-3</c:v>
                </c:pt>
                <c:pt idx="3">
                  <c:v>8.7180501508444929E-3</c:v>
                </c:pt>
                <c:pt idx="4">
                  <c:v>8.2450227770300491E-3</c:v>
                </c:pt>
                <c:pt idx="5">
                  <c:v>7.8776475838741953E-3</c:v>
                </c:pt>
                <c:pt idx="6">
                  <c:v>7.5798367264705629E-3</c:v>
                </c:pt>
                <c:pt idx="7">
                  <c:v>7.3309771198472387E-3</c:v>
                </c:pt>
                <c:pt idx="8">
                  <c:v>7.1182581405209739E-3</c:v>
                </c:pt>
                <c:pt idx="9">
                  <c:v>6.9332100968897935E-3</c:v>
                </c:pt>
                <c:pt idx="10">
                  <c:v>6.76996135369313E-3</c:v>
                </c:pt>
                <c:pt idx="11">
                  <c:v>6.6242856139118959E-3</c:v>
                </c:pt>
                <c:pt idx="12">
                  <c:v>6.4930466442622865E-3</c:v>
                </c:pt>
                <c:pt idx="13">
                  <c:v>6.3738575314975466E-3</c:v>
                </c:pt>
                <c:pt idx="14">
                  <c:v>6.2648625349976256E-3</c:v>
                </c:pt>
                <c:pt idx="15">
                  <c:v>6.1645923803865443E-3</c:v>
                </c:pt>
                <c:pt idx="16">
                  <c:v>6.0718653277836692E-3</c:v>
                </c:pt>
                <c:pt idx="17">
                  <c:v>5.985717753214658E-3</c:v>
                </c:pt>
                <c:pt idx="18">
                  <c:v>5.905354323631159E-3</c:v>
                </c:pt>
                <c:pt idx="19">
                  <c:v>5.8301115166754887E-3</c:v>
                </c:pt>
                <c:pt idx="20">
                  <c:v>5.7594304361848836E-3</c:v>
                </c:pt>
                <c:pt idx="21">
                  <c:v>5.6928362337267373E-3</c:v>
                </c:pt>
                <c:pt idx="22">
                  <c:v>5.6299223094004262E-3</c:v>
                </c:pt>
                <c:pt idx="23">
                  <c:v>5.5703380263552645E-3</c:v>
                </c:pt>
                <c:pt idx="24">
                  <c:v>5.5137790464486209E-3</c:v>
                </c:pt>
              </c:numCache>
            </c:numRef>
          </c:yVal>
          <c:smooth val="0"/>
          <c:extLst>
            <c:ext xmlns:c16="http://schemas.microsoft.com/office/drawing/2014/chart" uri="{C3380CC4-5D6E-409C-BE32-E72D297353CC}">
              <c16:uniqueId val="{00000003-AD6C-49ED-874B-70463B3992BD}"/>
            </c:ext>
          </c:extLst>
        </c:ser>
        <c:dLbls>
          <c:showLegendKey val="0"/>
          <c:showVal val="0"/>
          <c:showCatName val="0"/>
          <c:showSerName val="0"/>
          <c:showPercent val="0"/>
          <c:showBubbleSize val="0"/>
        </c:dLbls>
        <c:axId val="424978536"/>
        <c:axId val="424985752"/>
      </c:scatterChart>
      <c:valAx>
        <c:axId val="424978536"/>
        <c:scaling>
          <c:orientation val="minMax"/>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Re</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85752"/>
        <c:crosses val="autoZero"/>
        <c:crossBetween val="midCat"/>
      </c:valAx>
      <c:valAx>
        <c:axId val="424985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r>
                  <a:rPr lang="en-US" sz="1600" baseline="0"/>
                  <a:t>Fanning  Friction Factor (f)</a:t>
                </a:r>
                <a:endParaRPr lang="en-US" sz="1600"/>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24978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prstDash val="dash"/>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1">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chart" Target="../charts/chart50.xml"/><Relationship Id="rId5" Type="http://schemas.openxmlformats.org/officeDocument/2006/relationships/chart" Target="../charts/chart49.xml"/><Relationship Id="rId4" Type="http://schemas.openxmlformats.org/officeDocument/2006/relationships/chart" Target="../charts/chart48.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53.xml"/><Relationship Id="rId2" Type="http://schemas.openxmlformats.org/officeDocument/2006/relationships/chart" Target="../charts/chart52.xml"/><Relationship Id="rId1" Type="http://schemas.openxmlformats.org/officeDocument/2006/relationships/chart" Target="../charts/chart51.xml"/><Relationship Id="rId6" Type="http://schemas.openxmlformats.org/officeDocument/2006/relationships/chart" Target="../charts/chart56.xml"/><Relationship Id="rId5" Type="http://schemas.openxmlformats.org/officeDocument/2006/relationships/chart" Target="../charts/chart55.xml"/><Relationship Id="rId4" Type="http://schemas.openxmlformats.org/officeDocument/2006/relationships/chart" Target="../charts/chart54.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chart" Target="../charts/chart57.xml"/><Relationship Id="rId6" Type="http://schemas.openxmlformats.org/officeDocument/2006/relationships/chart" Target="../charts/chart62.xml"/><Relationship Id="rId5" Type="http://schemas.openxmlformats.org/officeDocument/2006/relationships/chart" Target="../charts/chart61.xml"/><Relationship Id="rId4" Type="http://schemas.openxmlformats.org/officeDocument/2006/relationships/chart" Target="../charts/chart60.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chart" Target="../charts/chart64.xml"/><Relationship Id="rId1" Type="http://schemas.openxmlformats.org/officeDocument/2006/relationships/chart" Target="../charts/chart63.xml"/><Relationship Id="rId4" Type="http://schemas.openxmlformats.org/officeDocument/2006/relationships/chart" Target="../charts/chart6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70.xml"/><Relationship Id="rId7" Type="http://schemas.openxmlformats.org/officeDocument/2006/relationships/chart" Target="../charts/chart74.xml"/><Relationship Id="rId2" Type="http://schemas.openxmlformats.org/officeDocument/2006/relationships/chart" Target="../charts/chart69.xml"/><Relationship Id="rId1" Type="http://schemas.openxmlformats.org/officeDocument/2006/relationships/chart" Target="../charts/chart68.xml"/><Relationship Id="rId6" Type="http://schemas.openxmlformats.org/officeDocument/2006/relationships/chart" Target="../charts/chart73.xml"/><Relationship Id="rId5" Type="http://schemas.openxmlformats.org/officeDocument/2006/relationships/chart" Target="../charts/chart72.xml"/><Relationship Id="rId4" Type="http://schemas.openxmlformats.org/officeDocument/2006/relationships/chart" Target="../charts/chart71.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4.xml"/><Relationship Id="rId3" Type="http://schemas.openxmlformats.org/officeDocument/2006/relationships/chart" Target="../charts/chart9.xml"/><Relationship Id="rId7" Type="http://schemas.openxmlformats.org/officeDocument/2006/relationships/chart" Target="../charts/chart13.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 Id="rId9" Type="http://schemas.openxmlformats.org/officeDocument/2006/relationships/chart" Target="../charts/chart15.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77.xml"/><Relationship Id="rId2" Type="http://schemas.openxmlformats.org/officeDocument/2006/relationships/chart" Target="../charts/chart76.xml"/><Relationship Id="rId1" Type="http://schemas.openxmlformats.org/officeDocument/2006/relationships/chart" Target="../charts/chart75.xml"/><Relationship Id="rId4" Type="http://schemas.openxmlformats.org/officeDocument/2006/relationships/chart" Target="../charts/chart78.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81.xml"/><Relationship Id="rId2" Type="http://schemas.openxmlformats.org/officeDocument/2006/relationships/chart" Target="../charts/chart80.xml"/><Relationship Id="rId1" Type="http://schemas.openxmlformats.org/officeDocument/2006/relationships/chart" Target="../charts/chart79.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83.xml"/><Relationship Id="rId1" Type="http://schemas.openxmlformats.org/officeDocument/2006/relationships/chart" Target="../charts/chart8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95.xml"/><Relationship Id="rId1" Type="http://schemas.openxmlformats.org/officeDocument/2006/relationships/chart" Target="../charts/chart9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chart" Target="../charts/chart19.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97.xml"/><Relationship Id="rId1" Type="http://schemas.openxmlformats.org/officeDocument/2006/relationships/chart" Target="../charts/chart96.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99.xml"/><Relationship Id="rId1" Type="http://schemas.openxmlformats.org/officeDocument/2006/relationships/chart" Target="../charts/chart98.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102.xml"/><Relationship Id="rId1" Type="http://schemas.openxmlformats.org/officeDocument/2006/relationships/chart" Target="../charts/chart101.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104.xml"/><Relationship Id="rId1" Type="http://schemas.openxmlformats.org/officeDocument/2006/relationships/chart" Target="../charts/chart103.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106.xml"/><Relationship Id="rId1" Type="http://schemas.openxmlformats.org/officeDocument/2006/relationships/chart" Target="../charts/chart105.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108.xml"/><Relationship Id="rId1" Type="http://schemas.openxmlformats.org/officeDocument/2006/relationships/chart" Target="../charts/chart107.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110.xml"/><Relationship Id="rId1" Type="http://schemas.openxmlformats.org/officeDocument/2006/relationships/chart" Target="../charts/chart109.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112.xml"/><Relationship Id="rId1" Type="http://schemas.openxmlformats.org/officeDocument/2006/relationships/chart" Target="../charts/chart111.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114.xml"/><Relationship Id="rId1" Type="http://schemas.openxmlformats.org/officeDocument/2006/relationships/chart" Target="../charts/chart11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4" Type="http://schemas.openxmlformats.org/officeDocument/2006/relationships/chart" Target="../charts/chart23.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116.xml"/><Relationship Id="rId1" Type="http://schemas.openxmlformats.org/officeDocument/2006/relationships/chart" Target="../charts/chart115.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18.xml"/><Relationship Id="rId1" Type="http://schemas.openxmlformats.org/officeDocument/2006/relationships/chart" Target="../charts/chart117.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120.xml"/><Relationship Id="rId1" Type="http://schemas.openxmlformats.org/officeDocument/2006/relationships/chart" Target="../charts/chart119.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123.xml"/><Relationship Id="rId1" Type="http://schemas.openxmlformats.org/officeDocument/2006/relationships/chart" Target="../charts/chart122.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125.xml"/><Relationship Id="rId1" Type="http://schemas.openxmlformats.org/officeDocument/2006/relationships/chart" Target="../charts/chart124.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127.xml"/><Relationship Id="rId1" Type="http://schemas.openxmlformats.org/officeDocument/2006/relationships/chart" Target="../charts/chart126.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129.xml"/><Relationship Id="rId1" Type="http://schemas.openxmlformats.org/officeDocument/2006/relationships/chart" Target="../charts/chart128.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130.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132.xml"/><Relationship Id="rId1" Type="http://schemas.openxmlformats.org/officeDocument/2006/relationships/chart" Target="../charts/chart13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134.xml"/><Relationship Id="rId1" Type="http://schemas.openxmlformats.org/officeDocument/2006/relationships/chart" Target="../charts/chart133.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136.xml"/><Relationship Id="rId1" Type="http://schemas.openxmlformats.org/officeDocument/2006/relationships/chart" Target="../charts/chart135.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137.xml"/></Relationships>
</file>

<file path=xl/drawings/_rels/drawing53.xml.rels><?xml version="1.0" encoding="UTF-8" standalone="yes"?>
<Relationships xmlns="http://schemas.openxmlformats.org/package/2006/relationships"><Relationship Id="rId2" Type="http://schemas.openxmlformats.org/officeDocument/2006/relationships/chart" Target="../charts/chart139.xml"/><Relationship Id="rId1" Type="http://schemas.openxmlformats.org/officeDocument/2006/relationships/chart" Target="../charts/chart138.xml"/></Relationships>
</file>

<file path=xl/drawings/_rels/drawing54.xml.rels><?xml version="1.0" encoding="UTF-8" standalone="yes"?>
<Relationships xmlns="http://schemas.openxmlformats.org/package/2006/relationships"><Relationship Id="rId2" Type="http://schemas.openxmlformats.org/officeDocument/2006/relationships/chart" Target="../charts/chart141.xml"/><Relationship Id="rId1" Type="http://schemas.openxmlformats.org/officeDocument/2006/relationships/chart" Target="../charts/chart140.xml"/></Relationships>
</file>

<file path=xl/drawings/_rels/drawing55.xml.rels><?xml version="1.0" encoding="UTF-8" standalone="yes"?>
<Relationships xmlns="http://schemas.openxmlformats.org/package/2006/relationships"><Relationship Id="rId2" Type="http://schemas.openxmlformats.org/officeDocument/2006/relationships/chart" Target="../charts/chart143.xml"/><Relationship Id="rId1" Type="http://schemas.openxmlformats.org/officeDocument/2006/relationships/chart" Target="../charts/chart142.xml"/></Relationships>
</file>

<file path=xl/drawings/_rels/drawing56.xml.rels><?xml version="1.0" encoding="UTF-8" standalone="yes"?>
<Relationships xmlns="http://schemas.openxmlformats.org/package/2006/relationships"><Relationship Id="rId2" Type="http://schemas.openxmlformats.org/officeDocument/2006/relationships/chart" Target="../charts/chart145.xml"/><Relationship Id="rId1" Type="http://schemas.openxmlformats.org/officeDocument/2006/relationships/chart" Target="../charts/chart144.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146.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14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chart" Target="../charts/chart34.xml"/><Relationship Id="rId4" Type="http://schemas.openxmlformats.org/officeDocument/2006/relationships/chart" Target="../charts/chart3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absoluteAnchor>
    <xdr:pos x="507999" y="431800"/>
    <xdr:ext cx="9517063" cy="7045326"/>
    <xdr:graphicFrame macro="">
      <xdr:nvGraphicFramePr>
        <xdr:cNvPr id="6" name="Chart 1">
          <a:extLst>
            <a:ext uri="{FF2B5EF4-FFF2-40B4-BE49-F238E27FC236}">
              <a16:creationId xmlns:a16="http://schemas.microsoft.com/office/drawing/2014/main" id="{00000000-0008-0000-0300-000006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881187" y="24295554"/>
    <xdr:ext cx="14506913" cy="8410915"/>
    <xdr:graphicFrame macro="">
      <xdr:nvGraphicFramePr>
        <xdr:cNvPr id="13" name="Chart 1">
          <a:extLst>
            <a:ext uri="{FF2B5EF4-FFF2-40B4-BE49-F238E27FC236}">
              <a16:creationId xmlns:a16="http://schemas.microsoft.com/office/drawing/2014/main" id="{96C4A10F-6119-4965-B0ED-8A6847C2069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absoluteAnchor>
    <xdr:pos x="11620765" y="26074687"/>
    <xdr:ext cx="12620360" cy="8477250"/>
    <xdr:graphicFrame macro="">
      <xdr:nvGraphicFramePr>
        <xdr:cNvPr id="10" name="Chart 1">
          <a:extLst>
            <a:ext uri="{FF2B5EF4-FFF2-40B4-BE49-F238E27FC236}">
              <a16:creationId xmlns:a16="http://schemas.microsoft.com/office/drawing/2014/main" id="{53D152C1-FCC4-47D8-8291-4BBE808361C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absoluteAnchor>
  <xdr:absoluteAnchor>
    <xdr:pos x="10346531" y="2714623"/>
    <xdr:ext cx="6238875" cy="4083845"/>
    <xdr:graphicFrame macro="">
      <xdr:nvGraphicFramePr>
        <xdr:cNvPr id="7" name="Chart 1">
          <a:extLst>
            <a:ext uri="{FF2B5EF4-FFF2-40B4-BE49-F238E27FC236}">
              <a16:creationId xmlns:a16="http://schemas.microsoft.com/office/drawing/2014/main" id="{A569536D-0DE5-4D46-8331-971FFF39AF5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absoluteAnchor>
  <xdr:absoluteAnchor>
    <xdr:pos x="10287000" y="6929437"/>
    <xdr:ext cx="6322219" cy="4083844"/>
    <xdr:graphicFrame macro="">
      <xdr:nvGraphicFramePr>
        <xdr:cNvPr id="8" name="Chart 1">
          <a:extLst>
            <a:ext uri="{FF2B5EF4-FFF2-40B4-BE49-F238E27FC236}">
              <a16:creationId xmlns:a16="http://schemas.microsoft.com/office/drawing/2014/main" id="{EAE654F2-F05D-453F-ACEB-654294BA1D7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absoluteAnchor>
  <xdr:absoluteAnchor>
    <xdr:pos x="16704470" y="2869406"/>
    <xdr:ext cx="6238875" cy="3964781"/>
    <xdr:graphicFrame macro="">
      <xdr:nvGraphicFramePr>
        <xdr:cNvPr id="9" name="Chart 1">
          <a:extLst>
            <a:ext uri="{FF2B5EF4-FFF2-40B4-BE49-F238E27FC236}">
              <a16:creationId xmlns:a16="http://schemas.microsoft.com/office/drawing/2014/main" id="{8AE53799-5D37-4F1A-89E7-88DE0294261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absoluteAnchor>
</xdr:wsDr>
</file>

<file path=xl/drawings/drawing10.xml><?xml version="1.0" encoding="utf-8"?>
<xdr:wsDr xmlns:xdr="http://schemas.openxmlformats.org/drawingml/2006/spreadsheetDrawing" xmlns:a="http://schemas.openxmlformats.org/drawingml/2006/main">
  <xdr:twoCellAnchor>
    <xdr:from>
      <xdr:col>0</xdr:col>
      <xdr:colOff>215900</xdr:colOff>
      <xdr:row>22</xdr:row>
      <xdr:rowOff>76200</xdr:rowOff>
    </xdr:from>
    <xdr:to>
      <xdr:col>6</xdr:col>
      <xdr:colOff>342900</xdr:colOff>
      <xdr:row>41</xdr:row>
      <xdr:rowOff>156898</xdr:rowOff>
    </xdr:to>
    <xdr:graphicFrame macro="">
      <xdr:nvGraphicFramePr>
        <xdr:cNvPr id="2" name="Chart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10399</xdr:colOff>
      <xdr:row>21</xdr:row>
      <xdr:rowOff>91629</xdr:rowOff>
    </xdr:from>
    <xdr:to>
      <xdr:col>15</xdr:col>
      <xdr:colOff>1765301</xdr:colOff>
      <xdr:row>40</xdr:row>
      <xdr:rowOff>1</xdr:rowOff>
    </xdr:to>
    <xdr:graphicFrame macro="">
      <xdr:nvGraphicFramePr>
        <xdr:cNvPr id="3" name="Chart 2">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571500</xdr:colOff>
      <xdr:row>63</xdr:row>
      <xdr:rowOff>25400</xdr:rowOff>
    </xdr:from>
    <xdr:to>
      <xdr:col>11</xdr:col>
      <xdr:colOff>71437</xdr:colOff>
      <xdr:row>84</xdr:row>
      <xdr:rowOff>160974</xdr:rowOff>
    </xdr:to>
    <xdr:graphicFrame macro="">
      <xdr:nvGraphicFramePr>
        <xdr:cNvPr id="7" name="Chart 6">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138115</xdr:colOff>
      <xdr:row>20</xdr:row>
      <xdr:rowOff>143667</xdr:rowOff>
    </xdr:from>
    <xdr:to>
      <xdr:col>7</xdr:col>
      <xdr:colOff>596901</xdr:colOff>
      <xdr:row>41</xdr:row>
      <xdr:rowOff>0</xdr:rowOff>
    </xdr:to>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137399</xdr:colOff>
      <xdr:row>19</xdr:row>
      <xdr:rowOff>123379</xdr:rowOff>
    </xdr:from>
    <xdr:to>
      <xdr:col>16</xdr:col>
      <xdr:colOff>317501</xdr:colOff>
      <xdr:row>40</xdr:row>
      <xdr:rowOff>12701</xdr:rowOff>
    </xdr:to>
    <xdr:graphicFrame macro="">
      <xdr:nvGraphicFramePr>
        <xdr:cNvPr id="3" name="Chart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107950</xdr:colOff>
      <xdr:row>2</xdr:row>
      <xdr:rowOff>14470</xdr:rowOff>
    </xdr:from>
    <xdr:to>
      <xdr:col>9</xdr:col>
      <xdr:colOff>420369</xdr:colOff>
      <xdr:row>19</xdr:row>
      <xdr:rowOff>185074</xdr:rowOff>
    </xdr:to>
    <xdr:graphicFrame macro="">
      <xdr:nvGraphicFramePr>
        <xdr:cNvPr id="6" name="Chart 5">
          <a:extLst>
            <a:ext uri="{FF2B5EF4-FFF2-40B4-BE49-F238E27FC236}">
              <a16:creationId xmlns:a16="http://schemas.microsoft.com/office/drawing/2014/main" id="{00000000-0008-0000-1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391583</xdr:colOff>
      <xdr:row>22</xdr:row>
      <xdr:rowOff>25133</xdr:rowOff>
    </xdr:from>
    <xdr:to>
      <xdr:col>7</xdr:col>
      <xdr:colOff>486833</xdr:colOff>
      <xdr:row>44</xdr:row>
      <xdr:rowOff>127000</xdr:rowOff>
    </xdr:to>
    <xdr:graphicFrame macro="">
      <xdr:nvGraphicFramePr>
        <xdr:cNvPr id="2" name="Chart 1">
          <a:extLst>
            <a:ext uri="{FF2B5EF4-FFF2-40B4-BE49-F238E27FC236}">
              <a16:creationId xmlns:a16="http://schemas.microsoft.com/office/drawing/2014/main" id="{46C1B159-0C01-47B2-8725-D726604005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785521</xdr:colOff>
      <xdr:row>22</xdr:row>
      <xdr:rowOff>34478</xdr:rowOff>
    </xdr:from>
    <xdr:to>
      <xdr:col>15</xdr:col>
      <xdr:colOff>857249</xdr:colOff>
      <xdr:row>41</xdr:row>
      <xdr:rowOff>194733</xdr:rowOff>
    </xdr:to>
    <xdr:graphicFrame macro="">
      <xdr:nvGraphicFramePr>
        <xdr:cNvPr id="3" name="Chart 2">
          <a:extLst>
            <a:ext uri="{FF2B5EF4-FFF2-40B4-BE49-F238E27FC236}">
              <a16:creationId xmlns:a16="http://schemas.microsoft.com/office/drawing/2014/main" id="{5519E4AC-12D0-43C8-927A-30D6521CFB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447148</xdr:colOff>
      <xdr:row>21</xdr:row>
      <xdr:rowOff>99218</xdr:rowOff>
    </xdr:from>
    <xdr:to>
      <xdr:col>10</xdr:col>
      <xdr:colOff>804335</xdr:colOff>
      <xdr:row>43</xdr:row>
      <xdr:rowOff>27781</xdr:rowOff>
    </xdr:to>
    <xdr:graphicFrame macro="">
      <xdr:nvGraphicFramePr>
        <xdr:cNvPr id="2" name="Chart 1">
          <a:extLst>
            <a:ext uri="{FF2B5EF4-FFF2-40B4-BE49-F238E27FC236}">
              <a16:creationId xmlns:a16="http://schemas.microsoft.com/office/drawing/2014/main" id="{8ABDC950-8728-4512-8BD3-98A4F6B996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216137</xdr:colOff>
      <xdr:row>23</xdr:row>
      <xdr:rowOff>91628</xdr:rowOff>
    </xdr:from>
    <xdr:to>
      <xdr:col>17</xdr:col>
      <xdr:colOff>529165</xdr:colOff>
      <xdr:row>43</xdr:row>
      <xdr:rowOff>50800</xdr:rowOff>
    </xdr:to>
    <xdr:graphicFrame macro="">
      <xdr:nvGraphicFramePr>
        <xdr:cNvPr id="3" name="Chart 2">
          <a:extLst>
            <a:ext uri="{FF2B5EF4-FFF2-40B4-BE49-F238E27FC236}">
              <a16:creationId xmlns:a16="http://schemas.microsoft.com/office/drawing/2014/main" id="{75FCAE1C-96A3-4FF2-8B36-06ED1DA5B7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142240</xdr:colOff>
      <xdr:row>48</xdr:row>
      <xdr:rowOff>137795</xdr:rowOff>
    </xdr:from>
    <xdr:to>
      <xdr:col>6</xdr:col>
      <xdr:colOff>139065</xdr:colOff>
      <xdr:row>62</xdr:row>
      <xdr:rowOff>41910</xdr:rowOff>
    </xdr:to>
    <xdr:graphicFrame macro="">
      <xdr:nvGraphicFramePr>
        <xdr:cNvPr id="4" name="Chart 3">
          <a:extLst>
            <a:ext uri="{FF2B5EF4-FFF2-40B4-BE49-F238E27FC236}">
              <a16:creationId xmlns:a16="http://schemas.microsoft.com/office/drawing/2014/main" id="{7FD11F58-BA08-4949-8C19-093D8E41C4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327660</xdr:colOff>
      <xdr:row>48</xdr:row>
      <xdr:rowOff>198755</xdr:rowOff>
    </xdr:from>
    <xdr:to>
      <xdr:col>11</xdr:col>
      <xdr:colOff>326390</xdr:colOff>
      <xdr:row>62</xdr:row>
      <xdr:rowOff>105410</xdr:rowOff>
    </xdr:to>
    <xdr:graphicFrame macro="">
      <xdr:nvGraphicFramePr>
        <xdr:cNvPr id="5" name="Chart 4">
          <a:extLst>
            <a:ext uri="{FF2B5EF4-FFF2-40B4-BE49-F238E27FC236}">
              <a16:creationId xmlns:a16="http://schemas.microsoft.com/office/drawing/2014/main" id="{1DA78EA6-EA60-4864-B874-0FA96DFEF5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518160</xdr:colOff>
      <xdr:row>91</xdr:row>
      <xdr:rowOff>185421</xdr:rowOff>
    </xdr:from>
    <xdr:to>
      <xdr:col>16</xdr:col>
      <xdr:colOff>0</xdr:colOff>
      <xdr:row>112</xdr:row>
      <xdr:rowOff>152401</xdr:rowOff>
    </xdr:to>
    <xdr:graphicFrame macro="">
      <xdr:nvGraphicFramePr>
        <xdr:cNvPr id="9" name="Chart 8">
          <a:extLst>
            <a:ext uri="{FF2B5EF4-FFF2-40B4-BE49-F238E27FC236}">
              <a16:creationId xmlns:a16="http://schemas.microsoft.com/office/drawing/2014/main" id="{855AF502-E2C1-4372-ADCF-88B8765ACB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91</xdr:row>
      <xdr:rowOff>50800</xdr:rowOff>
    </xdr:from>
    <xdr:to>
      <xdr:col>22</xdr:col>
      <xdr:colOff>1340485</xdr:colOff>
      <xdr:row>112</xdr:row>
      <xdr:rowOff>17780</xdr:rowOff>
    </xdr:to>
    <xdr:graphicFrame macro="">
      <xdr:nvGraphicFramePr>
        <xdr:cNvPr id="11" name="Chart 10">
          <a:extLst>
            <a:ext uri="{FF2B5EF4-FFF2-40B4-BE49-F238E27FC236}">
              <a16:creationId xmlns:a16="http://schemas.microsoft.com/office/drawing/2014/main" id="{D36F23B0-C7E9-4A87-9AC8-5941DF3360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574147</xdr:colOff>
      <xdr:row>19</xdr:row>
      <xdr:rowOff>152135</xdr:rowOff>
    </xdr:from>
    <xdr:to>
      <xdr:col>10</xdr:col>
      <xdr:colOff>687916</xdr:colOff>
      <xdr:row>36</xdr:row>
      <xdr:rowOff>127001</xdr:rowOff>
    </xdr:to>
    <xdr:graphicFrame macro="">
      <xdr:nvGraphicFramePr>
        <xdr:cNvPr id="2" name="Chart 1">
          <a:extLst>
            <a:ext uri="{FF2B5EF4-FFF2-40B4-BE49-F238E27FC236}">
              <a16:creationId xmlns:a16="http://schemas.microsoft.com/office/drawing/2014/main" id="{3277EA1F-272D-40C9-844F-BA0604CBE9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15054</xdr:colOff>
      <xdr:row>19</xdr:row>
      <xdr:rowOff>28129</xdr:rowOff>
    </xdr:from>
    <xdr:to>
      <xdr:col>16</xdr:col>
      <xdr:colOff>677332</xdr:colOff>
      <xdr:row>37</xdr:row>
      <xdr:rowOff>31751</xdr:rowOff>
    </xdr:to>
    <xdr:graphicFrame macro="">
      <xdr:nvGraphicFramePr>
        <xdr:cNvPr id="3" name="Chart 2">
          <a:extLst>
            <a:ext uri="{FF2B5EF4-FFF2-40B4-BE49-F238E27FC236}">
              <a16:creationId xmlns:a16="http://schemas.microsoft.com/office/drawing/2014/main" id="{A8C16F05-C22D-47A2-92DD-6700092CB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142240</xdr:colOff>
      <xdr:row>48</xdr:row>
      <xdr:rowOff>137795</xdr:rowOff>
    </xdr:from>
    <xdr:to>
      <xdr:col>6</xdr:col>
      <xdr:colOff>139065</xdr:colOff>
      <xdr:row>62</xdr:row>
      <xdr:rowOff>41910</xdr:rowOff>
    </xdr:to>
    <xdr:graphicFrame macro="">
      <xdr:nvGraphicFramePr>
        <xdr:cNvPr id="4" name="Chart 3">
          <a:extLst>
            <a:ext uri="{FF2B5EF4-FFF2-40B4-BE49-F238E27FC236}">
              <a16:creationId xmlns:a16="http://schemas.microsoft.com/office/drawing/2014/main" id="{619E9DED-C463-4C43-99BB-1070DB68EC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327660</xdr:colOff>
      <xdr:row>48</xdr:row>
      <xdr:rowOff>198755</xdr:rowOff>
    </xdr:from>
    <xdr:to>
      <xdr:col>11</xdr:col>
      <xdr:colOff>326390</xdr:colOff>
      <xdr:row>62</xdr:row>
      <xdr:rowOff>105410</xdr:rowOff>
    </xdr:to>
    <xdr:graphicFrame macro="">
      <xdr:nvGraphicFramePr>
        <xdr:cNvPr id="5" name="Chart 4">
          <a:extLst>
            <a:ext uri="{FF2B5EF4-FFF2-40B4-BE49-F238E27FC236}">
              <a16:creationId xmlns:a16="http://schemas.microsoft.com/office/drawing/2014/main" id="{16E120B4-759E-455C-86D0-E93B028C6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518160</xdr:colOff>
      <xdr:row>91</xdr:row>
      <xdr:rowOff>185421</xdr:rowOff>
    </xdr:from>
    <xdr:to>
      <xdr:col>16</xdr:col>
      <xdr:colOff>0</xdr:colOff>
      <xdr:row>112</xdr:row>
      <xdr:rowOff>152401</xdr:rowOff>
    </xdr:to>
    <xdr:graphicFrame macro="">
      <xdr:nvGraphicFramePr>
        <xdr:cNvPr id="6" name="Chart 5">
          <a:extLst>
            <a:ext uri="{FF2B5EF4-FFF2-40B4-BE49-F238E27FC236}">
              <a16:creationId xmlns:a16="http://schemas.microsoft.com/office/drawing/2014/main" id="{D2AB3D2A-0722-43F5-B91F-855842C626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91</xdr:row>
      <xdr:rowOff>50800</xdr:rowOff>
    </xdr:from>
    <xdr:to>
      <xdr:col>22</xdr:col>
      <xdr:colOff>1340485</xdr:colOff>
      <xdr:row>112</xdr:row>
      <xdr:rowOff>17780</xdr:rowOff>
    </xdr:to>
    <xdr:graphicFrame macro="">
      <xdr:nvGraphicFramePr>
        <xdr:cNvPr id="7" name="Chart 6">
          <a:extLst>
            <a:ext uri="{FF2B5EF4-FFF2-40B4-BE49-F238E27FC236}">
              <a16:creationId xmlns:a16="http://schemas.microsoft.com/office/drawing/2014/main" id="{66BADEA7-8400-4165-B1F1-C33F90A61D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xdr:col>
      <xdr:colOff>722315</xdr:colOff>
      <xdr:row>22</xdr:row>
      <xdr:rowOff>-1</xdr:rowOff>
    </xdr:from>
    <xdr:to>
      <xdr:col>11</xdr:col>
      <xdr:colOff>241301</xdr:colOff>
      <xdr:row>35</xdr:row>
      <xdr:rowOff>135730</xdr:rowOff>
    </xdr:to>
    <xdr:graphicFrame macro="">
      <xdr:nvGraphicFramePr>
        <xdr:cNvPr id="2" name="Chart 1">
          <a:extLst>
            <a:ext uri="{FF2B5EF4-FFF2-40B4-BE49-F238E27FC236}">
              <a16:creationId xmlns:a16="http://schemas.microsoft.com/office/drawing/2014/main" id="{2CC46C91-00E8-486F-ABAB-0B115314E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635000</xdr:colOff>
      <xdr:row>23</xdr:row>
      <xdr:rowOff>53528</xdr:rowOff>
    </xdr:from>
    <xdr:to>
      <xdr:col>17</xdr:col>
      <xdr:colOff>711200</xdr:colOff>
      <xdr:row>43</xdr:row>
      <xdr:rowOff>12700</xdr:rowOff>
    </xdr:to>
    <xdr:graphicFrame macro="">
      <xdr:nvGraphicFramePr>
        <xdr:cNvPr id="3" name="Chart 2">
          <a:extLst>
            <a:ext uri="{FF2B5EF4-FFF2-40B4-BE49-F238E27FC236}">
              <a16:creationId xmlns:a16="http://schemas.microsoft.com/office/drawing/2014/main" id="{8D896A4E-763D-48E9-BC66-D3C3E9F40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142240</xdr:colOff>
      <xdr:row>48</xdr:row>
      <xdr:rowOff>137795</xdr:rowOff>
    </xdr:from>
    <xdr:to>
      <xdr:col>6</xdr:col>
      <xdr:colOff>139065</xdr:colOff>
      <xdr:row>62</xdr:row>
      <xdr:rowOff>41910</xdr:rowOff>
    </xdr:to>
    <xdr:graphicFrame macro="">
      <xdr:nvGraphicFramePr>
        <xdr:cNvPr id="4" name="Chart 3">
          <a:extLst>
            <a:ext uri="{FF2B5EF4-FFF2-40B4-BE49-F238E27FC236}">
              <a16:creationId xmlns:a16="http://schemas.microsoft.com/office/drawing/2014/main" id="{4F75B562-A1E1-4FE7-AED6-35788FFEF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327660</xdr:colOff>
      <xdr:row>48</xdr:row>
      <xdr:rowOff>198755</xdr:rowOff>
    </xdr:from>
    <xdr:to>
      <xdr:col>11</xdr:col>
      <xdr:colOff>326390</xdr:colOff>
      <xdr:row>62</xdr:row>
      <xdr:rowOff>105410</xdr:rowOff>
    </xdr:to>
    <xdr:graphicFrame macro="">
      <xdr:nvGraphicFramePr>
        <xdr:cNvPr id="5" name="Chart 4">
          <a:extLst>
            <a:ext uri="{FF2B5EF4-FFF2-40B4-BE49-F238E27FC236}">
              <a16:creationId xmlns:a16="http://schemas.microsoft.com/office/drawing/2014/main" id="{7E1D28DD-1FEC-4DDD-AEFA-8434009CB7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518160</xdr:colOff>
      <xdr:row>91</xdr:row>
      <xdr:rowOff>185421</xdr:rowOff>
    </xdr:from>
    <xdr:to>
      <xdr:col>16</xdr:col>
      <xdr:colOff>0</xdr:colOff>
      <xdr:row>112</xdr:row>
      <xdr:rowOff>152401</xdr:rowOff>
    </xdr:to>
    <xdr:graphicFrame macro="">
      <xdr:nvGraphicFramePr>
        <xdr:cNvPr id="6" name="Chart 5">
          <a:extLst>
            <a:ext uri="{FF2B5EF4-FFF2-40B4-BE49-F238E27FC236}">
              <a16:creationId xmlns:a16="http://schemas.microsoft.com/office/drawing/2014/main" id="{F617DDBF-D040-42DE-9EC1-46F46B2339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91</xdr:row>
      <xdr:rowOff>50800</xdr:rowOff>
    </xdr:from>
    <xdr:to>
      <xdr:col>22</xdr:col>
      <xdr:colOff>1340485</xdr:colOff>
      <xdr:row>112</xdr:row>
      <xdr:rowOff>17780</xdr:rowOff>
    </xdr:to>
    <xdr:graphicFrame macro="">
      <xdr:nvGraphicFramePr>
        <xdr:cNvPr id="7" name="Chart 6">
          <a:extLst>
            <a:ext uri="{FF2B5EF4-FFF2-40B4-BE49-F238E27FC236}">
              <a16:creationId xmlns:a16="http://schemas.microsoft.com/office/drawing/2014/main" id="{7BAEA455-77BA-4997-A2FF-CFB592DA83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298981</xdr:colOff>
      <xdr:row>19</xdr:row>
      <xdr:rowOff>120384</xdr:rowOff>
    </xdr:from>
    <xdr:to>
      <xdr:col>10</xdr:col>
      <xdr:colOff>656168</xdr:colOff>
      <xdr:row>41</xdr:row>
      <xdr:rowOff>48948</xdr:rowOff>
    </xdr:to>
    <xdr:graphicFrame macro="">
      <xdr:nvGraphicFramePr>
        <xdr:cNvPr id="2" name="Chart 1">
          <a:extLst>
            <a:ext uri="{FF2B5EF4-FFF2-40B4-BE49-F238E27FC236}">
              <a16:creationId xmlns:a16="http://schemas.microsoft.com/office/drawing/2014/main" id="{119FFA8A-E4BC-425B-BF71-2476CDA1CC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819386</xdr:colOff>
      <xdr:row>19</xdr:row>
      <xdr:rowOff>102211</xdr:rowOff>
    </xdr:from>
    <xdr:to>
      <xdr:col>17</xdr:col>
      <xdr:colOff>253999</xdr:colOff>
      <xdr:row>39</xdr:row>
      <xdr:rowOff>61384</xdr:rowOff>
    </xdr:to>
    <xdr:graphicFrame macro="">
      <xdr:nvGraphicFramePr>
        <xdr:cNvPr id="3" name="Chart 2">
          <a:extLst>
            <a:ext uri="{FF2B5EF4-FFF2-40B4-BE49-F238E27FC236}">
              <a16:creationId xmlns:a16="http://schemas.microsoft.com/office/drawing/2014/main" id="{B17A47A7-ADC0-492B-971A-824C64709A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518160</xdr:colOff>
      <xdr:row>91</xdr:row>
      <xdr:rowOff>185421</xdr:rowOff>
    </xdr:from>
    <xdr:to>
      <xdr:col>16</xdr:col>
      <xdr:colOff>0</xdr:colOff>
      <xdr:row>112</xdr:row>
      <xdr:rowOff>152401</xdr:rowOff>
    </xdr:to>
    <xdr:graphicFrame macro="">
      <xdr:nvGraphicFramePr>
        <xdr:cNvPr id="6" name="Chart 5">
          <a:extLst>
            <a:ext uri="{FF2B5EF4-FFF2-40B4-BE49-F238E27FC236}">
              <a16:creationId xmlns:a16="http://schemas.microsoft.com/office/drawing/2014/main" id="{165436F2-FCE5-4CC7-9AC5-E82EDBB169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91</xdr:row>
      <xdr:rowOff>50800</xdr:rowOff>
    </xdr:from>
    <xdr:to>
      <xdr:col>22</xdr:col>
      <xdr:colOff>1340485</xdr:colOff>
      <xdr:row>112</xdr:row>
      <xdr:rowOff>17780</xdr:rowOff>
    </xdr:to>
    <xdr:graphicFrame macro="">
      <xdr:nvGraphicFramePr>
        <xdr:cNvPr id="7" name="Chart 6">
          <a:extLst>
            <a:ext uri="{FF2B5EF4-FFF2-40B4-BE49-F238E27FC236}">
              <a16:creationId xmlns:a16="http://schemas.microsoft.com/office/drawing/2014/main" id="{BEBEE03C-EDB5-4CFF-8BD4-0CB8825D3C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638175</xdr:colOff>
      <xdr:row>1</xdr:row>
      <xdr:rowOff>138111</xdr:rowOff>
    </xdr:from>
    <xdr:to>
      <xdr:col>7</xdr:col>
      <xdr:colOff>428625</xdr:colOff>
      <xdr:row>19</xdr:row>
      <xdr:rowOff>104774</xdr:rowOff>
    </xdr:to>
    <xdr:graphicFrame macro="">
      <xdr:nvGraphicFramePr>
        <xdr:cNvPr id="2" name="Chart 1">
          <a:extLst>
            <a:ext uri="{FF2B5EF4-FFF2-40B4-BE49-F238E27FC236}">
              <a16:creationId xmlns:a16="http://schemas.microsoft.com/office/drawing/2014/main" id="{3AA1848D-E7F8-407B-AAE5-E1FA8CE7B8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214314</xdr:colOff>
      <xdr:row>24</xdr:row>
      <xdr:rowOff>130967</xdr:rowOff>
    </xdr:from>
    <xdr:to>
      <xdr:col>8</xdr:col>
      <xdr:colOff>290286</xdr:colOff>
      <xdr:row>43</xdr:row>
      <xdr:rowOff>145143</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560852</xdr:colOff>
      <xdr:row>24</xdr:row>
      <xdr:rowOff>20870</xdr:rowOff>
    </xdr:from>
    <xdr:to>
      <xdr:col>15</xdr:col>
      <xdr:colOff>1947333</xdr:colOff>
      <xdr:row>45</xdr:row>
      <xdr:rowOff>58782</xdr:rowOff>
    </xdr:to>
    <xdr:graphicFrame macro="">
      <xdr:nvGraphicFramePr>
        <xdr:cNvPr id="3" name="Chart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571500</xdr:colOff>
      <xdr:row>63</xdr:row>
      <xdr:rowOff>25400</xdr:rowOff>
    </xdr:from>
    <xdr:to>
      <xdr:col>11</xdr:col>
      <xdr:colOff>71437</xdr:colOff>
      <xdr:row>84</xdr:row>
      <xdr:rowOff>160974</xdr:rowOff>
    </xdr:to>
    <xdr:graphicFrame macro="">
      <xdr:nvGraphicFramePr>
        <xdr:cNvPr id="8" name="Chart 7">
          <a:extLst>
            <a:ext uri="{FF2B5EF4-FFF2-40B4-BE49-F238E27FC236}">
              <a16:creationId xmlns:a16="http://schemas.microsoft.com/office/drawing/2014/main" id="{00000000-0008-0000-2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334645</xdr:colOff>
      <xdr:row>63</xdr:row>
      <xdr:rowOff>142875</xdr:rowOff>
    </xdr:from>
    <xdr:to>
      <xdr:col>18</xdr:col>
      <xdr:colOff>154940</xdr:colOff>
      <xdr:row>83</xdr:row>
      <xdr:rowOff>137160</xdr:rowOff>
    </xdr:to>
    <xdr:graphicFrame macro="">
      <xdr:nvGraphicFramePr>
        <xdr:cNvPr id="7" name="Chart 6">
          <a:extLst>
            <a:ext uri="{FF2B5EF4-FFF2-40B4-BE49-F238E27FC236}">
              <a16:creationId xmlns:a16="http://schemas.microsoft.com/office/drawing/2014/main" id="{00000000-0008-0000-2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518160</xdr:colOff>
      <xdr:row>90</xdr:row>
      <xdr:rowOff>185421</xdr:rowOff>
    </xdr:from>
    <xdr:to>
      <xdr:col>18</xdr:col>
      <xdr:colOff>1905</xdr:colOff>
      <xdr:row>111</xdr:row>
      <xdr:rowOff>152401</xdr:rowOff>
    </xdr:to>
    <xdr:graphicFrame macro="">
      <xdr:nvGraphicFramePr>
        <xdr:cNvPr id="16" name="Chart 15">
          <a:extLst>
            <a:ext uri="{FF2B5EF4-FFF2-40B4-BE49-F238E27FC236}">
              <a16:creationId xmlns:a16="http://schemas.microsoft.com/office/drawing/2014/main" id="{00000000-0008-0000-2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292100</xdr:colOff>
      <xdr:row>63</xdr:row>
      <xdr:rowOff>127000</xdr:rowOff>
    </xdr:from>
    <xdr:to>
      <xdr:col>25</xdr:col>
      <xdr:colOff>1284605</xdr:colOff>
      <xdr:row>84</xdr:row>
      <xdr:rowOff>93980</xdr:rowOff>
    </xdr:to>
    <xdr:graphicFrame macro="">
      <xdr:nvGraphicFramePr>
        <xdr:cNvPr id="17" name="Chart 16">
          <a:extLst>
            <a:ext uri="{FF2B5EF4-FFF2-40B4-BE49-F238E27FC236}">
              <a16:creationId xmlns:a16="http://schemas.microsoft.com/office/drawing/2014/main" id="{00000000-0008-0000-2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342900</xdr:colOff>
      <xdr:row>90</xdr:row>
      <xdr:rowOff>50800</xdr:rowOff>
    </xdr:from>
    <xdr:to>
      <xdr:col>25</xdr:col>
      <xdr:colOff>1340485</xdr:colOff>
      <xdr:row>111</xdr:row>
      <xdr:rowOff>17780</xdr:rowOff>
    </xdr:to>
    <xdr:graphicFrame macro="">
      <xdr:nvGraphicFramePr>
        <xdr:cNvPr id="18" name="Chart 17">
          <a:extLst>
            <a:ext uri="{FF2B5EF4-FFF2-40B4-BE49-F238E27FC236}">
              <a16:creationId xmlns:a16="http://schemas.microsoft.com/office/drawing/2014/main" id="{00000000-0008-0000-2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627380</xdr:colOff>
      <xdr:row>8</xdr:row>
      <xdr:rowOff>93980</xdr:rowOff>
    </xdr:from>
    <xdr:to>
      <xdr:col>9</xdr:col>
      <xdr:colOff>678180</xdr:colOff>
      <xdr:row>29</xdr:row>
      <xdr:rowOff>76200</xdr:rowOff>
    </xdr:to>
    <xdr:graphicFrame macro="">
      <xdr:nvGraphicFramePr>
        <xdr:cNvPr id="9" name="Chart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759810</xdr:colOff>
      <xdr:row>51</xdr:row>
      <xdr:rowOff>131731</xdr:rowOff>
    </xdr:from>
    <xdr:to>
      <xdr:col>9</xdr:col>
      <xdr:colOff>313690</xdr:colOff>
      <xdr:row>73</xdr:row>
      <xdr:rowOff>97790</xdr:rowOff>
    </xdr:to>
    <xdr:graphicFrame macro="">
      <xdr:nvGraphicFramePr>
        <xdr:cNvPr id="10" name="Chart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113950</xdr:colOff>
      <xdr:row>29</xdr:row>
      <xdr:rowOff>184632</xdr:rowOff>
    </xdr:from>
    <xdr:to>
      <xdr:col>9</xdr:col>
      <xdr:colOff>497840</xdr:colOff>
      <xdr:row>51</xdr:row>
      <xdr:rowOff>59690</xdr:rowOff>
    </xdr:to>
    <xdr:graphicFrame macro="">
      <xdr:nvGraphicFramePr>
        <xdr:cNvPr id="11" name="Chart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25038</xdr:colOff>
      <xdr:row>30</xdr:row>
      <xdr:rowOff>1</xdr:rowOff>
    </xdr:from>
    <xdr:to>
      <xdr:col>13</xdr:col>
      <xdr:colOff>413657</xdr:colOff>
      <xdr:row>47</xdr:row>
      <xdr:rowOff>76200</xdr:rowOff>
    </xdr:to>
    <xdr:graphicFrame macro="">
      <xdr:nvGraphicFramePr>
        <xdr:cNvPr id="13" name="Chart 12">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447585</xdr:colOff>
      <xdr:row>29</xdr:row>
      <xdr:rowOff>92892</xdr:rowOff>
    </xdr:from>
    <xdr:to>
      <xdr:col>17</xdr:col>
      <xdr:colOff>240756</xdr:colOff>
      <xdr:row>47</xdr:row>
      <xdr:rowOff>64045</xdr:rowOff>
    </xdr:to>
    <xdr:graphicFrame macro="">
      <xdr:nvGraphicFramePr>
        <xdr:cNvPr id="14" name="Chart 1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272143</xdr:colOff>
      <xdr:row>29</xdr:row>
      <xdr:rowOff>77469</xdr:rowOff>
    </xdr:from>
    <xdr:to>
      <xdr:col>21</xdr:col>
      <xdr:colOff>66584</xdr:colOff>
      <xdr:row>47</xdr:row>
      <xdr:rowOff>53702</xdr:rowOff>
    </xdr:to>
    <xdr:graphicFrame macro="">
      <xdr:nvGraphicFramePr>
        <xdr:cNvPr id="15" name="Chart 14">
          <a:extLst>
            <a:ext uri="{FF2B5EF4-FFF2-40B4-BE49-F238E27FC236}">
              <a16:creationId xmlns:a16="http://schemas.microsoft.com/office/drawing/2014/main" id="{00000000-0008-0000-04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21</xdr:col>
      <xdr:colOff>107587</xdr:colOff>
      <xdr:row>29</xdr:row>
      <xdr:rowOff>76200</xdr:rowOff>
    </xdr:from>
    <xdr:to>
      <xdr:col>24</xdr:col>
      <xdr:colOff>671648</xdr:colOff>
      <xdr:row>47</xdr:row>
      <xdr:rowOff>52433</xdr:rowOff>
    </xdr:to>
    <xdr:graphicFrame macro="">
      <xdr:nvGraphicFramePr>
        <xdr:cNvPr id="17" name="Chart 16">
          <a:extLst>
            <a:ext uri="{FF2B5EF4-FFF2-40B4-BE49-F238E27FC236}">
              <a16:creationId xmlns:a16="http://schemas.microsoft.com/office/drawing/2014/main" id="{00000000-0008-0000-04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24</xdr:col>
      <xdr:colOff>700495</xdr:colOff>
      <xdr:row>29</xdr:row>
      <xdr:rowOff>90895</xdr:rowOff>
    </xdr:from>
    <xdr:to>
      <xdr:col>28</xdr:col>
      <xdr:colOff>494936</xdr:colOff>
      <xdr:row>47</xdr:row>
      <xdr:rowOff>58238</xdr:rowOff>
    </xdr:to>
    <xdr:graphicFrame macro="">
      <xdr:nvGraphicFramePr>
        <xdr:cNvPr id="19" name="Chart 18">
          <a:extLst>
            <a:ext uri="{FF2B5EF4-FFF2-40B4-BE49-F238E27FC236}">
              <a16:creationId xmlns:a16="http://schemas.microsoft.com/office/drawing/2014/main" id="{00000000-0008-0000-04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28</xdr:col>
      <xdr:colOff>546825</xdr:colOff>
      <xdr:row>29</xdr:row>
      <xdr:rowOff>107587</xdr:rowOff>
    </xdr:from>
    <xdr:to>
      <xdr:col>32</xdr:col>
      <xdr:colOff>341266</xdr:colOff>
      <xdr:row>47</xdr:row>
      <xdr:rowOff>83820</xdr:rowOff>
    </xdr:to>
    <xdr:graphicFrame macro="">
      <xdr:nvGraphicFramePr>
        <xdr:cNvPr id="21" name="Chart 20">
          <a:extLst>
            <a:ext uri="{FF2B5EF4-FFF2-40B4-BE49-F238E27FC236}">
              <a16:creationId xmlns:a16="http://schemas.microsoft.com/office/drawing/2014/main" id="{00000000-0008-0000-04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188914</xdr:colOff>
      <xdr:row>21</xdr:row>
      <xdr:rowOff>16667</xdr:rowOff>
    </xdr:from>
    <xdr:to>
      <xdr:col>10</xdr:col>
      <xdr:colOff>546101</xdr:colOff>
      <xdr:row>42</xdr:row>
      <xdr:rowOff>148431</xdr:rowOff>
    </xdr:to>
    <xdr:graphicFrame macro="">
      <xdr:nvGraphicFramePr>
        <xdr:cNvPr id="2" name="Chart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454899</xdr:colOff>
      <xdr:row>20</xdr:row>
      <xdr:rowOff>63500</xdr:rowOff>
    </xdr:from>
    <xdr:to>
      <xdr:col>22</xdr:col>
      <xdr:colOff>177801</xdr:colOff>
      <xdr:row>40</xdr:row>
      <xdr:rowOff>22571</xdr:rowOff>
    </xdr:to>
    <xdr:graphicFrame macro="">
      <xdr:nvGraphicFramePr>
        <xdr:cNvPr id="3" name="Chart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482600</xdr:colOff>
      <xdr:row>84</xdr:row>
      <xdr:rowOff>114300</xdr:rowOff>
    </xdr:from>
    <xdr:to>
      <xdr:col>27</xdr:col>
      <xdr:colOff>726441</xdr:colOff>
      <xdr:row>103</xdr:row>
      <xdr:rowOff>41910</xdr:rowOff>
    </xdr:to>
    <xdr:graphicFrame macro="">
      <xdr:nvGraphicFramePr>
        <xdr:cNvPr id="13" name="Chart 12">
          <a:extLst>
            <a:ext uri="{FF2B5EF4-FFF2-40B4-BE49-F238E27FC236}">
              <a16:creationId xmlns:a16="http://schemas.microsoft.com/office/drawing/2014/main" id="{00000000-0008-0000-2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0</xdr:colOff>
      <xdr:row>94</xdr:row>
      <xdr:rowOff>88900</xdr:rowOff>
    </xdr:from>
    <xdr:to>
      <xdr:col>18</xdr:col>
      <xdr:colOff>770891</xdr:colOff>
      <xdr:row>113</xdr:row>
      <xdr:rowOff>21590</xdr:rowOff>
    </xdr:to>
    <xdr:graphicFrame macro="">
      <xdr:nvGraphicFramePr>
        <xdr:cNvPr id="14" name="Chart 13">
          <a:extLst>
            <a:ext uri="{FF2B5EF4-FFF2-40B4-BE49-F238E27FC236}">
              <a16:creationId xmlns:a16="http://schemas.microsoft.com/office/drawing/2014/main" id="{00000000-0008-0000-23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22</xdr:row>
      <xdr:rowOff>46299</xdr:rowOff>
    </xdr:from>
    <xdr:to>
      <xdr:col>10</xdr:col>
      <xdr:colOff>357187</xdr:colOff>
      <xdr:row>43</xdr:row>
      <xdr:rowOff>175947</xdr:rowOff>
    </xdr:to>
    <xdr:graphicFrame macro="">
      <xdr:nvGraphicFramePr>
        <xdr:cNvPr id="2" name="Chart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42149</xdr:colOff>
      <xdr:row>22</xdr:row>
      <xdr:rowOff>147508</xdr:rowOff>
    </xdr:from>
    <xdr:to>
      <xdr:col>21</xdr:col>
      <xdr:colOff>450851</xdr:colOff>
      <xdr:row>43</xdr:row>
      <xdr:rowOff>79375</xdr:rowOff>
    </xdr:to>
    <xdr:graphicFrame macro="">
      <xdr:nvGraphicFramePr>
        <xdr:cNvPr id="3" name="Chart 2">
          <a:extLst>
            <a:ext uri="{FF2B5EF4-FFF2-40B4-BE49-F238E27FC236}">
              <a16:creationId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561975</xdr:colOff>
      <xdr:row>76</xdr:row>
      <xdr:rowOff>104775</xdr:rowOff>
    </xdr:from>
    <xdr:to>
      <xdr:col>27</xdr:col>
      <xdr:colOff>818515</xdr:colOff>
      <xdr:row>94</xdr:row>
      <xdr:rowOff>164465</xdr:rowOff>
    </xdr:to>
    <xdr:graphicFrame macro="">
      <xdr:nvGraphicFramePr>
        <xdr:cNvPr id="23" name="Chart 22">
          <a:extLst>
            <a:ext uri="{FF2B5EF4-FFF2-40B4-BE49-F238E27FC236}">
              <a16:creationId xmlns:a16="http://schemas.microsoft.com/office/drawing/2014/main" id="{00000000-0008-0000-24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381000</xdr:colOff>
      <xdr:row>12</xdr:row>
      <xdr:rowOff>74082</xdr:rowOff>
    </xdr:from>
    <xdr:to>
      <xdr:col>9</xdr:col>
      <xdr:colOff>550333</xdr:colOff>
      <xdr:row>38</xdr:row>
      <xdr:rowOff>156631</xdr:rowOff>
    </xdr:to>
    <xdr:graphicFrame macro="">
      <xdr:nvGraphicFramePr>
        <xdr:cNvPr id="2" name="Chart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973666</xdr:colOff>
      <xdr:row>19</xdr:row>
      <xdr:rowOff>19027</xdr:rowOff>
    </xdr:from>
    <xdr:to>
      <xdr:col>18</xdr:col>
      <xdr:colOff>161465</xdr:colOff>
      <xdr:row>39</xdr:row>
      <xdr:rowOff>137585</xdr:rowOff>
    </xdr:to>
    <xdr:graphicFrame macro="">
      <xdr:nvGraphicFramePr>
        <xdr:cNvPr id="3" name="Chart 2">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323850</xdr:colOff>
      <xdr:row>2</xdr:row>
      <xdr:rowOff>161925</xdr:rowOff>
    </xdr:from>
    <xdr:to>
      <xdr:col>9</xdr:col>
      <xdr:colOff>638809</xdr:colOff>
      <xdr:row>16</xdr:row>
      <xdr:rowOff>147637</xdr:rowOff>
    </xdr:to>
    <xdr:graphicFrame macro="">
      <xdr:nvGraphicFramePr>
        <xdr:cNvPr id="7" name="Chart 6">
          <a:extLst>
            <a:ext uri="{FF2B5EF4-FFF2-40B4-BE49-F238E27FC236}">
              <a16:creationId xmlns:a16="http://schemas.microsoft.com/office/drawing/2014/main" id="{00000000-0008-0000-2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146311</xdr:colOff>
      <xdr:row>15</xdr:row>
      <xdr:rowOff>7546</xdr:rowOff>
    </xdr:from>
    <xdr:to>
      <xdr:col>8</xdr:col>
      <xdr:colOff>857250</xdr:colOff>
      <xdr:row>36</xdr:row>
      <xdr:rowOff>79375</xdr:rowOff>
    </xdr:to>
    <xdr:graphicFrame macro="">
      <xdr:nvGraphicFramePr>
        <xdr:cNvPr id="2" name="Chart 1">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516783</xdr:colOff>
      <xdr:row>16</xdr:row>
      <xdr:rowOff>1285</xdr:rowOff>
    </xdr:from>
    <xdr:to>
      <xdr:col>18</xdr:col>
      <xdr:colOff>746125</xdr:colOff>
      <xdr:row>35</xdr:row>
      <xdr:rowOff>63500</xdr:rowOff>
    </xdr:to>
    <xdr:graphicFrame macro="">
      <xdr:nvGraphicFramePr>
        <xdr:cNvPr id="3" name="Chart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xdr:colOff>
      <xdr:row>15</xdr:row>
      <xdr:rowOff>95619</xdr:rowOff>
    </xdr:from>
    <xdr:to>
      <xdr:col>7</xdr:col>
      <xdr:colOff>444501</xdr:colOff>
      <xdr:row>31</xdr:row>
      <xdr:rowOff>127000</xdr:rowOff>
    </xdr:to>
    <xdr:graphicFrame macro="">
      <xdr:nvGraphicFramePr>
        <xdr:cNvPr id="2" name="Chart 1">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523980</xdr:colOff>
      <xdr:row>16</xdr:row>
      <xdr:rowOff>174062</xdr:rowOff>
    </xdr:from>
    <xdr:to>
      <xdr:col>16</xdr:col>
      <xdr:colOff>63500</xdr:colOff>
      <xdr:row>31</xdr:row>
      <xdr:rowOff>0</xdr:rowOff>
    </xdr:to>
    <xdr:graphicFrame macro="">
      <xdr:nvGraphicFramePr>
        <xdr:cNvPr id="3" name="Chart 2">
          <a:extLst>
            <a:ext uri="{FF2B5EF4-FFF2-40B4-BE49-F238E27FC236}">
              <a16:creationId xmlns:a16="http://schemas.microsoft.com/office/drawing/2014/main" id="{00000000-0008-0000-2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21</xdr:row>
      <xdr:rowOff>199547</xdr:rowOff>
    </xdr:from>
    <xdr:to>
      <xdr:col>10</xdr:col>
      <xdr:colOff>363537</xdr:colOff>
      <xdr:row>43</xdr:row>
      <xdr:rowOff>124301</xdr:rowOff>
    </xdr:to>
    <xdr:graphicFrame macro="">
      <xdr:nvGraphicFramePr>
        <xdr:cNvPr id="2" name="Chart 1">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783954</xdr:colOff>
      <xdr:row>22</xdr:row>
      <xdr:rowOff>123808</xdr:rowOff>
    </xdr:from>
    <xdr:to>
      <xdr:col>19</xdr:col>
      <xdr:colOff>680944</xdr:colOff>
      <xdr:row>43</xdr:row>
      <xdr:rowOff>69296</xdr:rowOff>
    </xdr:to>
    <xdr:graphicFrame macro="">
      <xdr:nvGraphicFramePr>
        <xdr:cNvPr id="6" name="Chart 2">
          <a:extLst>
            <a:ext uri="{FF2B5EF4-FFF2-40B4-BE49-F238E27FC236}">
              <a16:creationId xmlns:a16="http://schemas.microsoft.com/office/drawing/2014/main" id="{00000000-0008-0000-2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90714</xdr:colOff>
      <xdr:row>13</xdr:row>
      <xdr:rowOff>147659</xdr:rowOff>
    </xdr:from>
    <xdr:to>
      <xdr:col>7</xdr:col>
      <xdr:colOff>616857</xdr:colOff>
      <xdr:row>32</xdr:row>
      <xdr:rowOff>136072</xdr:rowOff>
    </xdr:to>
    <xdr:graphicFrame macro="">
      <xdr:nvGraphicFramePr>
        <xdr:cNvPr id="2" name="Chart 1">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145141</xdr:colOff>
      <xdr:row>13</xdr:row>
      <xdr:rowOff>163285</xdr:rowOff>
    </xdr:from>
    <xdr:to>
      <xdr:col>16</xdr:col>
      <xdr:colOff>1559525</xdr:colOff>
      <xdr:row>33</xdr:row>
      <xdr:rowOff>120541</xdr:rowOff>
    </xdr:to>
    <xdr:graphicFrame macro="">
      <xdr:nvGraphicFramePr>
        <xdr:cNvPr id="3" name="Chart 2">
          <a:extLst>
            <a:ext uri="{FF2B5EF4-FFF2-40B4-BE49-F238E27FC236}">
              <a16:creationId xmlns:a16="http://schemas.microsoft.com/office/drawing/2014/main" id="{00000000-0008-0000-3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46421</xdr:colOff>
      <xdr:row>2</xdr:row>
      <xdr:rowOff>79264</xdr:rowOff>
    </xdr:from>
    <xdr:to>
      <xdr:col>9</xdr:col>
      <xdr:colOff>342900</xdr:colOff>
      <xdr:row>22</xdr:row>
      <xdr:rowOff>25399</xdr:rowOff>
    </xdr:to>
    <xdr:graphicFrame macro="">
      <xdr:nvGraphicFramePr>
        <xdr:cNvPr id="7" name="Chart 6">
          <a:extLst>
            <a:ext uri="{FF2B5EF4-FFF2-40B4-BE49-F238E27FC236}">
              <a16:creationId xmlns:a16="http://schemas.microsoft.com/office/drawing/2014/main" id="{00000000-0008-0000-3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207118</xdr:colOff>
      <xdr:row>20</xdr:row>
      <xdr:rowOff>191504</xdr:rowOff>
    </xdr:from>
    <xdr:to>
      <xdr:col>9</xdr:col>
      <xdr:colOff>946574</xdr:colOff>
      <xdr:row>41</xdr:row>
      <xdr:rowOff>42334</xdr:rowOff>
    </xdr:to>
    <xdr:graphicFrame macro="">
      <xdr:nvGraphicFramePr>
        <xdr:cNvPr id="2" name="Chart 1">
          <a:extLst>
            <a:ext uri="{FF2B5EF4-FFF2-40B4-BE49-F238E27FC236}">
              <a16:creationId xmlns:a16="http://schemas.microsoft.com/office/drawing/2014/main" id="{00000000-0008-0000-3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444500</xdr:colOff>
      <xdr:row>21</xdr:row>
      <xdr:rowOff>47063</xdr:rowOff>
    </xdr:from>
    <xdr:to>
      <xdr:col>18</xdr:col>
      <xdr:colOff>111125</xdr:colOff>
      <xdr:row>38</xdr:row>
      <xdr:rowOff>127001</xdr:rowOff>
    </xdr:to>
    <xdr:graphicFrame macro="">
      <xdr:nvGraphicFramePr>
        <xdr:cNvPr id="3" name="Chart 2">
          <a:extLst>
            <a:ext uri="{FF2B5EF4-FFF2-40B4-BE49-F238E27FC236}">
              <a16:creationId xmlns:a16="http://schemas.microsoft.com/office/drawing/2014/main" id="{00000000-0008-0000-3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127001</xdr:colOff>
      <xdr:row>33</xdr:row>
      <xdr:rowOff>157274</xdr:rowOff>
    </xdr:from>
    <xdr:to>
      <xdr:col>10</xdr:col>
      <xdr:colOff>190501</xdr:colOff>
      <xdr:row>57</xdr:row>
      <xdr:rowOff>114300</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762000</xdr:colOff>
      <xdr:row>35</xdr:row>
      <xdr:rowOff>9986</xdr:rowOff>
    </xdr:from>
    <xdr:to>
      <xdr:col>25</xdr:col>
      <xdr:colOff>377339</xdr:colOff>
      <xdr:row>55</xdr:row>
      <xdr:rowOff>118729</xdr:rowOff>
    </xdr:to>
    <xdr:graphicFrame macro="">
      <xdr:nvGraphicFramePr>
        <xdr:cNvPr id="3" name="Chart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63500</xdr:colOff>
      <xdr:row>64</xdr:row>
      <xdr:rowOff>152400</xdr:rowOff>
    </xdr:from>
    <xdr:to>
      <xdr:col>14</xdr:col>
      <xdr:colOff>515937</xdr:colOff>
      <xdr:row>86</xdr:row>
      <xdr:rowOff>97474</xdr:rowOff>
    </xdr:to>
    <xdr:graphicFrame macro="">
      <xdr:nvGraphicFramePr>
        <xdr:cNvPr id="7" name="Chart 6">
          <a:extLst>
            <a:ext uri="{FF2B5EF4-FFF2-40B4-BE49-F238E27FC236}">
              <a16:creationId xmlns:a16="http://schemas.microsoft.com/office/drawing/2014/main" id="{00000000-0008-0000-1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1438275</xdr:colOff>
      <xdr:row>71</xdr:row>
      <xdr:rowOff>114300</xdr:rowOff>
    </xdr:from>
    <xdr:to>
      <xdr:col>20</xdr:col>
      <xdr:colOff>358775</xdr:colOff>
      <xdr:row>85</xdr:row>
      <xdr:rowOff>76835</xdr:rowOff>
    </xdr:to>
    <xdr:graphicFrame macro="">
      <xdr:nvGraphicFramePr>
        <xdr:cNvPr id="11" name="Chart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95250</xdr:colOff>
      <xdr:row>18</xdr:row>
      <xdr:rowOff>174358</xdr:rowOff>
    </xdr:from>
    <xdr:to>
      <xdr:col>8</xdr:col>
      <xdr:colOff>781050</xdr:colOff>
      <xdr:row>39</xdr:row>
      <xdr:rowOff>194097</xdr:rowOff>
    </xdr:to>
    <xdr:graphicFrame macro="">
      <xdr:nvGraphicFramePr>
        <xdr:cNvPr id="2" name="Chart 1">
          <a:extLst>
            <a:ext uri="{FF2B5EF4-FFF2-40B4-BE49-F238E27FC236}">
              <a16:creationId xmlns:a16="http://schemas.microsoft.com/office/drawing/2014/main" id="{00000000-0008-0000-3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132291</xdr:colOff>
      <xdr:row>18</xdr:row>
      <xdr:rowOff>99556</xdr:rowOff>
    </xdr:from>
    <xdr:to>
      <xdr:col>19</xdr:col>
      <xdr:colOff>587375</xdr:colOff>
      <xdr:row>39</xdr:row>
      <xdr:rowOff>164042</xdr:rowOff>
    </xdr:to>
    <xdr:graphicFrame macro="">
      <xdr:nvGraphicFramePr>
        <xdr:cNvPr id="3" name="Chart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203731</xdr:colOff>
      <xdr:row>20</xdr:row>
      <xdr:rowOff>74083</xdr:rowOff>
    </xdr:from>
    <xdr:to>
      <xdr:col>9</xdr:col>
      <xdr:colOff>105833</xdr:colOff>
      <xdr:row>41</xdr:row>
      <xdr:rowOff>70115</xdr:rowOff>
    </xdr:to>
    <xdr:graphicFrame macro="">
      <xdr:nvGraphicFramePr>
        <xdr:cNvPr id="2" name="Chart 1">
          <a:extLst>
            <a:ext uri="{FF2B5EF4-FFF2-40B4-BE49-F238E27FC236}">
              <a16:creationId xmlns:a16="http://schemas.microsoft.com/office/drawing/2014/main" id="{00000000-0008-0000-3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539750</xdr:colOff>
      <xdr:row>20</xdr:row>
      <xdr:rowOff>97976</xdr:rowOff>
    </xdr:from>
    <xdr:to>
      <xdr:col>18</xdr:col>
      <xdr:colOff>677482</xdr:colOff>
      <xdr:row>41</xdr:row>
      <xdr:rowOff>31749</xdr:rowOff>
    </xdr:to>
    <xdr:graphicFrame macro="">
      <xdr:nvGraphicFramePr>
        <xdr:cNvPr id="3" name="Chart 2">
          <a:extLst>
            <a:ext uri="{FF2B5EF4-FFF2-40B4-BE49-F238E27FC236}">
              <a16:creationId xmlns:a16="http://schemas.microsoft.com/office/drawing/2014/main" id="{00000000-0008-0000-3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xdr:colOff>
      <xdr:row>2</xdr:row>
      <xdr:rowOff>101599</xdr:rowOff>
    </xdr:from>
    <xdr:to>
      <xdr:col>6</xdr:col>
      <xdr:colOff>333376</xdr:colOff>
      <xdr:row>18</xdr:row>
      <xdr:rowOff>79374</xdr:rowOff>
    </xdr:to>
    <xdr:graphicFrame macro="">
      <xdr:nvGraphicFramePr>
        <xdr:cNvPr id="4" name="Chart 3">
          <a:extLst>
            <a:ext uri="{FF2B5EF4-FFF2-40B4-BE49-F238E27FC236}">
              <a16:creationId xmlns:a16="http://schemas.microsoft.com/office/drawing/2014/main" id="{00000000-0008-0000-3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360787</xdr:colOff>
      <xdr:row>18</xdr:row>
      <xdr:rowOff>65772</xdr:rowOff>
    </xdr:from>
    <xdr:to>
      <xdr:col>6</xdr:col>
      <xdr:colOff>179917</xdr:colOff>
      <xdr:row>35</xdr:row>
      <xdr:rowOff>158750</xdr:rowOff>
    </xdr:to>
    <xdr:graphicFrame macro="">
      <xdr:nvGraphicFramePr>
        <xdr:cNvPr id="2" name="Chart 1">
          <a:extLst>
            <a:ext uri="{FF2B5EF4-FFF2-40B4-BE49-F238E27FC236}">
              <a16:creationId xmlns:a16="http://schemas.microsoft.com/office/drawing/2014/main" id="{E7A06AF4-2EFA-41B3-A8A5-E6DAD4AB5B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275694</xdr:colOff>
      <xdr:row>18</xdr:row>
      <xdr:rowOff>84667</xdr:rowOff>
    </xdr:from>
    <xdr:to>
      <xdr:col>16</xdr:col>
      <xdr:colOff>529167</xdr:colOff>
      <xdr:row>37</xdr:row>
      <xdr:rowOff>111653</xdr:rowOff>
    </xdr:to>
    <xdr:graphicFrame macro="">
      <xdr:nvGraphicFramePr>
        <xdr:cNvPr id="3" name="Chart 2">
          <a:extLst>
            <a:ext uri="{FF2B5EF4-FFF2-40B4-BE49-F238E27FC236}">
              <a16:creationId xmlns:a16="http://schemas.microsoft.com/office/drawing/2014/main" id="{FD4972DE-B7EC-4351-96C0-403421E8F8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122663</xdr:colOff>
      <xdr:row>16</xdr:row>
      <xdr:rowOff>113397</xdr:rowOff>
    </xdr:from>
    <xdr:to>
      <xdr:col>7</xdr:col>
      <xdr:colOff>582083</xdr:colOff>
      <xdr:row>37</xdr:row>
      <xdr:rowOff>158750</xdr:rowOff>
    </xdr:to>
    <xdr:graphicFrame macro="">
      <xdr:nvGraphicFramePr>
        <xdr:cNvPr id="2" name="Chart 1">
          <a:extLst>
            <a:ext uri="{FF2B5EF4-FFF2-40B4-BE49-F238E27FC236}">
              <a16:creationId xmlns:a16="http://schemas.microsoft.com/office/drawing/2014/main" id="{DFDC61A0-2197-47FD-BBB0-CCB726537A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74613</xdr:colOff>
      <xdr:row>16</xdr:row>
      <xdr:rowOff>116125</xdr:rowOff>
    </xdr:from>
    <xdr:to>
      <xdr:col>16</xdr:col>
      <xdr:colOff>560917</xdr:colOff>
      <xdr:row>37</xdr:row>
      <xdr:rowOff>116417</xdr:rowOff>
    </xdr:to>
    <xdr:graphicFrame macro="">
      <xdr:nvGraphicFramePr>
        <xdr:cNvPr id="3" name="Chart 2">
          <a:extLst>
            <a:ext uri="{FF2B5EF4-FFF2-40B4-BE49-F238E27FC236}">
              <a16:creationId xmlns:a16="http://schemas.microsoft.com/office/drawing/2014/main" id="{DD0AC2B0-3CEF-45B7-B081-27C6F279E7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138538</xdr:colOff>
      <xdr:row>16</xdr:row>
      <xdr:rowOff>92231</xdr:rowOff>
    </xdr:from>
    <xdr:to>
      <xdr:col>7</xdr:col>
      <xdr:colOff>465667</xdr:colOff>
      <xdr:row>36</xdr:row>
      <xdr:rowOff>127001</xdr:rowOff>
    </xdr:to>
    <xdr:graphicFrame macro="">
      <xdr:nvGraphicFramePr>
        <xdr:cNvPr id="2" name="Chart 1">
          <a:extLst>
            <a:ext uri="{FF2B5EF4-FFF2-40B4-BE49-F238E27FC236}">
              <a16:creationId xmlns:a16="http://schemas.microsoft.com/office/drawing/2014/main" id="{C20E0755-CBB8-48EA-BF4D-E48A043298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656166</xdr:colOff>
      <xdr:row>16</xdr:row>
      <xdr:rowOff>52624</xdr:rowOff>
    </xdr:from>
    <xdr:to>
      <xdr:col>16</xdr:col>
      <xdr:colOff>458258</xdr:colOff>
      <xdr:row>36</xdr:row>
      <xdr:rowOff>148167</xdr:rowOff>
    </xdr:to>
    <xdr:graphicFrame macro="">
      <xdr:nvGraphicFramePr>
        <xdr:cNvPr id="3" name="Chart 2">
          <a:extLst>
            <a:ext uri="{FF2B5EF4-FFF2-40B4-BE49-F238E27FC236}">
              <a16:creationId xmlns:a16="http://schemas.microsoft.com/office/drawing/2014/main" id="{4EA8DDBD-8045-4BE8-B23D-BA0AC83BB2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106788</xdr:colOff>
      <xdr:row>17</xdr:row>
      <xdr:rowOff>39314</xdr:rowOff>
    </xdr:from>
    <xdr:to>
      <xdr:col>7</xdr:col>
      <xdr:colOff>21167</xdr:colOff>
      <xdr:row>34</xdr:row>
      <xdr:rowOff>158750</xdr:rowOff>
    </xdr:to>
    <xdr:graphicFrame macro="">
      <xdr:nvGraphicFramePr>
        <xdr:cNvPr id="2" name="Chart 1">
          <a:extLst>
            <a:ext uri="{FF2B5EF4-FFF2-40B4-BE49-F238E27FC236}">
              <a16:creationId xmlns:a16="http://schemas.microsoft.com/office/drawing/2014/main" id="{4D8E4692-6448-4FB5-A5BD-05508E997B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212194</xdr:colOff>
      <xdr:row>16</xdr:row>
      <xdr:rowOff>179624</xdr:rowOff>
    </xdr:from>
    <xdr:to>
      <xdr:col>16</xdr:col>
      <xdr:colOff>603250</xdr:colOff>
      <xdr:row>35</xdr:row>
      <xdr:rowOff>190500</xdr:rowOff>
    </xdr:to>
    <xdr:graphicFrame macro="">
      <xdr:nvGraphicFramePr>
        <xdr:cNvPr id="3" name="Chart 2">
          <a:extLst>
            <a:ext uri="{FF2B5EF4-FFF2-40B4-BE49-F238E27FC236}">
              <a16:creationId xmlns:a16="http://schemas.microsoft.com/office/drawing/2014/main" id="{EF9647B5-9D18-46DE-A0B2-B21D15DFE8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106788</xdr:colOff>
      <xdr:row>18</xdr:row>
      <xdr:rowOff>134565</xdr:rowOff>
    </xdr:from>
    <xdr:to>
      <xdr:col>6</xdr:col>
      <xdr:colOff>677334</xdr:colOff>
      <xdr:row>34</xdr:row>
      <xdr:rowOff>190500</xdr:rowOff>
    </xdr:to>
    <xdr:graphicFrame macro="">
      <xdr:nvGraphicFramePr>
        <xdr:cNvPr id="2" name="Chart 1">
          <a:extLst>
            <a:ext uri="{FF2B5EF4-FFF2-40B4-BE49-F238E27FC236}">
              <a16:creationId xmlns:a16="http://schemas.microsoft.com/office/drawing/2014/main" id="{A869B7C5-3B91-4FB5-AEEE-79056E2C9A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74612</xdr:colOff>
      <xdr:row>18</xdr:row>
      <xdr:rowOff>126709</xdr:rowOff>
    </xdr:from>
    <xdr:to>
      <xdr:col>16</xdr:col>
      <xdr:colOff>465666</xdr:colOff>
      <xdr:row>37</xdr:row>
      <xdr:rowOff>52916</xdr:rowOff>
    </xdr:to>
    <xdr:graphicFrame macro="">
      <xdr:nvGraphicFramePr>
        <xdr:cNvPr id="3" name="Chart 2">
          <a:extLst>
            <a:ext uri="{FF2B5EF4-FFF2-40B4-BE49-F238E27FC236}">
              <a16:creationId xmlns:a16="http://schemas.microsoft.com/office/drawing/2014/main" id="{23BE1F98-7C64-44F0-B32B-E586C0E000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733424</xdr:colOff>
      <xdr:row>2</xdr:row>
      <xdr:rowOff>90486</xdr:rowOff>
    </xdr:from>
    <xdr:to>
      <xdr:col>7</xdr:col>
      <xdr:colOff>552449</xdr:colOff>
      <xdr:row>19</xdr:row>
      <xdr:rowOff>47625</xdr:rowOff>
    </xdr:to>
    <xdr:graphicFrame macro="">
      <xdr:nvGraphicFramePr>
        <xdr:cNvPr id="2" name="Chart 1">
          <a:extLst>
            <a:ext uri="{FF2B5EF4-FFF2-40B4-BE49-F238E27FC236}">
              <a16:creationId xmlns:a16="http://schemas.microsoft.com/office/drawing/2014/main" id="{0C6B5644-1C02-42AB-8668-4491F7B25F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190500</xdr:colOff>
      <xdr:row>4</xdr:row>
      <xdr:rowOff>4762</xdr:rowOff>
    </xdr:from>
    <xdr:to>
      <xdr:col>14</xdr:col>
      <xdr:colOff>190500</xdr:colOff>
      <xdr:row>18</xdr:row>
      <xdr:rowOff>80962</xdr:rowOff>
    </xdr:to>
    <xdr:graphicFrame macro="">
      <xdr:nvGraphicFramePr>
        <xdr:cNvPr id="3" name="Chart 2">
          <a:extLst>
            <a:ext uri="{FF2B5EF4-FFF2-40B4-BE49-F238E27FC236}">
              <a16:creationId xmlns:a16="http://schemas.microsoft.com/office/drawing/2014/main" id="{4EE91D59-554D-455F-8B9B-57743206D3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455084</xdr:colOff>
      <xdr:row>12</xdr:row>
      <xdr:rowOff>87997</xdr:rowOff>
    </xdr:from>
    <xdr:to>
      <xdr:col>8</xdr:col>
      <xdr:colOff>254001</xdr:colOff>
      <xdr:row>31</xdr:row>
      <xdr:rowOff>63499</xdr:rowOff>
    </xdr:to>
    <xdr:graphicFrame macro="">
      <xdr:nvGraphicFramePr>
        <xdr:cNvPr id="2" name="Chart 1">
          <a:extLst>
            <a:ext uri="{FF2B5EF4-FFF2-40B4-BE49-F238E27FC236}">
              <a16:creationId xmlns:a16="http://schemas.microsoft.com/office/drawing/2014/main" id="{00000000-0008-0000-3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571501</xdr:colOff>
      <xdr:row>14</xdr:row>
      <xdr:rowOff>53155</xdr:rowOff>
    </xdr:from>
    <xdr:to>
      <xdr:col>16</xdr:col>
      <xdr:colOff>889000</xdr:colOff>
      <xdr:row>31</xdr:row>
      <xdr:rowOff>42333</xdr:rowOff>
    </xdr:to>
    <xdr:graphicFrame macro="">
      <xdr:nvGraphicFramePr>
        <xdr:cNvPr id="3" name="Chart 2">
          <a:extLst>
            <a:ext uri="{FF2B5EF4-FFF2-40B4-BE49-F238E27FC236}">
              <a16:creationId xmlns:a16="http://schemas.microsoft.com/office/drawing/2014/main" id="{00000000-0008-0000-3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125414</xdr:colOff>
      <xdr:row>24</xdr:row>
      <xdr:rowOff>29367</xdr:rowOff>
    </xdr:from>
    <xdr:to>
      <xdr:col>10</xdr:col>
      <xdr:colOff>482601</xdr:colOff>
      <xdr:row>45</xdr:row>
      <xdr:rowOff>161131</xdr:rowOff>
    </xdr:to>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270627</xdr:colOff>
      <xdr:row>26</xdr:row>
      <xdr:rowOff>38349</xdr:rowOff>
    </xdr:from>
    <xdr:to>
      <xdr:col>22</xdr:col>
      <xdr:colOff>701524</xdr:colOff>
      <xdr:row>46</xdr:row>
      <xdr:rowOff>140742</xdr:rowOff>
    </xdr:to>
    <xdr:graphicFrame macro="">
      <xdr:nvGraphicFramePr>
        <xdr:cNvPr id="3" name="Chart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571500</xdr:colOff>
      <xdr:row>63</xdr:row>
      <xdr:rowOff>25400</xdr:rowOff>
    </xdr:from>
    <xdr:to>
      <xdr:col>11</xdr:col>
      <xdr:colOff>71437</xdr:colOff>
      <xdr:row>84</xdr:row>
      <xdr:rowOff>160974</xdr:rowOff>
    </xdr:to>
    <xdr:graphicFrame macro="">
      <xdr:nvGraphicFramePr>
        <xdr:cNvPr id="7" name="Chart 6">
          <a:extLst>
            <a:ext uri="{FF2B5EF4-FFF2-40B4-BE49-F238E27FC236}">
              <a16:creationId xmlns:a16="http://schemas.microsoft.com/office/drawing/2014/main" id="{00000000-0008-0000-1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1894114</xdr:colOff>
      <xdr:row>70</xdr:row>
      <xdr:rowOff>87085</xdr:rowOff>
    </xdr:from>
    <xdr:to>
      <xdr:col>20</xdr:col>
      <xdr:colOff>816428</xdr:colOff>
      <xdr:row>84</xdr:row>
      <xdr:rowOff>36285</xdr:rowOff>
    </xdr:to>
    <xdr:graphicFrame macro="">
      <xdr:nvGraphicFramePr>
        <xdr:cNvPr id="13" name="Chart 12">
          <a:extLst>
            <a:ext uri="{FF2B5EF4-FFF2-40B4-BE49-F238E27FC236}">
              <a16:creationId xmlns:a16="http://schemas.microsoft.com/office/drawing/2014/main" id="{00000000-0008-0000-1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367984</xdr:colOff>
      <xdr:row>10</xdr:row>
      <xdr:rowOff>99217</xdr:rowOff>
    </xdr:from>
    <xdr:to>
      <xdr:col>8</xdr:col>
      <xdr:colOff>723899</xdr:colOff>
      <xdr:row>27</xdr:row>
      <xdr:rowOff>114300</xdr:rowOff>
    </xdr:to>
    <xdr:graphicFrame macro="">
      <xdr:nvGraphicFramePr>
        <xdr:cNvPr id="2" name="Chart 1">
          <a:extLst>
            <a:ext uri="{FF2B5EF4-FFF2-40B4-BE49-F238E27FC236}">
              <a16:creationId xmlns:a16="http://schemas.microsoft.com/office/drawing/2014/main" id="{00000000-0008-0000-3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383116</xdr:colOff>
      <xdr:row>11</xdr:row>
      <xdr:rowOff>12700</xdr:rowOff>
    </xdr:from>
    <xdr:to>
      <xdr:col>16</xdr:col>
      <xdr:colOff>533400</xdr:colOff>
      <xdr:row>26</xdr:row>
      <xdr:rowOff>134196</xdr:rowOff>
    </xdr:to>
    <xdr:graphicFrame macro="">
      <xdr:nvGraphicFramePr>
        <xdr:cNvPr id="3" name="Chart 2">
          <a:extLst>
            <a:ext uri="{FF2B5EF4-FFF2-40B4-BE49-F238E27FC236}">
              <a16:creationId xmlns:a16="http://schemas.microsoft.com/office/drawing/2014/main" id="{00000000-0008-0000-3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8393</xdr:colOff>
      <xdr:row>19</xdr:row>
      <xdr:rowOff>5962</xdr:rowOff>
    </xdr:from>
    <xdr:to>
      <xdr:col>6</xdr:col>
      <xdr:colOff>571500</xdr:colOff>
      <xdr:row>34</xdr:row>
      <xdr:rowOff>76199</xdr:rowOff>
    </xdr:to>
    <xdr:graphicFrame macro="">
      <xdr:nvGraphicFramePr>
        <xdr:cNvPr id="2" name="Chart 1">
          <a:extLst>
            <a:ext uri="{FF2B5EF4-FFF2-40B4-BE49-F238E27FC236}">
              <a16:creationId xmlns:a16="http://schemas.microsoft.com/office/drawing/2014/main" id="{00000000-0008-0000-3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703217</xdr:colOff>
      <xdr:row>18</xdr:row>
      <xdr:rowOff>190013</xdr:rowOff>
    </xdr:from>
    <xdr:to>
      <xdr:col>16</xdr:col>
      <xdr:colOff>406400</xdr:colOff>
      <xdr:row>36</xdr:row>
      <xdr:rowOff>0</xdr:rowOff>
    </xdr:to>
    <xdr:graphicFrame macro="">
      <xdr:nvGraphicFramePr>
        <xdr:cNvPr id="3" name="Chart 2">
          <a:extLst>
            <a:ext uri="{FF2B5EF4-FFF2-40B4-BE49-F238E27FC236}">
              <a16:creationId xmlns:a16="http://schemas.microsoft.com/office/drawing/2014/main" id="{00000000-0008-0000-3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531586</xdr:colOff>
      <xdr:row>13</xdr:row>
      <xdr:rowOff>148930</xdr:rowOff>
    </xdr:from>
    <xdr:to>
      <xdr:col>6</xdr:col>
      <xdr:colOff>584200</xdr:colOff>
      <xdr:row>30</xdr:row>
      <xdr:rowOff>76200</xdr:rowOff>
    </xdr:to>
    <xdr:graphicFrame macro="">
      <xdr:nvGraphicFramePr>
        <xdr:cNvPr id="2" name="Chart 1">
          <a:extLst>
            <a:ext uri="{FF2B5EF4-FFF2-40B4-BE49-F238E27FC236}">
              <a16:creationId xmlns:a16="http://schemas.microsoft.com/office/drawing/2014/main" id="{00000000-0008-0000-3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25259</xdr:colOff>
      <xdr:row>12</xdr:row>
      <xdr:rowOff>178400</xdr:rowOff>
    </xdr:from>
    <xdr:to>
      <xdr:col>19</xdr:col>
      <xdr:colOff>260169</xdr:colOff>
      <xdr:row>33</xdr:row>
      <xdr:rowOff>85790</xdr:rowOff>
    </xdr:to>
    <xdr:graphicFrame macro="">
      <xdr:nvGraphicFramePr>
        <xdr:cNvPr id="3" name="Chart 2">
          <a:extLst>
            <a:ext uri="{FF2B5EF4-FFF2-40B4-BE49-F238E27FC236}">
              <a16:creationId xmlns:a16="http://schemas.microsoft.com/office/drawing/2014/main" id="{00000000-0008-0000-3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317500</xdr:colOff>
      <xdr:row>2</xdr:row>
      <xdr:rowOff>0</xdr:rowOff>
    </xdr:from>
    <xdr:to>
      <xdr:col>9</xdr:col>
      <xdr:colOff>632459</xdr:colOff>
      <xdr:row>19</xdr:row>
      <xdr:rowOff>181610</xdr:rowOff>
    </xdr:to>
    <xdr:graphicFrame macro="">
      <xdr:nvGraphicFramePr>
        <xdr:cNvPr id="6" name="Chart 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xdr:col>
      <xdr:colOff>150815</xdr:colOff>
      <xdr:row>10</xdr:row>
      <xdr:rowOff>80167</xdr:rowOff>
    </xdr:from>
    <xdr:to>
      <xdr:col>9</xdr:col>
      <xdr:colOff>825501</xdr:colOff>
      <xdr:row>28</xdr:row>
      <xdr:rowOff>190500</xdr:rowOff>
    </xdr:to>
    <xdr:graphicFrame macro="">
      <xdr:nvGraphicFramePr>
        <xdr:cNvPr id="2" name="Chart 1">
          <a:extLst>
            <a:ext uri="{FF2B5EF4-FFF2-40B4-BE49-F238E27FC236}">
              <a16:creationId xmlns:a16="http://schemas.microsoft.com/office/drawing/2014/main" id="{00000000-0008-0000-4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135466</xdr:colOff>
      <xdr:row>9</xdr:row>
      <xdr:rowOff>127001</xdr:rowOff>
    </xdr:from>
    <xdr:to>
      <xdr:col>19</xdr:col>
      <xdr:colOff>215900</xdr:colOff>
      <xdr:row>29</xdr:row>
      <xdr:rowOff>114301</xdr:rowOff>
    </xdr:to>
    <xdr:graphicFrame macro="">
      <xdr:nvGraphicFramePr>
        <xdr:cNvPr id="3" name="Chart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254001</xdr:colOff>
      <xdr:row>11</xdr:row>
      <xdr:rowOff>174626</xdr:rowOff>
    </xdr:from>
    <xdr:to>
      <xdr:col>7</xdr:col>
      <xdr:colOff>79376</xdr:colOff>
      <xdr:row>33</xdr:row>
      <xdr:rowOff>134371</xdr:rowOff>
    </xdr:to>
    <xdr:graphicFrame macro="">
      <xdr:nvGraphicFramePr>
        <xdr:cNvPr id="2" name="Chart 1">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174625</xdr:colOff>
      <xdr:row>12</xdr:row>
      <xdr:rowOff>175679</xdr:rowOff>
    </xdr:from>
    <xdr:to>
      <xdr:col>18</xdr:col>
      <xdr:colOff>635000</xdr:colOff>
      <xdr:row>29</xdr:row>
      <xdr:rowOff>79375</xdr:rowOff>
    </xdr:to>
    <xdr:graphicFrame macro="">
      <xdr:nvGraphicFramePr>
        <xdr:cNvPr id="3" name="Chart 2">
          <a:extLst>
            <a:ext uri="{FF2B5EF4-FFF2-40B4-BE49-F238E27FC236}">
              <a16:creationId xmlns:a16="http://schemas.microsoft.com/office/drawing/2014/main" id="{00000000-0008-0000-4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317500</xdr:colOff>
      <xdr:row>13</xdr:row>
      <xdr:rowOff>52918</xdr:rowOff>
    </xdr:from>
    <xdr:to>
      <xdr:col>8</xdr:col>
      <xdr:colOff>148167</xdr:colOff>
      <xdr:row>30</xdr:row>
      <xdr:rowOff>70115</xdr:rowOff>
    </xdr:to>
    <xdr:graphicFrame macro="">
      <xdr:nvGraphicFramePr>
        <xdr:cNvPr id="2" name="Chart 1">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359833</xdr:colOff>
      <xdr:row>14</xdr:row>
      <xdr:rowOff>1690</xdr:rowOff>
    </xdr:from>
    <xdr:to>
      <xdr:col>18</xdr:col>
      <xdr:colOff>126999</xdr:colOff>
      <xdr:row>30</xdr:row>
      <xdr:rowOff>63501</xdr:rowOff>
    </xdr:to>
    <xdr:graphicFrame macro="">
      <xdr:nvGraphicFramePr>
        <xdr:cNvPr id="3" name="Chart 2">
          <a:extLst>
            <a:ext uri="{FF2B5EF4-FFF2-40B4-BE49-F238E27FC236}">
              <a16:creationId xmlns:a16="http://schemas.microsoft.com/office/drawing/2014/main" id="{00000000-0008-0000-4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0</xdr:col>
      <xdr:colOff>132188</xdr:colOff>
      <xdr:row>11</xdr:row>
      <xdr:rowOff>119537</xdr:rowOff>
    </xdr:from>
    <xdr:to>
      <xdr:col>7</xdr:col>
      <xdr:colOff>603250</xdr:colOff>
      <xdr:row>29</xdr:row>
      <xdr:rowOff>179917</xdr:rowOff>
    </xdr:to>
    <xdr:graphicFrame macro="">
      <xdr:nvGraphicFramePr>
        <xdr:cNvPr id="2" name="Chart 1">
          <a:extLst>
            <a:ext uri="{FF2B5EF4-FFF2-40B4-BE49-F238E27FC236}">
              <a16:creationId xmlns:a16="http://schemas.microsoft.com/office/drawing/2014/main"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58659</xdr:colOff>
      <xdr:row>11</xdr:row>
      <xdr:rowOff>154281</xdr:rowOff>
    </xdr:from>
    <xdr:to>
      <xdr:col>17</xdr:col>
      <xdr:colOff>984250</xdr:colOff>
      <xdr:row>30</xdr:row>
      <xdr:rowOff>0</xdr:rowOff>
    </xdr:to>
    <xdr:graphicFrame macro="">
      <xdr:nvGraphicFramePr>
        <xdr:cNvPr id="3" name="Chart 2">
          <a:extLst>
            <a:ext uri="{FF2B5EF4-FFF2-40B4-BE49-F238E27FC236}">
              <a16:creationId xmlns:a16="http://schemas.microsoft.com/office/drawing/2014/main" id="{00000000-0008-0000-4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0</xdr:col>
      <xdr:colOff>283028</xdr:colOff>
      <xdr:row>1</xdr:row>
      <xdr:rowOff>98516</xdr:rowOff>
    </xdr:from>
    <xdr:to>
      <xdr:col>8</xdr:col>
      <xdr:colOff>511628</xdr:colOff>
      <xdr:row>17</xdr:row>
      <xdr:rowOff>92891</xdr:rowOff>
    </xdr:to>
    <xdr:graphicFrame macro="">
      <xdr:nvGraphicFramePr>
        <xdr:cNvPr id="9" name="Chart 1">
          <a:extLst>
            <a:ext uri="{FF2B5EF4-FFF2-40B4-BE49-F238E27FC236}">
              <a16:creationId xmlns:a16="http://schemas.microsoft.com/office/drawing/2014/main" id="{00000000-0008-0000-4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9</xdr:col>
      <xdr:colOff>304800</xdr:colOff>
      <xdr:row>18</xdr:row>
      <xdr:rowOff>101600</xdr:rowOff>
    </xdr:from>
    <xdr:to>
      <xdr:col>18</xdr:col>
      <xdr:colOff>412899</xdr:colOff>
      <xdr:row>38</xdr:row>
      <xdr:rowOff>114457</xdr:rowOff>
    </xdr:to>
    <xdr:graphicFrame macro="">
      <xdr:nvGraphicFramePr>
        <xdr:cNvPr id="3" name="Chart 2">
          <a:extLst>
            <a:ext uri="{FF2B5EF4-FFF2-40B4-BE49-F238E27FC236}">
              <a16:creationId xmlns:a16="http://schemas.microsoft.com/office/drawing/2014/main" id="{00000000-0008-0000-4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18</xdr:row>
      <xdr:rowOff>80167</xdr:rowOff>
    </xdr:from>
    <xdr:to>
      <xdr:col>9</xdr:col>
      <xdr:colOff>127001</xdr:colOff>
      <xdr:row>38</xdr:row>
      <xdr:rowOff>101600</xdr:rowOff>
    </xdr:to>
    <xdr:graphicFrame macro="">
      <xdr:nvGraphicFramePr>
        <xdr:cNvPr id="2" name="Chart 1">
          <a:extLst>
            <a:ext uri="{FF2B5EF4-FFF2-40B4-BE49-F238E27FC236}">
              <a16:creationId xmlns:a16="http://schemas.microsoft.com/office/drawing/2014/main" id="{00000000-0008-0000-4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214314</xdr:colOff>
      <xdr:row>24</xdr:row>
      <xdr:rowOff>130967</xdr:rowOff>
    </xdr:from>
    <xdr:to>
      <xdr:col>10</xdr:col>
      <xdr:colOff>571501</xdr:colOff>
      <xdr:row>46</xdr:row>
      <xdr:rowOff>59531</xdr:rowOff>
    </xdr:to>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167486</xdr:colOff>
      <xdr:row>25</xdr:row>
      <xdr:rowOff>75391</xdr:rowOff>
    </xdr:from>
    <xdr:to>
      <xdr:col>20</xdr:col>
      <xdr:colOff>402167</xdr:colOff>
      <xdr:row>45</xdr:row>
      <xdr:rowOff>190484</xdr:rowOff>
    </xdr:to>
    <xdr:graphicFrame macro="">
      <xdr:nvGraphicFramePr>
        <xdr:cNvPr id="3" name="Chart 2">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571500</xdr:colOff>
      <xdr:row>63</xdr:row>
      <xdr:rowOff>25400</xdr:rowOff>
    </xdr:from>
    <xdr:to>
      <xdr:col>11</xdr:col>
      <xdr:colOff>71437</xdr:colOff>
      <xdr:row>84</xdr:row>
      <xdr:rowOff>160974</xdr:rowOff>
    </xdr:to>
    <xdr:graphicFrame macro="">
      <xdr:nvGraphicFramePr>
        <xdr:cNvPr id="7" name="Chart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0</xdr:col>
      <xdr:colOff>177801</xdr:colOff>
      <xdr:row>18</xdr:row>
      <xdr:rowOff>101599</xdr:rowOff>
    </xdr:from>
    <xdr:to>
      <xdr:col>8</xdr:col>
      <xdr:colOff>584201</xdr:colOff>
      <xdr:row>37</xdr:row>
      <xdr:rowOff>97630</xdr:rowOff>
    </xdr:to>
    <xdr:graphicFrame macro="">
      <xdr:nvGraphicFramePr>
        <xdr:cNvPr id="2" name="Chart 1">
          <a:extLst>
            <a:ext uri="{FF2B5EF4-FFF2-40B4-BE49-F238E27FC236}">
              <a16:creationId xmlns:a16="http://schemas.microsoft.com/office/drawing/2014/main" id="{00000000-0008-0000-4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787400</xdr:colOff>
      <xdr:row>18</xdr:row>
      <xdr:rowOff>165099</xdr:rowOff>
    </xdr:from>
    <xdr:to>
      <xdr:col>17</xdr:col>
      <xdr:colOff>749300</xdr:colOff>
      <xdr:row>37</xdr:row>
      <xdr:rowOff>0</xdr:rowOff>
    </xdr:to>
    <xdr:graphicFrame macro="">
      <xdr:nvGraphicFramePr>
        <xdr:cNvPr id="3" name="Chart 2">
          <a:extLst>
            <a:ext uri="{FF2B5EF4-FFF2-40B4-BE49-F238E27FC236}">
              <a16:creationId xmlns:a16="http://schemas.microsoft.com/office/drawing/2014/main" id="{00000000-0008-0000-4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0</xdr:col>
      <xdr:colOff>121603</xdr:colOff>
      <xdr:row>19</xdr:row>
      <xdr:rowOff>3121</xdr:rowOff>
    </xdr:from>
    <xdr:to>
      <xdr:col>7</xdr:col>
      <xdr:colOff>338666</xdr:colOff>
      <xdr:row>34</xdr:row>
      <xdr:rowOff>137582</xdr:rowOff>
    </xdr:to>
    <xdr:graphicFrame macro="">
      <xdr:nvGraphicFramePr>
        <xdr:cNvPr id="2" name="Chart 1">
          <a:extLst>
            <a:ext uri="{FF2B5EF4-FFF2-40B4-BE49-F238E27FC236}">
              <a16:creationId xmlns:a16="http://schemas.microsoft.com/office/drawing/2014/main" id="{00000000-0008-0000-4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486833</xdr:colOff>
      <xdr:row>19</xdr:row>
      <xdr:rowOff>42945</xdr:rowOff>
    </xdr:from>
    <xdr:to>
      <xdr:col>16</xdr:col>
      <xdr:colOff>2187090</xdr:colOff>
      <xdr:row>36</xdr:row>
      <xdr:rowOff>0</xdr:rowOff>
    </xdr:to>
    <xdr:graphicFrame macro="">
      <xdr:nvGraphicFramePr>
        <xdr:cNvPr id="3" name="Chart 2">
          <a:extLst>
            <a:ext uri="{FF2B5EF4-FFF2-40B4-BE49-F238E27FC236}">
              <a16:creationId xmlns:a16="http://schemas.microsoft.com/office/drawing/2014/main" id="{00000000-0008-0000-4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691445</xdr:colOff>
      <xdr:row>15</xdr:row>
      <xdr:rowOff>169334</xdr:rowOff>
    </xdr:to>
    <xdr:graphicFrame macro="">
      <xdr:nvGraphicFramePr>
        <xdr:cNvPr id="4" name="Chart 3">
          <a:extLst>
            <a:ext uri="{FF2B5EF4-FFF2-40B4-BE49-F238E27FC236}">
              <a16:creationId xmlns:a16="http://schemas.microsoft.com/office/drawing/2014/main" id="{00000000-0008-0000-4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0</xdr:col>
      <xdr:colOff>23815</xdr:colOff>
      <xdr:row>18</xdr:row>
      <xdr:rowOff>80167</xdr:rowOff>
    </xdr:from>
    <xdr:to>
      <xdr:col>8</xdr:col>
      <xdr:colOff>25401</xdr:colOff>
      <xdr:row>37</xdr:row>
      <xdr:rowOff>152400</xdr:rowOff>
    </xdr:to>
    <xdr:graphicFrame macro="">
      <xdr:nvGraphicFramePr>
        <xdr:cNvPr id="2" name="Chart 1">
          <a:extLst>
            <a:ext uri="{FF2B5EF4-FFF2-40B4-BE49-F238E27FC236}">
              <a16:creationId xmlns:a16="http://schemas.microsoft.com/office/drawing/2014/main" id="{00000000-0008-0000-4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203200</xdr:colOff>
      <xdr:row>18</xdr:row>
      <xdr:rowOff>126063</xdr:rowOff>
    </xdr:from>
    <xdr:to>
      <xdr:col>19</xdr:col>
      <xdr:colOff>431800</xdr:colOff>
      <xdr:row>35</xdr:row>
      <xdr:rowOff>190501</xdr:rowOff>
    </xdr:to>
    <xdr:graphicFrame macro="">
      <xdr:nvGraphicFramePr>
        <xdr:cNvPr id="3" name="Chart 2">
          <a:extLst>
            <a:ext uri="{FF2B5EF4-FFF2-40B4-BE49-F238E27FC236}">
              <a16:creationId xmlns:a16="http://schemas.microsoft.com/office/drawing/2014/main" id="{00000000-0008-0000-4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0</xdr:col>
      <xdr:colOff>1</xdr:colOff>
      <xdr:row>18</xdr:row>
      <xdr:rowOff>125887</xdr:rowOff>
    </xdr:from>
    <xdr:to>
      <xdr:col>8</xdr:col>
      <xdr:colOff>12701</xdr:colOff>
      <xdr:row>36</xdr:row>
      <xdr:rowOff>127000</xdr:rowOff>
    </xdr:to>
    <xdr:graphicFrame macro="">
      <xdr:nvGraphicFramePr>
        <xdr:cNvPr id="2" name="Chart 1">
          <a:extLst>
            <a:ext uri="{FF2B5EF4-FFF2-40B4-BE49-F238E27FC236}">
              <a16:creationId xmlns:a16="http://schemas.microsoft.com/office/drawing/2014/main" id="{00000000-0008-0000-4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177801</xdr:colOff>
      <xdr:row>18</xdr:row>
      <xdr:rowOff>36831</xdr:rowOff>
    </xdr:from>
    <xdr:to>
      <xdr:col>18</xdr:col>
      <xdr:colOff>330201</xdr:colOff>
      <xdr:row>39</xdr:row>
      <xdr:rowOff>63501</xdr:rowOff>
    </xdr:to>
    <xdr:graphicFrame macro="">
      <xdr:nvGraphicFramePr>
        <xdr:cNvPr id="3" name="Chart 2">
          <a:extLst>
            <a:ext uri="{FF2B5EF4-FFF2-40B4-BE49-F238E27FC236}">
              <a16:creationId xmlns:a16="http://schemas.microsoft.com/office/drawing/2014/main" id="{00000000-0008-0000-4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1</xdr:col>
      <xdr:colOff>190500</xdr:colOff>
      <xdr:row>18</xdr:row>
      <xdr:rowOff>137584</xdr:rowOff>
    </xdr:from>
    <xdr:to>
      <xdr:col>8</xdr:col>
      <xdr:colOff>412751</xdr:colOff>
      <xdr:row>36</xdr:row>
      <xdr:rowOff>54452</xdr:rowOff>
    </xdr:to>
    <xdr:graphicFrame macro="">
      <xdr:nvGraphicFramePr>
        <xdr:cNvPr id="2" name="Chart 1">
          <a:extLst>
            <a:ext uri="{FF2B5EF4-FFF2-40B4-BE49-F238E27FC236}">
              <a16:creationId xmlns:a16="http://schemas.microsoft.com/office/drawing/2014/main" id="{00000000-0008-0000-4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535517</xdr:colOff>
      <xdr:row>18</xdr:row>
      <xdr:rowOff>190499</xdr:rowOff>
    </xdr:from>
    <xdr:to>
      <xdr:col>18</xdr:col>
      <xdr:colOff>901700</xdr:colOff>
      <xdr:row>38</xdr:row>
      <xdr:rowOff>73332</xdr:rowOff>
    </xdr:to>
    <xdr:graphicFrame macro="">
      <xdr:nvGraphicFramePr>
        <xdr:cNvPr id="3" name="Chart 2">
          <a:extLst>
            <a:ext uri="{FF2B5EF4-FFF2-40B4-BE49-F238E27FC236}">
              <a16:creationId xmlns:a16="http://schemas.microsoft.com/office/drawing/2014/main" id="{00000000-0008-0000-4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0</xdr:col>
      <xdr:colOff>90217</xdr:colOff>
      <xdr:row>19</xdr:row>
      <xdr:rowOff>72729</xdr:rowOff>
    </xdr:from>
    <xdr:to>
      <xdr:col>8</xdr:col>
      <xdr:colOff>190500</xdr:colOff>
      <xdr:row>37</xdr:row>
      <xdr:rowOff>63501</xdr:rowOff>
    </xdr:to>
    <xdr:graphicFrame macro="">
      <xdr:nvGraphicFramePr>
        <xdr:cNvPr id="2" name="Chart 1">
          <a:extLst>
            <a:ext uri="{FF2B5EF4-FFF2-40B4-BE49-F238E27FC236}">
              <a16:creationId xmlns:a16="http://schemas.microsoft.com/office/drawing/2014/main" id="{00000000-0008-0000-4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476251</xdr:colOff>
      <xdr:row>19</xdr:row>
      <xdr:rowOff>119840</xdr:rowOff>
    </xdr:from>
    <xdr:to>
      <xdr:col>19</xdr:col>
      <xdr:colOff>841376</xdr:colOff>
      <xdr:row>37</xdr:row>
      <xdr:rowOff>95250</xdr:rowOff>
    </xdr:to>
    <xdr:graphicFrame macro="">
      <xdr:nvGraphicFramePr>
        <xdr:cNvPr id="3" name="Chart 2">
          <a:extLst>
            <a:ext uri="{FF2B5EF4-FFF2-40B4-BE49-F238E27FC236}">
              <a16:creationId xmlns:a16="http://schemas.microsoft.com/office/drawing/2014/main" id="{00000000-0008-0000-4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0</xdr:col>
      <xdr:colOff>275952</xdr:colOff>
      <xdr:row>2</xdr:row>
      <xdr:rowOff>25582</xdr:rowOff>
    </xdr:from>
    <xdr:to>
      <xdr:col>8</xdr:col>
      <xdr:colOff>526777</xdr:colOff>
      <xdr:row>15</xdr:row>
      <xdr:rowOff>136434</xdr:rowOff>
    </xdr:to>
    <xdr:graphicFrame macro="">
      <xdr:nvGraphicFramePr>
        <xdr:cNvPr id="6" name="Chart 5">
          <a:extLst>
            <a:ext uri="{FF2B5EF4-FFF2-40B4-BE49-F238E27FC236}">
              <a16:creationId xmlns:a16="http://schemas.microsoft.com/office/drawing/2014/main" id="{00000000-0008-0000-4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8</xdr:col>
      <xdr:colOff>234950</xdr:colOff>
      <xdr:row>5</xdr:row>
      <xdr:rowOff>63500</xdr:rowOff>
    </xdr:from>
    <xdr:to>
      <xdr:col>17</xdr:col>
      <xdr:colOff>342900</xdr:colOff>
      <xdr:row>25</xdr:row>
      <xdr:rowOff>123825</xdr:rowOff>
    </xdr:to>
    <xdr:graphicFrame macro="">
      <xdr:nvGraphicFramePr>
        <xdr:cNvPr id="2" name="Chart 1">
          <a:extLst>
            <a:ext uri="{FF2B5EF4-FFF2-40B4-BE49-F238E27FC236}">
              <a16:creationId xmlns:a16="http://schemas.microsoft.com/office/drawing/2014/main" id="{E2B7FC31-4DD7-4247-8D33-E9886B769B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15</xdr:row>
      <xdr:rowOff>88900</xdr:rowOff>
    </xdr:from>
    <xdr:to>
      <xdr:col>12</xdr:col>
      <xdr:colOff>428625</xdr:colOff>
      <xdr:row>38</xdr:row>
      <xdr:rowOff>4656</xdr:rowOff>
    </xdr:to>
    <xdr:graphicFrame macro="">
      <xdr:nvGraphicFramePr>
        <xdr:cNvPr id="5" name="Chart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678342</xdr:colOff>
      <xdr:row>20</xdr:row>
      <xdr:rowOff>43086</xdr:rowOff>
    </xdr:from>
    <xdr:to>
      <xdr:col>22</xdr:col>
      <xdr:colOff>832052</xdr:colOff>
      <xdr:row>35</xdr:row>
      <xdr:rowOff>43088</xdr:rowOff>
    </xdr:to>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611506</xdr:colOff>
      <xdr:row>1</xdr:row>
      <xdr:rowOff>110489</xdr:rowOff>
    </xdr:from>
    <xdr:to>
      <xdr:col>5</xdr:col>
      <xdr:colOff>539751</xdr:colOff>
      <xdr:row>18</xdr:row>
      <xdr:rowOff>148167</xdr:rowOff>
    </xdr:to>
    <xdr:graphicFrame macro="">
      <xdr:nvGraphicFramePr>
        <xdr:cNvPr id="9" name="Chart 8">
          <a:extLst>
            <a:ext uri="{FF2B5EF4-FFF2-40B4-BE49-F238E27FC236}">
              <a16:creationId xmlns:a16="http://schemas.microsoft.com/office/drawing/2014/main" id="{00000000-0008-0000-1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214315</xdr:colOff>
      <xdr:row>24</xdr:row>
      <xdr:rowOff>130967</xdr:rowOff>
    </xdr:from>
    <xdr:to>
      <xdr:col>8</xdr:col>
      <xdr:colOff>863601</xdr:colOff>
      <xdr:row>43</xdr:row>
      <xdr:rowOff>88900</xdr:rowOff>
    </xdr:to>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476489</xdr:colOff>
      <xdr:row>23</xdr:row>
      <xdr:rowOff>84009</xdr:rowOff>
    </xdr:from>
    <xdr:to>
      <xdr:col>20</xdr:col>
      <xdr:colOff>82551</xdr:colOff>
      <xdr:row>43</xdr:row>
      <xdr:rowOff>162561</xdr:rowOff>
    </xdr:to>
    <xdr:graphicFrame macro="">
      <xdr:nvGraphicFramePr>
        <xdr:cNvPr id="3" name="Chart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571500</xdr:colOff>
      <xdr:row>63</xdr:row>
      <xdr:rowOff>25400</xdr:rowOff>
    </xdr:from>
    <xdr:to>
      <xdr:col>11</xdr:col>
      <xdr:colOff>71437</xdr:colOff>
      <xdr:row>84</xdr:row>
      <xdr:rowOff>160974</xdr:rowOff>
    </xdr:to>
    <xdr:graphicFrame macro="">
      <xdr:nvGraphicFramePr>
        <xdr:cNvPr id="7" name="Chart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310062</xdr:colOff>
      <xdr:row>61</xdr:row>
      <xdr:rowOff>178344</xdr:rowOff>
    </xdr:from>
    <xdr:to>
      <xdr:col>14</xdr:col>
      <xdr:colOff>634048</xdr:colOff>
      <xdr:row>83</xdr:row>
      <xdr:rowOff>112351</xdr:rowOff>
    </xdr:to>
    <xdr:graphicFrame macro="">
      <xdr:nvGraphicFramePr>
        <xdr:cNvPr id="8" name="Chart 7">
          <a:extLst>
            <a:ext uri="{FF2B5EF4-FFF2-40B4-BE49-F238E27FC236}">
              <a16:creationId xmlns:a16="http://schemas.microsoft.com/office/drawing/2014/main" id="{00000000-0008-0000-1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579120</xdr:colOff>
      <xdr:row>57</xdr:row>
      <xdr:rowOff>121920</xdr:rowOff>
    </xdr:from>
    <xdr:to>
      <xdr:col>19</xdr:col>
      <xdr:colOff>190500</xdr:colOff>
      <xdr:row>71</xdr:row>
      <xdr:rowOff>83820</xdr:rowOff>
    </xdr:to>
    <xdr:graphicFrame macro="">
      <xdr:nvGraphicFramePr>
        <xdr:cNvPr id="11" name="Chart 10">
          <a:extLst>
            <a:ext uri="{FF2B5EF4-FFF2-40B4-BE49-F238E27FC236}">
              <a16:creationId xmlns:a16="http://schemas.microsoft.com/office/drawing/2014/main" id="{00000000-0008-0000-1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214315</xdr:colOff>
      <xdr:row>24</xdr:row>
      <xdr:rowOff>130967</xdr:rowOff>
    </xdr:from>
    <xdr:to>
      <xdr:col>7</xdr:col>
      <xdr:colOff>419101</xdr:colOff>
      <xdr:row>43</xdr:row>
      <xdr:rowOff>114300</xdr:rowOff>
    </xdr:to>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721599</xdr:colOff>
      <xdr:row>21</xdr:row>
      <xdr:rowOff>123378</xdr:rowOff>
    </xdr:from>
    <xdr:to>
      <xdr:col>17</xdr:col>
      <xdr:colOff>749301</xdr:colOff>
      <xdr:row>43</xdr:row>
      <xdr:rowOff>25400</xdr:rowOff>
    </xdr:to>
    <xdr:graphicFrame macro="">
      <xdr:nvGraphicFramePr>
        <xdr:cNvPr id="3" name="Chart 2">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j1g19_soton_ac_uk/Documents/PhD/Experiments%20and%20Results/Results/PressureDropData_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Chart4"/>
      <sheetName val="Chart5"/>
      <sheetName val="SW"/>
      <sheetName val="Plot of only material load data"/>
      <sheetName val="OE paper"/>
      <sheetName val="Shape"/>
      <sheetName val="Biofilms"/>
      <sheetName val="RT vs FT"/>
      <sheetName val="PD VS v"/>
      <sheetName val="Chart6"/>
      <sheetName val="RelativeRoughness"/>
      <sheetName val="2lowflowHartlepoolBiofilm"/>
      <sheetName val="1highflowHartlepoolBiofilm"/>
      <sheetName val="2highflowHartlepoolBiofilm"/>
      <sheetName val="P40"/>
      <sheetName val="P80"/>
      <sheetName val="P120 "/>
      <sheetName val="1RT P40 sandpaper"/>
      <sheetName val="2RT P40 sandpaper"/>
      <sheetName val="3RT P40 sandpaper"/>
      <sheetName val="RT 80 sandpaper"/>
      <sheetName val="2 RT 80 sandpaper"/>
      <sheetName val="3 RT P80 sandpaper"/>
      <sheetName val="4 RT P80 sandpaper"/>
      <sheetName val="RT P80 sandpaper AVGS"/>
      <sheetName val="RT P80 SUMMARY"/>
      <sheetName val="P80 sandpaper "/>
      <sheetName val="2 P80 sandpaper"/>
      <sheetName val="3 P80 sandpaper"/>
      <sheetName val="P80 sandpaper AVGS"/>
      <sheetName val="P80 sandpaper SUMMARY"/>
      <sheetName val="P240 sandpaper"/>
      <sheetName val="2 P240 sandpaper"/>
      <sheetName val="3 P240 sandpaper"/>
      <sheetName val="P240 sandpaper AVGS"/>
      <sheetName val="P240 sandpaper SUMMARY"/>
      <sheetName val="RT P240 sandpaper"/>
      <sheetName val="2 RT P240 sandpaper"/>
      <sheetName val="3 RT P240 sandpaper"/>
      <sheetName val="RT P240 sandpaper AVGS"/>
      <sheetName val="RT P240 sandpaper SUMMARY"/>
      <sheetName val="COATED_clean"/>
      <sheetName val="1 EF25 P40"/>
      <sheetName val="2 EF25 P40"/>
      <sheetName val="3 EF25 P40"/>
      <sheetName val="4 EF25 P40"/>
      <sheetName val="EF25 P40 AVGS"/>
      <sheetName val="EF25 P40 SUMMARY"/>
      <sheetName val="1RT EF25 P40"/>
      <sheetName val="2RT EF25 P40"/>
      <sheetName val="3RT EF25 P40"/>
      <sheetName val="3RT EF25 P40 (2)"/>
      <sheetName val="RT EF25 P40 AVGS"/>
      <sheetName val="RT EF25 P40 SUMMARY"/>
      <sheetName val="1 EF25 P80"/>
      <sheetName val="2 EF25 P80"/>
      <sheetName val="3 EF25 P80"/>
      <sheetName val="EF25 P80 AVGS"/>
      <sheetName val="EF25 P80 SUMMARY"/>
      <sheetName val="1 RT EF25 P80"/>
      <sheetName val="2 RT EF25 P80"/>
      <sheetName val="3 RT EF25 P80"/>
      <sheetName val="4 RT EF25 P80"/>
      <sheetName val="RT EF25 P80 AVGS"/>
      <sheetName val="RT EF25 P80 SUMMARY"/>
      <sheetName val="1 EF25 P240"/>
      <sheetName val="2 EF25 P240"/>
      <sheetName val="3 EF25 P240"/>
      <sheetName val="EF25 P240 AVGS"/>
      <sheetName val="EF25 P240 SUMMARY"/>
      <sheetName val="1 RT EF25 P240"/>
      <sheetName val="2 RT EF25 P240"/>
      <sheetName val="3 RT EF25 P240"/>
      <sheetName val="RT EF25 P240 AVGS"/>
      <sheetName val="RT EF25 P240 SUMMARY"/>
      <sheetName val="1 EF25 flat"/>
      <sheetName val="2 EF25 flat"/>
      <sheetName val="EF25 flat AVGS"/>
      <sheetName val="EF25 flat SUMMARY"/>
      <sheetName val=" 1 MMSHE P40"/>
      <sheetName val=" 2 MMSHE P40"/>
      <sheetName val=" 3 MMSHE P40"/>
      <sheetName val=" 4 MMSHE P40"/>
      <sheetName val="MMHSE P40 AVGS"/>
      <sheetName val="MMHSE P40 SUMMARY"/>
      <sheetName val="1RT MMSHE P40 "/>
      <sheetName val="1RT MMSHE P40  (2)"/>
      <sheetName val="2RT MMSHE P40"/>
      <sheetName val="2RT MMSHE P40 (2)"/>
      <sheetName val="3RT MMSHE P40"/>
      <sheetName val="3RT MMSHE P40 (2)"/>
      <sheetName val="RT MMHSE P40 AVGS"/>
      <sheetName val=" 1 MMSHE P80"/>
      <sheetName val=" 2 MMSHE P80"/>
      <sheetName val=" 3 MMSHE P80"/>
      <sheetName val="MMHSE P80 AVGS"/>
      <sheetName val="MMHSE P80 SUMMARY"/>
      <sheetName val=" 1 RT MMSHE P80"/>
      <sheetName val="2 RT MMSHE P80"/>
      <sheetName val="3 RT MMSHE P80"/>
      <sheetName val="RT MMHSE P80 AVGS"/>
      <sheetName val="1MMHSE P240"/>
      <sheetName val="2 MMHSE P240"/>
      <sheetName val="3 MMHSE P240"/>
      <sheetName val="MMHSE P240 AVG"/>
      <sheetName val="MMHSE P240 SUMMARY"/>
      <sheetName val="1 RT MMHSE P240"/>
      <sheetName val="1 RT MMHSE P240 (2)"/>
      <sheetName val="RT MMHSE P240 AVG"/>
      <sheetName val="1MMHSE flat"/>
      <sheetName val="2 MMHSE flat"/>
      <sheetName val="MMHSE flat AVG"/>
      <sheetName val="MMHSE flat SUMMARY"/>
      <sheetName val="1 Plain Panel"/>
      <sheetName val="2 Plain Panel"/>
      <sheetName val="3 Plain Panel"/>
      <sheetName val="PLAIN PANEL AVGS"/>
      <sheetName val="Plain Panel Summary"/>
      <sheetName val="Sheet2"/>
    </sheetNames>
    <sheetDataSet>
      <sheetData sheetId="0" refreshError="1"/>
      <sheetData sheetId="1" refreshError="1"/>
      <sheetData sheetId="2" refreshError="1"/>
      <sheetData sheetId="3">
        <row r="4">
          <cell r="A4">
            <v>0</v>
          </cell>
          <cell r="B4">
            <v>5.9899999999999997E-3</v>
          </cell>
          <cell r="C4">
            <v>1028</v>
          </cell>
          <cell r="D4">
            <v>4</v>
          </cell>
          <cell r="E4">
            <v>1.8799999999999999E-3</v>
          </cell>
          <cell r="F4">
            <v>1.8287937743190661E-6</v>
          </cell>
        </row>
        <row r="5">
          <cell r="A5">
            <v>1</v>
          </cell>
          <cell r="B5">
            <v>6.4400000000000004E-3</v>
          </cell>
          <cell r="C5">
            <v>1028</v>
          </cell>
          <cell r="D5">
            <v>4</v>
          </cell>
          <cell r="E5">
            <v>1.83E-3</v>
          </cell>
          <cell r="F5">
            <v>1.7801556420233463E-6</v>
          </cell>
        </row>
        <row r="6">
          <cell r="A6">
            <v>2</v>
          </cell>
          <cell r="B6">
            <v>6.9199999999999999E-3</v>
          </cell>
          <cell r="C6">
            <v>1028</v>
          </cell>
          <cell r="D6">
            <v>4</v>
          </cell>
          <cell r="E6">
            <v>1.7700000000000001E-3</v>
          </cell>
          <cell r="F6">
            <v>1.7217898832684826E-6</v>
          </cell>
        </row>
        <row r="7">
          <cell r="A7">
            <v>3</v>
          </cell>
          <cell r="B7">
            <v>7.43E-3</v>
          </cell>
          <cell r="C7">
            <v>1028</v>
          </cell>
          <cell r="D7">
            <v>4</v>
          </cell>
          <cell r="E7">
            <v>1.72E-3</v>
          </cell>
          <cell r="F7">
            <v>1.6731517509727625E-6</v>
          </cell>
        </row>
        <row r="8">
          <cell r="A8">
            <v>4</v>
          </cell>
          <cell r="B8">
            <v>7.9699999999999997E-3</v>
          </cell>
          <cell r="C8">
            <v>1028</v>
          </cell>
          <cell r="D8">
            <v>4.0010000000000003</v>
          </cell>
          <cell r="E8">
            <v>1.67E-3</v>
          </cell>
          <cell r="F8">
            <v>1.6245136186770429E-6</v>
          </cell>
        </row>
        <row r="9">
          <cell r="A9">
            <v>5</v>
          </cell>
          <cell r="B9">
            <v>8.5500000000000003E-3</v>
          </cell>
          <cell r="C9">
            <v>1028</v>
          </cell>
          <cell r="D9">
            <v>4.0010000000000003</v>
          </cell>
          <cell r="E9">
            <v>1.6199999999999999E-3</v>
          </cell>
          <cell r="F9">
            <v>1.5758754863813228E-6</v>
          </cell>
        </row>
        <row r="10">
          <cell r="A10">
            <v>6</v>
          </cell>
          <cell r="B10">
            <v>9.1599999999999997E-3</v>
          </cell>
          <cell r="C10">
            <v>1028</v>
          </cell>
          <cell r="D10">
            <v>4.0010000000000003</v>
          </cell>
          <cell r="E10">
            <v>1.57E-3</v>
          </cell>
          <cell r="F10">
            <v>1.5272373540856032E-6</v>
          </cell>
        </row>
        <row r="11">
          <cell r="A11">
            <v>7</v>
          </cell>
          <cell r="B11">
            <v>9.8200000000000006E-3</v>
          </cell>
          <cell r="C11">
            <v>1027</v>
          </cell>
          <cell r="D11">
            <v>4.0019999999999998</v>
          </cell>
          <cell r="E11">
            <v>1.5299999999999999E-3</v>
          </cell>
          <cell r="F11">
            <v>1.4897760467380719E-6</v>
          </cell>
        </row>
        <row r="12">
          <cell r="A12">
            <v>8</v>
          </cell>
          <cell r="B12">
            <v>1.051E-2</v>
          </cell>
          <cell r="C12">
            <v>1027</v>
          </cell>
          <cell r="D12">
            <v>4.0019999999999998</v>
          </cell>
          <cell r="E12">
            <v>1.49E-3</v>
          </cell>
          <cell r="F12">
            <v>1.4508276533592989E-6</v>
          </cell>
        </row>
        <row r="13">
          <cell r="A13">
            <v>9</v>
          </cell>
          <cell r="B13">
            <v>1.125E-2</v>
          </cell>
          <cell r="C13">
            <v>1027</v>
          </cell>
          <cell r="D13">
            <v>4.0019999999999998</v>
          </cell>
          <cell r="E13">
            <v>1.4499999999999999E-3</v>
          </cell>
          <cell r="F13">
            <v>1.4118792599805258E-6</v>
          </cell>
        </row>
        <row r="14">
          <cell r="A14">
            <v>10</v>
          </cell>
          <cell r="B14">
            <v>1.2030000000000001E-2</v>
          </cell>
          <cell r="C14">
            <v>1027</v>
          </cell>
          <cell r="D14">
            <v>4.0030000000000001</v>
          </cell>
          <cell r="E14">
            <v>1.41E-3</v>
          </cell>
          <cell r="F14">
            <v>1.3729308666017527E-6</v>
          </cell>
        </row>
        <row r="15">
          <cell r="A15">
            <v>11</v>
          </cell>
          <cell r="B15">
            <v>1.286E-2</v>
          </cell>
          <cell r="C15">
            <v>1027</v>
          </cell>
          <cell r="D15">
            <v>4.0030000000000001</v>
          </cell>
          <cell r="E15">
            <v>1.3699999999999999E-3</v>
          </cell>
          <cell r="F15">
            <v>1.3339824732229794E-6</v>
          </cell>
        </row>
        <row r="16">
          <cell r="A16">
            <v>12</v>
          </cell>
          <cell r="B16">
            <v>1.374E-2</v>
          </cell>
          <cell r="C16">
            <v>1027</v>
          </cell>
          <cell r="D16">
            <v>4.0030000000000001</v>
          </cell>
          <cell r="E16">
            <v>1.33E-3</v>
          </cell>
          <cell r="F16">
            <v>1.2950340798442063E-6</v>
          </cell>
        </row>
        <row r="17">
          <cell r="A17">
            <v>13</v>
          </cell>
          <cell r="B17">
            <v>1.4670000000000001E-2</v>
          </cell>
          <cell r="C17">
            <v>1026</v>
          </cell>
          <cell r="D17">
            <v>4.0039999999999996</v>
          </cell>
          <cell r="E17">
            <v>1.2899999999999999E-3</v>
          </cell>
          <cell r="F17">
            <v>1.2573099415204678E-6</v>
          </cell>
        </row>
        <row r="18">
          <cell r="A18">
            <v>14</v>
          </cell>
          <cell r="B18">
            <v>1.566E-2</v>
          </cell>
          <cell r="C18">
            <v>1026</v>
          </cell>
          <cell r="D18">
            <v>4.0039999999999996</v>
          </cell>
          <cell r="E18">
            <v>1.2600000000000001E-3</v>
          </cell>
          <cell r="F18">
            <v>1.2280701754385965E-6</v>
          </cell>
        </row>
        <row r="19">
          <cell r="A19">
            <v>15</v>
          </cell>
          <cell r="B19">
            <v>1.6709999999999999E-2</v>
          </cell>
          <cell r="C19">
            <v>1026</v>
          </cell>
          <cell r="D19">
            <v>4.0049999999999999</v>
          </cell>
          <cell r="E19">
            <v>1.23E-3</v>
          </cell>
          <cell r="F19">
            <v>1.1988304093567251E-6</v>
          </cell>
        </row>
        <row r="20">
          <cell r="A20">
            <v>16</v>
          </cell>
          <cell r="B20">
            <v>1.7809999999999999E-2</v>
          </cell>
          <cell r="C20">
            <v>1026</v>
          </cell>
          <cell r="D20">
            <v>4.0049999999999999</v>
          </cell>
          <cell r="E20">
            <v>1.1999999999999999E-3</v>
          </cell>
          <cell r="F20">
            <v>1.1695906432748538E-6</v>
          </cell>
        </row>
        <row r="21">
          <cell r="A21">
            <v>17</v>
          </cell>
          <cell r="B21">
            <v>1.898E-2</v>
          </cell>
          <cell r="C21">
            <v>1026</v>
          </cell>
          <cell r="D21">
            <v>4.0060000000000002</v>
          </cell>
          <cell r="E21">
            <v>1.17E-3</v>
          </cell>
          <cell r="F21">
            <v>1.1403508771929824E-6</v>
          </cell>
        </row>
        <row r="22">
          <cell r="A22">
            <v>18</v>
          </cell>
          <cell r="B22">
            <v>2.0219999999999998E-2</v>
          </cell>
          <cell r="C22">
            <v>1025</v>
          </cell>
          <cell r="D22">
            <v>4.0060000000000002</v>
          </cell>
          <cell r="E22">
            <v>1.14E-3</v>
          </cell>
          <cell r="F22">
            <v>1.1121951219512194E-6</v>
          </cell>
        </row>
        <row r="23">
          <cell r="A23">
            <v>19</v>
          </cell>
          <cell r="B23">
            <v>2.1530000000000001E-2</v>
          </cell>
          <cell r="C23">
            <v>1025</v>
          </cell>
          <cell r="D23">
            <v>4.0069999999999997</v>
          </cell>
          <cell r="E23">
            <v>1.1100000000000001E-3</v>
          </cell>
          <cell r="F23">
            <v>1.0829268292682929E-6</v>
          </cell>
        </row>
        <row r="24">
          <cell r="A24">
            <v>20</v>
          </cell>
          <cell r="B24">
            <v>2.291E-2</v>
          </cell>
          <cell r="C24">
            <v>1025</v>
          </cell>
          <cell r="D24">
            <v>4.0069999999999997</v>
          </cell>
          <cell r="E24">
            <v>1.08E-3</v>
          </cell>
          <cell r="F24">
            <v>1.053658536585366E-6</v>
          </cell>
        </row>
        <row r="25">
          <cell r="A25">
            <v>21</v>
          </cell>
          <cell r="B25">
            <v>2.4369999999999999E-2</v>
          </cell>
          <cell r="C25">
            <v>1025</v>
          </cell>
          <cell r="D25">
            <v>4.0069999999999997</v>
          </cell>
          <cell r="E25">
            <v>1.0499999999999999E-3</v>
          </cell>
          <cell r="F25">
            <v>1.024390243902439E-6</v>
          </cell>
        </row>
        <row r="26">
          <cell r="A26">
            <v>22</v>
          </cell>
          <cell r="B26">
            <v>2.5909999999999999E-2</v>
          </cell>
          <cell r="C26">
            <v>1024</v>
          </cell>
          <cell r="D26">
            <v>4.008</v>
          </cell>
          <cell r="E26">
            <v>1.0300000000000001E-3</v>
          </cell>
          <cell r="F26">
            <v>1.0058593750000001E-6</v>
          </cell>
        </row>
        <row r="27">
          <cell r="A27">
            <v>23</v>
          </cell>
          <cell r="B27">
            <v>2.7529999999999999E-2</v>
          </cell>
          <cell r="C27">
            <v>1024</v>
          </cell>
          <cell r="D27">
            <v>4.008</v>
          </cell>
          <cell r="E27">
            <v>1.01E-3</v>
          </cell>
          <cell r="F27">
            <v>9.8632812500000005E-7</v>
          </cell>
        </row>
        <row r="28">
          <cell r="A28">
            <v>24</v>
          </cell>
          <cell r="B28">
            <v>2.9239999999999999E-2</v>
          </cell>
          <cell r="C28">
            <v>1024</v>
          </cell>
          <cell r="D28">
            <v>4.0090000000000003</v>
          </cell>
          <cell r="E28">
            <v>9.7999999999999997E-4</v>
          </cell>
          <cell r="F28">
            <v>9.5703124999999997E-7</v>
          </cell>
        </row>
        <row r="29">
          <cell r="A29">
            <v>25</v>
          </cell>
          <cell r="B29">
            <v>3.1040000000000002E-2</v>
          </cell>
          <cell r="C29">
            <v>1023</v>
          </cell>
          <cell r="D29">
            <v>4.0090000000000003</v>
          </cell>
          <cell r="E29">
            <v>9.6000000000000002E-4</v>
          </cell>
          <cell r="F29">
            <v>9.3841642228739007E-7</v>
          </cell>
        </row>
        <row r="30">
          <cell r="A30">
            <v>26</v>
          </cell>
          <cell r="B30">
            <v>3.2939999999999997E-2</v>
          </cell>
          <cell r="C30">
            <v>1023</v>
          </cell>
          <cell r="D30">
            <v>4.0090000000000003</v>
          </cell>
          <cell r="E30">
            <v>9.3999999999999997E-4</v>
          </cell>
          <cell r="F30">
            <v>9.1886608015640272E-7</v>
          </cell>
        </row>
        <row r="31">
          <cell r="A31">
            <v>27</v>
          </cell>
          <cell r="B31">
            <v>3.4939999999999999E-2</v>
          </cell>
          <cell r="C31">
            <v>1023</v>
          </cell>
          <cell r="D31">
            <v>4.01</v>
          </cell>
          <cell r="E31">
            <v>9.2000000000000003E-4</v>
          </cell>
          <cell r="F31">
            <v>8.9931573802541547E-7</v>
          </cell>
        </row>
        <row r="32">
          <cell r="A32">
            <v>28</v>
          </cell>
          <cell r="B32">
            <v>3.705E-2</v>
          </cell>
          <cell r="C32">
            <v>1022</v>
          </cell>
          <cell r="D32">
            <v>4.01</v>
          </cell>
          <cell r="E32">
            <v>8.9999999999999998E-4</v>
          </cell>
          <cell r="F32">
            <v>8.8062622309197648E-7</v>
          </cell>
        </row>
        <row r="33">
          <cell r="A33">
            <v>29</v>
          </cell>
          <cell r="B33">
            <v>3.9260000000000003E-2</v>
          </cell>
          <cell r="C33">
            <v>1022</v>
          </cell>
          <cell r="D33">
            <v>4.0110000000000001</v>
          </cell>
          <cell r="E33">
            <v>8.8000000000000003E-4</v>
          </cell>
          <cell r="F33">
            <v>8.6105675146771045E-7</v>
          </cell>
        </row>
        <row r="34">
          <cell r="A34">
            <v>30</v>
          </cell>
          <cell r="B34">
            <v>4.1590000000000002E-2</v>
          </cell>
          <cell r="C34">
            <v>1022</v>
          </cell>
          <cell r="D34">
            <v>4.0110000000000001</v>
          </cell>
          <cell r="E34">
            <v>8.5999999999999998E-4</v>
          </cell>
          <cell r="F34">
            <v>8.414872798434442E-7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8">
          <cell r="L8">
            <v>14226.42266636384</v>
          </cell>
          <cell r="O8">
            <v>9.4880276213178318E-3</v>
          </cell>
        </row>
        <row r="9">
          <cell r="L9">
            <v>21555.185858127028</v>
          </cell>
          <cell r="O9">
            <v>1.2889776565117434E-2</v>
          </cell>
        </row>
        <row r="10">
          <cell r="L10">
            <v>27590.637898402601</v>
          </cell>
          <cell r="O10">
            <v>1.2979666440668464E-2</v>
          </cell>
        </row>
        <row r="11">
          <cell r="L11">
            <v>33194.986221515617</v>
          </cell>
          <cell r="O11">
            <v>1.1486121301006231E-2</v>
          </cell>
          <cell r="X11">
            <v>9.4999999999999998E-3</v>
          </cell>
        </row>
        <row r="12">
          <cell r="L12">
            <v>39661.541978953741</v>
          </cell>
          <cell r="O12">
            <v>9.4846696042035286E-3</v>
          </cell>
        </row>
        <row r="13">
          <cell r="B13">
            <v>5250</v>
          </cell>
          <cell r="I13">
            <v>7.1485366666666659</v>
          </cell>
          <cell r="L13">
            <v>45265.890302066771</v>
          </cell>
          <cell r="O13">
            <v>7.3833398599201074E-3</v>
          </cell>
        </row>
        <row r="14">
          <cell r="B14">
            <v>4450</v>
          </cell>
          <cell r="I14">
            <v>6.7578548387096786</v>
          </cell>
        </row>
        <row r="18">
          <cell r="X18">
            <v>19</v>
          </cell>
        </row>
      </sheetData>
      <sheetData sheetId="81">
        <row r="8">
          <cell r="B8">
            <v>1600</v>
          </cell>
          <cell r="I8">
            <v>1.468710322580645</v>
          </cell>
          <cell r="L8">
            <v>13211.657679269885</v>
          </cell>
          <cell r="O8">
            <v>1.3990997227028026E-2</v>
          </cell>
        </row>
        <row r="9">
          <cell r="B9">
            <v>2400</v>
          </cell>
          <cell r="I9">
            <v>2.9953683870967738</v>
          </cell>
          <cell r="L9">
            <v>19817.486518904821</v>
          </cell>
          <cell r="O9">
            <v>1.2681780941031383E-2</v>
          </cell>
        </row>
        <row r="10">
          <cell r="B10">
            <v>3100</v>
          </cell>
          <cell r="I10">
            <v>5.2099264516129011</v>
          </cell>
          <cell r="L10">
            <v>25597.586753585394</v>
          </cell>
          <cell r="O10">
            <v>1.3220890045313908E-2</v>
          </cell>
        </row>
        <row r="11">
          <cell r="B11">
            <v>3800</v>
          </cell>
          <cell r="I11">
            <v>7.7393070967741933</v>
          </cell>
          <cell r="L11">
            <v>31377.68698826597</v>
          </cell>
          <cell r="O11">
            <v>1.3070354751098906E-2</v>
          </cell>
          <cell r="X11">
            <v>8.9999999999999993E-3</v>
          </cell>
        </row>
        <row r="12">
          <cell r="B12">
            <v>4250</v>
          </cell>
          <cell r="I12">
            <v>8.8137038709677391</v>
          </cell>
          <cell r="L12">
            <v>35093.465710560624</v>
          </cell>
          <cell r="O12">
            <v>1.1899619732092184E-2</v>
          </cell>
        </row>
        <row r="13">
          <cell r="B13">
            <v>3750</v>
          </cell>
          <cell r="I13">
            <v>7.635097419354838</v>
          </cell>
        </row>
        <row r="14">
          <cell r="B14">
            <v>3100</v>
          </cell>
          <cell r="I14">
            <v>4.9722393548387087</v>
          </cell>
        </row>
        <row r="15">
          <cell r="B15">
            <v>2400</v>
          </cell>
          <cell r="I15">
            <v>2.8197522580645162</v>
          </cell>
        </row>
        <row r="16">
          <cell r="B16">
            <v>1700</v>
          </cell>
          <cell r="I16">
            <v>1.043707096774193</v>
          </cell>
        </row>
        <row r="18">
          <cell r="X18">
            <v>17</v>
          </cell>
        </row>
      </sheetData>
      <sheetData sheetId="82">
        <row r="8">
          <cell r="B8">
            <v>1500</v>
          </cell>
          <cell r="I8">
            <v>1.2208064516129025</v>
          </cell>
          <cell r="L8">
            <v>12592.766475011058</v>
          </cell>
          <cell r="O8">
            <v>1.5446091921724915E-2</v>
          </cell>
        </row>
        <row r="9">
          <cell r="B9">
            <v>2250</v>
          </cell>
          <cell r="I9">
            <v>3.1145096774193552</v>
          </cell>
          <cell r="L9">
            <v>18889.149712516588</v>
          </cell>
          <cell r="O9">
            <v>1.7513742732187219E-2</v>
          </cell>
        </row>
        <row r="10">
          <cell r="B10">
            <v>2850</v>
          </cell>
          <cell r="I10">
            <v>4.6409516129032253</v>
          </cell>
          <cell r="L10">
            <v>23926.256302521011</v>
          </cell>
          <cell r="O10">
            <v>1.6265658045575192E-2</v>
          </cell>
        </row>
        <row r="11">
          <cell r="B11">
            <v>3600</v>
          </cell>
          <cell r="I11">
            <v>6.819151612903223</v>
          </cell>
          <cell r="L11">
            <v>30222.639540026539</v>
          </cell>
          <cell r="O11">
            <v>1.4978891062748368E-2</v>
          </cell>
          <cell r="X11">
            <v>9.4999999999999998E-3</v>
          </cell>
        </row>
        <row r="12">
          <cell r="B12">
            <v>4300</v>
          </cell>
          <cell r="I12">
            <v>8.3455451612903229</v>
          </cell>
          <cell r="L12">
            <v>36099.263895031705</v>
          </cell>
          <cell r="O12">
            <v>1.2849082508989036E-2</v>
          </cell>
        </row>
        <row r="13">
          <cell r="B13">
            <v>3550</v>
          </cell>
          <cell r="I13">
            <v>6.9739096774193534</v>
          </cell>
        </row>
        <row r="14">
          <cell r="B14">
            <v>2850</v>
          </cell>
          <cell r="I14">
            <v>4.4793387096774193</v>
          </cell>
        </row>
        <row r="15">
          <cell r="B15">
            <v>2200</v>
          </cell>
          <cell r="I15">
            <v>2.8351000000000006</v>
          </cell>
        </row>
        <row r="16">
          <cell r="B16">
            <v>1550</v>
          </cell>
          <cell r="I16">
            <v>1.1713548387096779</v>
          </cell>
        </row>
        <row r="18">
          <cell r="X18">
            <v>18</v>
          </cell>
        </row>
      </sheetData>
      <sheetData sheetId="83">
        <row r="8">
          <cell r="B8">
            <v>1650</v>
          </cell>
          <cell r="I8">
            <v>1.206493548387096</v>
          </cell>
          <cell r="L8">
            <v>13852.043122512165</v>
          </cell>
          <cell r="O8">
            <v>1.26157023219332E-2</v>
          </cell>
        </row>
        <row r="9">
          <cell r="B9">
            <v>2400</v>
          </cell>
          <cell r="I9">
            <v>2.9594580645161273</v>
          </cell>
          <cell r="L9">
            <v>20148.426360017693</v>
          </cell>
          <cell r="O9">
            <v>1.4626621544222252E-2</v>
          </cell>
        </row>
        <row r="10">
          <cell r="B10">
            <v>3150</v>
          </cell>
          <cell r="I10">
            <v>5.2581548387096779</v>
          </cell>
          <cell r="L10">
            <v>26444.809597523221</v>
          </cell>
          <cell r="O10">
            <v>1.5085738685865062E-2</v>
          </cell>
        </row>
        <row r="11">
          <cell r="B11">
            <v>3850</v>
          </cell>
          <cell r="I11">
            <v>7.631870967741933</v>
          </cell>
          <cell r="L11">
            <v>32321.433952528376</v>
          </cell>
          <cell r="O11">
            <v>1.4657634146665214E-2</v>
          </cell>
          <cell r="X11">
            <v>9.4999999999999998E-3</v>
          </cell>
        </row>
        <row r="12">
          <cell r="B12">
            <v>4550</v>
          </cell>
          <cell r="I12">
            <v>8.4515193548387089</v>
          </cell>
          <cell r="L12">
            <v>38198.058307533545</v>
          </cell>
          <cell r="O12">
            <v>1.1621610462313142E-2</v>
          </cell>
        </row>
        <row r="13">
          <cell r="B13">
            <v>3800</v>
          </cell>
          <cell r="I13">
            <v>7.5869064516129052</v>
          </cell>
        </row>
        <row r="14">
          <cell r="B14">
            <v>3100</v>
          </cell>
          <cell r="I14">
            <v>5.14310322580645</v>
          </cell>
        </row>
        <row r="15">
          <cell r="B15">
            <v>2400</v>
          </cell>
          <cell r="I15">
            <v>2.9627677419354841</v>
          </cell>
        </row>
        <row r="16">
          <cell r="B16">
            <v>1700</v>
          </cell>
          <cell r="I16">
            <v>1.1495193548387086</v>
          </cell>
        </row>
        <row r="18">
          <cell r="X18">
            <v>18</v>
          </cell>
        </row>
      </sheetData>
      <sheetData sheetId="84">
        <row r="8">
          <cell r="L8">
            <v>13320.348538011694</v>
          </cell>
          <cell r="O8">
            <v>1.4202500335449595E-2</v>
          </cell>
        </row>
        <row r="9">
          <cell r="L9">
            <v>19770.201514312095</v>
          </cell>
          <cell r="O9">
            <v>1.5008220187502492E-2</v>
          </cell>
        </row>
        <row r="10">
          <cell r="L10">
            <v>25518.983514927677</v>
          </cell>
          <cell r="O10">
            <v>1.5006721088056956E-2</v>
          </cell>
        </row>
        <row r="11">
          <cell r="L11">
            <v>31548.193905817174</v>
          </cell>
          <cell r="O11">
            <v>1.4420842650896113E-2</v>
          </cell>
        </row>
        <row r="12">
          <cell r="L12">
            <v>36736.119125884892</v>
          </cell>
          <cell r="O12">
            <v>1.2274729939700709E-2</v>
          </cell>
        </row>
      </sheetData>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4.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3.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4.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5.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6.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8.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9.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0.bin"/></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1.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42.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43.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44.bin"/></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32853-32B7-4F99-8586-82121A37123B}">
  <dimension ref="A1:A19"/>
  <sheetViews>
    <sheetView zoomScale="80" zoomScaleNormal="80" workbookViewId="0">
      <selection sqref="A1:A19"/>
    </sheetView>
  </sheetViews>
  <sheetFormatPr defaultRowHeight="15.5" x14ac:dyDescent="0.35"/>
  <cols>
    <col min="1" max="1" width="89.15234375" style="128" customWidth="1"/>
    <col min="2" max="16384" width="9.23046875" style="127"/>
  </cols>
  <sheetData>
    <row r="1" spans="1:1" x14ac:dyDescent="0.35">
      <c r="A1" s="126" t="s">
        <v>190</v>
      </c>
    </row>
    <row r="2" spans="1:1" x14ac:dyDescent="0.35">
      <c r="A2" s="126" t="s">
        <v>166</v>
      </c>
    </row>
    <row r="3" spans="1:1" x14ac:dyDescent="0.35">
      <c r="A3" s="126" t="s">
        <v>191</v>
      </c>
    </row>
    <row r="5" spans="1:1" ht="31" x14ac:dyDescent="0.35">
      <c r="A5" s="128" t="s">
        <v>167</v>
      </c>
    </row>
    <row r="6" spans="1:1" ht="31" x14ac:dyDescent="0.35">
      <c r="A6" s="128" t="s">
        <v>168</v>
      </c>
    </row>
    <row r="7" spans="1:1" x14ac:dyDescent="0.35">
      <c r="A7" s="128" t="s">
        <v>193</v>
      </c>
    </row>
    <row r="8" spans="1:1" x14ac:dyDescent="0.35">
      <c r="A8" s="128" t="s">
        <v>192</v>
      </c>
    </row>
    <row r="9" spans="1:1" x14ac:dyDescent="0.35">
      <c r="A9" s="128" t="s">
        <v>169</v>
      </c>
    </row>
    <row r="10" spans="1:1" ht="46.5" x14ac:dyDescent="0.35">
      <c r="A10" s="128" t="s">
        <v>170</v>
      </c>
    </row>
    <row r="11" spans="1:1" ht="31" x14ac:dyDescent="0.35">
      <c r="A11" s="128" t="s">
        <v>171</v>
      </c>
    </row>
    <row r="14" spans="1:1" x14ac:dyDescent="0.35">
      <c r="A14" s="129" t="s">
        <v>172</v>
      </c>
    </row>
    <row r="15" spans="1:1" ht="58.5" customHeight="1" x14ac:dyDescent="0.35">
      <c r="A15" s="128" t="s">
        <v>173</v>
      </c>
    </row>
    <row r="16" spans="1:1" x14ac:dyDescent="0.35">
      <c r="A16" s="129" t="s">
        <v>174</v>
      </c>
    </row>
    <row r="17" spans="1:1" ht="93" x14ac:dyDescent="0.35">
      <c r="A17" s="128" t="s">
        <v>175</v>
      </c>
    </row>
    <row r="18" spans="1:1" x14ac:dyDescent="0.35">
      <c r="A18" s="129" t="s">
        <v>176</v>
      </c>
    </row>
    <row r="19" spans="1:1" ht="31" x14ac:dyDescent="0.35">
      <c r="A19" s="128" t="s">
        <v>189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99C4-7529-4F72-B734-DAD709211542}">
  <dimension ref="A1:AG54"/>
  <sheetViews>
    <sheetView zoomScale="50" zoomScaleNormal="50" zoomScalePageLayoutView="90" workbookViewId="0">
      <selection activeCell="K1" sqref="A1:K1"/>
    </sheetView>
  </sheetViews>
  <sheetFormatPr defaultColWidth="8.69140625" defaultRowHeight="15.5" x14ac:dyDescent="0.35"/>
  <cols>
    <col min="1" max="4" width="8.69140625" style="2"/>
    <col min="5" max="5" width="12.3046875" style="2" customWidth="1"/>
    <col min="6" max="6" width="15.69140625" style="2" bestFit="1" customWidth="1"/>
    <col min="7" max="7" width="8.53515625" style="2" customWidth="1"/>
    <col min="8" max="8" width="8.69140625" style="2"/>
    <col min="9" max="9" width="15.69140625" style="2" bestFit="1" customWidth="1"/>
    <col min="10" max="10" width="12.23046875" style="2" customWidth="1"/>
    <col min="11" max="11" width="10.4609375" style="2" customWidth="1"/>
    <col min="12" max="12" width="8.53515625" style="3" customWidth="1"/>
    <col min="13" max="13" width="6.765625" style="4" customWidth="1"/>
    <col min="14" max="14" width="8.4609375" style="4" customWidth="1"/>
    <col min="15" max="15" width="9.07421875" style="4" customWidth="1"/>
    <col min="16" max="16" width="27.23046875" style="4" customWidth="1"/>
    <col min="17" max="17" width="12.765625" style="68" customWidth="1"/>
    <col min="18" max="18" width="13.3046875" style="2" bestFit="1" customWidth="1"/>
    <col min="19" max="19" width="10" style="72" customWidth="1"/>
    <col min="20" max="20" width="8.4609375" style="5" customWidth="1"/>
    <col min="21" max="21" width="10.23046875" style="2" customWidth="1"/>
    <col min="22" max="22" width="13.84375" style="2" customWidth="1"/>
    <col min="23" max="25" width="10" style="2" customWidth="1"/>
    <col min="26" max="26" width="21" style="2" customWidth="1"/>
    <col min="27" max="27" width="8.69140625" style="2" customWidth="1"/>
    <col min="28" max="28" width="8.69140625" style="2"/>
    <col min="29" max="29" width="22" style="2" customWidth="1"/>
    <col min="30" max="30" width="35.84375" style="2" customWidth="1"/>
    <col min="31" max="31" width="16.84375" style="2" customWidth="1"/>
    <col min="32" max="16384" width="8.69140625" style="2"/>
  </cols>
  <sheetData>
    <row r="1" spans="1:31" x14ac:dyDescent="0.35">
      <c r="A1" s="1"/>
      <c r="I1" s="1"/>
      <c r="J1" s="1"/>
      <c r="Q1" s="69" t="s">
        <v>118</v>
      </c>
    </row>
    <row r="2" spans="1:31" x14ac:dyDescent="0.35">
      <c r="A2" s="1"/>
      <c r="I2" s="1"/>
      <c r="J2" s="1"/>
      <c r="Q2" s="69" t="s">
        <v>85</v>
      </c>
    </row>
    <row r="3" spans="1:31" x14ac:dyDescent="0.35">
      <c r="A3" s="150" t="s">
        <v>3</v>
      </c>
      <c r="B3" s="150"/>
      <c r="C3" s="150"/>
      <c r="D3" s="150"/>
      <c r="E3" s="150"/>
      <c r="F3" s="150"/>
      <c r="G3" s="150"/>
      <c r="H3" s="150"/>
      <c r="I3" s="150"/>
      <c r="J3" s="150"/>
      <c r="K3" s="150"/>
      <c r="L3" s="150"/>
      <c r="M3" s="150"/>
      <c r="N3" s="150"/>
      <c r="O3" s="60"/>
      <c r="P3" s="60"/>
      <c r="T3" s="7"/>
    </row>
    <row r="4" spans="1:31" x14ac:dyDescent="0.35">
      <c r="Q4" s="152" t="s">
        <v>81</v>
      </c>
      <c r="R4" s="153"/>
      <c r="S4" s="154"/>
    </row>
    <row r="5" spans="1:31"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T5" s="14"/>
      <c r="U5" s="15" t="s">
        <v>19</v>
      </c>
      <c r="V5" s="16" t="s">
        <v>14</v>
      </c>
      <c r="W5" s="15" t="s">
        <v>20</v>
      </c>
      <c r="X5" s="16" t="s">
        <v>21</v>
      </c>
      <c r="Y5" s="1"/>
      <c r="Z5" s="151" t="s">
        <v>22</v>
      </c>
      <c r="AA5" s="151"/>
    </row>
    <row r="6" spans="1:31" x14ac:dyDescent="0.35">
      <c r="A6" s="17" t="s">
        <v>23</v>
      </c>
      <c r="B6" s="18">
        <v>0</v>
      </c>
      <c r="C6" s="19">
        <f t="shared" ref="C6:C18" si="0">B6*0.0166667</f>
        <v>0</v>
      </c>
      <c r="D6" s="19">
        <f t="shared" ref="D6:D18" si="1">B6*0.000277778</f>
        <v>0</v>
      </c>
      <c r="E6" s="3">
        <f t="shared" ref="E6:E18" si="2">0.001*D6</f>
        <v>0</v>
      </c>
      <c r="F6" s="19">
        <f t="shared" ref="F6:F18" si="3">E6/AA$7</f>
        <v>0</v>
      </c>
      <c r="G6" s="19">
        <f t="shared" ref="G6:G18" si="4">F6^(2)</f>
        <v>0</v>
      </c>
      <c r="H6" s="19">
        <f t="shared" ref="H6:H18" si="5">F6*1.94384</f>
        <v>0</v>
      </c>
      <c r="I6" s="20">
        <v>0</v>
      </c>
      <c r="J6" s="20">
        <f t="shared" ref="J6:J18" si="6">I6 * 10</f>
        <v>0</v>
      </c>
      <c r="K6" s="21">
        <f t="shared" ref="K6:K18" si="7">J6*100</f>
        <v>0</v>
      </c>
      <c r="L6" s="3">
        <f t="shared" ref="L6:L18" si="8">(F6*AA$11)/AA$12</f>
        <v>0</v>
      </c>
      <c r="U6" s="22">
        <v>0</v>
      </c>
      <c r="V6" s="23">
        <f t="shared" ref="V6:V31" si="9">(U6*AA$11)/AA$12</f>
        <v>0</v>
      </c>
      <c r="W6" s="23"/>
      <c r="X6" s="23"/>
    </row>
    <row r="7" spans="1:31" x14ac:dyDescent="0.35">
      <c r="A7" s="2" t="s">
        <v>52</v>
      </c>
      <c r="B7" s="2">
        <v>1850</v>
      </c>
      <c r="C7" s="19">
        <f t="shared" si="0"/>
        <v>30.833394999999999</v>
      </c>
      <c r="D7" s="19">
        <f t="shared" si="1"/>
        <v>0.51388929999999999</v>
      </c>
      <c r="E7" s="3">
        <f t="shared" si="2"/>
        <v>5.1388930000000001E-4</v>
      </c>
      <c r="F7" s="19">
        <f t="shared" si="3"/>
        <v>1.0277786</v>
      </c>
      <c r="G7" s="19">
        <f t="shared" si="4"/>
        <v>1.05632885061796</v>
      </c>
      <c r="H7" s="19">
        <f t="shared" si="5"/>
        <v>1.9978371538240001</v>
      </c>
      <c r="I7" s="2">
        <v>0.7835709677419358</v>
      </c>
      <c r="J7" s="20">
        <f t="shared" si="6"/>
        <v>7.8357096774193575</v>
      </c>
      <c r="K7" s="21">
        <f t="shared" si="7"/>
        <v>783.57096774193576</v>
      </c>
      <c r="L7" s="3">
        <f t="shared" si="8"/>
        <v>17029.859003236244</v>
      </c>
      <c r="M7" s="4">
        <f t="shared" ref="M7:M18" si="10">(AA$15*G7*N7)/8</f>
        <v>4.0810987903225815</v>
      </c>
      <c r="N7" s="4">
        <f t="shared" ref="N7:N18" si="11">(K7*2*AA$11)/(AA$13*AA$15*G7)</f>
        <v>3.0183388705840083E-2</v>
      </c>
      <c r="O7" s="4">
        <f t="shared" ref="O7:O18" si="12">N7/4</f>
        <v>7.5458471764600207E-3</v>
      </c>
      <c r="P7" s="4">
        <f t="shared" ref="P7:P18" si="13">3.7*(10^(-1/(2*SQRT(N7)))-2.51/(L7*SQRT(N7)))</f>
        <v>1.7615002900877351E-3</v>
      </c>
      <c r="Q7" s="69">
        <v>1180252.5826666665</v>
      </c>
      <c r="R7" s="1">
        <v>24195.881666666668</v>
      </c>
      <c r="S7" s="99">
        <v>53.87566666666666</v>
      </c>
      <c r="U7" s="22">
        <v>0.1</v>
      </c>
      <c r="V7" s="23">
        <f>(U7*AA$11)/AA$12</f>
        <v>1656.9579288025889</v>
      </c>
      <c r="W7" s="23">
        <f t="shared" ref="W7:W31" si="14">0.292/(V7^(0.25))</f>
        <v>4.5767267192499433E-2</v>
      </c>
      <c r="X7" s="23">
        <f>0.0791/(V7^0.25)</f>
        <v>1.2397913818242142E-2</v>
      </c>
      <c r="Y7" s="25"/>
      <c r="Z7" s="1" t="s">
        <v>24</v>
      </c>
      <c r="AA7" s="2">
        <f>AA$9*AA$10</f>
        <v>5.0000000000000001E-4</v>
      </c>
    </row>
    <row r="8" spans="1:31" x14ac:dyDescent="0.35">
      <c r="A8" s="2" t="s">
        <v>53</v>
      </c>
      <c r="B8" s="2">
        <v>2750</v>
      </c>
      <c r="C8" s="19">
        <f t="shared" si="0"/>
        <v>45.833424999999998</v>
      </c>
      <c r="D8" s="19">
        <f t="shared" si="1"/>
        <v>0.7638895</v>
      </c>
      <c r="E8" s="3">
        <f t="shared" si="2"/>
        <v>7.6388949999999997E-4</v>
      </c>
      <c r="F8" s="19">
        <f t="shared" si="3"/>
        <v>1.527779</v>
      </c>
      <c r="G8" s="19">
        <f t="shared" si="4"/>
        <v>2.3341086728409999</v>
      </c>
      <c r="H8" s="19">
        <f t="shared" si="5"/>
        <v>2.9697579313600002</v>
      </c>
      <c r="I8" s="2">
        <v>1.6592838709677427</v>
      </c>
      <c r="J8" s="20">
        <f t="shared" si="6"/>
        <v>16.592838709677427</v>
      </c>
      <c r="K8" s="21">
        <f t="shared" si="7"/>
        <v>1659.2838709677426</v>
      </c>
      <c r="L8" s="3">
        <f t="shared" si="8"/>
        <v>25314.655275080902</v>
      </c>
      <c r="M8" s="4">
        <f>(AA$15*G8*N8)/8</f>
        <v>8.6421034946236599</v>
      </c>
      <c r="N8" s="4">
        <f t="shared" si="11"/>
        <v>2.8926002605340808E-2</v>
      </c>
      <c r="O8" s="4">
        <f t="shared" si="12"/>
        <v>7.231500651335202E-3</v>
      </c>
      <c r="P8" s="4">
        <f t="shared" si="13"/>
        <v>2.0925496670201318E-3</v>
      </c>
      <c r="Q8" s="78">
        <v>1173489.5013333333</v>
      </c>
      <c r="R8" s="61">
        <v>23922.705666666665</v>
      </c>
      <c r="S8" s="79">
        <v>54.229333333333329</v>
      </c>
      <c r="U8" s="22">
        <v>0.2</v>
      </c>
      <c r="V8" s="23">
        <f t="shared" si="9"/>
        <v>3313.9158576051777</v>
      </c>
      <c r="W8" s="23">
        <f t="shared" si="14"/>
        <v>3.848553091813172E-2</v>
      </c>
      <c r="X8" s="23">
        <f t="shared" ref="X8:X31" si="15">0.0791/(V8^0.25)</f>
        <v>1.0425361286384313E-2</v>
      </c>
      <c r="Y8" s="25"/>
      <c r="Z8" s="2" t="s">
        <v>25</v>
      </c>
    </row>
    <row r="9" spans="1:31" ht="19" x14ac:dyDescent="0.4">
      <c r="A9" s="2" t="s">
        <v>54</v>
      </c>
      <c r="B9" s="2">
        <v>3500</v>
      </c>
      <c r="C9" s="19">
        <f t="shared" si="0"/>
        <v>58.333449999999999</v>
      </c>
      <c r="D9" s="19">
        <f t="shared" si="1"/>
        <v>0.97222300000000006</v>
      </c>
      <c r="E9" s="3">
        <f t="shared" si="2"/>
        <v>9.7222300000000003E-4</v>
      </c>
      <c r="F9" s="19">
        <f t="shared" si="3"/>
        <v>1.9444460000000001</v>
      </c>
      <c r="G9" s="19">
        <f t="shared" si="4"/>
        <v>3.7808702469160003</v>
      </c>
      <c r="H9" s="19">
        <f t="shared" si="5"/>
        <v>3.7796919126400002</v>
      </c>
      <c r="I9" s="2">
        <v>2.7504419354838716</v>
      </c>
      <c r="J9" s="20">
        <f t="shared" si="6"/>
        <v>27.504419354838717</v>
      </c>
      <c r="K9" s="21">
        <f t="shared" si="7"/>
        <v>2750.4419354838719</v>
      </c>
      <c r="L9" s="3">
        <f t="shared" si="8"/>
        <v>32218.652168284785</v>
      </c>
      <c r="M9" s="4">
        <f t="shared" si="10"/>
        <v>14.325218413978499</v>
      </c>
      <c r="N9" s="4">
        <f t="shared" si="11"/>
        <v>2.9600531504749485E-2</v>
      </c>
      <c r="O9" s="4">
        <f t="shared" si="12"/>
        <v>7.4001328761873712E-3</v>
      </c>
      <c r="P9" s="4">
        <f t="shared" si="13"/>
        <v>2.9169704735024704E-3</v>
      </c>
      <c r="Q9" s="94">
        <v>1078149.9656666666</v>
      </c>
      <c r="R9" s="22">
        <v>24109.877666666667</v>
      </c>
      <c r="S9" s="100">
        <v>56.719666666666662</v>
      </c>
      <c r="U9" s="22">
        <v>0.3</v>
      </c>
      <c r="V9" s="23">
        <f t="shared" si="9"/>
        <v>4970.8737864077666</v>
      </c>
      <c r="W9" s="23">
        <f t="shared" si="14"/>
        <v>3.4775602847612441E-2</v>
      </c>
      <c r="X9" s="23">
        <f t="shared" si="15"/>
        <v>9.4203773467333701E-3</v>
      </c>
      <c r="Y9" s="25"/>
      <c r="Z9" s="1" t="s">
        <v>26</v>
      </c>
      <c r="AA9" s="19">
        <v>0.05</v>
      </c>
      <c r="AD9" s="27" t="s">
        <v>27</v>
      </c>
    </row>
    <row r="10" spans="1:31" ht="18.5" x14ac:dyDescent="0.35">
      <c r="A10" s="2" t="s">
        <v>55</v>
      </c>
      <c r="B10" s="2">
        <v>4350</v>
      </c>
      <c r="C10" s="19">
        <f t="shared" si="0"/>
        <v>72.500145000000003</v>
      </c>
      <c r="D10" s="19">
        <f t="shared" si="1"/>
        <v>1.2083343</v>
      </c>
      <c r="E10" s="3">
        <f t="shared" si="2"/>
        <v>1.2083343E-3</v>
      </c>
      <c r="F10" s="19">
        <f t="shared" si="3"/>
        <v>2.4166685999999999</v>
      </c>
      <c r="G10" s="19">
        <f t="shared" si="4"/>
        <v>5.84028712222596</v>
      </c>
      <c r="H10" s="19">
        <f t="shared" si="5"/>
        <v>4.6976170914240001</v>
      </c>
      <c r="I10" s="2">
        <v>4.2350580645161298</v>
      </c>
      <c r="J10" s="20">
        <f t="shared" si="6"/>
        <v>42.350580645161301</v>
      </c>
      <c r="K10" s="21">
        <f t="shared" si="7"/>
        <v>4235.0580645161299</v>
      </c>
      <c r="L10" s="3">
        <f t="shared" si="8"/>
        <v>40043.181980582514</v>
      </c>
      <c r="M10" s="4">
        <f t="shared" si="10"/>
        <v>22.057594086021506</v>
      </c>
      <c r="N10" s="4">
        <f t="shared" si="11"/>
        <v>2.950624690030022E-2</v>
      </c>
      <c r="O10" s="4">
        <f t="shared" si="12"/>
        <v>7.3765617250750549E-3</v>
      </c>
      <c r="P10" s="4">
        <f t="shared" si="13"/>
        <v>3.1933969383168832E-3</v>
      </c>
      <c r="Q10" s="94">
        <v>1150581.057</v>
      </c>
      <c r="R10" s="22">
        <v>23733.654999999999</v>
      </c>
      <c r="S10" s="100">
        <v>54.749000000000002</v>
      </c>
      <c r="U10" s="22">
        <v>0.4</v>
      </c>
      <c r="V10" s="23">
        <f t="shared" si="9"/>
        <v>6627.8317152103555</v>
      </c>
      <c r="W10" s="23">
        <f t="shared" si="14"/>
        <v>3.2362344988192952E-2</v>
      </c>
      <c r="X10" s="23">
        <f t="shared" si="15"/>
        <v>8.7666489334454218E-3</v>
      </c>
      <c r="Y10" s="25"/>
      <c r="Z10" s="1" t="s">
        <v>28</v>
      </c>
      <c r="AA10" s="19">
        <v>0.01</v>
      </c>
      <c r="AD10" s="28" t="s">
        <v>29</v>
      </c>
      <c r="AE10" s="2" t="s">
        <v>30</v>
      </c>
    </row>
    <row r="11" spans="1:31" ht="16.5" x14ac:dyDescent="0.4">
      <c r="A11" s="2" t="s">
        <v>56</v>
      </c>
      <c r="B11" s="2">
        <v>5000</v>
      </c>
      <c r="C11" s="19">
        <f t="shared" si="0"/>
        <v>83.333500000000001</v>
      </c>
      <c r="D11" s="19">
        <f t="shared" si="1"/>
        <v>1.38889</v>
      </c>
      <c r="E11" s="3">
        <f t="shared" si="2"/>
        <v>1.38889E-3</v>
      </c>
      <c r="F11" s="19">
        <f t="shared" si="3"/>
        <v>2.7777799999999999</v>
      </c>
      <c r="G11" s="19">
        <f t="shared" si="4"/>
        <v>7.7160617283999997</v>
      </c>
      <c r="H11" s="19">
        <f t="shared" si="5"/>
        <v>5.3995598751999996</v>
      </c>
      <c r="I11" s="2">
        <v>5.8586677419354842</v>
      </c>
      <c r="J11" s="20">
        <f t="shared" si="6"/>
        <v>58.586677419354842</v>
      </c>
      <c r="K11" s="21">
        <f t="shared" si="7"/>
        <v>5858.6677419354846</v>
      </c>
      <c r="L11" s="3">
        <f t="shared" si="8"/>
        <v>46026.645954692547</v>
      </c>
      <c r="M11" s="4">
        <f t="shared" si="10"/>
        <v>30.513894489247317</v>
      </c>
      <c r="N11" s="4">
        <f t="shared" si="11"/>
        <v>3.0895268737913154E-2</v>
      </c>
      <c r="O11" s="4">
        <f t="shared" si="12"/>
        <v>7.7238171844782886E-3</v>
      </c>
      <c r="P11" s="4">
        <f t="shared" si="13"/>
        <v>4.1436125653558581E-3</v>
      </c>
      <c r="Q11" s="69">
        <v>1172880.5183333333</v>
      </c>
      <c r="R11" s="1">
        <v>23789.495999999999</v>
      </c>
      <c r="S11" s="99">
        <v>54.546333333333337</v>
      </c>
      <c r="U11" s="22">
        <v>0.5</v>
      </c>
      <c r="V11" s="23">
        <f t="shared" si="9"/>
        <v>8284.7896440129443</v>
      </c>
      <c r="W11" s="23">
        <f t="shared" si="14"/>
        <v>3.0606416220249465E-2</v>
      </c>
      <c r="X11" s="23">
        <f t="shared" si="15"/>
        <v>8.290984667882648E-3</v>
      </c>
      <c r="Y11" s="25"/>
      <c r="Z11" s="1" t="s">
        <v>163</v>
      </c>
      <c r="AA11" s="4">
        <f>2*(AA9*AA10)/(AA9+AA10)</f>
        <v>1.6666666666666666E-2</v>
      </c>
      <c r="AB11" s="1">
        <f>10*AA11*100</f>
        <v>16.666666666666664</v>
      </c>
      <c r="AD11" s="27" t="s">
        <v>32</v>
      </c>
      <c r="AE11" s="2" t="s">
        <v>33</v>
      </c>
    </row>
    <row r="12" spans="1:31" x14ac:dyDescent="0.35">
      <c r="A12" s="2" t="s">
        <v>63</v>
      </c>
      <c r="B12" s="2">
        <v>5750</v>
      </c>
      <c r="C12" s="19">
        <f t="shared" si="0"/>
        <v>95.833524999999995</v>
      </c>
      <c r="D12" s="19">
        <f t="shared" si="1"/>
        <v>1.5972235000000001</v>
      </c>
      <c r="E12" s="3">
        <f t="shared" si="2"/>
        <v>1.5972235000000002E-3</v>
      </c>
      <c r="F12" s="19">
        <f t="shared" si="3"/>
        <v>3.1944470000000003</v>
      </c>
      <c r="G12" s="19">
        <f t="shared" si="4"/>
        <v>10.204491635809001</v>
      </c>
      <c r="H12" s="19">
        <f t="shared" si="5"/>
        <v>6.2094938564800009</v>
      </c>
      <c r="I12" s="2">
        <v>7.5205935483870974</v>
      </c>
      <c r="J12" s="20">
        <f t="shared" si="6"/>
        <v>75.205935483870974</v>
      </c>
      <c r="K12" s="21">
        <f t="shared" si="7"/>
        <v>7520.5935483870971</v>
      </c>
      <c r="L12" s="3">
        <f t="shared" si="8"/>
        <v>52930.642847896444</v>
      </c>
      <c r="M12" s="4">
        <f t="shared" si="10"/>
        <v>39.169758064516131</v>
      </c>
      <c r="N12" s="4">
        <f t="shared" si="11"/>
        <v>2.9988141085361558E-2</v>
      </c>
      <c r="O12" s="4">
        <f t="shared" si="12"/>
        <v>7.4970352713403894E-3</v>
      </c>
      <c r="P12" s="4">
        <f t="shared" si="13"/>
        <v>3.7828091264591576E-3</v>
      </c>
      <c r="Q12" s="68">
        <v>1171923.1363333333</v>
      </c>
      <c r="R12" s="2">
        <v>24347.279666666665</v>
      </c>
      <c r="S12" s="72">
        <v>54.866999999999997</v>
      </c>
      <c r="U12" s="22">
        <v>0.6</v>
      </c>
      <c r="V12" s="23">
        <f t="shared" si="9"/>
        <v>9941.7475728155332</v>
      </c>
      <c r="W12" s="23">
        <f t="shared" si="14"/>
        <v>2.9242679772844168E-2</v>
      </c>
      <c r="X12" s="23">
        <f t="shared" si="15"/>
        <v>7.9215615412053901E-3</v>
      </c>
      <c r="Y12" s="25"/>
      <c r="Z12" s="1" t="s">
        <v>164</v>
      </c>
      <c r="AA12" s="31">
        <f>AA$16/AA$15</f>
        <v>1.0058593750000001E-6</v>
      </c>
    </row>
    <row r="13" spans="1:31" ht="16.5" x14ac:dyDescent="0.4">
      <c r="A13" s="2" t="s">
        <v>62</v>
      </c>
      <c r="B13" s="2">
        <v>5750</v>
      </c>
      <c r="C13" s="19">
        <f t="shared" si="0"/>
        <v>95.833524999999995</v>
      </c>
      <c r="D13" s="19">
        <f t="shared" si="1"/>
        <v>1.5972235000000001</v>
      </c>
      <c r="E13" s="3">
        <f t="shared" si="2"/>
        <v>1.5972235000000002E-3</v>
      </c>
      <c r="F13" s="19">
        <f t="shared" si="3"/>
        <v>3.1944470000000003</v>
      </c>
      <c r="G13" s="19">
        <f t="shared" si="4"/>
        <v>10.204491635809001</v>
      </c>
      <c r="H13" s="19">
        <f t="shared" si="5"/>
        <v>6.2094938564800009</v>
      </c>
      <c r="I13" s="2">
        <v>7.5205935483870974</v>
      </c>
      <c r="J13" s="20">
        <f t="shared" si="6"/>
        <v>75.205935483870974</v>
      </c>
      <c r="K13" s="21">
        <f t="shared" si="7"/>
        <v>7520.5935483870971</v>
      </c>
      <c r="L13" s="3">
        <f t="shared" si="8"/>
        <v>52930.642847896444</v>
      </c>
      <c r="M13" s="4">
        <f t="shared" si="10"/>
        <v>39.169758064516131</v>
      </c>
      <c r="N13" s="4">
        <f t="shared" si="11"/>
        <v>2.9988141085361558E-2</v>
      </c>
      <c r="O13" s="4">
        <f t="shared" si="12"/>
        <v>7.4970352713403894E-3</v>
      </c>
      <c r="P13" s="4">
        <f t="shared" si="13"/>
        <v>3.7828091264591576E-3</v>
      </c>
      <c r="Q13" s="68">
        <v>1171923.1363333333</v>
      </c>
      <c r="R13" s="2">
        <v>24347.279666666665</v>
      </c>
      <c r="S13" s="72">
        <v>54.866999999999997</v>
      </c>
      <c r="U13" s="22">
        <v>0.7</v>
      </c>
      <c r="V13" s="23">
        <f t="shared" si="9"/>
        <v>11598.70550161812</v>
      </c>
      <c r="W13" s="23">
        <f t="shared" si="14"/>
        <v>2.813717366290373E-2</v>
      </c>
      <c r="X13" s="23">
        <f t="shared" si="15"/>
        <v>7.6220905367660454E-3</v>
      </c>
      <c r="Y13" s="25"/>
      <c r="Z13" s="1" t="s">
        <v>35</v>
      </c>
      <c r="AA13" s="32">
        <v>0.8</v>
      </c>
      <c r="AD13" s="27" t="s">
        <v>36</v>
      </c>
      <c r="AE13" s="1" t="s">
        <v>37</v>
      </c>
    </row>
    <row r="14" spans="1:31" x14ac:dyDescent="0.35">
      <c r="A14" s="2" t="s">
        <v>57</v>
      </c>
      <c r="B14" s="2">
        <v>4950</v>
      </c>
      <c r="C14" s="19">
        <f t="shared" si="0"/>
        <v>82.500164999999996</v>
      </c>
      <c r="D14" s="19">
        <f t="shared" si="1"/>
        <v>1.3750011</v>
      </c>
      <c r="E14" s="3">
        <f t="shared" si="2"/>
        <v>1.3750011000000001E-3</v>
      </c>
      <c r="F14" s="19">
        <f t="shared" si="3"/>
        <v>2.7500022</v>
      </c>
      <c r="G14" s="19">
        <f t="shared" si="4"/>
        <v>7.5625121000048399</v>
      </c>
      <c r="H14" s="19">
        <f t="shared" si="5"/>
        <v>5.345564276448</v>
      </c>
      <c r="I14" s="2">
        <v>5.7744774193548398</v>
      </c>
      <c r="J14" s="20">
        <f t="shared" si="6"/>
        <v>57.744774193548395</v>
      </c>
      <c r="K14" s="21">
        <f t="shared" si="7"/>
        <v>5774.4774193548392</v>
      </c>
      <c r="L14" s="3">
        <f t="shared" si="8"/>
        <v>45566.379495145622</v>
      </c>
      <c r="M14" s="4">
        <f t="shared" si="10"/>
        <v>30.075403225806454</v>
      </c>
      <c r="N14" s="4">
        <f t="shared" si="11"/>
        <v>3.1069581720267601E-2</v>
      </c>
      <c r="O14" s="4">
        <f t="shared" si="12"/>
        <v>7.7673954300669003E-3</v>
      </c>
      <c r="P14" s="4">
        <f t="shared" si="13"/>
        <v>4.2335396207135514E-3</v>
      </c>
      <c r="Q14" s="68">
        <v>1157579.9046666669</v>
      </c>
      <c r="R14" s="2">
        <v>24600.788</v>
      </c>
      <c r="S14" s="72">
        <v>54.682333333333339</v>
      </c>
      <c r="U14" s="22">
        <v>0.8</v>
      </c>
      <c r="V14" s="23">
        <f t="shared" si="9"/>
        <v>13255.663430420711</v>
      </c>
      <c r="W14" s="23">
        <f t="shared" si="14"/>
        <v>2.7213379889775471E-2</v>
      </c>
      <c r="X14" s="23">
        <f t="shared" si="15"/>
        <v>7.3718436619220548E-3</v>
      </c>
      <c r="Y14" s="25"/>
      <c r="AA14" s="32"/>
    </row>
    <row r="15" spans="1:31" x14ac:dyDescent="0.35">
      <c r="A15" s="2" t="s">
        <v>58</v>
      </c>
      <c r="B15" s="2">
        <v>4050</v>
      </c>
      <c r="C15" s="19">
        <f t="shared" si="0"/>
        <v>67.500135</v>
      </c>
      <c r="D15" s="19">
        <f t="shared" si="1"/>
        <v>1.1250009000000001</v>
      </c>
      <c r="E15" s="3">
        <f t="shared" si="2"/>
        <v>1.1250009E-3</v>
      </c>
      <c r="F15" s="19">
        <f t="shared" si="3"/>
        <v>2.2500018000000002</v>
      </c>
      <c r="G15" s="19">
        <f t="shared" si="4"/>
        <v>5.0625081000032406</v>
      </c>
      <c r="H15" s="19">
        <f t="shared" si="5"/>
        <v>4.3736434989120001</v>
      </c>
      <c r="I15" s="2">
        <v>3.7375677419354845</v>
      </c>
      <c r="J15" s="20">
        <f t="shared" si="6"/>
        <v>37.375677419354844</v>
      </c>
      <c r="K15" s="21">
        <f t="shared" si="7"/>
        <v>3737.5677419354843</v>
      </c>
      <c r="L15" s="3">
        <f t="shared" si="8"/>
        <v>37281.583223300971</v>
      </c>
      <c r="M15" s="4">
        <f t="shared" si="10"/>
        <v>19.466498655913977</v>
      </c>
      <c r="N15" s="4">
        <f t="shared" si="11"/>
        <v>3.0040844922150464E-2</v>
      </c>
      <c r="O15" s="4">
        <f t="shared" si="12"/>
        <v>7.5102112305376161E-3</v>
      </c>
      <c r="P15" s="4">
        <f t="shared" si="13"/>
        <v>3.3868432931813209E-3</v>
      </c>
      <c r="Q15" s="68">
        <v>1194574.8149999997</v>
      </c>
      <c r="R15" s="2">
        <v>24138.521999999997</v>
      </c>
      <c r="S15" s="72">
        <v>53.910000000000004</v>
      </c>
      <c r="T15" s="34"/>
      <c r="U15" s="22">
        <v>0.9</v>
      </c>
      <c r="V15" s="23">
        <f t="shared" si="9"/>
        <v>14912.6213592233</v>
      </c>
      <c r="W15" s="23">
        <f t="shared" si="14"/>
        <v>2.6423744033663078E-2</v>
      </c>
      <c r="X15" s="23">
        <f t="shared" si="15"/>
        <v>7.1579388803518825E-3</v>
      </c>
      <c r="Y15" s="25"/>
      <c r="Z15" s="2" t="s">
        <v>38</v>
      </c>
      <c r="AA15" s="32">
        <f>VLOOKUP(AA17, SW!A4:F34, 3, FALSE)</f>
        <v>1024</v>
      </c>
      <c r="AB15" s="32"/>
    </row>
    <row r="16" spans="1:31" x14ac:dyDescent="0.35">
      <c r="A16" s="2" t="s">
        <v>59</v>
      </c>
      <c r="B16" s="2">
        <v>3350</v>
      </c>
      <c r="C16" s="19">
        <f t="shared" si="0"/>
        <v>55.833444999999998</v>
      </c>
      <c r="D16" s="19">
        <f t="shared" si="1"/>
        <v>0.9305563</v>
      </c>
      <c r="E16" s="3">
        <f t="shared" si="2"/>
        <v>9.3055630000000002E-4</v>
      </c>
      <c r="F16" s="19">
        <f t="shared" si="3"/>
        <v>1.8611126</v>
      </c>
      <c r="G16" s="19">
        <f t="shared" si="4"/>
        <v>3.4637401098787599</v>
      </c>
      <c r="H16" s="19">
        <f t="shared" si="5"/>
        <v>3.6177051163840002</v>
      </c>
      <c r="I16" s="2">
        <v>2.6159290322580651</v>
      </c>
      <c r="J16" s="20">
        <f t="shared" si="6"/>
        <v>26.159290322580652</v>
      </c>
      <c r="K16" s="21">
        <f t="shared" si="7"/>
        <v>2615.929032258065</v>
      </c>
      <c r="L16" s="3">
        <f t="shared" si="8"/>
        <v>30837.85278964401</v>
      </c>
      <c r="M16" s="4">
        <f t="shared" si="10"/>
        <v>13.624630376344088</v>
      </c>
      <c r="N16" s="4">
        <f t="shared" si="11"/>
        <v>3.0730488269489119E-2</v>
      </c>
      <c r="O16" s="4">
        <f t="shared" si="12"/>
        <v>7.6826220673722797E-3</v>
      </c>
      <c r="P16" s="4">
        <f t="shared" si="13"/>
        <v>3.4816295504658131E-3</v>
      </c>
      <c r="Q16" s="68">
        <v>1190487.5663333333</v>
      </c>
      <c r="R16" s="2">
        <v>23898.953333333335</v>
      </c>
      <c r="S16" s="72">
        <v>54.228333333333332</v>
      </c>
      <c r="U16" s="22">
        <v>1</v>
      </c>
      <c r="V16" s="23">
        <f t="shared" si="9"/>
        <v>16569.579288025889</v>
      </c>
      <c r="W16" s="23">
        <f t="shared" si="14"/>
        <v>2.5736825683370917E-2</v>
      </c>
      <c r="X16" s="23">
        <f t="shared" si="15"/>
        <v>6.9718592861460265E-3</v>
      </c>
      <c r="Y16" s="25"/>
      <c r="Z16" s="2" t="s">
        <v>39</v>
      </c>
      <c r="AA16" s="32">
        <f>VLOOKUP(AA17, SW!A4:F34, 5, FALSE)</f>
        <v>1.0300000000000001E-3</v>
      </c>
    </row>
    <row r="17" spans="1:33" x14ac:dyDescent="0.35">
      <c r="A17" s="2" t="s">
        <v>60</v>
      </c>
      <c r="B17" s="2">
        <v>2650</v>
      </c>
      <c r="C17" s="19">
        <f t="shared" si="0"/>
        <v>44.166755000000002</v>
      </c>
      <c r="D17" s="19">
        <f t="shared" si="1"/>
        <v>0.73611170000000004</v>
      </c>
      <c r="E17" s="3">
        <f t="shared" si="2"/>
        <v>7.3611170000000004E-4</v>
      </c>
      <c r="F17" s="19">
        <f t="shared" si="3"/>
        <v>1.4722234000000001</v>
      </c>
      <c r="G17" s="19">
        <f t="shared" si="4"/>
        <v>2.1674417395075602</v>
      </c>
      <c r="H17" s="19">
        <f t="shared" si="5"/>
        <v>2.8617667338560002</v>
      </c>
      <c r="I17" s="2">
        <v>1.5969935483870974</v>
      </c>
      <c r="J17" s="20">
        <f t="shared" si="6"/>
        <v>15.969935483870973</v>
      </c>
      <c r="K17" s="21">
        <f t="shared" si="7"/>
        <v>1596.9935483870972</v>
      </c>
      <c r="L17" s="3">
        <f t="shared" si="8"/>
        <v>24394.122355987052</v>
      </c>
      <c r="M17" s="4">
        <f t="shared" si="10"/>
        <v>8.3176747311827981</v>
      </c>
      <c r="N17" s="4">
        <f t="shared" si="11"/>
        <v>2.9980890675349543E-2</v>
      </c>
      <c r="O17" s="4">
        <f t="shared" si="12"/>
        <v>7.4952226688373858E-3</v>
      </c>
      <c r="P17" s="4">
        <f t="shared" si="13"/>
        <v>2.5934413597919256E-3</v>
      </c>
      <c r="Q17" s="68">
        <v>1228443.04</v>
      </c>
      <c r="R17" s="2">
        <v>24148.25333333333</v>
      </c>
      <c r="S17" s="72">
        <v>53.041333333333334</v>
      </c>
      <c r="T17" s="14"/>
      <c r="U17" s="22">
        <v>1.1000000000000001</v>
      </c>
      <c r="V17" s="23">
        <f t="shared" si="9"/>
        <v>18226.537216828478</v>
      </c>
      <c r="W17" s="23">
        <f t="shared" si="14"/>
        <v>2.5130828693813844E-2</v>
      </c>
      <c r="X17" s="23">
        <f t="shared" si="15"/>
        <v>6.8077005126050529E-3</v>
      </c>
      <c r="Y17" s="25"/>
      <c r="Z17" s="2" t="s">
        <v>161</v>
      </c>
      <c r="AA17" s="2">
        <v>22</v>
      </c>
    </row>
    <row r="18" spans="1:33" x14ac:dyDescent="0.35">
      <c r="A18" s="2" t="s">
        <v>61</v>
      </c>
      <c r="B18" s="2">
        <v>1900</v>
      </c>
      <c r="C18" s="19">
        <f t="shared" si="0"/>
        <v>31.666729999999998</v>
      </c>
      <c r="D18" s="19">
        <f t="shared" si="1"/>
        <v>0.52777819999999998</v>
      </c>
      <c r="E18" s="3">
        <f t="shared" si="2"/>
        <v>5.2777819999999997E-4</v>
      </c>
      <c r="F18" s="19">
        <f t="shared" si="3"/>
        <v>1.0555564</v>
      </c>
      <c r="G18" s="19">
        <f t="shared" si="4"/>
        <v>1.1141993135809598</v>
      </c>
      <c r="H18" s="19">
        <f t="shared" si="5"/>
        <v>2.0518327525759998</v>
      </c>
      <c r="I18" s="2">
        <v>0.77010000000000089</v>
      </c>
      <c r="J18" s="20">
        <f t="shared" si="6"/>
        <v>7.7010000000000094</v>
      </c>
      <c r="K18" s="21">
        <f t="shared" si="7"/>
        <v>770.10000000000093</v>
      </c>
      <c r="L18" s="3">
        <f t="shared" si="8"/>
        <v>17490.125462783169</v>
      </c>
      <c r="M18" s="4">
        <f t="shared" si="10"/>
        <v>4.0109375000000052</v>
      </c>
      <c r="N18" s="4">
        <f t="shared" si="11"/>
        <v>2.8123737680325851E-2</v>
      </c>
      <c r="O18" s="4">
        <f t="shared" si="12"/>
        <v>7.0309344200814626E-3</v>
      </c>
      <c r="P18" s="4">
        <f t="shared" si="13"/>
        <v>6.9484235686142126E-4</v>
      </c>
      <c r="Q18" s="68">
        <v>1243566.7496666666</v>
      </c>
      <c r="R18" s="2">
        <v>24124.670333333332</v>
      </c>
      <c r="S18" s="72">
        <v>52.822000000000003</v>
      </c>
      <c r="U18" s="22">
        <v>1.2</v>
      </c>
      <c r="V18" s="23">
        <f t="shared" si="9"/>
        <v>19883.495145631066</v>
      </c>
      <c r="W18" s="23">
        <f t="shared" si="14"/>
        <v>2.4590064593396969E-2</v>
      </c>
      <c r="X18" s="23">
        <f t="shared" si="15"/>
        <v>6.6612127032113022E-3</v>
      </c>
      <c r="Y18" s="25"/>
      <c r="Z18" s="1"/>
      <c r="AA18" s="1"/>
      <c r="AD18" s="119" t="s">
        <v>40</v>
      </c>
      <c r="AE18" s="119"/>
      <c r="AF18" s="119"/>
      <c r="AG18" s="119"/>
    </row>
    <row r="19" spans="1:33" x14ac:dyDescent="0.35">
      <c r="A19" s="24"/>
      <c r="B19" s="18"/>
      <c r="C19" s="19"/>
      <c r="D19" s="19"/>
      <c r="E19" s="3"/>
      <c r="F19" s="19"/>
      <c r="G19" s="19"/>
      <c r="H19" s="19"/>
      <c r="I19" s="20"/>
      <c r="J19" s="20"/>
      <c r="K19" s="21"/>
      <c r="U19" s="22">
        <v>1.3</v>
      </c>
      <c r="V19" s="23">
        <f t="shared" si="9"/>
        <v>21540.453074433655</v>
      </c>
      <c r="W19" s="23">
        <f t="shared" si="14"/>
        <v>2.4102891344997587E-2</v>
      </c>
      <c r="X19" s="23">
        <f t="shared" si="15"/>
        <v>6.5292421417442103E-3</v>
      </c>
      <c r="Y19" s="25"/>
      <c r="AD19" s="120" t="s">
        <v>41</v>
      </c>
      <c r="AE19" s="119" t="s">
        <v>42</v>
      </c>
      <c r="AF19" s="119" t="s">
        <v>43</v>
      </c>
      <c r="AG19" s="119" t="s">
        <v>44</v>
      </c>
    </row>
    <row r="20" spans="1:33" x14ac:dyDescent="0.35">
      <c r="A20" s="24"/>
      <c r="B20" s="18"/>
      <c r="C20" s="19"/>
      <c r="D20" s="19"/>
      <c r="E20" s="3"/>
      <c r="F20" s="19"/>
      <c r="G20" s="19"/>
      <c r="H20" s="19"/>
      <c r="I20" s="20"/>
      <c r="J20" s="20"/>
      <c r="K20" s="21"/>
      <c r="U20" s="22">
        <v>1.4</v>
      </c>
      <c r="V20" s="23">
        <f t="shared" si="9"/>
        <v>23197.411003236241</v>
      </c>
      <c r="W20" s="23">
        <f t="shared" si="14"/>
        <v>2.3660448468506973E-2</v>
      </c>
      <c r="X20" s="23">
        <f t="shared" si="15"/>
        <v>6.4093886091058285E-3</v>
      </c>
      <c r="Y20" s="25"/>
      <c r="Z20" s="1" t="s">
        <v>45</v>
      </c>
      <c r="AA20" s="1">
        <f>4*10^(-6)</f>
        <v>3.9999999999999998E-6</v>
      </c>
      <c r="AD20" s="120" t="s">
        <v>46</v>
      </c>
      <c r="AE20" s="119" t="s">
        <v>47</v>
      </c>
      <c r="AF20" s="119" t="s">
        <v>48</v>
      </c>
      <c r="AG20" s="119" t="s">
        <v>49</v>
      </c>
    </row>
    <row r="21" spans="1:33" x14ac:dyDescent="0.35">
      <c r="A21" s="24"/>
      <c r="B21" s="18"/>
      <c r="C21" s="19"/>
      <c r="D21" s="19"/>
      <c r="E21" s="43"/>
      <c r="F21" s="19"/>
      <c r="G21" s="19"/>
      <c r="H21" s="19"/>
      <c r="I21" s="20"/>
      <c r="J21" s="20"/>
      <c r="K21" s="21"/>
      <c r="U21" s="22">
        <v>1.5</v>
      </c>
      <c r="V21" s="23">
        <f t="shared" si="9"/>
        <v>24854.368932038833</v>
      </c>
      <c r="W21" s="23">
        <f t="shared" si="14"/>
        <v>2.3255847254051276E-2</v>
      </c>
      <c r="X21" s="23">
        <f t="shared" si="15"/>
        <v>6.2997860198474526E-3</v>
      </c>
      <c r="Y21" s="25"/>
      <c r="Z21" s="1" t="s">
        <v>50</v>
      </c>
      <c r="AA21" s="2">
        <f>AA20/AA11</f>
        <v>2.3999999999999998E-4</v>
      </c>
      <c r="AD21" s="119">
        <v>0</v>
      </c>
      <c r="AE21" s="119">
        <v>1.792E-3</v>
      </c>
      <c r="AF21" s="119">
        <v>999.87</v>
      </c>
      <c r="AG21" s="121">
        <v>1.7922329902887374E-6</v>
      </c>
    </row>
    <row r="22" spans="1:33" x14ac:dyDescent="0.35">
      <c r="A22" s="24"/>
      <c r="B22" s="18"/>
      <c r="C22" s="19"/>
      <c r="D22" s="19"/>
      <c r="E22" s="3"/>
      <c r="F22" s="19"/>
      <c r="G22" s="19"/>
      <c r="H22" s="19"/>
      <c r="I22" s="20"/>
      <c r="J22" s="20"/>
      <c r="K22" s="21"/>
      <c r="P22" s="43"/>
      <c r="U22" s="22">
        <v>1.6</v>
      </c>
      <c r="V22" s="23">
        <f t="shared" si="9"/>
        <v>26511.326860841422</v>
      </c>
      <c r="W22" s="23">
        <f t="shared" si="14"/>
        <v>2.288363359624972E-2</v>
      </c>
      <c r="X22" s="23">
        <f t="shared" si="15"/>
        <v>6.1989569091210721E-3</v>
      </c>
      <c r="Y22" s="25"/>
      <c r="AD22" s="119">
        <v>5</v>
      </c>
      <c r="AE22" s="119">
        <v>1.519E-3</v>
      </c>
      <c r="AF22" s="119">
        <v>999.99</v>
      </c>
      <c r="AG22" s="121">
        <v>1.5190151901519014E-6</v>
      </c>
    </row>
    <row r="23" spans="1:33" x14ac:dyDescent="0.35">
      <c r="B23" s="18"/>
      <c r="C23" s="19"/>
      <c r="D23" s="19"/>
      <c r="E23" s="3"/>
      <c r="F23" s="3"/>
      <c r="G23" s="19"/>
      <c r="H23" s="19"/>
      <c r="I23" s="19"/>
      <c r="J23" s="20"/>
      <c r="K23" s="21"/>
      <c r="U23" s="22">
        <v>1.7</v>
      </c>
      <c r="V23" s="23">
        <f t="shared" si="9"/>
        <v>28168.284789644007</v>
      </c>
      <c r="W23" s="23">
        <f t="shared" si="14"/>
        <v>2.2539420748864131E-2</v>
      </c>
      <c r="X23" s="23">
        <f t="shared" si="15"/>
        <v>6.1057129494354557E-3</v>
      </c>
      <c r="Y23" s="25"/>
      <c r="Z23" s="40"/>
      <c r="AD23" s="119">
        <f>AD22+5</f>
        <v>10</v>
      </c>
      <c r="AE23" s="119">
        <v>1.3079999999999999E-3</v>
      </c>
      <c r="AF23" s="119">
        <v>999.73</v>
      </c>
      <c r="AG23" s="121">
        <v>1.3083532553789522E-6</v>
      </c>
    </row>
    <row r="24" spans="1:33" x14ac:dyDescent="0.35">
      <c r="B24" s="18"/>
      <c r="C24" s="19"/>
      <c r="D24" s="19"/>
      <c r="E24" s="3"/>
      <c r="F24" s="3"/>
      <c r="G24" s="19"/>
      <c r="H24" s="19"/>
      <c r="I24" s="19"/>
      <c r="J24" s="20"/>
      <c r="K24" s="21"/>
      <c r="U24" s="22">
        <v>1.8</v>
      </c>
      <c r="V24" s="23">
        <f t="shared" si="9"/>
        <v>29825.2427184466</v>
      </c>
      <c r="W24" s="23">
        <f t="shared" si="14"/>
        <v>2.2219631635489009E-2</v>
      </c>
      <c r="X24" s="23">
        <f t="shared" si="15"/>
        <v>6.0190851450930847E-3</v>
      </c>
      <c r="Y24" s="4"/>
      <c r="Z24" s="40"/>
      <c r="AD24" s="119" t="e">
        <f>#REF!+5</f>
        <v>#REF!</v>
      </c>
      <c r="AE24" s="119">
        <v>1.005E-3</v>
      </c>
      <c r="AF24" s="119">
        <v>998.23</v>
      </c>
      <c r="AG24" s="121">
        <v>1.0067820041473407E-6</v>
      </c>
    </row>
    <row r="25" spans="1:33" x14ac:dyDescent="0.35">
      <c r="B25" s="18"/>
      <c r="C25" s="19"/>
      <c r="D25" s="19"/>
      <c r="E25" s="3"/>
      <c r="F25" s="3"/>
      <c r="G25" s="19"/>
      <c r="H25" s="19"/>
      <c r="I25" s="19"/>
      <c r="J25" s="20"/>
      <c r="K25" s="21"/>
      <c r="U25" s="22">
        <v>1.9</v>
      </c>
      <c r="V25" s="23">
        <f t="shared" si="9"/>
        <v>31482.200647249185</v>
      </c>
      <c r="W25" s="23">
        <f t="shared" si="14"/>
        <v>2.1921313893836232E-2</v>
      </c>
      <c r="X25" s="23">
        <f t="shared" si="15"/>
        <v>5.9382737294604322E-3</v>
      </c>
      <c r="Y25" s="4"/>
      <c r="Z25" s="40"/>
      <c r="AD25" s="119">
        <v>25</v>
      </c>
      <c r="AE25" s="119">
        <v>8.9400000000000005E-4</v>
      </c>
      <c r="AF25" s="119">
        <v>997.07</v>
      </c>
      <c r="AG25" s="121">
        <v>8.9662711745414066E-7</v>
      </c>
    </row>
    <row r="26" spans="1:33" x14ac:dyDescent="0.35">
      <c r="N26" s="22"/>
      <c r="U26" s="22">
        <v>2</v>
      </c>
      <c r="V26" s="23">
        <f t="shared" si="9"/>
        <v>33139.158576051777</v>
      </c>
      <c r="W26" s="23">
        <f t="shared" si="14"/>
        <v>2.1642004457156336E-2</v>
      </c>
      <c r="X26" s="23">
        <f t="shared" si="15"/>
        <v>5.862611481373515E-3</v>
      </c>
      <c r="Y26" s="4"/>
      <c r="Z26" s="40"/>
      <c r="AD26" s="32"/>
      <c r="AE26" s="32"/>
      <c r="AF26" s="32"/>
      <c r="AG26" s="32"/>
    </row>
    <row r="27" spans="1:33" x14ac:dyDescent="0.35">
      <c r="K27" s="1"/>
      <c r="L27" s="4"/>
      <c r="N27" s="22"/>
      <c r="U27" s="22">
        <v>2.1</v>
      </c>
      <c r="V27" s="23">
        <f t="shared" si="9"/>
        <v>34796.11650485437</v>
      </c>
      <c r="W27" s="23">
        <f t="shared" si="14"/>
        <v>2.1379628642450382E-2</v>
      </c>
      <c r="X27" s="23">
        <f t="shared" si="15"/>
        <v>5.7915363891021419E-3</v>
      </c>
      <c r="Y27" s="4"/>
      <c r="Z27" s="40"/>
      <c r="AD27" s="32"/>
      <c r="AE27" s="32"/>
      <c r="AF27" s="32"/>
      <c r="AG27" s="32"/>
    </row>
    <row r="28" spans="1:33" x14ac:dyDescent="0.35">
      <c r="U28" s="22">
        <v>2.2000000000000002</v>
      </c>
      <c r="V28" s="23">
        <f t="shared" si="9"/>
        <v>36453.074433656955</v>
      </c>
      <c r="W28" s="23">
        <f t="shared" si="14"/>
        <v>2.113242376098325E-2</v>
      </c>
      <c r="X28" s="23">
        <f t="shared" si="15"/>
        <v>5.7245709571704627E-3</v>
      </c>
      <c r="Y28" s="4"/>
      <c r="Z28" s="40"/>
      <c r="AD28" s="32"/>
      <c r="AE28" s="32"/>
      <c r="AF28" s="32"/>
      <c r="AG28" s="32"/>
    </row>
    <row r="29" spans="1:33" x14ac:dyDescent="0.35">
      <c r="L29" s="41"/>
      <c r="U29" s="22">
        <v>2.2999999999999998</v>
      </c>
      <c r="V29" s="23">
        <f t="shared" si="9"/>
        <v>38110.03236245954</v>
      </c>
      <c r="W29" s="23">
        <f t="shared" si="14"/>
        <v>2.0898880469951378E-2</v>
      </c>
      <c r="X29" s="23">
        <f t="shared" si="15"/>
        <v>5.6613063190861443E-3</v>
      </c>
      <c r="Y29" s="4"/>
      <c r="Z29" s="40"/>
      <c r="AD29" s="32"/>
      <c r="AE29" s="32"/>
      <c r="AF29" s="32"/>
      <c r="AG29" s="32"/>
    </row>
    <row r="30" spans="1:33" x14ac:dyDescent="0.35">
      <c r="U30" s="22">
        <v>2.4</v>
      </c>
      <c r="V30" s="23">
        <f t="shared" si="9"/>
        <v>39766.990291262133</v>
      </c>
      <c r="W30" s="23">
        <f t="shared" si="14"/>
        <v>2.0677697167444799E-2</v>
      </c>
      <c r="X30" s="23">
        <f t="shared" si="15"/>
        <v>5.6013898833728905E-3</v>
      </c>
      <c r="Y30" s="4"/>
      <c r="Z30" s="40"/>
      <c r="AD30" s="32"/>
      <c r="AE30" s="32"/>
      <c r="AF30" s="32"/>
      <c r="AG30" s="32"/>
    </row>
    <row r="31" spans="1:33" x14ac:dyDescent="0.35">
      <c r="F31" s="1"/>
      <c r="G31" s="1"/>
      <c r="U31" s="22">
        <v>2.5</v>
      </c>
      <c r="V31" s="23">
        <f t="shared" si="9"/>
        <v>41423.948220064718</v>
      </c>
      <c r="W31" s="23">
        <f t="shared" si="14"/>
        <v>2.046774411736494E-2</v>
      </c>
      <c r="X31" s="23">
        <f t="shared" si="15"/>
        <v>5.544515615354682E-3</v>
      </c>
      <c r="Y31" s="4"/>
      <c r="Z31" s="40"/>
      <c r="AD31" s="32"/>
      <c r="AE31" s="32"/>
      <c r="AF31" s="32"/>
      <c r="AG31" s="32"/>
    </row>
    <row r="32" spans="1:33" x14ac:dyDescent="0.35">
      <c r="G32" s="19"/>
      <c r="Y32" s="4"/>
      <c r="Z32" s="40"/>
    </row>
    <row r="33" spans="7:27" x14ac:dyDescent="0.35">
      <c r="G33" s="19"/>
      <c r="Y33" s="4"/>
      <c r="Z33" s="40"/>
      <c r="AA33" s="1" t="s">
        <v>51</v>
      </c>
    </row>
    <row r="34" spans="7:27" x14ac:dyDescent="0.35">
      <c r="G34" s="19"/>
      <c r="Y34" s="4"/>
      <c r="Z34" s="40"/>
    </row>
    <row r="35" spans="7:27" x14ac:dyDescent="0.35">
      <c r="G35" s="19"/>
      <c r="Y35" s="4"/>
      <c r="Z35" s="40"/>
    </row>
    <row r="36" spans="7:27" x14ac:dyDescent="0.35">
      <c r="G36" s="19"/>
      <c r="Y36" s="4"/>
    </row>
    <row r="37" spans="7:27" x14ac:dyDescent="0.35">
      <c r="G37" s="19"/>
      <c r="Y37" s="4"/>
    </row>
    <row r="38" spans="7:27" x14ac:dyDescent="0.35">
      <c r="R38" s="1"/>
      <c r="S38" s="99"/>
      <c r="T38" s="89"/>
      <c r="Y38" s="4"/>
    </row>
    <row r="39" spans="7:27" x14ac:dyDescent="0.35">
      <c r="U39" s="4"/>
      <c r="V39" s="16"/>
      <c r="W39" s="16"/>
      <c r="X39" s="4"/>
      <c r="Y39" s="4"/>
    </row>
    <row r="40" spans="7:27" x14ac:dyDescent="0.35">
      <c r="U40" s="4"/>
      <c r="V40" s="16"/>
      <c r="W40" s="16"/>
      <c r="X40" s="4"/>
      <c r="Y40" s="4"/>
    </row>
    <row r="41" spans="7:27" x14ac:dyDescent="0.35">
      <c r="U41" s="4"/>
      <c r="V41" s="16"/>
      <c r="W41" s="16"/>
      <c r="X41" s="4"/>
      <c r="Y41" s="4"/>
    </row>
    <row r="42" spans="7:27" x14ac:dyDescent="0.35">
      <c r="U42" s="4"/>
      <c r="V42" s="16"/>
      <c r="W42" s="16"/>
      <c r="X42" s="4"/>
      <c r="Y42" s="4"/>
    </row>
    <row r="43" spans="7:27" x14ac:dyDescent="0.35">
      <c r="U43" s="4"/>
      <c r="V43" s="16"/>
      <c r="W43" s="16"/>
      <c r="X43" s="4"/>
      <c r="Y43" s="4"/>
    </row>
    <row r="44" spans="7:27" x14ac:dyDescent="0.35">
      <c r="U44" s="4"/>
      <c r="V44" s="16"/>
      <c r="W44" s="16"/>
    </row>
    <row r="45" spans="7:27" x14ac:dyDescent="0.35">
      <c r="U45" s="4"/>
      <c r="V45" s="16"/>
      <c r="W45" s="16"/>
    </row>
    <row r="46" spans="7:27" x14ac:dyDescent="0.35">
      <c r="U46" s="4"/>
      <c r="V46" s="16"/>
      <c r="W46" s="16"/>
    </row>
    <row r="47" spans="7:27" x14ac:dyDescent="0.35">
      <c r="U47" s="4"/>
      <c r="V47" s="16"/>
      <c r="W47" s="16"/>
    </row>
    <row r="48" spans="7:27" x14ac:dyDescent="0.35">
      <c r="U48" s="4"/>
      <c r="V48" s="16"/>
      <c r="W48" s="16"/>
    </row>
    <row r="49" spans="21:23" x14ac:dyDescent="0.35">
      <c r="U49" s="4"/>
      <c r="V49" s="16"/>
      <c r="W49" s="16"/>
    </row>
    <row r="50" spans="21:23" x14ac:dyDescent="0.35">
      <c r="U50" s="4"/>
      <c r="V50" s="16"/>
      <c r="W50" s="16"/>
    </row>
    <row r="51" spans="21:23" x14ac:dyDescent="0.35">
      <c r="U51" s="4"/>
      <c r="V51" s="16"/>
      <c r="W51" s="16"/>
    </row>
    <row r="52" spans="21:23" x14ac:dyDescent="0.35">
      <c r="U52" s="4"/>
      <c r="V52" s="16"/>
      <c r="W52" s="16"/>
    </row>
    <row r="53" spans="21:23" x14ac:dyDescent="0.35">
      <c r="U53" s="4"/>
      <c r="V53" s="16"/>
      <c r="W53" s="16"/>
    </row>
    <row r="54" spans="21:23" x14ac:dyDescent="0.35">
      <c r="U54" s="4"/>
    </row>
  </sheetData>
  <mergeCells count="3">
    <mergeCell ref="A3:N3"/>
    <mergeCell ref="Z5:AA5"/>
    <mergeCell ref="Q4:S4"/>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0DE57-CB68-489D-811F-EEDDF4336F63}">
  <dimension ref="A1:AG54"/>
  <sheetViews>
    <sheetView zoomScale="50" zoomScaleNormal="50" zoomScalePageLayoutView="90" workbookViewId="0"/>
  </sheetViews>
  <sheetFormatPr defaultColWidth="8.69140625" defaultRowHeight="15.5" x14ac:dyDescent="0.35"/>
  <cols>
    <col min="1" max="4" width="8.69140625" style="2"/>
    <col min="5" max="5" width="12.3046875" style="2" customWidth="1"/>
    <col min="6" max="6" width="15.69140625" style="2" bestFit="1" customWidth="1"/>
    <col min="7" max="7" width="8.53515625" style="2" customWidth="1"/>
    <col min="8" max="8" width="8.69140625" style="2"/>
    <col min="9" max="9" width="15.69140625" style="2" bestFit="1" customWidth="1"/>
    <col min="10" max="10" width="12.23046875" style="2" customWidth="1"/>
    <col min="11" max="11" width="10.4609375" style="2" customWidth="1"/>
    <col min="12" max="12" width="8.53515625" style="3" customWidth="1"/>
    <col min="13" max="13" width="6.765625" style="4" customWidth="1"/>
    <col min="14" max="14" width="8.4609375" style="4" customWidth="1"/>
    <col min="15" max="15" width="9.07421875" style="4" customWidth="1"/>
    <col min="16" max="16" width="27.23046875" style="4" customWidth="1"/>
    <col min="17" max="17" width="12.765625" style="68" customWidth="1"/>
    <col min="18" max="18" width="10" style="2" customWidth="1"/>
    <col min="19" max="19" width="10" style="72" customWidth="1"/>
    <col min="20" max="20" width="8.4609375" style="5" customWidth="1"/>
    <col min="21" max="21" width="10.23046875" style="2" customWidth="1"/>
    <col min="22" max="22" width="13.84375" style="2" customWidth="1"/>
    <col min="23" max="25" width="10" style="2" customWidth="1"/>
    <col min="26" max="26" width="21" style="2" customWidth="1"/>
    <col min="27" max="27" width="8.69140625" style="2" customWidth="1"/>
    <col min="28" max="28" width="8.69140625" style="2"/>
    <col min="29" max="29" width="22" style="2" customWidth="1"/>
    <col min="30" max="30" width="35.84375" style="2" customWidth="1"/>
    <col min="31" max="31" width="16.84375" style="2" customWidth="1"/>
    <col min="32" max="16384" width="8.69140625" style="2"/>
  </cols>
  <sheetData>
    <row r="1" spans="1:31" x14ac:dyDescent="0.35">
      <c r="A1" s="1"/>
      <c r="I1" s="1"/>
      <c r="J1" s="1"/>
      <c r="Q1" s="69" t="s">
        <v>116</v>
      </c>
    </row>
    <row r="2" spans="1:31" x14ac:dyDescent="0.35">
      <c r="A2" s="1"/>
      <c r="I2" s="1"/>
      <c r="J2" s="1"/>
      <c r="Q2" s="69" t="s">
        <v>85</v>
      </c>
    </row>
    <row r="3" spans="1:31" x14ac:dyDescent="0.35">
      <c r="A3" s="150" t="s">
        <v>3</v>
      </c>
      <c r="B3" s="150"/>
      <c r="C3" s="150"/>
      <c r="D3" s="150"/>
      <c r="E3" s="150"/>
      <c r="F3" s="150"/>
      <c r="G3" s="150"/>
      <c r="H3" s="150"/>
      <c r="I3" s="150"/>
      <c r="J3" s="150"/>
      <c r="K3" s="150"/>
      <c r="L3" s="150"/>
      <c r="M3" s="150"/>
      <c r="N3" s="150"/>
      <c r="O3" s="63"/>
      <c r="P3" s="63"/>
      <c r="T3" s="7"/>
    </row>
    <row r="4" spans="1:31" x14ac:dyDescent="0.35">
      <c r="Q4" s="152" t="s">
        <v>81</v>
      </c>
      <c r="R4" s="153"/>
      <c r="S4" s="154"/>
    </row>
    <row r="5" spans="1:31"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T5" s="14"/>
      <c r="U5" s="15" t="s">
        <v>19</v>
      </c>
      <c r="V5" s="16" t="s">
        <v>14</v>
      </c>
      <c r="W5" s="15" t="s">
        <v>20</v>
      </c>
      <c r="X5" s="16" t="s">
        <v>21</v>
      </c>
      <c r="Y5" s="1"/>
      <c r="Z5" s="151" t="s">
        <v>22</v>
      </c>
      <c r="AA5" s="151"/>
    </row>
    <row r="6" spans="1:31" x14ac:dyDescent="0.35">
      <c r="A6" s="17" t="s">
        <v>23</v>
      </c>
      <c r="B6" s="18">
        <v>0</v>
      </c>
      <c r="C6" s="19">
        <f t="shared" ref="C6:C18" si="0">B6*0.0166667</f>
        <v>0</v>
      </c>
      <c r="D6" s="19">
        <f t="shared" ref="D6:D18" si="1">B6*0.000277778</f>
        <v>0</v>
      </c>
      <c r="E6" s="3">
        <f t="shared" ref="E6:E18" si="2">0.001*D6</f>
        <v>0</v>
      </c>
      <c r="F6" s="19">
        <f t="shared" ref="F6:F18" si="3">E6/AA$7</f>
        <v>0</v>
      </c>
      <c r="G6" s="19">
        <f t="shared" ref="G6:G18" si="4">F6^(2)</f>
        <v>0</v>
      </c>
      <c r="H6" s="19">
        <f t="shared" ref="H6:H18" si="5">F6*1.94384</f>
        <v>0</v>
      </c>
      <c r="I6" s="20">
        <v>0</v>
      </c>
      <c r="J6" s="20">
        <f t="shared" ref="J6:J18" si="6">I6 * 10</f>
        <v>0</v>
      </c>
      <c r="K6" s="21">
        <f t="shared" ref="K6:K18" si="7">J6*100</f>
        <v>0</v>
      </c>
      <c r="L6" s="3">
        <f t="shared" ref="L6:L18" si="8">(F6*AA$11)/AA$12</f>
        <v>0</v>
      </c>
      <c r="U6" s="22">
        <v>0</v>
      </c>
      <c r="V6" s="23">
        <f t="shared" ref="V6:V31" si="9">(U6*AA$11)/AA$12</f>
        <v>0</v>
      </c>
      <c r="W6" s="23"/>
      <c r="X6" s="23"/>
    </row>
    <row r="7" spans="1:31" x14ac:dyDescent="0.35">
      <c r="A7" s="2" t="s">
        <v>52</v>
      </c>
      <c r="B7" s="2">
        <v>1900</v>
      </c>
      <c r="C7" s="19">
        <f t="shared" si="0"/>
        <v>31.666729999999998</v>
      </c>
      <c r="D7" s="19">
        <f t="shared" si="1"/>
        <v>0.52777819999999998</v>
      </c>
      <c r="E7" s="3">
        <f t="shared" si="2"/>
        <v>5.2777819999999997E-4</v>
      </c>
      <c r="F7" s="19">
        <f t="shared" si="3"/>
        <v>1.0555564</v>
      </c>
      <c r="G7" s="19">
        <f t="shared" si="4"/>
        <v>1.1141993135809598</v>
      </c>
      <c r="H7" s="19">
        <f t="shared" si="5"/>
        <v>2.0518327525759998</v>
      </c>
      <c r="I7" s="2">
        <v>0.78357096800000003</v>
      </c>
      <c r="J7" s="20">
        <f t="shared" si="6"/>
        <v>7.8357096800000008</v>
      </c>
      <c r="K7" s="21">
        <f t="shared" si="7"/>
        <v>783.57096800000011</v>
      </c>
      <c r="L7" s="3">
        <f t="shared" si="8"/>
        <v>17490.125462783169</v>
      </c>
      <c r="M7" s="4">
        <f t="shared" ref="M7:M18" si="10">(AA$15*G7*N7)/8</f>
        <v>4.0810987916666663</v>
      </c>
      <c r="N7" s="4">
        <f t="shared" ref="N7:N18" si="11">(K7*2*AA$11)/(AA$13*AA$15*G7)</f>
        <v>2.8615691933451468E-2</v>
      </c>
      <c r="O7" s="4">
        <f t="shared" ref="O7:O18" si="12">N7/4</f>
        <v>7.1539229833628669E-3</v>
      </c>
      <c r="P7" s="4">
        <f t="shared" ref="P7:P18" si="13">3.7*(10^(-1/(2*SQRT(N7)))-2.51/(L7*SQRT(N7)))</f>
        <v>9.5793302934315411E-4</v>
      </c>
      <c r="Q7" s="93" t="s">
        <v>178</v>
      </c>
      <c r="R7" s="98"/>
      <c r="S7" s="101"/>
      <c r="U7" s="22">
        <v>0.1</v>
      </c>
      <c r="V7" s="23">
        <f>(U7*AA$11)/AA$12</f>
        <v>1656.9579288025889</v>
      </c>
      <c r="W7" s="23">
        <f t="shared" ref="W7:W31" si="14">0.292/(V7^(0.25))</f>
        <v>4.5767267192499433E-2</v>
      </c>
      <c r="X7" s="23">
        <f>0.0791/(V7^0.25)</f>
        <v>1.2397913818242142E-2</v>
      </c>
      <c r="Y7" s="25"/>
      <c r="Z7" s="1" t="s">
        <v>24</v>
      </c>
      <c r="AA7" s="2">
        <f>AA$9*AA$10</f>
        <v>5.0000000000000001E-4</v>
      </c>
    </row>
    <row r="8" spans="1:31" x14ac:dyDescent="0.35">
      <c r="A8" s="2" t="s">
        <v>53</v>
      </c>
      <c r="B8" s="2">
        <v>2750</v>
      </c>
      <c r="C8" s="19">
        <f t="shared" si="0"/>
        <v>45.833424999999998</v>
      </c>
      <c r="D8" s="19">
        <f t="shared" si="1"/>
        <v>0.7638895</v>
      </c>
      <c r="E8" s="3">
        <f t="shared" si="2"/>
        <v>7.6388949999999997E-4</v>
      </c>
      <c r="F8" s="19">
        <f t="shared" si="3"/>
        <v>1.527779</v>
      </c>
      <c r="G8" s="19">
        <f t="shared" si="4"/>
        <v>2.3341086728409999</v>
      </c>
      <c r="H8" s="19">
        <f t="shared" si="5"/>
        <v>2.9697579313600002</v>
      </c>
      <c r="I8" s="2">
        <v>1.6592838710000002</v>
      </c>
      <c r="J8" s="20">
        <f t="shared" si="6"/>
        <v>16.592838710000002</v>
      </c>
      <c r="K8" s="21">
        <f t="shared" si="7"/>
        <v>1659.2838710000003</v>
      </c>
      <c r="L8" s="3">
        <f t="shared" si="8"/>
        <v>25314.655275080902</v>
      </c>
      <c r="M8" s="4">
        <f t="shared" si="10"/>
        <v>8.6421034947916695</v>
      </c>
      <c r="N8" s="4">
        <f t="shared" si="11"/>
        <v>2.8926002605903153E-2</v>
      </c>
      <c r="O8" s="4">
        <f t="shared" si="12"/>
        <v>7.2315006514757883E-3</v>
      </c>
      <c r="P8" s="4">
        <f t="shared" si="13"/>
        <v>2.0925496673207221E-3</v>
      </c>
      <c r="Q8" s="102"/>
      <c r="R8" s="103"/>
      <c r="S8" s="104"/>
      <c r="U8" s="22">
        <v>0.2</v>
      </c>
      <c r="V8" s="23">
        <f t="shared" si="9"/>
        <v>3313.9158576051777</v>
      </c>
      <c r="W8" s="23">
        <f t="shared" si="14"/>
        <v>3.848553091813172E-2</v>
      </c>
      <c r="X8" s="23">
        <f t="shared" ref="X8:X31" si="15">0.0791/(V8^0.25)</f>
        <v>1.0425361286384313E-2</v>
      </c>
      <c r="Y8" s="25"/>
      <c r="Z8" s="2" t="s">
        <v>25</v>
      </c>
    </row>
    <row r="9" spans="1:31" ht="19" x14ac:dyDescent="0.4">
      <c r="A9" s="2" t="s">
        <v>54</v>
      </c>
      <c r="B9" s="2">
        <v>3500</v>
      </c>
      <c r="C9" s="19">
        <f t="shared" si="0"/>
        <v>58.333449999999999</v>
      </c>
      <c r="D9" s="19">
        <f t="shared" si="1"/>
        <v>0.97222300000000006</v>
      </c>
      <c r="E9" s="3">
        <f t="shared" si="2"/>
        <v>9.7222300000000003E-4</v>
      </c>
      <c r="F9" s="19">
        <f t="shared" si="3"/>
        <v>1.9444460000000001</v>
      </c>
      <c r="G9" s="19">
        <f t="shared" si="4"/>
        <v>3.7808702469160003</v>
      </c>
      <c r="H9" s="19">
        <f t="shared" si="5"/>
        <v>3.7796919126400002</v>
      </c>
      <c r="I9" s="2">
        <v>2.7504419359999996</v>
      </c>
      <c r="J9" s="20">
        <f t="shared" si="6"/>
        <v>27.504419359999996</v>
      </c>
      <c r="K9" s="21">
        <f t="shared" si="7"/>
        <v>2750.4419359999997</v>
      </c>
      <c r="L9" s="3">
        <f t="shared" si="8"/>
        <v>32218.652168284785</v>
      </c>
      <c r="M9" s="4">
        <f t="shared" si="10"/>
        <v>14.325218416666663</v>
      </c>
      <c r="N9" s="4">
        <f t="shared" si="11"/>
        <v>2.96005315103041E-2</v>
      </c>
      <c r="O9" s="4">
        <f t="shared" si="12"/>
        <v>7.4001328775760251E-3</v>
      </c>
      <c r="P9" s="4">
        <f t="shared" si="13"/>
        <v>2.9169704765430139E-3</v>
      </c>
      <c r="Q9" s="78"/>
      <c r="R9" s="61"/>
      <c r="S9" s="79"/>
      <c r="U9" s="22">
        <v>0.3</v>
      </c>
      <c r="V9" s="23">
        <f t="shared" si="9"/>
        <v>4970.8737864077666</v>
      </c>
      <c r="W9" s="23">
        <f t="shared" si="14"/>
        <v>3.4775602847612441E-2</v>
      </c>
      <c r="X9" s="23">
        <f t="shared" si="15"/>
        <v>9.4203773467333701E-3</v>
      </c>
      <c r="Y9" s="25"/>
      <c r="Z9" s="1" t="s">
        <v>26</v>
      </c>
      <c r="AA9" s="19">
        <v>0.05</v>
      </c>
      <c r="AD9" s="27" t="s">
        <v>27</v>
      </c>
    </row>
    <row r="10" spans="1:31" ht="18.5" x14ac:dyDescent="0.35">
      <c r="A10" s="2" t="s">
        <v>55</v>
      </c>
      <c r="B10" s="2">
        <v>4350</v>
      </c>
      <c r="C10" s="19">
        <f t="shared" si="0"/>
        <v>72.500145000000003</v>
      </c>
      <c r="D10" s="19">
        <f t="shared" si="1"/>
        <v>1.2083343</v>
      </c>
      <c r="E10" s="3">
        <f t="shared" si="2"/>
        <v>1.2083343E-3</v>
      </c>
      <c r="F10" s="19">
        <f t="shared" si="3"/>
        <v>2.4166685999999999</v>
      </c>
      <c r="G10" s="19">
        <f t="shared" si="4"/>
        <v>5.84028712222596</v>
      </c>
      <c r="H10" s="19">
        <f t="shared" si="5"/>
        <v>4.6976170914240001</v>
      </c>
      <c r="I10" s="2">
        <v>4.2350580649999996</v>
      </c>
      <c r="J10" s="20">
        <f t="shared" si="6"/>
        <v>42.350580649999998</v>
      </c>
      <c r="K10" s="21">
        <f t="shared" si="7"/>
        <v>4235.0580650000002</v>
      </c>
      <c r="L10" s="3">
        <f t="shared" si="8"/>
        <v>40043.181980582514</v>
      </c>
      <c r="M10" s="4">
        <f t="shared" si="10"/>
        <v>22.057594088541663</v>
      </c>
      <c r="N10" s="4">
        <f t="shared" si="11"/>
        <v>2.9506246903671412E-2</v>
      </c>
      <c r="O10" s="4">
        <f t="shared" si="12"/>
        <v>7.376561725917853E-3</v>
      </c>
      <c r="P10" s="4">
        <f t="shared" si="13"/>
        <v>3.1933969401336821E-3</v>
      </c>
      <c r="Q10" s="78"/>
      <c r="R10" s="61"/>
      <c r="S10" s="79"/>
      <c r="U10" s="22">
        <v>0.4</v>
      </c>
      <c r="V10" s="23">
        <f t="shared" si="9"/>
        <v>6627.8317152103555</v>
      </c>
      <c r="W10" s="23">
        <f t="shared" si="14"/>
        <v>3.2362344988192952E-2</v>
      </c>
      <c r="X10" s="23">
        <f t="shared" si="15"/>
        <v>8.7666489334454218E-3</v>
      </c>
      <c r="Y10" s="25"/>
      <c r="Z10" s="1" t="s">
        <v>28</v>
      </c>
      <c r="AA10" s="19">
        <v>0.01</v>
      </c>
      <c r="AD10" s="28" t="s">
        <v>29</v>
      </c>
      <c r="AE10" s="2" t="s">
        <v>30</v>
      </c>
    </row>
    <row r="11" spans="1:31" ht="16.5" x14ac:dyDescent="0.4">
      <c r="A11" s="2" t="s">
        <v>56</v>
      </c>
      <c r="B11" s="2">
        <v>5000</v>
      </c>
      <c r="C11" s="19">
        <f t="shared" si="0"/>
        <v>83.333500000000001</v>
      </c>
      <c r="D11" s="19">
        <f t="shared" si="1"/>
        <v>1.38889</v>
      </c>
      <c r="E11" s="3">
        <f t="shared" si="2"/>
        <v>1.38889E-3</v>
      </c>
      <c r="F11" s="19">
        <f t="shared" si="3"/>
        <v>2.7777799999999999</v>
      </c>
      <c r="G11" s="19">
        <f t="shared" si="4"/>
        <v>7.7160617283999997</v>
      </c>
      <c r="H11" s="19">
        <f t="shared" si="5"/>
        <v>5.3995598751999996</v>
      </c>
      <c r="I11" s="2">
        <v>5.8586677419999997</v>
      </c>
      <c r="J11" s="20">
        <f t="shared" si="6"/>
        <v>58.586677420000001</v>
      </c>
      <c r="K11" s="21">
        <f t="shared" si="7"/>
        <v>5858.6677419999996</v>
      </c>
      <c r="L11" s="3">
        <f t="shared" si="8"/>
        <v>46026.645954692547</v>
      </c>
      <c r="M11" s="4">
        <f t="shared" si="10"/>
        <v>30.513894489583329</v>
      </c>
      <c r="N11" s="4">
        <f t="shared" si="11"/>
        <v>3.0895268738253368E-2</v>
      </c>
      <c r="O11" s="4">
        <f t="shared" si="12"/>
        <v>7.723817184563342E-3</v>
      </c>
      <c r="P11" s="4">
        <f t="shared" si="13"/>
        <v>4.1436125655530068E-3</v>
      </c>
      <c r="Q11" s="94"/>
      <c r="R11" s="22"/>
      <c r="S11" s="100"/>
      <c r="U11" s="22">
        <v>0.5</v>
      </c>
      <c r="V11" s="23">
        <f t="shared" si="9"/>
        <v>8284.7896440129443</v>
      </c>
      <c r="W11" s="23">
        <f t="shared" si="14"/>
        <v>3.0606416220249465E-2</v>
      </c>
      <c r="X11" s="23">
        <f t="shared" si="15"/>
        <v>8.290984667882648E-3</v>
      </c>
      <c r="Y11" s="25"/>
      <c r="Z11" s="1" t="s">
        <v>163</v>
      </c>
      <c r="AA11" s="4">
        <f>2*(AA9*AA10)/(AA9+AA10)</f>
        <v>1.6666666666666666E-2</v>
      </c>
      <c r="AB11" s="1">
        <f>10*AA11*100</f>
        <v>16.666666666666664</v>
      </c>
      <c r="AD11" s="27" t="s">
        <v>32</v>
      </c>
      <c r="AE11" s="2" t="s">
        <v>33</v>
      </c>
    </row>
    <row r="12" spans="1:31" x14ac:dyDescent="0.35">
      <c r="A12" s="2" t="s">
        <v>63</v>
      </c>
      <c r="B12" s="2">
        <v>5750</v>
      </c>
      <c r="C12" s="19">
        <f t="shared" si="0"/>
        <v>95.833524999999995</v>
      </c>
      <c r="D12" s="19">
        <f t="shared" si="1"/>
        <v>1.5972235000000001</v>
      </c>
      <c r="E12" s="3">
        <f t="shared" si="2"/>
        <v>1.5972235000000002E-3</v>
      </c>
      <c r="F12" s="19">
        <f t="shared" si="3"/>
        <v>3.1944470000000003</v>
      </c>
      <c r="G12" s="19">
        <f t="shared" si="4"/>
        <v>10.204491635809001</v>
      </c>
      <c r="H12" s="19">
        <f t="shared" si="5"/>
        <v>6.2094938564800009</v>
      </c>
      <c r="I12" s="2">
        <v>7.5205935489999991</v>
      </c>
      <c r="J12" s="20">
        <f t="shared" si="6"/>
        <v>75.205935489999987</v>
      </c>
      <c r="K12" s="21">
        <f t="shared" si="7"/>
        <v>7520.5935489999983</v>
      </c>
      <c r="L12" s="3">
        <f t="shared" si="8"/>
        <v>52930.642847896444</v>
      </c>
      <c r="M12" s="4">
        <f t="shared" si="10"/>
        <v>39.169758067708322</v>
      </c>
      <c r="N12" s="4">
        <f t="shared" si="11"/>
        <v>2.9988141087805481E-2</v>
      </c>
      <c r="O12" s="4">
        <f t="shared" si="12"/>
        <v>7.4970352719513703E-3</v>
      </c>
      <c r="P12" s="4">
        <f t="shared" si="13"/>
        <v>3.7828091277997047E-3</v>
      </c>
      <c r="Q12" s="71"/>
      <c r="R12" s="4"/>
      <c r="S12" s="74"/>
      <c r="U12" s="22">
        <v>0.6</v>
      </c>
      <c r="V12" s="23">
        <f t="shared" si="9"/>
        <v>9941.7475728155332</v>
      </c>
      <c r="W12" s="23">
        <f t="shared" si="14"/>
        <v>2.9242679772844168E-2</v>
      </c>
      <c r="X12" s="23">
        <f t="shared" si="15"/>
        <v>7.9215615412053901E-3</v>
      </c>
      <c r="Y12" s="25"/>
      <c r="Z12" s="1" t="s">
        <v>164</v>
      </c>
      <c r="AA12" s="31">
        <f>AA$16/AA$15</f>
        <v>1.0058593750000001E-6</v>
      </c>
    </row>
    <row r="13" spans="1:31" ht="16.5" x14ac:dyDescent="0.4">
      <c r="A13" s="2" t="s">
        <v>62</v>
      </c>
      <c r="B13" s="2">
        <v>5750</v>
      </c>
      <c r="C13" s="19">
        <f t="shared" si="0"/>
        <v>95.833524999999995</v>
      </c>
      <c r="D13" s="19">
        <f t="shared" si="1"/>
        <v>1.5972235000000001</v>
      </c>
      <c r="E13" s="3">
        <f t="shared" si="2"/>
        <v>1.5972235000000002E-3</v>
      </c>
      <c r="F13" s="19">
        <f t="shared" si="3"/>
        <v>3.1944470000000003</v>
      </c>
      <c r="G13" s="19">
        <f t="shared" si="4"/>
        <v>10.204491635809001</v>
      </c>
      <c r="H13" s="19">
        <f t="shared" si="5"/>
        <v>6.2094938564800009</v>
      </c>
      <c r="I13" s="2">
        <v>7.5205935489999991</v>
      </c>
      <c r="J13" s="20">
        <f t="shared" si="6"/>
        <v>75.205935489999987</v>
      </c>
      <c r="K13" s="21">
        <f t="shared" si="7"/>
        <v>7520.5935489999983</v>
      </c>
      <c r="L13" s="3">
        <f t="shared" si="8"/>
        <v>52930.642847896444</v>
      </c>
      <c r="M13" s="4">
        <f t="shared" si="10"/>
        <v>39.169758067708322</v>
      </c>
      <c r="N13" s="4">
        <f t="shared" si="11"/>
        <v>2.9988141087805481E-2</v>
      </c>
      <c r="O13" s="4">
        <f t="shared" si="12"/>
        <v>7.4970352719513703E-3</v>
      </c>
      <c r="P13" s="4">
        <f t="shared" si="13"/>
        <v>3.7828091277997047E-3</v>
      </c>
      <c r="Q13" s="71"/>
      <c r="R13" s="4"/>
      <c r="S13" s="74"/>
      <c r="U13" s="22">
        <v>0.7</v>
      </c>
      <c r="V13" s="23">
        <f t="shared" si="9"/>
        <v>11598.70550161812</v>
      </c>
      <c r="W13" s="23">
        <f t="shared" si="14"/>
        <v>2.813717366290373E-2</v>
      </c>
      <c r="X13" s="23">
        <f t="shared" si="15"/>
        <v>7.6220905367660454E-3</v>
      </c>
      <c r="Y13" s="25"/>
      <c r="Z13" s="1" t="s">
        <v>35</v>
      </c>
      <c r="AA13" s="32">
        <v>0.8</v>
      </c>
      <c r="AD13" s="27" t="s">
        <v>36</v>
      </c>
      <c r="AE13" s="1" t="s">
        <v>37</v>
      </c>
    </row>
    <row r="14" spans="1:31" x14ac:dyDescent="0.35">
      <c r="A14" s="2" t="s">
        <v>57</v>
      </c>
      <c r="B14" s="2">
        <v>4950</v>
      </c>
      <c r="C14" s="19">
        <f t="shared" si="0"/>
        <v>82.500164999999996</v>
      </c>
      <c r="D14" s="19">
        <f t="shared" si="1"/>
        <v>1.3750011</v>
      </c>
      <c r="E14" s="3">
        <f t="shared" si="2"/>
        <v>1.3750011000000001E-3</v>
      </c>
      <c r="F14" s="19">
        <f t="shared" si="3"/>
        <v>2.7500022</v>
      </c>
      <c r="G14" s="19">
        <f t="shared" si="4"/>
        <v>7.5625121000048399</v>
      </c>
      <c r="H14" s="19">
        <f t="shared" si="5"/>
        <v>5.345564276448</v>
      </c>
      <c r="I14" s="2">
        <v>5.7744774200000002</v>
      </c>
      <c r="J14" s="20">
        <f t="shared" si="6"/>
        <v>57.744774200000002</v>
      </c>
      <c r="K14" s="21">
        <f t="shared" si="7"/>
        <v>5774.4774200000002</v>
      </c>
      <c r="L14" s="3">
        <f t="shared" si="8"/>
        <v>45566.379495145622</v>
      </c>
      <c r="M14" s="4">
        <f t="shared" si="10"/>
        <v>30.075403229166668</v>
      </c>
      <c r="N14" s="4">
        <f t="shared" si="11"/>
        <v>3.1069581723738891E-2</v>
      </c>
      <c r="O14" s="4">
        <f t="shared" si="12"/>
        <v>7.7673954309347227E-3</v>
      </c>
      <c r="P14" s="4">
        <f t="shared" si="13"/>
        <v>4.2335396227447522E-3</v>
      </c>
      <c r="Q14" s="71"/>
      <c r="R14" s="4"/>
      <c r="S14" s="74"/>
      <c r="U14" s="22">
        <v>0.8</v>
      </c>
      <c r="V14" s="23">
        <f t="shared" si="9"/>
        <v>13255.663430420711</v>
      </c>
      <c r="W14" s="23">
        <f t="shared" si="14"/>
        <v>2.7213379889775471E-2</v>
      </c>
      <c r="X14" s="23">
        <f t="shared" si="15"/>
        <v>7.3718436619220548E-3</v>
      </c>
      <c r="Y14" s="25"/>
      <c r="AA14" s="32"/>
    </row>
    <row r="15" spans="1:31" x14ac:dyDescent="0.35">
      <c r="A15" s="2" t="s">
        <v>58</v>
      </c>
      <c r="B15" s="2">
        <v>4050</v>
      </c>
      <c r="C15" s="19">
        <f t="shared" si="0"/>
        <v>67.500135</v>
      </c>
      <c r="D15" s="19">
        <f t="shared" si="1"/>
        <v>1.1250009000000001</v>
      </c>
      <c r="E15" s="3">
        <f t="shared" si="2"/>
        <v>1.1250009E-3</v>
      </c>
      <c r="F15" s="19">
        <f t="shared" si="3"/>
        <v>2.2500018000000002</v>
      </c>
      <c r="G15" s="19">
        <f t="shared" si="4"/>
        <v>5.0625081000032406</v>
      </c>
      <c r="H15" s="19">
        <f t="shared" si="5"/>
        <v>4.3736434989120001</v>
      </c>
      <c r="I15" s="2">
        <v>3.7375677419999995</v>
      </c>
      <c r="J15" s="20">
        <f t="shared" si="6"/>
        <v>37.375677419999995</v>
      </c>
      <c r="K15" s="21">
        <f t="shared" si="7"/>
        <v>3737.5677419999997</v>
      </c>
      <c r="L15" s="3">
        <f t="shared" si="8"/>
        <v>37281.583223300971</v>
      </c>
      <c r="M15" s="4">
        <f t="shared" si="10"/>
        <v>19.466498656249996</v>
      </c>
      <c r="N15" s="4">
        <f t="shared" si="11"/>
        <v>3.0040844922669011E-2</v>
      </c>
      <c r="O15" s="4">
        <f t="shared" si="12"/>
        <v>7.5102112306672528E-3</v>
      </c>
      <c r="P15" s="4">
        <f t="shared" si="13"/>
        <v>3.3868432934702859E-3</v>
      </c>
      <c r="Q15" s="71"/>
      <c r="R15" s="4"/>
      <c r="S15" s="74"/>
      <c r="T15" s="34"/>
      <c r="U15" s="22">
        <v>0.9</v>
      </c>
      <c r="V15" s="23">
        <f t="shared" si="9"/>
        <v>14912.6213592233</v>
      </c>
      <c r="W15" s="23">
        <f t="shared" si="14"/>
        <v>2.6423744033663078E-2</v>
      </c>
      <c r="X15" s="23">
        <f t="shared" si="15"/>
        <v>7.1579388803518825E-3</v>
      </c>
      <c r="Y15" s="25"/>
      <c r="Z15" s="2" t="s">
        <v>38</v>
      </c>
      <c r="AA15" s="32">
        <f>VLOOKUP(AA17, SW!A4:F34, 3, FALSE)</f>
        <v>1024</v>
      </c>
      <c r="AB15" s="32"/>
    </row>
    <row r="16" spans="1:31" x14ac:dyDescent="0.35">
      <c r="A16" s="2" t="s">
        <v>59</v>
      </c>
      <c r="B16" s="2">
        <v>3350</v>
      </c>
      <c r="C16" s="19">
        <f t="shared" si="0"/>
        <v>55.833444999999998</v>
      </c>
      <c r="D16" s="19">
        <f t="shared" si="1"/>
        <v>0.9305563</v>
      </c>
      <c r="E16" s="3">
        <f t="shared" si="2"/>
        <v>9.3055630000000002E-4</v>
      </c>
      <c r="F16" s="19">
        <f t="shared" si="3"/>
        <v>1.8611126</v>
      </c>
      <c r="G16" s="19">
        <f t="shared" si="4"/>
        <v>3.4637401098787599</v>
      </c>
      <c r="H16" s="19">
        <f t="shared" si="5"/>
        <v>3.6177051163840002</v>
      </c>
      <c r="I16" s="2">
        <v>2.6159290330000005</v>
      </c>
      <c r="J16" s="20">
        <f t="shared" si="6"/>
        <v>26.159290330000005</v>
      </c>
      <c r="K16" s="21">
        <f t="shared" si="7"/>
        <v>2615.9290330000003</v>
      </c>
      <c r="L16" s="3">
        <f t="shared" si="8"/>
        <v>30837.85278964401</v>
      </c>
      <c r="M16" s="4">
        <f t="shared" si="10"/>
        <v>13.624630380208334</v>
      </c>
      <c r="N16" s="4">
        <f t="shared" si="11"/>
        <v>3.0730488278204966E-2</v>
      </c>
      <c r="O16" s="4">
        <f t="shared" si="12"/>
        <v>7.6826220695512416E-3</v>
      </c>
      <c r="P16" s="4">
        <f t="shared" si="13"/>
        <v>3.481629555552028E-3</v>
      </c>
      <c r="U16" s="22">
        <v>1</v>
      </c>
      <c r="V16" s="23">
        <f t="shared" si="9"/>
        <v>16569.579288025889</v>
      </c>
      <c r="W16" s="23">
        <f t="shared" si="14"/>
        <v>2.5736825683370917E-2</v>
      </c>
      <c r="X16" s="23">
        <f t="shared" si="15"/>
        <v>6.9718592861460265E-3</v>
      </c>
      <c r="Y16" s="25"/>
      <c r="Z16" s="2" t="s">
        <v>39</v>
      </c>
      <c r="AA16" s="32">
        <f>VLOOKUP(AA17, SW!A4:F34, 5, FALSE)</f>
        <v>1.0300000000000001E-3</v>
      </c>
    </row>
    <row r="17" spans="1:33" x14ac:dyDescent="0.35">
      <c r="A17" s="2" t="s">
        <v>60</v>
      </c>
      <c r="B17" s="2">
        <v>2650</v>
      </c>
      <c r="C17" s="19">
        <f t="shared" si="0"/>
        <v>44.166755000000002</v>
      </c>
      <c r="D17" s="19">
        <f t="shared" si="1"/>
        <v>0.73611170000000004</v>
      </c>
      <c r="E17" s="3">
        <f t="shared" si="2"/>
        <v>7.3611170000000004E-4</v>
      </c>
      <c r="F17" s="19">
        <f t="shared" si="3"/>
        <v>1.4722234000000001</v>
      </c>
      <c r="G17" s="19">
        <f t="shared" si="4"/>
        <v>2.1674417395075602</v>
      </c>
      <c r="H17" s="19">
        <f t="shared" si="5"/>
        <v>2.8617667338560002</v>
      </c>
      <c r="I17" s="2">
        <v>1.5969935490000002</v>
      </c>
      <c r="J17" s="20">
        <f t="shared" si="6"/>
        <v>15.969935490000003</v>
      </c>
      <c r="K17" s="21">
        <f t="shared" si="7"/>
        <v>1596.9935490000003</v>
      </c>
      <c r="L17" s="3">
        <f t="shared" si="8"/>
        <v>24394.122355987052</v>
      </c>
      <c r="M17" s="4">
        <f t="shared" si="10"/>
        <v>8.3176747343750002</v>
      </c>
      <c r="N17" s="4">
        <f t="shared" si="11"/>
        <v>2.9980890686855773E-2</v>
      </c>
      <c r="O17" s="4">
        <f t="shared" si="12"/>
        <v>7.4952226717139433E-3</v>
      </c>
      <c r="P17" s="4">
        <f t="shared" si="13"/>
        <v>2.5934413663282266E-3</v>
      </c>
      <c r="T17" s="14"/>
      <c r="U17" s="22">
        <v>1.1000000000000001</v>
      </c>
      <c r="V17" s="23">
        <f t="shared" si="9"/>
        <v>18226.537216828478</v>
      </c>
      <c r="W17" s="23">
        <f t="shared" si="14"/>
        <v>2.5130828693813844E-2</v>
      </c>
      <c r="X17" s="23">
        <f t="shared" si="15"/>
        <v>6.8077005126050529E-3</v>
      </c>
      <c r="Y17" s="25"/>
      <c r="Z17" s="2" t="s">
        <v>161</v>
      </c>
      <c r="AA17" s="2">
        <v>22</v>
      </c>
    </row>
    <row r="18" spans="1:33" x14ac:dyDescent="0.35">
      <c r="A18" s="2" t="s">
        <v>61</v>
      </c>
      <c r="B18" s="2">
        <v>1900</v>
      </c>
      <c r="C18" s="19">
        <f t="shared" si="0"/>
        <v>31.666729999999998</v>
      </c>
      <c r="D18" s="19">
        <f t="shared" si="1"/>
        <v>0.52777819999999998</v>
      </c>
      <c r="E18" s="3">
        <f t="shared" si="2"/>
        <v>5.2777819999999997E-4</v>
      </c>
      <c r="F18" s="19">
        <f t="shared" si="3"/>
        <v>1.0555564</v>
      </c>
      <c r="G18" s="19">
        <f t="shared" si="4"/>
        <v>1.1141993135809598</v>
      </c>
      <c r="H18" s="19">
        <f t="shared" si="5"/>
        <v>2.0518327525759998</v>
      </c>
      <c r="I18" s="2">
        <v>0.77010000000000001</v>
      </c>
      <c r="J18" s="20">
        <f t="shared" si="6"/>
        <v>7.7010000000000005</v>
      </c>
      <c r="K18" s="21">
        <f t="shared" si="7"/>
        <v>770.1</v>
      </c>
      <c r="L18" s="3">
        <f t="shared" si="8"/>
        <v>17490.125462783169</v>
      </c>
      <c r="M18" s="4">
        <f t="shared" si="10"/>
        <v>4.0109375000000007</v>
      </c>
      <c r="N18" s="4">
        <f t="shared" si="11"/>
        <v>2.8123737680325819E-2</v>
      </c>
      <c r="O18" s="4">
        <f t="shared" si="12"/>
        <v>7.0309344200814548E-3</v>
      </c>
      <c r="P18" s="4">
        <f t="shared" si="13"/>
        <v>6.9484235686140196E-4</v>
      </c>
      <c r="U18" s="22">
        <v>1.2</v>
      </c>
      <c r="V18" s="23">
        <f t="shared" si="9"/>
        <v>19883.495145631066</v>
      </c>
      <c r="W18" s="23">
        <f t="shared" si="14"/>
        <v>2.4590064593396969E-2</v>
      </c>
      <c r="X18" s="23">
        <f t="shared" si="15"/>
        <v>6.6612127032113022E-3</v>
      </c>
      <c r="Y18" s="25"/>
      <c r="Z18" s="1"/>
      <c r="AA18" s="1"/>
      <c r="AD18" s="36" t="s">
        <v>40</v>
      </c>
      <c r="AE18" s="37"/>
      <c r="AF18" s="37"/>
      <c r="AG18" s="37"/>
    </row>
    <row r="19" spans="1:33" x14ac:dyDescent="0.35">
      <c r="A19" s="24"/>
      <c r="B19" s="18"/>
      <c r="C19" s="19"/>
      <c r="D19" s="19"/>
      <c r="E19" s="3"/>
      <c r="F19" s="19"/>
      <c r="G19" s="19"/>
      <c r="H19" s="19"/>
      <c r="I19" s="20"/>
      <c r="J19" s="20"/>
      <c r="K19" s="21"/>
      <c r="U19" s="22">
        <v>1.3</v>
      </c>
      <c r="V19" s="23">
        <f t="shared" si="9"/>
        <v>21540.453074433655</v>
      </c>
      <c r="W19" s="23">
        <f t="shared" si="14"/>
        <v>2.4102891344997587E-2</v>
      </c>
      <c r="X19" s="23">
        <f t="shared" si="15"/>
        <v>6.5292421417442103E-3</v>
      </c>
      <c r="Y19" s="25"/>
      <c r="AD19" s="38" t="s">
        <v>41</v>
      </c>
      <c r="AE19" s="37" t="s">
        <v>42</v>
      </c>
      <c r="AF19" s="37" t="s">
        <v>43</v>
      </c>
      <c r="AG19" s="37" t="s">
        <v>44</v>
      </c>
    </row>
    <row r="20" spans="1:33" x14ac:dyDescent="0.35">
      <c r="A20" s="24"/>
      <c r="B20" s="18"/>
      <c r="C20" s="19"/>
      <c r="D20" s="19"/>
      <c r="E20" s="3"/>
      <c r="F20" s="19"/>
      <c r="G20" s="19"/>
      <c r="H20" s="19"/>
      <c r="I20" s="20"/>
      <c r="J20" s="20"/>
      <c r="K20" s="21"/>
      <c r="U20" s="22">
        <v>1.4</v>
      </c>
      <c r="V20" s="23">
        <f t="shared" si="9"/>
        <v>23197.411003236241</v>
      </c>
      <c r="W20" s="23">
        <f t="shared" si="14"/>
        <v>2.3660448468506973E-2</v>
      </c>
      <c r="X20" s="23">
        <f t="shared" si="15"/>
        <v>6.4093886091058285E-3</v>
      </c>
      <c r="Y20" s="25"/>
      <c r="Z20" s="1" t="s">
        <v>45</v>
      </c>
      <c r="AA20" s="1">
        <f>4*10^(-6)</f>
        <v>3.9999999999999998E-6</v>
      </c>
      <c r="AD20" s="38" t="s">
        <v>46</v>
      </c>
      <c r="AE20" s="37" t="s">
        <v>47</v>
      </c>
      <c r="AF20" s="37" t="s">
        <v>48</v>
      </c>
      <c r="AG20" s="37" t="s">
        <v>49</v>
      </c>
    </row>
    <row r="21" spans="1:33" x14ac:dyDescent="0.35">
      <c r="A21" s="24"/>
      <c r="B21" s="18"/>
      <c r="C21" s="19"/>
      <c r="D21" s="19"/>
      <c r="E21" s="43"/>
      <c r="F21" s="19"/>
      <c r="G21" s="19"/>
      <c r="H21" s="19"/>
      <c r="I21" s="20"/>
      <c r="J21" s="20"/>
      <c r="K21" s="21"/>
      <c r="U21" s="22">
        <v>1.5</v>
      </c>
      <c r="V21" s="23">
        <f t="shared" si="9"/>
        <v>24854.368932038833</v>
      </c>
      <c r="W21" s="23">
        <f t="shared" si="14"/>
        <v>2.3255847254051276E-2</v>
      </c>
      <c r="X21" s="23">
        <f t="shared" si="15"/>
        <v>6.2997860198474526E-3</v>
      </c>
      <c r="Y21" s="25"/>
      <c r="Z21" s="1" t="s">
        <v>50</v>
      </c>
      <c r="AA21" s="2">
        <f>AA20/AA11</f>
        <v>2.3999999999999998E-4</v>
      </c>
      <c r="AD21" s="37">
        <v>0</v>
      </c>
      <c r="AE21" s="37">
        <v>1.792E-3</v>
      </c>
      <c r="AF21" s="37">
        <v>999.87</v>
      </c>
      <c r="AG21" s="39">
        <v>1.7922329902887374E-6</v>
      </c>
    </row>
    <row r="22" spans="1:33" x14ac:dyDescent="0.35">
      <c r="A22" s="24"/>
      <c r="B22" s="18"/>
      <c r="C22" s="19"/>
      <c r="D22" s="19"/>
      <c r="E22" s="3"/>
      <c r="F22" s="19"/>
      <c r="G22" s="19"/>
      <c r="H22" s="19"/>
      <c r="I22" s="20"/>
      <c r="J22" s="20"/>
      <c r="K22" s="21"/>
      <c r="P22" s="43"/>
      <c r="U22" s="22">
        <v>1.6</v>
      </c>
      <c r="V22" s="23">
        <f t="shared" si="9"/>
        <v>26511.326860841422</v>
      </c>
      <c r="W22" s="23">
        <f t="shared" si="14"/>
        <v>2.288363359624972E-2</v>
      </c>
      <c r="X22" s="23">
        <f t="shared" si="15"/>
        <v>6.1989569091210721E-3</v>
      </c>
      <c r="Y22" s="25"/>
      <c r="AD22" s="37">
        <v>5</v>
      </c>
      <c r="AE22" s="37">
        <v>1.519E-3</v>
      </c>
      <c r="AF22" s="37">
        <v>999.99</v>
      </c>
      <c r="AG22" s="39">
        <v>1.5190151901519014E-6</v>
      </c>
    </row>
    <row r="23" spans="1:33" x14ac:dyDescent="0.35">
      <c r="B23" s="18"/>
      <c r="C23" s="19"/>
      <c r="D23" s="19"/>
      <c r="E23" s="3"/>
      <c r="F23" s="3"/>
      <c r="G23" s="19"/>
      <c r="H23" s="19"/>
      <c r="I23" s="19"/>
      <c r="J23" s="20"/>
      <c r="K23" s="21"/>
      <c r="U23" s="22">
        <v>1.7</v>
      </c>
      <c r="V23" s="23">
        <f t="shared" si="9"/>
        <v>28168.284789644007</v>
      </c>
      <c r="W23" s="23">
        <f t="shared" si="14"/>
        <v>2.2539420748864131E-2</v>
      </c>
      <c r="X23" s="23">
        <f t="shared" si="15"/>
        <v>6.1057129494354557E-3</v>
      </c>
      <c r="Y23" s="25"/>
      <c r="Z23" s="40"/>
      <c r="AD23" s="37">
        <f>AD22+5</f>
        <v>10</v>
      </c>
      <c r="AE23" s="37">
        <v>1.3079999999999999E-3</v>
      </c>
      <c r="AF23" s="37">
        <v>999.73</v>
      </c>
      <c r="AG23" s="39">
        <v>1.3083532553789522E-6</v>
      </c>
    </row>
    <row r="24" spans="1:33" x14ac:dyDescent="0.35">
      <c r="B24" s="18"/>
      <c r="C24" s="19"/>
      <c r="D24" s="19"/>
      <c r="E24" s="3"/>
      <c r="F24" s="3"/>
      <c r="G24" s="19"/>
      <c r="H24" s="19"/>
      <c r="I24" s="19"/>
      <c r="J24" s="20"/>
      <c r="K24" s="21"/>
      <c r="U24" s="22">
        <v>1.8</v>
      </c>
      <c r="V24" s="23">
        <f t="shared" si="9"/>
        <v>29825.2427184466</v>
      </c>
      <c r="W24" s="23">
        <f t="shared" si="14"/>
        <v>2.2219631635489009E-2</v>
      </c>
      <c r="X24" s="23">
        <f t="shared" si="15"/>
        <v>6.0190851450930847E-3</v>
      </c>
      <c r="Y24" s="4"/>
      <c r="Z24" s="40"/>
      <c r="AD24" s="37" t="e">
        <f>#REF!+5</f>
        <v>#REF!</v>
      </c>
      <c r="AE24" s="37">
        <v>1.005E-3</v>
      </c>
      <c r="AF24" s="37">
        <v>998.23</v>
      </c>
      <c r="AG24" s="39">
        <v>1.0067820041473407E-6</v>
      </c>
    </row>
    <row r="25" spans="1:33" x14ac:dyDescent="0.35">
      <c r="B25" s="18"/>
      <c r="C25" s="19"/>
      <c r="D25" s="19"/>
      <c r="E25" s="3"/>
      <c r="F25" s="3"/>
      <c r="G25" s="19"/>
      <c r="H25" s="19"/>
      <c r="I25" s="19"/>
      <c r="J25" s="20"/>
      <c r="K25" s="21"/>
      <c r="U25" s="22">
        <v>1.9</v>
      </c>
      <c r="V25" s="23">
        <f t="shared" si="9"/>
        <v>31482.200647249185</v>
      </c>
      <c r="W25" s="23">
        <f t="shared" si="14"/>
        <v>2.1921313893836232E-2</v>
      </c>
      <c r="X25" s="23">
        <f t="shared" si="15"/>
        <v>5.9382737294604322E-3</v>
      </c>
      <c r="Y25" s="4"/>
      <c r="Z25" s="40"/>
      <c r="AD25" s="37">
        <v>25</v>
      </c>
      <c r="AE25" s="37">
        <v>8.9400000000000005E-4</v>
      </c>
      <c r="AF25" s="37">
        <v>997.07</v>
      </c>
      <c r="AG25" s="39">
        <v>8.9662711745414066E-7</v>
      </c>
    </row>
    <row r="26" spans="1:33" x14ac:dyDescent="0.35">
      <c r="N26" s="22"/>
      <c r="U26" s="22">
        <v>2</v>
      </c>
      <c r="V26" s="23">
        <f t="shared" si="9"/>
        <v>33139.158576051777</v>
      </c>
      <c r="W26" s="23">
        <f t="shared" si="14"/>
        <v>2.1642004457156336E-2</v>
      </c>
      <c r="X26" s="23">
        <f t="shared" si="15"/>
        <v>5.862611481373515E-3</v>
      </c>
      <c r="Y26" s="4"/>
      <c r="Z26" s="40"/>
      <c r="AD26" s="32"/>
      <c r="AE26" s="32"/>
      <c r="AF26" s="32"/>
      <c r="AG26" s="32"/>
    </row>
    <row r="27" spans="1:33" x14ac:dyDescent="0.35">
      <c r="K27" s="1"/>
      <c r="L27" s="4"/>
      <c r="N27" s="22"/>
      <c r="U27" s="22">
        <v>2.1</v>
      </c>
      <c r="V27" s="23">
        <f t="shared" si="9"/>
        <v>34796.11650485437</v>
      </c>
      <c r="W27" s="23">
        <f t="shared" si="14"/>
        <v>2.1379628642450382E-2</v>
      </c>
      <c r="X27" s="23">
        <f t="shared" si="15"/>
        <v>5.7915363891021419E-3</v>
      </c>
      <c r="Y27" s="4"/>
      <c r="Z27" s="40"/>
      <c r="AD27" s="32"/>
      <c r="AE27" s="32"/>
      <c r="AF27" s="32"/>
      <c r="AG27" s="32"/>
    </row>
    <row r="28" spans="1:33" x14ac:dyDescent="0.35">
      <c r="U28" s="22">
        <v>2.2000000000000002</v>
      </c>
      <c r="V28" s="23">
        <f t="shared" si="9"/>
        <v>36453.074433656955</v>
      </c>
      <c r="W28" s="23">
        <f t="shared" si="14"/>
        <v>2.113242376098325E-2</v>
      </c>
      <c r="X28" s="23">
        <f t="shared" si="15"/>
        <v>5.7245709571704627E-3</v>
      </c>
      <c r="Y28" s="4"/>
      <c r="Z28" s="40"/>
      <c r="AD28" s="32"/>
      <c r="AE28" s="32"/>
      <c r="AF28" s="32"/>
      <c r="AG28" s="32"/>
    </row>
    <row r="29" spans="1:33" x14ac:dyDescent="0.35">
      <c r="L29" s="41"/>
      <c r="U29" s="22">
        <v>2.2999999999999998</v>
      </c>
      <c r="V29" s="23">
        <f t="shared" si="9"/>
        <v>38110.03236245954</v>
      </c>
      <c r="W29" s="23">
        <f t="shared" si="14"/>
        <v>2.0898880469951378E-2</v>
      </c>
      <c r="X29" s="23">
        <f t="shared" si="15"/>
        <v>5.6613063190861443E-3</v>
      </c>
      <c r="Y29" s="4"/>
      <c r="Z29" s="40"/>
      <c r="AD29" s="32"/>
      <c r="AE29" s="32"/>
      <c r="AF29" s="32"/>
      <c r="AG29" s="32"/>
    </row>
    <row r="30" spans="1:33" x14ac:dyDescent="0.35">
      <c r="U30" s="22">
        <v>2.4</v>
      </c>
      <c r="V30" s="23">
        <f t="shared" si="9"/>
        <v>39766.990291262133</v>
      </c>
      <c r="W30" s="23">
        <f t="shared" si="14"/>
        <v>2.0677697167444799E-2</v>
      </c>
      <c r="X30" s="23">
        <f t="shared" si="15"/>
        <v>5.6013898833728905E-3</v>
      </c>
      <c r="Y30" s="4"/>
      <c r="Z30" s="40"/>
      <c r="AD30" s="32"/>
      <c r="AE30" s="32"/>
      <c r="AF30" s="32"/>
      <c r="AG30" s="32"/>
    </row>
    <row r="31" spans="1:33" x14ac:dyDescent="0.35">
      <c r="F31" s="1"/>
      <c r="G31" s="1"/>
      <c r="U31" s="22">
        <v>2.5</v>
      </c>
      <c r="V31" s="23">
        <f t="shared" si="9"/>
        <v>41423.948220064718</v>
      </c>
      <c r="W31" s="23">
        <f t="shared" si="14"/>
        <v>2.046774411736494E-2</v>
      </c>
      <c r="X31" s="23">
        <f t="shared" si="15"/>
        <v>5.544515615354682E-3</v>
      </c>
      <c r="Y31" s="4"/>
      <c r="Z31" s="40"/>
      <c r="AD31" s="32"/>
      <c r="AE31" s="32"/>
      <c r="AF31" s="32"/>
      <c r="AG31" s="32"/>
    </row>
    <row r="32" spans="1:33" x14ac:dyDescent="0.35">
      <c r="G32" s="19"/>
      <c r="Y32" s="4"/>
      <c r="Z32" s="40"/>
    </row>
    <row r="33" spans="7:27" x14ac:dyDescent="0.35">
      <c r="G33" s="19"/>
      <c r="Y33" s="4"/>
      <c r="Z33" s="40"/>
      <c r="AA33" s="1" t="s">
        <v>51</v>
      </c>
    </row>
    <row r="34" spans="7:27" x14ac:dyDescent="0.35">
      <c r="G34" s="19"/>
      <c r="Y34" s="4"/>
      <c r="Z34" s="40"/>
    </row>
    <row r="35" spans="7:27" x14ac:dyDescent="0.35">
      <c r="G35" s="19"/>
      <c r="Y35" s="4"/>
      <c r="Z35" s="40"/>
    </row>
    <row r="36" spans="7:27" x14ac:dyDescent="0.35">
      <c r="G36" s="19"/>
      <c r="Y36" s="4"/>
    </row>
    <row r="37" spans="7:27" x14ac:dyDescent="0.35">
      <c r="G37" s="19"/>
      <c r="Y37" s="4"/>
    </row>
    <row r="38" spans="7:27" x14ac:dyDescent="0.35">
      <c r="R38" s="1" t="s">
        <v>83</v>
      </c>
      <c r="S38" s="99" t="s">
        <v>82</v>
      </c>
      <c r="Y38" s="4"/>
    </row>
    <row r="39" spans="7:27" x14ac:dyDescent="0.35">
      <c r="Q39" s="68">
        <v>15000</v>
      </c>
      <c r="R39" s="2">
        <f>((-0.0001)*(Q39)^2)+(3.5034*(Q39))+670430</f>
        <v>700481</v>
      </c>
      <c r="S39" s="72">
        <f>((-0.0000007)*(Q39)^2)-(0.0848*Q39)+27642</f>
        <v>26212.5</v>
      </c>
      <c r="U39" s="4"/>
      <c r="V39" s="16"/>
      <c r="W39" s="16"/>
      <c r="X39" s="4"/>
      <c r="Y39" s="4"/>
    </row>
    <row r="40" spans="7:27" x14ac:dyDescent="0.35">
      <c r="Q40" s="68">
        <v>22000</v>
      </c>
      <c r="R40" s="2">
        <f>((-0.0001)*(Q40)^2)+(3.5034*(Q40))+670430</f>
        <v>699104.8</v>
      </c>
      <c r="S40" s="72">
        <f t="shared" ref="S40:S41" si="16">((-0.0000007)*(Q40)^2)-(0.0848*Q40)+27642</f>
        <v>25437.599999999999</v>
      </c>
      <c r="U40" s="4"/>
      <c r="V40" s="16"/>
      <c r="W40" s="16"/>
      <c r="X40" s="4"/>
      <c r="Y40" s="4"/>
    </row>
    <row r="41" spans="7:27" x14ac:dyDescent="0.35">
      <c r="Q41" s="68">
        <v>40000</v>
      </c>
      <c r="R41" s="2">
        <f>((-0.0001)*(Q41)^2)+(3.5034*(Q41))+670430</f>
        <v>650566</v>
      </c>
      <c r="S41" s="72">
        <f t="shared" si="16"/>
        <v>23130</v>
      </c>
      <c r="U41" s="4"/>
      <c r="V41" s="16"/>
      <c r="W41" s="16"/>
      <c r="X41" s="4"/>
      <c r="Y41" s="4"/>
    </row>
    <row r="42" spans="7:27" x14ac:dyDescent="0.35">
      <c r="U42" s="4"/>
      <c r="V42" s="16"/>
      <c r="W42" s="16"/>
      <c r="X42" s="4"/>
      <c r="Y42" s="4"/>
    </row>
    <row r="43" spans="7:27" x14ac:dyDescent="0.35">
      <c r="U43" s="4"/>
      <c r="V43" s="16"/>
      <c r="W43" s="16"/>
      <c r="X43" s="4"/>
      <c r="Y43" s="4"/>
    </row>
    <row r="44" spans="7:27" x14ac:dyDescent="0.35">
      <c r="U44" s="4"/>
      <c r="V44" s="16"/>
      <c r="W44" s="16"/>
    </row>
    <row r="45" spans="7:27" x14ac:dyDescent="0.35">
      <c r="U45" s="4"/>
      <c r="V45" s="16"/>
      <c r="W45" s="16"/>
    </row>
    <row r="46" spans="7:27" x14ac:dyDescent="0.35">
      <c r="U46" s="4"/>
      <c r="V46" s="16"/>
      <c r="W46" s="16"/>
    </row>
    <row r="47" spans="7:27" x14ac:dyDescent="0.35">
      <c r="U47" s="4"/>
      <c r="V47" s="16"/>
      <c r="W47" s="16"/>
    </row>
    <row r="48" spans="7:27" x14ac:dyDescent="0.35">
      <c r="U48" s="4"/>
      <c r="V48" s="16"/>
      <c r="W48" s="16"/>
    </row>
    <row r="49" spans="21:23" x14ac:dyDescent="0.35">
      <c r="U49" s="4"/>
      <c r="V49" s="16"/>
      <c r="W49" s="16"/>
    </row>
    <row r="50" spans="21:23" x14ac:dyDescent="0.35">
      <c r="U50" s="4"/>
      <c r="V50" s="16"/>
      <c r="W50" s="16"/>
    </row>
    <row r="51" spans="21:23" x14ac:dyDescent="0.35">
      <c r="U51" s="4"/>
      <c r="V51" s="16"/>
      <c r="W51" s="16"/>
    </row>
    <row r="52" spans="21:23" x14ac:dyDescent="0.35">
      <c r="U52" s="4"/>
      <c r="V52" s="16"/>
      <c r="W52" s="16"/>
    </row>
    <row r="53" spans="21:23" x14ac:dyDescent="0.35">
      <c r="U53" s="4"/>
      <c r="V53" s="16"/>
      <c r="W53" s="16"/>
    </row>
    <row r="54" spans="21:23" x14ac:dyDescent="0.35">
      <c r="U54" s="4"/>
    </row>
  </sheetData>
  <mergeCells count="3">
    <mergeCell ref="A3:N3"/>
    <mergeCell ref="Z5:AA5"/>
    <mergeCell ref="Q4:S4"/>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44034-6A1C-49A8-B036-CD6E98AE8532}">
  <dimension ref="A1:AG54"/>
  <sheetViews>
    <sheetView topLeftCell="A22" zoomScale="50" zoomScaleNormal="50" zoomScalePageLayoutView="90" workbookViewId="0">
      <selection activeCell="Q36" sqref="Q36:U43"/>
    </sheetView>
  </sheetViews>
  <sheetFormatPr defaultColWidth="8.69140625" defaultRowHeight="15.5" x14ac:dyDescent="0.35"/>
  <cols>
    <col min="1" max="4" width="8.69140625" style="2"/>
    <col min="5" max="5" width="12.3046875" style="2" customWidth="1"/>
    <col min="6" max="6" width="15.69140625" style="2" bestFit="1" customWidth="1"/>
    <col min="7" max="7" width="8.53515625" style="2" customWidth="1"/>
    <col min="8" max="8" width="8.69140625" style="2"/>
    <col min="9" max="9" width="15.69140625" style="2" bestFit="1" customWidth="1"/>
    <col min="10" max="10" width="12.23046875" style="2" customWidth="1"/>
    <col min="11" max="11" width="10.4609375" style="2" customWidth="1"/>
    <col min="12" max="12" width="8.53515625" style="3" customWidth="1"/>
    <col min="13" max="13" width="7.3046875" style="4" bestFit="1" customWidth="1"/>
    <col min="14" max="14" width="8.4609375" style="4" customWidth="1"/>
    <col min="15" max="15" width="9.07421875" style="4" customWidth="1"/>
    <col min="16" max="16" width="27.23046875" style="4" customWidth="1"/>
    <col min="17" max="17" width="12.765625" style="68" customWidth="1"/>
    <col min="18" max="18" width="10" style="2" customWidth="1"/>
    <col min="19" max="19" width="10" style="72" customWidth="1"/>
    <col min="20" max="20" width="8.4609375" style="5" customWidth="1"/>
    <col min="21" max="21" width="10.23046875" style="2" customWidth="1"/>
    <col min="22" max="22" width="13.84375" style="2" customWidth="1"/>
    <col min="23" max="25" width="10" style="2" customWidth="1"/>
    <col min="26" max="26" width="21" style="2" customWidth="1"/>
    <col min="27" max="27" width="8.69140625" style="2" customWidth="1"/>
    <col min="28" max="28" width="8.69140625" style="2"/>
    <col min="29" max="29" width="22" style="2" customWidth="1"/>
    <col min="30" max="30" width="35.84375" style="2" customWidth="1"/>
    <col min="31" max="31" width="16.84375" style="2" customWidth="1"/>
    <col min="32" max="16384" width="8.69140625" style="2"/>
  </cols>
  <sheetData>
    <row r="1" spans="1:31" x14ac:dyDescent="0.35">
      <c r="A1" s="1" t="s">
        <v>0</v>
      </c>
      <c r="I1" s="1" t="s">
        <v>1</v>
      </c>
      <c r="J1" s="1" t="s">
        <v>2</v>
      </c>
      <c r="Q1" s="69" t="s">
        <v>116</v>
      </c>
    </row>
    <row r="2" spans="1:31" x14ac:dyDescent="0.35">
      <c r="A2" s="1"/>
      <c r="I2" s="1"/>
      <c r="J2" s="1"/>
      <c r="Q2" s="69" t="s">
        <v>85</v>
      </c>
    </row>
    <row r="3" spans="1:31" x14ac:dyDescent="0.35">
      <c r="A3" s="150" t="s">
        <v>3</v>
      </c>
      <c r="B3" s="150"/>
      <c r="C3" s="150"/>
      <c r="D3" s="150"/>
      <c r="E3" s="150"/>
      <c r="F3" s="150"/>
      <c r="G3" s="150"/>
      <c r="H3" s="150"/>
      <c r="I3" s="150"/>
      <c r="J3" s="150"/>
      <c r="K3" s="150"/>
      <c r="L3" s="150"/>
      <c r="M3" s="150"/>
      <c r="N3" s="150"/>
      <c r="O3" s="66"/>
      <c r="P3" s="66"/>
      <c r="T3" s="7"/>
    </row>
    <row r="4" spans="1:31" x14ac:dyDescent="0.35">
      <c r="Q4" s="152" t="s">
        <v>81</v>
      </c>
      <c r="R4" s="153"/>
      <c r="S4" s="154"/>
    </row>
    <row r="5" spans="1:31"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T5" s="14"/>
      <c r="U5" s="15" t="s">
        <v>19</v>
      </c>
      <c r="V5" s="16" t="s">
        <v>14</v>
      </c>
      <c r="W5" s="15" t="s">
        <v>20</v>
      </c>
      <c r="X5" s="16" t="s">
        <v>21</v>
      </c>
      <c r="Y5" s="1"/>
      <c r="Z5" s="151" t="s">
        <v>22</v>
      </c>
      <c r="AA5" s="151"/>
    </row>
    <row r="6" spans="1:31" x14ac:dyDescent="0.35">
      <c r="A6" s="17" t="s">
        <v>23</v>
      </c>
      <c r="B6" s="18">
        <v>0</v>
      </c>
      <c r="C6" s="19">
        <f t="shared" ref="C6:C18" si="0">B6*0.0166667</f>
        <v>0</v>
      </c>
      <c r="D6" s="19">
        <f t="shared" ref="D6:D18" si="1">B6*0.000277778</f>
        <v>0</v>
      </c>
      <c r="E6" s="3">
        <f t="shared" ref="E6:E18" si="2">0.001*D6</f>
        <v>0</v>
      </c>
      <c r="F6" s="19">
        <f t="shared" ref="F6:F18" si="3">E6/AA$7</f>
        <v>0</v>
      </c>
      <c r="G6" s="19">
        <f t="shared" ref="G6:G18" si="4">F6^(2)</f>
        <v>0</v>
      </c>
      <c r="H6" s="19">
        <f t="shared" ref="H6:H18" si="5">F6*1.94384</f>
        <v>0</v>
      </c>
      <c r="I6" s="20">
        <v>0</v>
      </c>
      <c r="J6" s="20">
        <f t="shared" ref="J6:J18" si="6">I6 * 10</f>
        <v>0</v>
      </c>
      <c r="K6" s="21">
        <f t="shared" ref="K6:K18" si="7">J6*100</f>
        <v>0</v>
      </c>
      <c r="L6" s="3">
        <f t="shared" ref="L6:L18" si="8">(F6*AA$11)/AA$12</f>
        <v>0</v>
      </c>
      <c r="U6" s="22">
        <v>0</v>
      </c>
      <c r="V6" s="23">
        <f t="shared" ref="V6:V31" si="9">(U6*AA$11)/AA$12</f>
        <v>0</v>
      </c>
      <c r="W6" s="23"/>
      <c r="X6" s="23"/>
    </row>
    <row r="7" spans="1:31" x14ac:dyDescent="0.35">
      <c r="A7" s="2" t="s">
        <v>52</v>
      </c>
      <c r="B7" s="2">
        <v>2000</v>
      </c>
      <c r="C7" s="19">
        <f t="shared" si="0"/>
        <v>33.333399999999997</v>
      </c>
      <c r="D7" s="19">
        <f t="shared" si="1"/>
        <v>0.55555600000000005</v>
      </c>
      <c r="E7" s="3">
        <f t="shared" si="2"/>
        <v>5.5555600000000002E-4</v>
      </c>
      <c r="F7" s="19">
        <f t="shared" si="3"/>
        <v>1.1111120000000001</v>
      </c>
      <c r="G7" s="19">
        <f t="shared" si="4"/>
        <v>1.2345698765440003</v>
      </c>
      <c r="H7" s="19">
        <f t="shared" si="5"/>
        <v>2.1598239500800003</v>
      </c>
      <c r="I7" s="2">
        <v>0.90088387096774203</v>
      </c>
      <c r="J7" s="20">
        <f t="shared" si="6"/>
        <v>9.0088387096774198</v>
      </c>
      <c r="K7" s="21">
        <f t="shared" si="7"/>
        <v>900.88387096774204</v>
      </c>
      <c r="L7" s="3">
        <f t="shared" si="8"/>
        <v>18410.65838187702</v>
      </c>
      <c r="M7" s="4">
        <f t="shared" ref="M7:M18" si="10">(AA$15*G7*N7)/8</f>
        <v>4.6921034946236562</v>
      </c>
      <c r="N7" s="4">
        <f t="shared" ref="N7:N18" si="11">(K7*2*AA$11)/(AA$13*AA$15*G7)</f>
        <v>2.969216991942444E-2</v>
      </c>
      <c r="O7" s="4">
        <f t="shared" ref="O7:O18" si="12">N7/4</f>
        <v>7.4230424798561101E-3</v>
      </c>
      <c r="P7" s="4">
        <f t="shared" ref="P7:P18" si="13">3.7*(10^(-1/(2*SQRT(N7)))-2.51/(L7*SQRT(N7)))</f>
        <v>1.7126534832892502E-3</v>
      </c>
      <c r="Q7" s="93" t="s">
        <v>178</v>
      </c>
      <c r="R7" s="98"/>
      <c r="S7" s="101"/>
      <c r="U7" s="22">
        <v>0.1</v>
      </c>
      <c r="V7" s="23">
        <f>(U7*AA$11)/AA$12</f>
        <v>1656.9579288025889</v>
      </c>
      <c r="W7" s="23">
        <f t="shared" ref="W7:W31" si="14">0.292/(V7^(0.25))</f>
        <v>4.5767267192499433E-2</v>
      </c>
      <c r="X7" s="23">
        <f>0.0791/(V7^0.25)</f>
        <v>1.2397913818242142E-2</v>
      </c>
      <c r="Y7" s="25"/>
      <c r="Z7" s="1" t="s">
        <v>24</v>
      </c>
      <c r="AA7" s="2">
        <f>AA$9*AA$10</f>
        <v>5.0000000000000001E-4</v>
      </c>
    </row>
    <row r="8" spans="1:31" x14ac:dyDescent="0.35">
      <c r="A8" s="2" t="s">
        <v>53</v>
      </c>
      <c r="B8" s="2">
        <v>2850</v>
      </c>
      <c r="C8" s="19">
        <f t="shared" si="0"/>
        <v>47.500095000000002</v>
      </c>
      <c r="D8" s="19">
        <f t="shared" si="1"/>
        <v>0.79166730000000007</v>
      </c>
      <c r="E8" s="3">
        <f t="shared" si="2"/>
        <v>7.9166730000000012E-4</v>
      </c>
      <c r="F8" s="19">
        <f t="shared" si="3"/>
        <v>1.5833346000000001</v>
      </c>
      <c r="G8" s="19">
        <f t="shared" si="4"/>
        <v>2.5069484555571604</v>
      </c>
      <c r="H8" s="19">
        <f t="shared" si="5"/>
        <v>3.0777491288640002</v>
      </c>
      <c r="I8" s="2">
        <v>1.8831516129032257</v>
      </c>
      <c r="J8" s="20">
        <f t="shared" si="6"/>
        <v>18.831516129032259</v>
      </c>
      <c r="K8" s="21">
        <f t="shared" si="7"/>
        <v>1883.1516129032259</v>
      </c>
      <c r="L8" s="3">
        <f t="shared" si="8"/>
        <v>26235.188194174756</v>
      </c>
      <c r="M8" s="4">
        <f t="shared" si="10"/>
        <v>9.8080813172043015</v>
      </c>
      <c r="N8" s="4">
        <f t="shared" si="11"/>
        <v>3.0565301460746958E-2</v>
      </c>
      <c r="O8" s="4">
        <f t="shared" si="12"/>
        <v>7.6413253651867394E-3</v>
      </c>
      <c r="P8" s="4">
        <f t="shared" si="13"/>
        <v>3.0834492917182939E-3</v>
      </c>
      <c r="Q8" s="102"/>
      <c r="R8" s="103"/>
      <c r="S8" s="104"/>
      <c r="U8" s="22">
        <v>0.2</v>
      </c>
      <c r="V8" s="23">
        <f t="shared" si="9"/>
        <v>3313.9158576051777</v>
      </c>
      <c r="W8" s="23">
        <f t="shared" si="14"/>
        <v>3.848553091813172E-2</v>
      </c>
      <c r="X8" s="23">
        <f t="shared" ref="X8:X31" si="15">0.0791/(V8^0.25)</f>
        <v>1.0425361286384313E-2</v>
      </c>
      <c r="Y8" s="25"/>
      <c r="Z8" s="2" t="s">
        <v>25</v>
      </c>
    </row>
    <row r="9" spans="1:31" ht="19" x14ac:dyDescent="0.4">
      <c r="A9" s="2" t="s">
        <v>54</v>
      </c>
      <c r="B9" s="2">
        <v>3750</v>
      </c>
      <c r="C9" s="19">
        <f t="shared" si="0"/>
        <v>62.500124999999997</v>
      </c>
      <c r="D9" s="19">
        <f t="shared" si="1"/>
        <v>1.0416675</v>
      </c>
      <c r="E9" s="3">
        <f t="shared" si="2"/>
        <v>1.0416675E-3</v>
      </c>
      <c r="F9" s="19">
        <f t="shared" si="3"/>
        <v>2.0833349999999999</v>
      </c>
      <c r="G9" s="19">
        <f t="shared" si="4"/>
        <v>4.3402847222249994</v>
      </c>
      <c r="H9" s="19">
        <f t="shared" si="5"/>
        <v>4.0496699064000001</v>
      </c>
      <c r="I9" s="2">
        <v>3.3868967741935485</v>
      </c>
      <c r="J9" s="20">
        <f t="shared" si="6"/>
        <v>33.868967741935485</v>
      </c>
      <c r="K9" s="21">
        <f t="shared" si="7"/>
        <v>3386.8967741935485</v>
      </c>
      <c r="L9" s="3">
        <f t="shared" si="8"/>
        <v>34519.984466019414</v>
      </c>
      <c r="M9" s="4">
        <f t="shared" si="10"/>
        <v>17.640087365591398</v>
      </c>
      <c r="N9" s="4">
        <f t="shared" si="11"/>
        <v>3.175210645467387E-2</v>
      </c>
      <c r="O9" s="4">
        <f t="shared" si="12"/>
        <v>7.9380266136684675E-3</v>
      </c>
      <c r="P9" s="4">
        <f t="shared" si="13"/>
        <v>4.2741876394517594E-3</v>
      </c>
      <c r="Q9" s="78"/>
      <c r="R9" s="61"/>
      <c r="S9" s="79"/>
      <c r="U9" s="22">
        <v>0.3</v>
      </c>
      <c r="V9" s="23">
        <f t="shared" si="9"/>
        <v>4970.8737864077666</v>
      </c>
      <c r="W9" s="23">
        <f t="shared" si="14"/>
        <v>3.4775602847612441E-2</v>
      </c>
      <c r="X9" s="23">
        <f t="shared" si="15"/>
        <v>9.4203773467333701E-3</v>
      </c>
      <c r="Y9" s="25"/>
      <c r="Z9" s="1" t="s">
        <v>26</v>
      </c>
      <c r="AA9" s="19">
        <v>0.05</v>
      </c>
      <c r="AD9" s="27" t="s">
        <v>27</v>
      </c>
    </row>
    <row r="10" spans="1:31" ht="18.5" x14ac:dyDescent="0.35">
      <c r="A10" s="2" t="s">
        <v>55</v>
      </c>
      <c r="B10" s="2">
        <v>4600</v>
      </c>
      <c r="C10" s="19">
        <f t="shared" si="0"/>
        <v>76.666820000000001</v>
      </c>
      <c r="D10" s="19">
        <f t="shared" si="1"/>
        <v>1.2777788000000001</v>
      </c>
      <c r="E10" s="3">
        <f t="shared" si="2"/>
        <v>1.2777788000000001E-3</v>
      </c>
      <c r="F10" s="19">
        <f t="shared" si="3"/>
        <v>2.5555576000000002</v>
      </c>
      <c r="G10" s="19">
        <f t="shared" si="4"/>
        <v>6.530874646917761</v>
      </c>
      <c r="H10" s="19">
        <f t="shared" si="5"/>
        <v>4.9675950851840005</v>
      </c>
      <c r="I10" s="2">
        <v>5.2734870967741925</v>
      </c>
      <c r="J10" s="20">
        <f t="shared" si="6"/>
        <v>52.734870967741927</v>
      </c>
      <c r="K10" s="21">
        <f t="shared" si="7"/>
        <v>5273.4870967741927</v>
      </c>
      <c r="L10" s="3">
        <f t="shared" si="8"/>
        <v>42344.514278317147</v>
      </c>
      <c r="M10" s="4">
        <f t="shared" si="10"/>
        <v>27.466078629032253</v>
      </c>
      <c r="N10" s="4">
        <f t="shared" si="11"/>
        <v>3.2856049287454121E-2</v>
      </c>
      <c r="O10" s="4">
        <f t="shared" si="12"/>
        <v>8.2140123218635303E-3</v>
      </c>
      <c r="P10" s="4">
        <f t="shared" si="13"/>
        <v>5.2431559984556847E-3</v>
      </c>
      <c r="Q10" s="78"/>
      <c r="R10" s="61"/>
      <c r="S10" s="79"/>
      <c r="U10" s="22">
        <v>0.4</v>
      </c>
      <c r="V10" s="23">
        <f t="shared" si="9"/>
        <v>6627.8317152103555</v>
      </c>
      <c r="W10" s="23">
        <f t="shared" si="14"/>
        <v>3.2362344988192952E-2</v>
      </c>
      <c r="X10" s="23">
        <f t="shared" si="15"/>
        <v>8.7666489334454218E-3</v>
      </c>
      <c r="Y10" s="25"/>
      <c r="Z10" s="1" t="s">
        <v>28</v>
      </c>
      <c r="AA10" s="19">
        <v>0.01</v>
      </c>
      <c r="AD10" s="28" t="s">
        <v>29</v>
      </c>
      <c r="AE10" s="2" t="s">
        <v>30</v>
      </c>
    </row>
    <row r="11" spans="1:31" ht="16.5" x14ac:dyDescent="0.4">
      <c r="A11" s="2" t="s">
        <v>56</v>
      </c>
      <c r="B11" s="2">
        <v>5250</v>
      </c>
      <c r="C11" s="19">
        <f t="shared" si="0"/>
        <v>87.500174999999999</v>
      </c>
      <c r="D11" s="19">
        <f t="shared" si="1"/>
        <v>1.4583345000000001</v>
      </c>
      <c r="E11" s="3">
        <f t="shared" si="2"/>
        <v>1.4583345000000001E-3</v>
      </c>
      <c r="F11" s="19">
        <f t="shared" si="3"/>
        <v>2.9166690000000002</v>
      </c>
      <c r="G11" s="19">
        <f t="shared" si="4"/>
        <v>8.5069580555610003</v>
      </c>
      <c r="H11" s="19">
        <f t="shared" si="5"/>
        <v>5.66953786896</v>
      </c>
      <c r="I11" s="2">
        <v>6.7358838709677427</v>
      </c>
      <c r="J11" s="20">
        <f t="shared" si="6"/>
        <v>67.358838709677428</v>
      </c>
      <c r="K11" s="21">
        <f t="shared" si="7"/>
        <v>6735.883870967743</v>
      </c>
      <c r="L11" s="3">
        <f t="shared" si="8"/>
        <v>48327.978252427187</v>
      </c>
      <c r="M11" s="4">
        <f t="shared" si="10"/>
        <v>35.082728494623659</v>
      </c>
      <c r="N11" s="4">
        <f t="shared" si="11"/>
        <v>3.2218780740911106E-2</v>
      </c>
      <c r="O11" s="4">
        <f t="shared" si="12"/>
        <v>8.0546951852277764E-3</v>
      </c>
      <c r="P11" s="4">
        <f t="shared" si="13"/>
        <v>4.991509393107091E-3</v>
      </c>
      <c r="Q11" s="94"/>
      <c r="R11" s="22"/>
      <c r="S11" s="100"/>
      <c r="U11" s="22">
        <v>0.5</v>
      </c>
      <c r="V11" s="23">
        <f t="shared" si="9"/>
        <v>8284.7896440129443</v>
      </c>
      <c r="W11" s="23">
        <f t="shared" si="14"/>
        <v>3.0606416220249465E-2</v>
      </c>
      <c r="X11" s="23">
        <f t="shared" si="15"/>
        <v>8.290984667882648E-3</v>
      </c>
      <c r="Y11" s="25"/>
      <c r="Z11" s="1" t="s">
        <v>163</v>
      </c>
      <c r="AA11" s="4">
        <f>2*(AA9*AA10)/(AA9+AA10)</f>
        <v>1.6666666666666666E-2</v>
      </c>
      <c r="AB11" s="1">
        <f>10*AA11*100</f>
        <v>16.666666666666664</v>
      </c>
      <c r="AD11" s="27" t="s">
        <v>32</v>
      </c>
      <c r="AE11" s="2" t="s">
        <v>33</v>
      </c>
    </row>
    <row r="12" spans="1:31" x14ac:dyDescent="0.35">
      <c r="A12" s="2" t="s">
        <v>63</v>
      </c>
      <c r="B12" s="2">
        <v>5950</v>
      </c>
      <c r="C12" s="19">
        <f t="shared" si="0"/>
        <v>99.166865000000001</v>
      </c>
      <c r="D12" s="19">
        <f t="shared" si="1"/>
        <v>1.6527791000000001</v>
      </c>
      <c r="E12" s="3">
        <f t="shared" si="2"/>
        <v>1.6527791000000001E-3</v>
      </c>
      <c r="F12" s="19">
        <f t="shared" si="3"/>
        <v>3.3055582000000001</v>
      </c>
      <c r="G12" s="19">
        <f t="shared" si="4"/>
        <v>10.926715013587241</v>
      </c>
      <c r="H12" s="19">
        <f t="shared" si="5"/>
        <v>6.4254762514879999</v>
      </c>
      <c r="I12" s="2">
        <v>8.3309419354838727</v>
      </c>
      <c r="J12" s="20">
        <f t="shared" si="6"/>
        <v>83.309419354838724</v>
      </c>
      <c r="K12" s="21">
        <f t="shared" si="7"/>
        <v>8330.9419354838719</v>
      </c>
      <c r="L12" s="3">
        <f t="shared" si="8"/>
        <v>54771.708686084137</v>
      </c>
      <c r="M12" s="4">
        <f t="shared" si="10"/>
        <v>43.390322580645162</v>
      </c>
      <c r="N12" s="4">
        <f t="shared" si="11"/>
        <v>3.1023678638983823E-2</v>
      </c>
      <c r="O12" s="4">
        <f t="shared" si="12"/>
        <v>7.7559196597459558E-3</v>
      </c>
      <c r="P12" s="4">
        <f t="shared" si="13"/>
        <v>4.4011893087286501E-3</v>
      </c>
      <c r="Q12" s="71"/>
      <c r="R12" s="4"/>
      <c r="S12" s="74"/>
      <c r="U12" s="22">
        <v>0.6</v>
      </c>
      <c r="V12" s="23">
        <f t="shared" si="9"/>
        <v>9941.7475728155332</v>
      </c>
      <c r="W12" s="23">
        <f t="shared" si="14"/>
        <v>2.9242679772844168E-2</v>
      </c>
      <c r="X12" s="23">
        <f t="shared" si="15"/>
        <v>7.9215615412053901E-3</v>
      </c>
      <c r="Y12" s="25"/>
      <c r="Z12" s="1" t="s">
        <v>164</v>
      </c>
      <c r="AA12" s="31">
        <f>AA$16/AA$15</f>
        <v>1.0058593750000001E-6</v>
      </c>
    </row>
    <row r="13" spans="1:31" ht="16.5" x14ac:dyDescent="0.4">
      <c r="A13" s="2" t="s">
        <v>62</v>
      </c>
      <c r="B13" s="2">
        <v>5950</v>
      </c>
      <c r="C13" s="19">
        <f t="shared" si="0"/>
        <v>99.166865000000001</v>
      </c>
      <c r="D13" s="19">
        <f t="shared" si="1"/>
        <v>1.6527791000000001</v>
      </c>
      <c r="E13" s="3">
        <f t="shared" si="2"/>
        <v>1.6527791000000001E-3</v>
      </c>
      <c r="F13" s="19">
        <f t="shared" si="3"/>
        <v>3.3055582000000001</v>
      </c>
      <c r="G13" s="19">
        <f t="shared" si="4"/>
        <v>10.926715013587241</v>
      </c>
      <c r="H13" s="19">
        <f t="shared" si="5"/>
        <v>6.4254762514879999</v>
      </c>
      <c r="I13" s="2">
        <v>8.3309419354838727</v>
      </c>
      <c r="J13" s="20">
        <f t="shared" si="6"/>
        <v>83.309419354838724</v>
      </c>
      <c r="K13" s="21">
        <f t="shared" si="7"/>
        <v>8330.9419354838719</v>
      </c>
      <c r="L13" s="3">
        <f t="shared" si="8"/>
        <v>54771.708686084137</v>
      </c>
      <c r="M13" s="4">
        <f t="shared" si="10"/>
        <v>43.390322580645162</v>
      </c>
      <c r="N13" s="4">
        <f t="shared" si="11"/>
        <v>3.1023678638983823E-2</v>
      </c>
      <c r="O13" s="4">
        <f t="shared" si="12"/>
        <v>7.7559196597459558E-3</v>
      </c>
      <c r="P13" s="4">
        <f t="shared" si="13"/>
        <v>4.4011893087286501E-3</v>
      </c>
      <c r="Q13" s="71"/>
      <c r="R13" s="4"/>
      <c r="S13" s="74"/>
      <c r="U13" s="22">
        <v>0.7</v>
      </c>
      <c r="V13" s="23">
        <f t="shared" si="9"/>
        <v>11598.70550161812</v>
      </c>
      <c r="W13" s="23">
        <f t="shared" si="14"/>
        <v>2.813717366290373E-2</v>
      </c>
      <c r="X13" s="23">
        <f t="shared" si="15"/>
        <v>7.6220905367660454E-3</v>
      </c>
      <c r="Y13" s="25"/>
      <c r="Z13" s="1" t="s">
        <v>35</v>
      </c>
      <c r="AA13" s="32">
        <v>0.8</v>
      </c>
      <c r="AD13" s="27" t="s">
        <v>36</v>
      </c>
      <c r="AE13" s="1" t="s">
        <v>37</v>
      </c>
    </row>
    <row r="14" spans="1:31" x14ac:dyDescent="0.35">
      <c r="A14" s="2" t="s">
        <v>57</v>
      </c>
      <c r="B14" s="2">
        <v>5200</v>
      </c>
      <c r="C14" s="19">
        <f t="shared" si="0"/>
        <v>86.666839999999993</v>
      </c>
      <c r="D14" s="19">
        <f t="shared" si="1"/>
        <v>1.4444456000000001</v>
      </c>
      <c r="E14" s="3">
        <f t="shared" si="2"/>
        <v>1.4444456000000001E-3</v>
      </c>
      <c r="F14" s="19">
        <f t="shared" si="3"/>
        <v>2.8888912000000002</v>
      </c>
      <c r="G14" s="19">
        <f t="shared" si="4"/>
        <v>8.3456923654374418</v>
      </c>
      <c r="H14" s="19">
        <f t="shared" si="5"/>
        <v>5.6155422702080005</v>
      </c>
      <c r="I14" s="2">
        <v>6.7913258064516127</v>
      </c>
      <c r="J14" s="20">
        <f t="shared" si="6"/>
        <v>67.913258064516128</v>
      </c>
      <c r="K14" s="21">
        <f t="shared" si="7"/>
        <v>6791.3258064516131</v>
      </c>
      <c r="L14" s="3">
        <f t="shared" si="8"/>
        <v>47867.711792880255</v>
      </c>
      <c r="M14" s="4">
        <f t="shared" si="10"/>
        <v>35.371488575268813</v>
      </c>
      <c r="N14" s="4">
        <f t="shared" si="11"/>
        <v>3.3111663166343321E-2</v>
      </c>
      <c r="O14" s="4">
        <f t="shared" si="12"/>
        <v>8.2779157915858301E-3</v>
      </c>
      <c r="P14" s="4">
        <f t="shared" si="13"/>
        <v>5.5473806552832593E-3</v>
      </c>
      <c r="Q14" s="71"/>
      <c r="R14" s="4"/>
      <c r="S14" s="74"/>
      <c r="U14" s="22">
        <v>0.8</v>
      </c>
      <c r="V14" s="23">
        <f t="shared" si="9"/>
        <v>13255.663430420711</v>
      </c>
      <c r="W14" s="23">
        <f t="shared" si="14"/>
        <v>2.7213379889775471E-2</v>
      </c>
      <c r="X14" s="23">
        <f t="shared" si="15"/>
        <v>7.3718436619220548E-3</v>
      </c>
      <c r="Y14" s="25"/>
      <c r="AA14" s="32"/>
    </row>
    <row r="15" spans="1:31" x14ac:dyDescent="0.35">
      <c r="A15" s="2" t="s">
        <v>58</v>
      </c>
      <c r="B15" s="2">
        <v>4450</v>
      </c>
      <c r="C15" s="19">
        <f t="shared" si="0"/>
        <v>74.166815</v>
      </c>
      <c r="D15" s="19">
        <f t="shared" si="1"/>
        <v>1.2361120999999999</v>
      </c>
      <c r="E15" s="3">
        <f t="shared" si="2"/>
        <v>1.2361121E-3</v>
      </c>
      <c r="F15" s="19">
        <f t="shared" si="3"/>
        <v>2.4722241999999999</v>
      </c>
      <c r="G15" s="19">
        <f t="shared" si="4"/>
        <v>6.1118924950656393</v>
      </c>
      <c r="H15" s="19">
        <f t="shared" si="5"/>
        <v>4.8056082889280001</v>
      </c>
      <c r="I15" s="2">
        <v>4.8525354838709704</v>
      </c>
      <c r="J15" s="20">
        <f t="shared" si="6"/>
        <v>48.525354838709703</v>
      </c>
      <c r="K15" s="21">
        <f t="shared" si="7"/>
        <v>4852.53548387097</v>
      </c>
      <c r="L15" s="3">
        <f t="shared" si="8"/>
        <v>40963.714899676372</v>
      </c>
      <c r="M15" s="4">
        <f t="shared" si="10"/>
        <v>25.273622311827967</v>
      </c>
      <c r="N15" s="4">
        <f t="shared" si="11"/>
        <v>3.2305897800160091E-2</v>
      </c>
      <c r="O15" s="4">
        <f t="shared" si="12"/>
        <v>8.0764744500400228E-3</v>
      </c>
      <c r="P15" s="4">
        <f t="shared" si="13"/>
        <v>4.8534372137965338E-3</v>
      </c>
      <c r="Q15" s="71"/>
      <c r="R15" s="4"/>
      <c r="S15" s="74"/>
      <c r="T15" s="34"/>
      <c r="U15" s="22">
        <v>0.9</v>
      </c>
      <c r="V15" s="23">
        <f t="shared" si="9"/>
        <v>14912.6213592233</v>
      </c>
      <c r="W15" s="23">
        <f t="shared" si="14"/>
        <v>2.6423744033663078E-2</v>
      </c>
      <c r="X15" s="23">
        <f t="shared" si="15"/>
        <v>7.1579388803518825E-3</v>
      </c>
      <c r="Y15" s="25"/>
      <c r="Z15" s="2" t="s">
        <v>38</v>
      </c>
      <c r="AA15" s="32">
        <f>VLOOKUP(AA17, SW!A4:F34, 3, FALSE)</f>
        <v>1024</v>
      </c>
      <c r="AB15" s="32"/>
    </row>
    <row r="16" spans="1:31" x14ac:dyDescent="0.35">
      <c r="A16" s="2" t="s">
        <v>59</v>
      </c>
      <c r="B16" s="2">
        <v>3600</v>
      </c>
      <c r="C16" s="19">
        <f t="shared" si="0"/>
        <v>60.000119999999995</v>
      </c>
      <c r="D16" s="19">
        <f t="shared" si="1"/>
        <v>1.0000008</v>
      </c>
      <c r="E16" s="3">
        <f t="shared" si="2"/>
        <v>1.0000008000000001E-3</v>
      </c>
      <c r="F16" s="19">
        <f t="shared" si="3"/>
        <v>2.0000016</v>
      </c>
      <c r="G16" s="19">
        <f t="shared" si="4"/>
        <v>4.0000064000025599</v>
      </c>
      <c r="H16" s="19">
        <f t="shared" si="5"/>
        <v>3.8876831101440001</v>
      </c>
      <c r="I16" s="2">
        <v>3.0820064516129033</v>
      </c>
      <c r="J16" s="20">
        <f t="shared" si="6"/>
        <v>30.820064516129033</v>
      </c>
      <c r="K16" s="21">
        <f t="shared" si="7"/>
        <v>3082.0064516129032</v>
      </c>
      <c r="L16" s="3">
        <f t="shared" si="8"/>
        <v>33139.185087378639</v>
      </c>
      <c r="M16" s="4">
        <f t="shared" si="10"/>
        <v>16.05211693548387</v>
      </c>
      <c r="N16" s="4">
        <f t="shared" si="11"/>
        <v>3.1351740726811704E-2</v>
      </c>
      <c r="O16" s="4">
        <f t="shared" si="12"/>
        <v>7.837935181702926E-3</v>
      </c>
      <c r="P16" s="4">
        <f t="shared" si="13"/>
        <v>3.9682389695825711E-3</v>
      </c>
      <c r="U16" s="22">
        <v>1</v>
      </c>
      <c r="V16" s="23">
        <f t="shared" si="9"/>
        <v>16569.579288025889</v>
      </c>
      <c r="W16" s="23">
        <f t="shared" si="14"/>
        <v>2.5736825683370917E-2</v>
      </c>
      <c r="X16" s="23">
        <f t="shared" si="15"/>
        <v>6.9718592861460265E-3</v>
      </c>
      <c r="Y16" s="25"/>
      <c r="Z16" s="2" t="s">
        <v>39</v>
      </c>
      <c r="AA16" s="32">
        <f>VLOOKUP(AA17, SW!A4:F34, 5, FALSE)</f>
        <v>1.0300000000000001E-3</v>
      </c>
    </row>
    <row r="17" spans="1:33" x14ac:dyDescent="0.35">
      <c r="A17" s="2" t="s">
        <v>60</v>
      </c>
      <c r="B17" s="2">
        <v>2850</v>
      </c>
      <c r="C17" s="19">
        <f t="shared" si="0"/>
        <v>47.500095000000002</v>
      </c>
      <c r="D17" s="19">
        <f t="shared" si="1"/>
        <v>0.79166730000000007</v>
      </c>
      <c r="E17" s="3">
        <f t="shared" si="2"/>
        <v>7.9166730000000012E-4</v>
      </c>
      <c r="F17" s="19">
        <f t="shared" si="3"/>
        <v>1.5833346000000001</v>
      </c>
      <c r="G17" s="19">
        <f t="shared" si="4"/>
        <v>2.5069484555571604</v>
      </c>
      <c r="H17" s="19">
        <f t="shared" si="5"/>
        <v>3.0777491288640002</v>
      </c>
      <c r="I17" s="2">
        <v>1.9185161290322577</v>
      </c>
      <c r="J17" s="20">
        <f t="shared" si="6"/>
        <v>19.185161290322576</v>
      </c>
      <c r="K17" s="21">
        <f t="shared" si="7"/>
        <v>1918.5161290322576</v>
      </c>
      <c r="L17" s="3">
        <f t="shared" si="8"/>
        <v>26235.188194174756</v>
      </c>
      <c r="M17" s="4">
        <f t="shared" si="10"/>
        <v>9.9922715053763422</v>
      </c>
      <c r="N17" s="4">
        <f t="shared" si="11"/>
        <v>3.1139300436236167E-2</v>
      </c>
      <c r="O17" s="4">
        <f t="shared" si="12"/>
        <v>7.7848251090590417E-3</v>
      </c>
      <c r="P17" s="4">
        <f t="shared" si="13"/>
        <v>3.4233692297826203E-3</v>
      </c>
      <c r="T17" s="14"/>
      <c r="U17" s="22">
        <v>1.1000000000000001</v>
      </c>
      <c r="V17" s="23">
        <f t="shared" si="9"/>
        <v>18226.537216828478</v>
      </c>
      <c r="W17" s="23">
        <f t="shared" si="14"/>
        <v>2.5130828693813844E-2</v>
      </c>
      <c r="X17" s="23">
        <f t="shared" si="15"/>
        <v>6.8077005126050529E-3</v>
      </c>
      <c r="Y17" s="25"/>
      <c r="Z17" s="2" t="s">
        <v>161</v>
      </c>
      <c r="AA17" s="2">
        <v>22</v>
      </c>
    </row>
    <row r="18" spans="1:33" x14ac:dyDescent="0.35">
      <c r="A18" s="2" t="s">
        <v>61</v>
      </c>
      <c r="B18" s="2">
        <v>2000</v>
      </c>
      <c r="C18" s="19">
        <f t="shared" si="0"/>
        <v>33.333399999999997</v>
      </c>
      <c r="D18" s="19">
        <f t="shared" si="1"/>
        <v>0.55555600000000005</v>
      </c>
      <c r="E18" s="3">
        <f t="shared" si="2"/>
        <v>5.5555600000000002E-4</v>
      </c>
      <c r="F18" s="19">
        <f t="shared" si="3"/>
        <v>1.1111120000000001</v>
      </c>
      <c r="G18" s="19">
        <f t="shared" si="4"/>
        <v>1.2345698765440003</v>
      </c>
      <c r="H18" s="19">
        <f t="shared" si="5"/>
        <v>2.1598239500800003</v>
      </c>
      <c r="I18" s="2">
        <v>0.86209354838709706</v>
      </c>
      <c r="J18" s="20">
        <f t="shared" si="6"/>
        <v>8.6209354838709711</v>
      </c>
      <c r="K18" s="21">
        <f t="shared" si="7"/>
        <v>862.09354838709714</v>
      </c>
      <c r="L18" s="3">
        <f t="shared" si="8"/>
        <v>18410.65838187702</v>
      </c>
      <c r="M18" s="4">
        <f t="shared" si="10"/>
        <v>4.490070564516131</v>
      </c>
      <c r="N18" s="4">
        <f t="shared" si="11"/>
        <v>2.8413682329168723E-2</v>
      </c>
      <c r="O18" s="4">
        <f t="shared" si="12"/>
        <v>7.1034205822921807E-3</v>
      </c>
      <c r="P18" s="4">
        <f t="shared" si="13"/>
        <v>1.0065411896855365E-3</v>
      </c>
      <c r="U18" s="22">
        <v>1.2</v>
      </c>
      <c r="V18" s="23">
        <f t="shared" si="9"/>
        <v>19883.495145631066</v>
      </c>
      <c r="W18" s="23">
        <f t="shared" si="14"/>
        <v>2.4590064593396969E-2</v>
      </c>
      <c r="X18" s="23">
        <f t="shared" si="15"/>
        <v>6.6612127032113022E-3</v>
      </c>
      <c r="Y18" s="25"/>
      <c r="Z18" s="1"/>
      <c r="AA18" s="1"/>
      <c r="AD18" s="36" t="s">
        <v>40</v>
      </c>
      <c r="AE18" s="37"/>
      <c r="AF18" s="37"/>
      <c r="AG18" s="37"/>
    </row>
    <row r="19" spans="1:33" x14ac:dyDescent="0.35">
      <c r="A19" s="24"/>
      <c r="B19" s="18"/>
      <c r="C19" s="19"/>
      <c r="D19" s="19"/>
      <c r="E19" s="3"/>
      <c r="F19" s="19"/>
      <c r="G19" s="19"/>
      <c r="H19" s="19"/>
      <c r="I19" s="20"/>
      <c r="J19" s="20"/>
      <c r="K19" s="21"/>
      <c r="U19" s="22">
        <v>1.3</v>
      </c>
      <c r="V19" s="23">
        <f t="shared" si="9"/>
        <v>21540.453074433655</v>
      </c>
      <c r="W19" s="23">
        <f t="shared" si="14"/>
        <v>2.4102891344997587E-2</v>
      </c>
      <c r="X19" s="23">
        <f t="shared" si="15"/>
        <v>6.5292421417442103E-3</v>
      </c>
      <c r="Y19" s="25"/>
      <c r="AD19" s="38" t="s">
        <v>41</v>
      </c>
      <c r="AE19" s="37" t="s">
        <v>42</v>
      </c>
      <c r="AF19" s="37" t="s">
        <v>43</v>
      </c>
      <c r="AG19" s="37" t="s">
        <v>44</v>
      </c>
    </row>
    <row r="20" spans="1:33" x14ac:dyDescent="0.35">
      <c r="A20" s="24"/>
      <c r="B20" s="18"/>
      <c r="C20" s="19"/>
      <c r="D20" s="19"/>
      <c r="E20" s="3"/>
      <c r="F20" s="19"/>
      <c r="G20" s="19"/>
      <c r="H20" s="19"/>
      <c r="I20" s="20"/>
      <c r="J20" s="20"/>
      <c r="K20" s="21"/>
      <c r="U20" s="22">
        <v>1.4</v>
      </c>
      <c r="V20" s="23">
        <f t="shared" si="9"/>
        <v>23197.411003236241</v>
      </c>
      <c r="W20" s="23">
        <f t="shared" si="14"/>
        <v>2.3660448468506973E-2</v>
      </c>
      <c r="X20" s="23">
        <f t="shared" si="15"/>
        <v>6.4093886091058285E-3</v>
      </c>
      <c r="Y20" s="25"/>
      <c r="Z20" s="1" t="s">
        <v>45</v>
      </c>
      <c r="AA20" s="1">
        <f>4*10^(-6)</f>
        <v>3.9999999999999998E-6</v>
      </c>
      <c r="AD20" s="38" t="s">
        <v>46</v>
      </c>
      <c r="AE20" s="37" t="s">
        <v>47</v>
      </c>
      <c r="AF20" s="37" t="s">
        <v>48</v>
      </c>
      <c r="AG20" s="37" t="s">
        <v>49</v>
      </c>
    </row>
    <row r="21" spans="1:33" x14ac:dyDescent="0.35">
      <c r="A21" s="24"/>
      <c r="B21" s="18"/>
      <c r="C21" s="19"/>
      <c r="D21" s="19"/>
      <c r="E21" s="43"/>
      <c r="F21" s="19"/>
      <c r="G21" s="19"/>
      <c r="H21" s="19"/>
      <c r="I21" s="20"/>
      <c r="J21" s="20"/>
      <c r="K21" s="21"/>
      <c r="U21" s="22">
        <v>1.5</v>
      </c>
      <c r="V21" s="23">
        <f t="shared" si="9"/>
        <v>24854.368932038833</v>
      </c>
      <c r="W21" s="23">
        <f t="shared" si="14"/>
        <v>2.3255847254051276E-2</v>
      </c>
      <c r="X21" s="23">
        <f t="shared" si="15"/>
        <v>6.2997860198474526E-3</v>
      </c>
      <c r="Y21" s="25"/>
      <c r="Z21" s="1" t="s">
        <v>50</v>
      </c>
      <c r="AA21" s="2">
        <f>AA20/AA11</f>
        <v>2.3999999999999998E-4</v>
      </c>
      <c r="AD21" s="37">
        <v>0</v>
      </c>
      <c r="AE21" s="37">
        <v>1.792E-3</v>
      </c>
      <c r="AF21" s="37">
        <v>999.87</v>
      </c>
      <c r="AG21" s="39">
        <v>1.7922329902887374E-6</v>
      </c>
    </row>
    <row r="22" spans="1:33" x14ac:dyDescent="0.35">
      <c r="A22" s="24"/>
      <c r="B22" s="18"/>
      <c r="C22" s="19"/>
      <c r="D22" s="19"/>
      <c r="E22" s="3"/>
      <c r="F22" s="19"/>
      <c r="G22" s="19"/>
      <c r="H22" s="19"/>
      <c r="I22" s="20"/>
      <c r="J22" s="20"/>
      <c r="K22" s="21"/>
      <c r="P22" s="43"/>
      <c r="U22" s="22">
        <v>1.6</v>
      </c>
      <c r="V22" s="23">
        <f t="shared" si="9"/>
        <v>26511.326860841422</v>
      </c>
      <c r="W22" s="23">
        <f t="shared" si="14"/>
        <v>2.288363359624972E-2</v>
      </c>
      <c r="X22" s="23">
        <f t="shared" si="15"/>
        <v>6.1989569091210721E-3</v>
      </c>
      <c r="Y22" s="25"/>
      <c r="AD22" s="37">
        <v>5</v>
      </c>
      <c r="AE22" s="37">
        <v>1.519E-3</v>
      </c>
      <c r="AF22" s="37">
        <v>999.99</v>
      </c>
      <c r="AG22" s="39">
        <v>1.5190151901519014E-6</v>
      </c>
    </row>
    <row r="23" spans="1:33" x14ac:dyDescent="0.35">
      <c r="B23" s="18"/>
      <c r="C23" s="19"/>
      <c r="D23" s="19"/>
      <c r="E23" s="3"/>
      <c r="F23" s="3"/>
      <c r="G23" s="19"/>
      <c r="H23" s="19"/>
      <c r="I23" s="19"/>
      <c r="J23" s="20"/>
      <c r="K23" s="21"/>
      <c r="U23" s="22">
        <v>1.7</v>
      </c>
      <c r="V23" s="23">
        <f t="shared" si="9"/>
        <v>28168.284789644007</v>
      </c>
      <c r="W23" s="23">
        <f t="shared" si="14"/>
        <v>2.2539420748864131E-2</v>
      </c>
      <c r="X23" s="23">
        <f t="shared" si="15"/>
        <v>6.1057129494354557E-3</v>
      </c>
      <c r="Y23" s="25"/>
      <c r="Z23" s="40"/>
      <c r="AD23" s="37">
        <f>AD22+5</f>
        <v>10</v>
      </c>
      <c r="AE23" s="37">
        <v>1.3079999999999999E-3</v>
      </c>
      <c r="AF23" s="37">
        <v>999.73</v>
      </c>
      <c r="AG23" s="39">
        <v>1.3083532553789522E-6</v>
      </c>
    </row>
    <row r="24" spans="1:33" x14ac:dyDescent="0.35">
      <c r="B24" s="18"/>
      <c r="C24" s="19"/>
      <c r="D24" s="19"/>
      <c r="E24" s="3"/>
      <c r="F24" s="3"/>
      <c r="G24" s="19"/>
      <c r="H24" s="19"/>
      <c r="I24" s="19"/>
      <c r="J24" s="20"/>
      <c r="K24" s="21"/>
      <c r="U24" s="22">
        <v>1.8</v>
      </c>
      <c r="V24" s="23">
        <f t="shared" si="9"/>
        <v>29825.2427184466</v>
      </c>
      <c r="W24" s="23">
        <f t="shared" si="14"/>
        <v>2.2219631635489009E-2</v>
      </c>
      <c r="X24" s="23">
        <f t="shared" si="15"/>
        <v>6.0190851450930847E-3</v>
      </c>
      <c r="Y24" s="4"/>
      <c r="Z24" s="40"/>
      <c r="AD24" s="37" t="e">
        <f>#REF!+5</f>
        <v>#REF!</v>
      </c>
      <c r="AE24" s="37">
        <v>1.005E-3</v>
      </c>
      <c r="AF24" s="37">
        <v>998.23</v>
      </c>
      <c r="AG24" s="39">
        <v>1.0067820041473407E-6</v>
      </c>
    </row>
    <row r="25" spans="1:33" x14ac:dyDescent="0.35">
      <c r="B25" s="18"/>
      <c r="C25" s="19"/>
      <c r="D25" s="19"/>
      <c r="E25" s="3"/>
      <c r="F25" s="3"/>
      <c r="G25" s="19"/>
      <c r="H25" s="19"/>
      <c r="I25" s="19"/>
      <c r="J25" s="20"/>
      <c r="K25" s="21"/>
      <c r="U25" s="22">
        <v>1.9</v>
      </c>
      <c r="V25" s="23">
        <f t="shared" si="9"/>
        <v>31482.200647249185</v>
      </c>
      <c r="W25" s="23">
        <f t="shared" si="14"/>
        <v>2.1921313893836232E-2</v>
      </c>
      <c r="X25" s="23">
        <f t="shared" si="15"/>
        <v>5.9382737294604322E-3</v>
      </c>
      <c r="Y25" s="4"/>
      <c r="Z25" s="40"/>
      <c r="AD25" s="37">
        <v>25</v>
      </c>
      <c r="AE25" s="37">
        <v>8.9400000000000005E-4</v>
      </c>
      <c r="AF25" s="37">
        <v>997.07</v>
      </c>
      <c r="AG25" s="39">
        <v>8.9662711745414066E-7</v>
      </c>
    </row>
    <row r="26" spans="1:33" x14ac:dyDescent="0.35">
      <c r="N26" s="22"/>
      <c r="U26" s="22">
        <v>2</v>
      </c>
      <c r="V26" s="23">
        <f t="shared" si="9"/>
        <v>33139.158576051777</v>
      </c>
      <c r="W26" s="23">
        <f t="shared" si="14"/>
        <v>2.1642004457156336E-2</v>
      </c>
      <c r="X26" s="23">
        <f t="shared" si="15"/>
        <v>5.862611481373515E-3</v>
      </c>
      <c r="Y26" s="4"/>
      <c r="Z26" s="40"/>
      <c r="AD26" s="32"/>
      <c r="AE26" s="32"/>
      <c r="AF26" s="32"/>
      <c r="AG26" s="32"/>
    </row>
    <row r="27" spans="1:33" x14ac:dyDescent="0.35">
      <c r="K27" s="1"/>
      <c r="L27" s="4"/>
      <c r="N27" s="22"/>
      <c r="U27" s="22">
        <v>2.1</v>
      </c>
      <c r="V27" s="23">
        <f t="shared" si="9"/>
        <v>34796.11650485437</v>
      </c>
      <c r="W27" s="23">
        <f t="shared" si="14"/>
        <v>2.1379628642450382E-2</v>
      </c>
      <c r="X27" s="23">
        <f t="shared" si="15"/>
        <v>5.7915363891021419E-3</v>
      </c>
      <c r="Y27" s="4"/>
      <c r="Z27" s="40"/>
      <c r="AD27" s="32"/>
      <c r="AE27" s="32"/>
      <c r="AF27" s="32"/>
      <c r="AG27" s="32"/>
    </row>
    <row r="28" spans="1:33" x14ac:dyDescent="0.35">
      <c r="U28" s="22">
        <v>2.2000000000000002</v>
      </c>
      <c r="V28" s="23">
        <f t="shared" si="9"/>
        <v>36453.074433656955</v>
      </c>
      <c r="W28" s="23">
        <f t="shared" si="14"/>
        <v>2.113242376098325E-2</v>
      </c>
      <c r="X28" s="23">
        <f t="shared" si="15"/>
        <v>5.7245709571704627E-3</v>
      </c>
      <c r="Y28" s="4"/>
      <c r="Z28" s="40"/>
      <c r="AD28" s="32"/>
      <c r="AE28" s="32"/>
      <c r="AF28" s="32"/>
      <c r="AG28" s="32"/>
    </row>
    <row r="29" spans="1:33" x14ac:dyDescent="0.35">
      <c r="L29" s="41"/>
      <c r="U29" s="22">
        <v>2.2999999999999998</v>
      </c>
      <c r="V29" s="23">
        <f t="shared" si="9"/>
        <v>38110.03236245954</v>
      </c>
      <c r="W29" s="23">
        <f t="shared" si="14"/>
        <v>2.0898880469951378E-2</v>
      </c>
      <c r="X29" s="23">
        <f t="shared" si="15"/>
        <v>5.6613063190861443E-3</v>
      </c>
      <c r="Y29" s="4"/>
      <c r="Z29" s="40"/>
      <c r="AD29" s="32"/>
      <c r="AE29" s="32"/>
      <c r="AF29" s="32"/>
      <c r="AG29" s="32"/>
    </row>
    <row r="30" spans="1:33" x14ac:dyDescent="0.35">
      <c r="U30" s="22">
        <v>2.4</v>
      </c>
      <c r="V30" s="23">
        <f t="shared" si="9"/>
        <v>39766.990291262133</v>
      </c>
      <c r="W30" s="23">
        <f t="shared" si="14"/>
        <v>2.0677697167444799E-2</v>
      </c>
      <c r="X30" s="23">
        <f t="shared" si="15"/>
        <v>5.6013898833728905E-3</v>
      </c>
      <c r="Y30" s="4"/>
      <c r="Z30" s="40"/>
      <c r="AD30" s="32"/>
      <c r="AE30" s="32"/>
      <c r="AF30" s="32"/>
      <c r="AG30" s="32"/>
    </row>
    <row r="31" spans="1:33" x14ac:dyDescent="0.35">
      <c r="F31" s="1"/>
      <c r="G31" s="1"/>
      <c r="U31" s="22">
        <v>2.5</v>
      </c>
      <c r="V31" s="23">
        <f t="shared" si="9"/>
        <v>41423.948220064718</v>
      </c>
      <c r="W31" s="23">
        <f t="shared" si="14"/>
        <v>2.046774411736494E-2</v>
      </c>
      <c r="X31" s="23">
        <f t="shared" si="15"/>
        <v>5.544515615354682E-3</v>
      </c>
      <c r="Y31" s="4"/>
      <c r="Z31" s="40"/>
      <c r="AD31" s="32"/>
      <c r="AE31" s="32"/>
      <c r="AF31" s="32"/>
      <c r="AG31" s="32"/>
    </row>
    <row r="32" spans="1:33" x14ac:dyDescent="0.35">
      <c r="G32" s="19"/>
      <c r="Y32" s="4"/>
      <c r="Z32" s="40"/>
    </row>
    <row r="33" spans="7:27" x14ac:dyDescent="0.35">
      <c r="G33" s="19"/>
      <c r="Y33" s="4"/>
      <c r="Z33" s="40"/>
      <c r="AA33" s="1" t="s">
        <v>51</v>
      </c>
    </row>
    <row r="34" spans="7:27" x14ac:dyDescent="0.35">
      <c r="G34" s="19"/>
      <c r="Y34" s="4"/>
      <c r="Z34" s="40"/>
    </row>
    <row r="35" spans="7:27" x14ac:dyDescent="0.35">
      <c r="G35" s="19"/>
      <c r="Y35" s="4"/>
      <c r="Z35" s="40"/>
    </row>
    <row r="36" spans="7:27" x14ac:dyDescent="0.35">
      <c r="G36" s="19"/>
      <c r="Y36" s="4"/>
    </row>
    <row r="37" spans="7:27" x14ac:dyDescent="0.35">
      <c r="G37" s="19"/>
      <c r="Y37" s="4"/>
    </row>
    <row r="38" spans="7:27" x14ac:dyDescent="0.35">
      <c r="R38" s="1"/>
      <c r="S38" s="99"/>
      <c r="Y38" s="4"/>
    </row>
    <row r="39" spans="7:27" x14ac:dyDescent="0.35">
      <c r="U39" s="4"/>
      <c r="V39" s="16"/>
      <c r="W39" s="16"/>
      <c r="X39" s="4"/>
      <c r="Y39" s="4"/>
    </row>
    <row r="40" spans="7:27" x14ac:dyDescent="0.35">
      <c r="U40" s="4"/>
      <c r="V40" s="16"/>
      <c r="W40" s="16"/>
      <c r="X40" s="4"/>
      <c r="Y40" s="4"/>
    </row>
    <row r="41" spans="7:27" x14ac:dyDescent="0.35">
      <c r="U41" s="4"/>
      <c r="V41" s="16"/>
      <c r="W41" s="16"/>
      <c r="X41" s="4"/>
      <c r="Y41" s="4"/>
    </row>
    <row r="42" spans="7:27" x14ac:dyDescent="0.35">
      <c r="U42" s="4"/>
      <c r="V42" s="16"/>
      <c r="W42" s="16"/>
      <c r="X42" s="4"/>
      <c r="Y42" s="4"/>
    </row>
    <row r="43" spans="7:27" x14ac:dyDescent="0.35">
      <c r="U43" s="4"/>
      <c r="V43" s="16"/>
      <c r="W43" s="16"/>
      <c r="X43" s="4"/>
      <c r="Y43" s="4"/>
    </row>
    <row r="44" spans="7:27" x14ac:dyDescent="0.35">
      <c r="U44" s="4"/>
      <c r="V44" s="16"/>
      <c r="W44" s="16"/>
    </row>
    <row r="45" spans="7:27" x14ac:dyDescent="0.35">
      <c r="U45" s="4"/>
      <c r="V45" s="16"/>
      <c r="W45" s="16"/>
    </row>
    <row r="46" spans="7:27" x14ac:dyDescent="0.35">
      <c r="U46" s="4"/>
      <c r="V46" s="16"/>
      <c r="W46" s="16"/>
    </row>
    <row r="47" spans="7:27" x14ac:dyDescent="0.35">
      <c r="U47" s="4"/>
      <c r="V47" s="16"/>
      <c r="W47" s="16"/>
    </row>
    <row r="48" spans="7:27" x14ac:dyDescent="0.35">
      <c r="U48" s="4"/>
      <c r="V48" s="16"/>
      <c r="W48" s="16"/>
    </row>
    <row r="49" spans="21:23" x14ac:dyDescent="0.35">
      <c r="U49" s="4"/>
      <c r="V49" s="16"/>
      <c r="W49" s="16"/>
    </row>
    <row r="50" spans="21:23" x14ac:dyDescent="0.35">
      <c r="U50" s="4"/>
      <c r="V50" s="16"/>
      <c r="W50" s="16"/>
    </row>
    <row r="51" spans="21:23" x14ac:dyDescent="0.35">
      <c r="U51" s="4"/>
      <c r="V51" s="16"/>
      <c r="W51" s="16"/>
    </row>
    <row r="52" spans="21:23" x14ac:dyDescent="0.35">
      <c r="U52" s="4"/>
      <c r="V52" s="16"/>
      <c r="W52" s="16"/>
    </row>
    <row r="53" spans="21:23" x14ac:dyDescent="0.35">
      <c r="U53" s="4"/>
      <c r="V53" s="16"/>
      <c r="W53" s="16"/>
    </row>
    <row r="54" spans="21:23" x14ac:dyDescent="0.35">
      <c r="U54" s="4"/>
    </row>
  </sheetData>
  <mergeCells count="3">
    <mergeCell ref="A3:N3"/>
    <mergeCell ref="Z5:AA5"/>
    <mergeCell ref="Q4:S4"/>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8AF4-62BD-40CC-B23C-B1875F2FFFB4}">
  <dimension ref="A1:AD54"/>
  <sheetViews>
    <sheetView zoomScale="50" zoomScaleNormal="50" zoomScalePageLayoutView="90" workbookViewId="0">
      <selection activeCell="K48" sqref="K48"/>
    </sheetView>
  </sheetViews>
  <sheetFormatPr defaultColWidth="8.69140625" defaultRowHeight="15.5" x14ac:dyDescent="0.35"/>
  <cols>
    <col min="1" max="4" width="8.69140625" style="2"/>
    <col min="5" max="5" width="12.3046875" style="2" customWidth="1"/>
    <col min="6" max="6" width="15.69140625" style="2" bestFit="1" customWidth="1"/>
    <col min="7" max="7" width="8.53515625" style="2" customWidth="1"/>
    <col min="8" max="8" width="8.69140625" style="2"/>
    <col min="9" max="9" width="15.69140625" style="2" bestFit="1" customWidth="1"/>
    <col min="10" max="10" width="12.23046875" style="2" customWidth="1"/>
    <col min="11" max="11" width="10.4609375" style="2" customWidth="1"/>
    <col min="12" max="12" width="8.53515625" style="3" customWidth="1"/>
    <col min="13" max="13" width="6.765625" style="4" customWidth="1"/>
    <col min="14" max="14" width="8.4609375" style="4" customWidth="1"/>
    <col min="15" max="15" width="9.07421875" style="4" customWidth="1"/>
    <col min="16" max="16" width="27.23046875" style="4" customWidth="1"/>
    <col min="17" max="17" width="8.4609375" style="5" customWidth="1"/>
    <col min="18" max="18" width="10.23046875" style="2" customWidth="1"/>
    <col min="19" max="19" width="13.84375" style="2" customWidth="1"/>
    <col min="20" max="22" width="10" style="2" customWidth="1"/>
    <col min="23" max="23" width="21" style="2" customWidth="1"/>
    <col min="24" max="24" width="12.4609375" style="2" customWidth="1"/>
    <col min="25" max="25" width="8.69140625" style="2"/>
    <col min="26" max="26" width="22" style="2" customWidth="1"/>
    <col min="27" max="27" width="35.84375" style="2" customWidth="1"/>
    <col min="28" max="28" width="16.84375" style="2" customWidth="1"/>
    <col min="29" max="16384" width="8.69140625" style="2"/>
  </cols>
  <sheetData>
    <row r="1" spans="1:28" x14ac:dyDescent="0.35">
      <c r="A1" s="1"/>
      <c r="I1" s="1"/>
      <c r="J1" s="1"/>
    </row>
    <row r="2" spans="1:28" x14ac:dyDescent="0.35">
      <c r="A2" s="98"/>
      <c r="I2" s="1"/>
      <c r="J2" s="1"/>
    </row>
    <row r="3" spans="1:28" x14ac:dyDescent="0.35">
      <c r="A3" s="150" t="s">
        <v>3</v>
      </c>
      <c r="B3" s="150"/>
      <c r="C3" s="150"/>
      <c r="D3" s="150"/>
      <c r="E3" s="150"/>
      <c r="F3" s="150"/>
      <c r="G3" s="150"/>
      <c r="H3" s="150"/>
      <c r="I3" s="150"/>
      <c r="J3" s="150"/>
      <c r="K3" s="150"/>
      <c r="L3" s="150"/>
      <c r="M3" s="150"/>
      <c r="N3" s="150"/>
      <c r="O3" s="63"/>
      <c r="P3" s="63"/>
      <c r="Q3" s="7"/>
    </row>
    <row r="5" spans="1:28"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14"/>
      <c r="R5" s="15" t="s">
        <v>19</v>
      </c>
      <c r="S5" s="16" t="s">
        <v>14</v>
      </c>
      <c r="T5" s="15" t="s">
        <v>20</v>
      </c>
      <c r="U5" s="16" t="s">
        <v>21</v>
      </c>
      <c r="V5" s="1"/>
      <c r="W5" s="151" t="s">
        <v>22</v>
      </c>
      <c r="X5" s="151"/>
    </row>
    <row r="6" spans="1:28" x14ac:dyDescent="0.35">
      <c r="A6" s="17" t="s">
        <v>23</v>
      </c>
      <c r="B6" s="18">
        <v>0</v>
      </c>
      <c r="C6" s="19">
        <f t="shared" ref="C6:C18" si="0">B6*0.0166667</f>
        <v>0</v>
      </c>
      <c r="D6" s="19">
        <f t="shared" ref="D6:D18" si="1">B6*0.000277778</f>
        <v>0</v>
      </c>
      <c r="E6" s="3">
        <f t="shared" ref="E6:E18" si="2">0.001*D6</f>
        <v>0</v>
      </c>
      <c r="F6" s="19">
        <f t="shared" ref="F6:F18" si="3">E6/X$7</f>
        <v>0</v>
      </c>
      <c r="G6" s="19">
        <f t="shared" ref="G6:G18" si="4">F6^(2)</f>
        <v>0</v>
      </c>
      <c r="H6" s="19">
        <f t="shared" ref="H6:H18" si="5">F6*1.94384</f>
        <v>0</v>
      </c>
      <c r="I6" s="20">
        <v>0</v>
      </c>
      <c r="J6" s="20">
        <f t="shared" ref="J6:J18" si="6">I6 * 10</f>
        <v>0</v>
      </c>
      <c r="K6" s="21">
        <f t="shared" ref="K6:K18" si="7">J6*100</f>
        <v>0</v>
      </c>
      <c r="L6" s="3">
        <f t="shared" ref="L6:L18" si="8">(F6*X$11)/X$12</f>
        <v>0</v>
      </c>
      <c r="R6" s="22">
        <v>0</v>
      </c>
      <c r="S6" s="23">
        <f t="shared" ref="S6:S31" si="9">(R6*X$11)/X$12</f>
        <v>0</v>
      </c>
      <c r="T6" s="23"/>
      <c r="U6" s="23"/>
    </row>
    <row r="7" spans="1:28" x14ac:dyDescent="0.35">
      <c r="A7" s="2" t="s">
        <v>52</v>
      </c>
      <c r="B7" s="2">
        <f>AVERAGEA('P240 sandpaper'!B7,'2 P240 sandpaper'!B7, '3 P240 sandpaper'!B7)</f>
        <v>1916.6666666666667</v>
      </c>
      <c r="C7" s="19">
        <f t="shared" si="0"/>
        <v>31.944508333333335</v>
      </c>
      <c r="D7" s="19">
        <f t="shared" si="1"/>
        <v>0.53240783333333341</v>
      </c>
      <c r="E7" s="3">
        <f t="shared" si="2"/>
        <v>5.3240783333333348E-4</v>
      </c>
      <c r="F7" s="19">
        <f t="shared" si="3"/>
        <v>1.0648156666666668</v>
      </c>
      <c r="G7" s="19">
        <f t="shared" si="4"/>
        <v>1.1338324039787782</v>
      </c>
      <c r="H7" s="19">
        <f t="shared" si="5"/>
        <v>2.0698312854933336</v>
      </c>
      <c r="I7" s="2">
        <f>AVERAGEA('P240 sandpaper'!I7,'2 P240 sandpaper'!I7, '3 P240 sandpaper'!I7)</f>
        <v>0.82267526890322584</v>
      </c>
      <c r="J7" s="20">
        <f t="shared" si="6"/>
        <v>8.2267526890322582</v>
      </c>
      <c r="K7" s="21">
        <f t="shared" si="7"/>
        <v>822.67526890322586</v>
      </c>
      <c r="L7" s="3">
        <f t="shared" si="8"/>
        <v>17643.547615965479</v>
      </c>
      <c r="M7" s="4">
        <f t="shared" ref="M7:M18" si="10">(X$15*G7*N7)/8</f>
        <v>4.2847670255376338</v>
      </c>
      <c r="N7" s="4">
        <f t="shared" ref="N7:N18" si="11">(K7*2*X$11)/(X$13*X$15*G7)</f>
        <v>2.9523536520516758E-2</v>
      </c>
      <c r="O7" s="4">
        <f t="shared" ref="O7:O18" si="12">N7/4</f>
        <v>7.3808841301291894E-3</v>
      </c>
      <c r="P7" s="4">
        <f t="shared" ref="P7:P18" si="13">3.7*(10^(-1/(2*SQRT(N7)))-2.51/(L7*SQRT(N7)))</f>
        <v>1.4890867883330474E-3</v>
      </c>
      <c r="R7" s="22">
        <v>0.1</v>
      </c>
      <c r="S7" s="23">
        <f>(R7*X$11)/X$12</f>
        <v>1656.9579288025889</v>
      </c>
      <c r="T7" s="23">
        <f t="shared" ref="T7:T31" si="14">0.292/(S7^(0.25))</f>
        <v>4.5767267192499433E-2</v>
      </c>
      <c r="U7" s="23">
        <f>0.0791/(S7^0.25)</f>
        <v>1.2397913818242142E-2</v>
      </c>
      <c r="V7" s="25"/>
      <c r="W7" s="1" t="s">
        <v>24</v>
      </c>
      <c r="X7" s="2">
        <f>X$9*X$10</f>
        <v>5.0000000000000001E-4</v>
      </c>
    </row>
    <row r="8" spans="1:28" x14ac:dyDescent="0.35">
      <c r="A8" s="2" t="s">
        <v>53</v>
      </c>
      <c r="B8" s="2">
        <f>AVERAGEA('P240 sandpaper'!B8,'2 P240 sandpaper'!B8, '3 P240 sandpaper'!B8)</f>
        <v>2783.3333333333335</v>
      </c>
      <c r="C8" s="19">
        <f t="shared" si="0"/>
        <v>46.388981666666666</v>
      </c>
      <c r="D8" s="19">
        <f t="shared" si="1"/>
        <v>0.77314876666666676</v>
      </c>
      <c r="E8" s="3">
        <f t="shared" si="2"/>
        <v>7.7314876666666676E-4</v>
      </c>
      <c r="F8" s="19">
        <f t="shared" si="3"/>
        <v>1.5462975333333335</v>
      </c>
      <c r="G8" s="19">
        <f t="shared" si="4"/>
        <v>2.3910360615927515</v>
      </c>
      <c r="H8" s="19">
        <f t="shared" si="5"/>
        <v>3.0057549971946669</v>
      </c>
      <c r="I8" s="2">
        <f>AVERAGEA('P240 sandpaper'!I8,'2 P240 sandpaper'!I8, '3 P240 sandpaper'!I8)</f>
        <v>1.7339064516236562</v>
      </c>
      <c r="J8" s="20">
        <f t="shared" si="6"/>
        <v>17.339064516236562</v>
      </c>
      <c r="K8" s="21">
        <f t="shared" si="7"/>
        <v>1733.9064516236563</v>
      </c>
      <c r="L8" s="3">
        <f t="shared" si="8"/>
        <v>25621.499581445525</v>
      </c>
      <c r="M8" s="4">
        <f t="shared" si="10"/>
        <v>9.0307627688732097</v>
      </c>
      <c r="N8" s="4">
        <f t="shared" si="11"/>
        <v>2.9507222942017977E-2</v>
      </c>
      <c r="O8" s="4">
        <f t="shared" si="12"/>
        <v>7.3768057355044943E-3</v>
      </c>
      <c r="P8" s="4">
        <f t="shared" si="13"/>
        <v>2.4339571078483783E-3</v>
      </c>
      <c r="R8" s="22">
        <v>0.2</v>
      </c>
      <c r="S8" s="23">
        <f t="shared" si="9"/>
        <v>3313.9158576051777</v>
      </c>
      <c r="T8" s="23">
        <f t="shared" si="14"/>
        <v>3.848553091813172E-2</v>
      </c>
      <c r="U8" s="23">
        <f t="shared" ref="U8:U31" si="15">0.0791/(S8^0.25)</f>
        <v>1.0425361286384313E-2</v>
      </c>
      <c r="V8" s="25"/>
      <c r="W8" s="2" t="s">
        <v>25</v>
      </c>
    </row>
    <row r="9" spans="1:28" ht="19" x14ac:dyDescent="0.4">
      <c r="A9" s="2" t="s">
        <v>54</v>
      </c>
      <c r="B9" s="2">
        <f>AVERAGEA('P240 sandpaper'!B9,'2 P240 sandpaper'!B9, '3 P240 sandpaper'!B9)</f>
        <v>3583.3333333333335</v>
      </c>
      <c r="C9" s="19">
        <f t="shared" si="0"/>
        <v>59.722341666666665</v>
      </c>
      <c r="D9" s="19">
        <f t="shared" si="1"/>
        <v>0.9953711666666667</v>
      </c>
      <c r="E9" s="3">
        <f t="shared" si="2"/>
        <v>9.9537116666666668E-4</v>
      </c>
      <c r="F9" s="19">
        <f t="shared" si="3"/>
        <v>1.9907423333333334</v>
      </c>
      <c r="G9" s="19">
        <f t="shared" si="4"/>
        <v>3.9630550377254448</v>
      </c>
      <c r="H9" s="19">
        <f t="shared" si="5"/>
        <v>3.8696845772266668</v>
      </c>
      <c r="I9" s="2">
        <f>AVERAGEA('P240 sandpaper'!I9,'2 P240 sandpaper'!I9, '3 P240 sandpaper'!I9)</f>
        <v>2.9625935485591399</v>
      </c>
      <c r="J9" s="20">
        <f t="shared" si="6"/>
        <v>29.625935485591398</v>
      </c>
      <c r="K9" s="21">
        <f t="shared" si="7"/>
        <v>2962.5935485591399</v>
      </c>
      <c r="L9" s="3">
        <f t="shared" si="8"/>
        <v>32985.762934196326</v>
      </c>
      <c r="M9" s="4">
        <f t="shared" si="10"/>
        <v>15.430174732078854</v>
      </c>
      <c r="N9" s="4">
        <f t="shared" si="11"/>
        <v>3.0418008063686514E-2</v>
      </c>
      <c r="O9" s="4">
        <f t="shared" si="12"/>
        <v>7.6045020159216286E-3</v>
      </c>
      <c r="P9" s="4">
        <f>3.7*(10^(-1/(2*SQRT(N9)))-2.51/(L9*SQRT(N9)))</f>
        <v>3.4132254088182989E-3</v>
      </c>
      <c r="R9" s="22">
        <v>0.3</v>
      </c>
      <c r="S9" s="23">
        <f t="shared" si="9"/>
        <v>4970.8737864077666</v>
      </c>
      <c r="T9" s="23">
        <f t="shared" si="14"/>
        <v>3.4775602847612441E-2</v>
      </c>
      <c r="U9" s="23">
        <f t="shared" si="15"/>
        <v>9.4203773467333701E-3</v>
      </c>
      <c r="V9" s="25"/>
      <c r="W9" s="1" t="s">
        <v>26</v>
      </c>
      <c r="X9" s="19">
        <v>0.05</v>
      </c>
      <c r="AA9" s="27" t="s">
        <v>27</v>
      </c>
    </row>
    <row r="10" spans="1:28" ht="18.5" x14ac:dyDescent="0.35">
      <c r="A10" s="2" t="s">
        <v>55</v>
      </c>
      <c r="B10" s="2">
        <f>AVERAGEA('P240 sandpaper'!B10,'2 P240 sandpaper'!B10, '3 P240 sandpaper'!B10)</f>
        <v>4433.333333333333</v>
      </c>
      <c r="C10" s="19">
        <f t="shared" si="0"/>
        <v>73.889036666666655</v>
      </c>
      <c r="D10" s="19">
        <f t="shared" si="1"/>
        <v>1.2314824666666666</v>
      </c>
      <c r="E10" s="3">
        <f t="shared" si="2"/>
        <v>1.2314824666666666E-3</v>
      </c>
      <c r="F10" s="19">
        <f t="shared" si="3"/>
        <v>2.4629649333333332</v>
      </c>
      <c r="G10" s="19">
        <f t="shared" si="4"/>
        <v>6.0661962628296706</v>
      </c>
      <c r="H10" s="19">
        <f t="shared" si="5"/>
        <v>4.7876097560106663</v>
      </c>
      <c r="I10" s="2">
        <f>AVERAGEA('P240 sandpaper'!I10,'2 P240 sandpaper'!I10, '3 P240 sandpaper'!I10)</f>
        <v>4.5812010754301076</v>
      </c>
      <c r="J10" s="20">
        <f t="shared" si="6"/>
        <v>45.812010754301077</v>
      </c>
      <c r="K10" s="21">
        <f t="shared" si="7"/>
        <v>4581.2010754301082</v>
      </c>
      <c r="L10" s="3">
        <f t="shared" si="8"/>
        <v>40810.292746494059</v>
      </c>
      <c r="M10" s="4">
        <f t="shared" si="10"/>
        <v>23.860422267865147</v>
      </c>
      <c r="N10" s="4">
        <f t="shared" si="11"/>
        <v>3.0729231447705067E-2</v>
      </c>
      <c r="O10" s="4">
        <f t="shared" si="12"/>
        <v>7.6823078619262667E-3</v>
      </c>
      <c r="P10" s="4">
        <f t="shared" si="13"/>
        <v>3.9007007371042127E-3</v>
      </c>
      <c r="R10" s="22">
        <v>0.4</v>
      </c>
      <c r="S10" s="23">
        <f t="shared" si="9"/>
        <v>6627.8317152103555</v>
      </c>
      <c r="T10" s="23">
        <f t="shared" si="14"/>
        <v>3.2362344988192952E-2</v>
      </c>
      <c r="U10" s="23">
        <f t="shared" si="15"/>
        <v>8.7666489334454218E-3</v>
      </c>
      <c r="V10" s="25"/>
      <c r="W10" s="1" t="s">
        <v>28</v>
      </c>
      <c r="X10" s="19">
        <v>0.01</v>
      </c>
      <c r="AA10" s="28" t="s">
        <v>29</v>
      </c>
      <c r="AB10" s="2" t="s">
        <v>30</v>
      </c>
    </row>
    <row r="11" spans="1:28" ht="16.5" x14ac:dyDescent="0.4">
      <c r="A11" s="2" t="s">
        <v>56</v>
      </c>
      <c r="B11" s="2">
        <f>AVERAGEA('P240 sandpaper'!B11,'2 P240 sandpaper'!B11, '3 P240 sandpaper'!B11)</f>
        <v>5083.333333333333</v>
      </c>
      <c r="C11" s="19">
        <f t="shared" si="0"/>
        <v>84.722391666666653</v>
      </c>
      <c r="D11" s="19">
        <f t="shared" si="1"/>
        <v>1.4120381666666666</v>
      </c>
      <c r="E11" s="3">
        <f t="shared" si="2"/>
        <v>1.4120381666666666E-3</v>
      </c>
      <c r="F11" s="19">
        <f t="shared" si="3"/>
        <v>2.8240763333333332</v>
      </c>
      <c r="G11" s="19">
        <f t="shared" si="4"/>
        <v>7.9754071364934438</v>
      </c>
      <c r="H11" s="19">
        <f t="shared" si="5"/>
        <v>5.4895525397866667</v>
      </c>
      <c r="I11" s="2">
        <f>AVERAGEA('P240 sandpaper'!I11,'2 P240 sandpaper'!I11, '3 P240 sandpaper'!I11)</f>
        <v>6.1510731183010749</v>
      </c>
      <c r="J11" s="20">
        <f t="shared" si="6"/>
        <v>61.510731183010748</v>
      </c>
      <c r="K11" s="21">
        <f t="shared" si="7"/>
        <v>6151.0731183010748</v>
      </c>
      <c r="L11" s="3">
        <f t="shared" si="8"/>
        <v>46793.756720604091</v>
      </c>
      <c r="M11" s="4">
        <f t="shared" si="10"/>
        <v>32.036839157818093</v>
      </c>
      <c r="N11" s="4">
        <f t="shared" si="11"/>
        <v>3.1382448774959742E-2</v>
      </c>
      <c r="O11" s="4">
        <f t="shared" si="12"/>
        <v>7.8456121937399356E-3</v>
      </c>
      <c r="P11" s="4">
        <f t="shared" si="13"/>
        <v>4.4483201205651312E-3</v>
      </c>
      <c r="R11" s="22">
        <v>0.5</v>
      </c>
      <c r="S11" s="23">
        <f t="shared" si="9"/>
        <v>8284.7896440129443</v>
      </c>
      <c r="T11" s="23">
        <f t="shared" si="14"/>
        <v>3.0606416220249465E-2</v>
      </c>
      <c r="U11" s="23">
        <f t="shared" si="15"/>
        <v>8.290984667882648E-3</v>
      </c>
      <c r="V11" s="25"/>
      <c r="W11" s="1" t="s">
        <v>163</v>
      </c>
      <c r="X11" s="4">
        <f>2*(X9*X10)/(X9+X10)</f>
        <v>1.6666666666666666E-2</v>
      </c>
      <c r="Y11" s="1">
        <f>10*X11*100</f>
        <v>16.666666666666664</v>
      </c>
      <c r="AA11" s="27" t="s">
        <v>32</v>
      </c>
      <c r="AB11" s="2" t="s">
        <v>33</v>
      </c>
    </row>
    <row r="12" spans="1:28" x14ac:dyDescent="0.35">
      <c r="A12" s="2" t="s">
        <v>63</v>
      </c>
      <c r="B12" s="2">
        <f>AVERAGEA('P240 sandpaper'!B12,'2 P240 sandpaper'!B12, '3 P240 sandpaper'!B12)</f>
        <v>5816.666666666667</v>
      </c>
      <c r="C12" s="19">
        <f t="shared" si="0"/>
        <v>96.94463833333333</v>
      </c>
      <c r="D12" s="19">
        <f t="shared" si="1"/>
        <v>1.6157420333333334</v>
      </c>
      <c r="E12" s="3">
        <f t="shared" si="2"/>
        <v>1.6157420333333336E-3</v>
      </c>
      <c r="F12" s="19">
        <f t="shared" si="3"/>
        <v>3.2314840666666669</v>
      </c>
      <c r="G12" s="19">
        <f t="shared" si="4"/>
        <v>10.44248927312054</v>
      </c>
      <c r="H12" s="19">
        <f t="shared" si="5"/>
        <v>6.2814879881493342</v>
      </c>
      <c r="I12" s="2">
        <f>AVERAGEA('P240 sandpaper'!I12,'2 P240 sandpaper'!I12, '3 P240 sandpaper'!I12)</f>
        <v>7.7907096776236564</v>
      </c>
      <c r="J12" s="20">
        <f t="shared" si="6"/>
        <v>77.907096776236557</v>
      </c>
      <c r="K12" s="21">
        <f t="shared" si="7"/>
        <v>7790.7096776236558</v>
      </c>
      <c r="L12" s="3">
        <f t="shared" si="8"/>
        <v>53544.331460625675</v>
      </c>
      <c r="M12" s="4">
        <f t="shared" si="10"/>
        <v>40.576612904289867</v>
      </c>
      <c r="N12" s="4">
        <f t="shared" si="11"/>
        <v>3.035720507089721E-2</v>
      </c>
      <c r="O12" s="4">
        <f t="shared" si="12"/>
        <v>7.5893012677243025E-3</v>
      </c>
      <c r="P12" s="4">
        <f t="shared" si="13"/>
        <v>3.9989363651493645E-3</v>
      </c>
      <c r="R12" s="22">
        <v>0.6</v>
      </c>
      <c r="S12" s="23">
        <f t="shared" si="9"/>
        <v>9941.7475728155332</v>
      </c>
      <c r="T12" s="23">
        <f t="shared" si="14"/>
        <v>2.9242679772844168E-2</v>
      </c>
      <c r="U12" s="23">
        <f t="shared" si="15"/>
        <v>7.9215615412053901E-3</v>
      </c>
      <c r="V12" s="25"/>
      <c r="W12" s="1" t="s">
        <v>164</v>
      </c>
      <c r="X12" s="31">
        <f>X$16/X$15</f>
        <v>1.0058593750000001E-6</v>
      </c>
    </row>
    <row r="13" spans="1:28" ht="16.5" x14ac:dyDescent="0.4">
      <c r="A13" s="2" t="s">
        <v>62</v>
      </c>
      <c r="B13" s="2">
        <f>AVERAGEA('P240 sandpaper'!B13,'2 P240 sandpaper'!B13, '3 P240 sandpaper'!B13)</f>
        <v>5816.666666666667</v>
      </c>
      <c r="C13" s="19">
        <f t="shared" si="0"/>
        <v>96.94463833333333</v>
      </c>
      <c r="D13" s="19">
        <f t="shared" si="1"/>
        <v>1.6157420333333334</v>
      </c>
      <c r="E13" s="3">
        <f t="shared" si="2"/>
        <v>1.6157420333333336E-3</v>
      </c>
      <c r="F13" s="19">
        <f t="shared" si="3"/>
        <v>3.2314840666666669</v>
      </c>
      <c r="G13" s="19">
        <f t="shared" si="4"/>
        <v>10.44248927312054</v>
      </c>
      <c r="H13" s="19">
        <f t="shared" si="5"/>
        <v>6.2814879881493342</v>
      </c>
      <c r="I13" s="2">
        <f>AVERAGEA('P240 sandpaper'!I13,'2 P240 sandpaper'!I13, '3 P240 sandpaper'!I13)</f>
        <v>7.7907096776236564</v>
      </c>
      <c r="J13" s="20">
        <f t="shared" si="6"/>
        <v>77.907096776236557</v>
      </c>
      <c r="K13" s="21">
        <f t="shared" si="7"/>
        <v>7790.7096776236558</v>
      </c>
      <c r="L13" s="3">
        <f t="shared" si="8"/>
        <v>53544.331460625675</v>
      </c>
      <c r="M13" s="4">
        <f t="shared" si="10"/>
        <v>40.576612904289867</v>
      </c>
      <c r="N13" s="4">
        <f t="shared" si="11"/>
        <v>3.035720507089721E-2</v>
      </c>
      <c r="O13" s="4">
        <f t="shared" si="12"/>
        <v>7.5893012677243025E-3</v>
      </c>
      <c r="P13" s="4">
        <f t="shared" si="13"/>
        <v>3.9989363651493645E-3</v>
      </c>
      <c r="R13" s="22">
        <v>0.7</v>
      </c>
      <c r="S13" s="23">
        <f t="shared" si="9"/>
        <v>11598.70550161812</v>
      </c>
      <c r="T13" s="23">
        <f t="shared" si="14"/>
        <v>2.813717366290373E-2</v>
      </c>
      <c r="U13" s="23">
        <f t="shared" si="15"/>
        <v>7.6220905367660454E-3</v>
      </c>
      <c r="V13" s="25"/>
      <c r="W13" s="1" t="s">
        <v>35</v>
      </c>
      <c r="X13" s="32">
        <v>0.8</v>
      </c>
      <c r="AA13" s="27" t="s">
        <v>36</v>
      </c>
      <c r="AB13" s="1" t="s">
        <v>37</v>
      </c>
    </row>
    <row r="14" spans="1:28" x14ac:dyDescent="0.35">
      <c r="A14" s="2" t="s">
        <v>57</v>
      </c>
      <c r="B14" s="2">
        <f>AVERAGEA('P240 sandpaper'!B14,'2 P240 sandpaper'!B14, '3 P240 sandpaper'!B14)</f>
        <v>5033.333333333333</v>
      </c>
      <c r="C14" s="19">
        <f t="shared" si="0"/>
        <v>83.889056666666661</v>
      </c>
      <c r="D14" s="19">
        <f t="shared" si="1"/>
        <v>1.3981492666666666</v>
      </c>
      <c r="E14" s="3">
        <f t="shared" si="2"/>
        <v>1.3981492666666666E-3</v>
      </c>
      <c r="F14" s="19">
        <f t="shared" si="3"/>
        <v>2.7962985333333332</v>
      </c>
      <c r="G14" s="19">
        <f t="shared" si="4"/>
        <v>7.8192854875221505</v>
      </c>
      <c r="H14" s="19">
        <f t="shared" si="5"/>
        <v>5.4355569410346662</v>
      </c>
      <c r="I14" s="2">
        <f>AVERAGEA('P240 sandpaper'!I14,'2 P240 sandpaper'!I14, '3 P240 sandpaper'!I14)</f>
        <v>6.1134268819354842</v>
      </c>
      <c r="J14" s="20">
        <f t="shared" si="6"/>
        <v>61.134268819354844</v>
      </c>
      <c r="K14" s="21">
        <f t="shared" si="7"/>
        <v>6113.4268819354847</v>
      </c>
      <c r="L14" s="3">
        <f t="shared" si="8"/>
        <v>46333.490261057166</v>
      </c>
      <c r="M14" s="4">
        <f t="shared" si="10"/>
        <v>31.840765010080652</v>
      </c>
      <c r="N14" s="4">
        <f t="shared" si="11"/>
        <v>3.1813133954274285E-2</v>
      </c>
      <c r="O14" s="4">
        <f t="shared" si="12"/>
        <v>7.9532834885685712E-3</v>
      </c>
      <c r="P14" s="4">
        <f t="shared" si="13"/>
        <v>4.6961878692312721E-3</v>
      </c>
      <c r="R14" s="22">
        <v>0.8</v>
      </c>
      <c r="S14" s="23">
        <f t="shared" si="9"/>
        <v>13255.663430420711</v>
      </c>
      <c r="T14" s="23">
        <f t="shared" si="14"/>
        <v>2.7213379889775471E-2</v>
      </c>
      <c r="U14" s="23">
        <f t="shared" si="15"/>
        <v>7.3718436619220548E-3</v>
      </c>
      <c r="V14" s="25"/>
      <c r="X14" s="32"/>
    </row>
    <row r="15" spans="1:28" x14ac:dyDescent="0.35">
      <c r="A15" s="2" t="s">
        <v>58</v>
      </c>
      <c r="B15" s="2">
        <f>AVERAGEA('P240 sandpaper'!B15,'2 P240 sandpaper'!B15, '3 P240 sandpaper'!B15)</f>
        <v>4183.333333333333</v>
      </c>
      <c r="C15" s="19">
        <f t="shared" si="0"/>
        <v>69.722361666666657</v>
      </c>
      <c r="D15" s="19">
        <f t="shared" si="1"/>
        <v>1.1620379666666667</v>
      </c>
      <c r="E15" s="3">
        <f t="shared" si="2"/>
        <v>1.1620379666666667E-3</v>
      </c>
      <c r="F15" s="19">
        <f t="shared" si="3"/>
        <v>2.3240759333333334</v>
      </c>
      <c r="G15" s="19">
        <f t="shared" si="4"/>
        <v>5.4013289438992045</v>
      </c>
      <c r="H15" s="19">
        <f t="shared" si="5"/>
        <v>4.5176317622506668</v>
      </c>
      <c r="I15" s="2">
        <f>AVERAGEA('P240 sandpaper'!I15,'2 P240 sandpaper'!I15, '3 P240 sandpaper'!I15)</f>
        <v>4.1092236559354847</v>
      </c>
      <c r="J15" s="20">
        <f t="shared" si="6"/>
        <v>41.092236559354845</v>
      </c>
      <c r="K15" s="21">
        <f t="shared" si="7"/>
        <v>4109.2236559354842</v>
      </c>
      <c r="L15" s="3">
        <f t="shared" si="8"/>
        <v>38508.960448759433</v>
      </c>
      <c r="M15" s="4">
        <f t="shared" si="10"/>
        <v>21.402206541330646</v>
      </c>
      <c r="N15" s="4">
        <f t="shared" si="11"/>
        <v>3.0956222133629401E-2</v>
      </c>
      <c r="O15" s="4">
        <f t="shared" si="12"/>
        <v>7.7390555334073503E-3</v>
      </c>
      <c r="P15" s="4">
        <f t="shared" si="13"/>
        <v>3.9551135421227119E-3</v>
      </c>
      <c r="Q15" s="34"/>
      <c r="R15" s="22">
        <v>0.9</v>
      </c>
      <c r="S15" s="23">
        <f t="shared" si="9"/>
        <v>14912.6213592233</v>
      </c>
      <c r="T15" s="23">
        <f t="shared" si="14"/>
        <v>2.6423744033663078E-2</v>
      </c>
      <c r="U15" s="23">
        <f t="shared" si="15"/>
        <v>7.1579388803518825E-3</v>
      </c>
      <c r="V15" s="25"/>
      <c r="W15" s="2" t="s">
        <v>38</v>
      </c>
      <c r="X15" s="32">
        <f>VLOOKUP(X17, SW!A4:F34, 3, FALSE)</f>
        <v>1024</v>
      </c>
      <c r="Y15" s="32"/>
    </row>
    <row r="16" spans="1:28" x14ac:dyDescent="0.35">
      <c r="A16" s="2" t="s">
        <v>59</v>
      </c>
      <c r="B16" s="2">
        <f>AVERAGEA('P240 sandpaper'!B16,'2 P240 sandpaper'!B16, '3 P240 sandpaper'!B16)</f>
        <v>3433.3333333333335</v>
      </c>
      <c r="C16" s="19">
        <f t="shared" si="0"/>
        <v>57.222336666666671</v>
      </c>
      <c r="D16" s="19">
        <f t="shared" si="1"/>
        <v>0.95370446666666675</v>
      </c>
      <c r="E16" s="3">
        <f t="shared" si="2"/>
        <v>9.5370446666666678E-4</v>
      </c>
      <c r="F16" s="19">
        <f t="shared" si="3"/>
        <v>1.9074089333333335</v>
      </c>
      <c r="G16" s="19">
        <f t="shared" si="4"/>
        <v>3.6382088389598053</v>
      </c>
      <c r="H16" s="19">
        <f t="shared" si="5"/>
        <v>3.7076977809706668</v>
      </c>
      <c r="I16" s="2">
        <f>AVERAGEA('P240 sandpaper'!I16,'2 P240 sandpaper'!I16, '3 P240 sandpaper'!I16)</f>
        <v>2.7712881722903226</v>
      </c>
      <c r="J16" s="20">
        <f t="shared" si="6"/>
        <v>27.712881722903226</v>
      </c>
      <c r="K16" s="21">
        <f t="shared" si="7"/>
        <v>2771.2881722903226</v>
      </c>
      <c r="L16" s="3">
        <f t="shared" si="8"/>
        <v>31604.963555555554</v>
      </c>
      <c r="M16" s="4">
        <f t="shared" si="10"/>
        <v>14.433792564012096</v>
      </c>
      <c r="N16" s="4">
        <f t="shared" si="11"/>
        <v>3.0994373714562432E-2</v>
      </c>
      <c r="O16" s="4">
        <f t="shared" si="12"/>
        <v>7.7485934286406081E-3</v>
      </c>
      <c r="P16" s="4">
        <f t="shared" si="13"/>
        <v>3.6782172429812264E-3</v>
      </c>
      <c r="R16" s="22">
        <v>1</v>
      </c>
      <c r="S16" s="23">
        <f t="shared" si="9"/>
        <v>16569.579288025889</v>
      </c>
      <c r="T16" s="23">
        <f t="shared" si="14"/>
        <v>2.5736825683370917E-2</v>
      </c>
      <c r="U16" s="23">
        <f t="shared" si="15"/>
        <v>6.9718592861460265E-3</v>
      </c>
      <c r="V16" s="25"/>
      <c r="W16" s="2" t="s">
        <v>39</v>
      </c>
      <c r="X16" s="32">
        <f>VLOOKUP(X17, SW!A4:F34, 5, FALSE)</f>
        <v>1.0300000000000001E-3</v>
      </c>
    </row>
    <row r="17" spans="1:30" x14ac:dyDescent="0.35">
      <c r="A17" s="2" t="s">
        <v>60</v>
      </c>
      <c r="B17" s="2">
        <f>AVERAGEA('P240 sandpaper'!B17,'2 P240 sandpaper'!B17, '3 P240 sandpaper'!B17)</f>
        <v>2716.6666666666665</v>
      </c>
      <c r="C17" s="19">
        <f t="shared" si="0"/>
        <v>45.27786833333333</v>
      </c>
      <c r="D17" s="19">
        <f t="shared" si="1"/>
        <v>0.75463023333333334</v>
      </c>
      <c r="E17" s="3">
        <f t="shared" si="2"/>
        <v>7.546302333333334E-4</v>
      </c>
      <c r="F17" s="19">
        <f t="shared" si="3"/>
        <v>1.5092604666666667</v>
      </c>
      <c r="G17" s="19">
        <f t="shared" si="4"/>
        <v>2.2778671562428845</v>
      </c>
      <c r="H17" s="19">
        <f t="shared" si="5"/>
        <v>2.9337608655253335</v>
      </c>
      <c r="I17" s="2">
        <f>AVERAGEA('P240 sandpaper'!I17,'2 P240 sandpaper'!I17, '3 P240 sandpaper'!I17)</f>
        <v>1.7041677421397849</v>
      </c>
      <c r="J17" s="20">
        <f t="shared" si="6"/>
        <v>17.04167742139785</v>
      </c>
      <c r="K17" s="21">
        <f t="shared" si="7"/>
        <v>1704.1677421397849</v>
      </c>
      <c r="L17" s="3">
        <f t="shared" si="8"/>
        <v>25007.810968716287</v>
      </c>
      <c r="M17" s="4">
        <f t="shared" si="10"/>
        <v>8.8758736569780456</v>
      </c>
      <c r="N17" s="4">
        <f t="shared" si="11"/>
        <v>3.0441969697440556E-2</v>
      </c>
      <c r="O17" s="4">
        <f t="shared" si="12"/>
        <v>7.610492424360139E-3</v>
      </c>
      <c r="P17" s="4">
        <f t="shared" si="13"/>
        <v>2.9121539323542669E-3</v>
      </c>
      <c r="Q17" s="14"/>
      <c r="R17" s="22">
        <v>1.1000000000000001</v>
      </c>
      <c r="S17" s="23">
        <f t="shared" si="9"/>
        <v>18226.537216828478</v>
      </c>
      <c r="T17" s="23">
        <f t="shared" si="14"/>
        <v>2.5130828693813844E-2</v>
      </c>
      <c r="U17" s="23">
        <f t="shared" si="15"/>
        <v>6.8077005126050529E-3</v>
      </c>
      <c r="V17" s="25"/>
      <c r="W17" s="2" t="s">
        <v>161</v>
      </c>
      <c r="X17" s="2">
        <v>22</v>
      </c>
    </row>
    <row r="18" spans="1:30" x14ac:dyDescent="0.35">
      <c r="A18" s="2" t="s">
        <v>61</v>
      </c>
      <c r="B18" s="2">
        <f>AVERAGEA('P240 sandpaper'!B18,'2 P240 sandpaper'!B18, '3 P240 sandpaper'!B18)</f>
        <v>1933.3333333333333</v>
      </c>
      <c r="C18" s="19">
        <f t="shared" si="0"/>
        <v>32.222286666666662</v>
      </c>
      <c r="D18" s="19">
        <f t="shared" si="1"/>
        <v>0.53703746666666663</v>
      </c>
      <c r="E18" s="3">
        <f t="shared" si="2"/>
        <v>5.3703746666666666E-4</v>
      </c>
      <c r="F18" s="19">
        <f t="shared" si="3"/>
        <v>1.0740749333333333</v>
      </c>
      <c r="G18" s="19">
        <f t="shared" si="4"/>
        <v>1.1536369624150042</v>
      </c>
      <c r="H18" s="19">
        <f t="shared" si="5"/>
        <v>2.0878298184106665</v>
      </c>
      <c r="I18" s="2">
        <f>AVERAGEA('P240 sandpaper'!I18,'2 P240 sandpaper'!I18, '3 P240 sandpaper'!I18)</f>
        <v>0.80076451612903254</v>
      </c>
      <c r="J18" s="20">
        <f t="shared" si="6"/>
        <v>8.0076451612903252</v>
      </c>
      <c r="K18" s="21">
        <f t="shared" si="7"/>
        <v>800.76451612903247</v>
      </c>
      <c r="L18" s="3">
        <f t="shared" si="8"/>
        <v>17796.969769147785</v>
      </c>
      <c r="M18" s="4">
        <f t="shared" si="10"/>
        <v>4.1706485215053775</v>
      </c>
      <c r="N18" s="4">
        <f t="shared" si="11"/>
        <v>2.824388662621528E-2</v>
      </c>
      <c r="O18" s="4">
        <f t="shared" si="12"/>
        <v>7.0609716565538201E-3</v>
      </c>
      <c r="P18" s="4">
        <f t="shared" si="13"/>
        <v>8.1291318531412761E-4</v>
      </c>
      <c r="R18" s="22">
        <v>1.2</v>
      </c>
      <c r="S18" s="23">
        <f t="shared" si="9"/>
        <v>19883.495145631066</v>
      </c>
      <c r="T18" s="23">
        <f t="shared" si="14"/>
        <v>2.4590064593396969E-2</v>
      </c>
      <c r="U18" s="23">
        <f t="shared" si="15"/>
        <v>6.6612127032113022E-3</v>
      </c>
      <c r="V18" s="25"/>
      <c r="W18" s="1"/>
      <c r="X18" s="1"/>
      <c r="AA18" s="119" t="s">
        <v>40</v>
      </c>
      <c r="AB18" s="119"/>
      <c r="AC18" s="119"/>
      <c r="AD18" s="119"/>
    </row>
    <row r="19" spans="1:30" x14ac:dyDescent="0.35">
      <c r="A19" s="24"/>
      <c r="B19" s="18"/>
      <c r="C19" s="19"/>
      <c r="D19" s="19"/>
      <c r="E19" s="3"/>
      <c r="F19" s="19"/>
      <c r="G19" s="19"/>
      <c r="H19" s="19"/>
      <c r="I19" s="20"/>
      <c r="J19" s="20"/>
      <c r="K19" s="21"/>
      <c r="R19" s="22">
        <v>1.3</v>
      </c>
      <c r="S19" s="23">
        <f t="shared" si="9"/>
        <v>21540.453074433655</v>
      </c>
      <c r="T19" s="23">
        <f t="shared" si="14"/>
        <v>2.4102891344997587E-2</v>
      </c>
      <c r="U19" s="23">
        <f t="shared" si="15"/>
        <v>6.5292421417442103E-3</v>
      </c>
      <c r="V19" s="25"/>
      <c r="AA19" s="120" t="s">
        <v>41</v>
      </c>
      <c r="AB19" s="119" t="s">
        <v>42</v>
      </c>
      <c r="AC19" s="119" t="s">
        <v>43</v>
      </c>
      <c r="AD19" s="119" t="s">
        <v>44</v>
      </c>
    </row>
    <row r="20" spans="1:30" x14ac:dyDescent="0.35">
      <c r="A20" s="24"/>
      <c r="B20" s="18"/>
      <c r="C20" s="19"/>
      <c r="D20" s="19"/>
      <c r="E20" s="3"/>
      <c r="F20" s="19"/>
      <c r="G20" s="19"/>
      <c r="H20" s="19"/>
      <c r="I20" s="20"/>
      <c r="J20" s="20"/>
      <c r="K20" s="21"/>
      <c r="R20" s="22">
        <v>1.4</v>
      </c>
      <c r="S20" s="23">
        <f t="shared" si="9"/>
        <v>23197.411003236241</v>
      </c>
      <c r="T20" s="23">
        <f t="shared" si="14"/>
        <v>2.3660448468506973E-2</v>
      </c>
      <c r="U20" s="23">
        <f t="shared" si="15"/>
        <v>6.4093886091058285E-3</v>
      </c>
      <c r="V20" s="25"/>
      <c r="W20" s="1" t="s">
        <v>45</v>
      </c>
      <c r="X20" s="1">
        <f>4*10^(-6)</f>
        <v>3.9999999999999998E-6</v>
      </c>
      <c r="AA20" s="120" t="s">
        <v>46</v>
      </c>
      <c r="AB20" s="119" t="s">
        <v>47</v>
      </c>
      <c r="AC20" s="119" t="s">
        <v>48</v>
      </c>
      <c r="AD20" s="119" t="s">
        <v>49</v>
      </c>
    </row>
    <row r="21" spans="1:30" x14ac:dyDescent="0.35">
      <c r="A21" s="24"/>
      <c r="B21" s="18"/>
      <c r="C21" s="19"/>
      <c r="D21" s="19"/>
      <c r="E21" s="43"/>
      <c r="F21" s="19"/>
      <c r="G21" s="19"/>
      <c r="H21" s="19"/>
      <c r="I21" s="20"/>
      <c r="J21" s="20"/>
      <c r="K21" s="21"/>
      <c r="R21" s="22">
        <v>1.5</v>
      </c>
      <c r="S21" s="23">
        <f t="shared" si="9"/>
        <v>24854.368932038833</v>
      </c>
      <c r="T21" s="23">
        <f t="shared" si="14"/>
        <v>2.3255847254051276E-2</v>
      </c>
      <c r="U21" s="23">
        <f t="shared" si="15"/>
        <v>6.2997860198474526E-3</v>
      </c>
      <c r="V21" s="25"/>
      <c r="W21" s="1" t="s">
        <v>50</v>
      </c>
      <c r="X21" s="2">
        <f>X20/X11</f>
        <v>2.3999999999999998E-4</v>
      </c>
      <c r="AA21" s="119">
        <v>0</v>
      </c>
      <c r="AB21" s="119">
        <v>1.792E-3</v>
      </c>
      <c r="AC21" s="119">
        <v>999.87</v>
      </c>
      <c r="AD21" s="121">
        <v>1.7922329902887374E-6</v>
      </c>
    </row>
    <row r="22" spans="1:30" x14ac:dyDescent="0.35">
      <c r="A22" s="24"/>
      <c r="B22" s="18"/>
      <c r="C22" s="19"/>
      <c r="D22" s="19"/>
      <c r="E22" s="3"/>
      <c r="F22" s="19"/>
      <c r="G22" s="19"/>
      <c r="H22" s="19"/>
      <c r="I22" s="20"/>
      <c r="J22" s="20"/>
      <c r="K22" s="21"/>
      <c r="P22" s="43"/>
      <c r="R22" s="22">
        <v>1.6</v>
      </c>
      <c r="S22" s="23">
        <f t="shared" si="9"/>
        <v>26511.326860841422</v>
      </c>
      <c r="T22" s="23">
        <f t="shared" si="14"/>
        <v>2.288363359624972E-2</v>
      </c>
      <c r="U22" s="23">
        <f t="shared" si="15"/>
        <v>6.1989569091210721E-3</v>
      </c>
      <c r="V22" s="25"/>
      <c r="AA22" s="119">
        <v>5</v>
      </c>
      <c r="AB22" s="119">
        <v>1.519E-3</v>
      </c>
      <c r="AC22" s="119">
        <v>999.99</v>
      </c>
      <c r="AD22" s="121">
        <v>1.5190151901519014E-6</v>
      </c>
    </row>
    <row r="23" spans="1:30" x14ac:dyDescent="0.35">
      <c r="B23" s="18"/>
      <c r="C23" s="19"/>
      <c r="D23" s="19"/>
      <c r="E23" s="3"/>
      <c r="F23" s="3"/>
      <c r="G23" s="19"/>
      <c r="H23" s="19"/>
      <c r="I23" s="19"/>
      <c r="J23" s="20"/>
      <c r="K23" s="21"/>
      <c r="R23" s="22">
        <v>1.7</v>
      </c>
      <c r="S23" s="23">
        <f t="shared" si="9"/>
        <v>28168.284789644007</v>
      </c>
      <c r="T23" s="23">
        <f t="shared" si="14"/>
        <v>2.2539420748864131E-2</v>
      </c>
      <c r="U23" s="23">
        <f t="shared" si="15"/>
        <v>6.1057129494354557E-3</v>
      </c>
      <c r="V23" s="25"/>
      <c r="W23" s="40"/>
      <c r="AA23" s="119">
        <f>AA22+5</f>
        <v>10</v>
      </c>
      <c r="AB23" s="119">
        <v>1.3079999999999999E-3</v>
      </c>
      <c r="AC23" s="119">
        <v>999.73</v>
      </c>
      <c r="AD23" s="121">
        <v>1.3083532553789522E-6</v>
      </c>
    </row>
    <row r="24" spans="1:30" x14ac:dyDescent="0.35">
      <c r="B24" s="18"/>
      <c r="C24" s="19"/>
      <c r="D24" s="19"/>
      <c r="E24" s="3"/>
      <c r="F24" s="3"/>
      <c r="G24" s="19"/>
      <c r="H24" s="19"/>
      <c r="I24" s="19"/>
      <c r="J24" s="20"/>
      <c r="K24" s="21"/>
      <c r="R24" s="22">
        <v>1.8</v>
      </c>
      <c r="S24" s="23">
        <f t="shared" si="9"/>
        <v>29825.2427184466</v>
      </c>
      <c r="T24" s="23">
        <f t="shared" si="14"/>
        <v>2.2219631635489009E-2</v>
      </c>
      <c r="U24" s="23">
        <f t="shared" si="15"/>
        <v>6.0190851450930847E-3</v>
      </c>
      <c r="V24" s="4"/>
      <c r="W24" s="40"/>
      <c r="AA24" s="119" t="e">
        <f>#REF!+5</f>
        <v>#REF!</v>
      </c>
      <c r="AB24" s="119">
        <v>1.005E-3</v>
      </c>
      <c r="AC24" s="119">
        <v>998.23</v>
      </c>
      <c r="AD24" s="121">
        <v>1.0067820041473407E-6</v>
      </c>
    </row>
    <row r="25" spans="1:30" x14ac:dyDescent="0.35">
      <c r="B25" s="18"/>
      <c r="C25" s="19"/>
      <c r="D25" s="19"/>
      <c r="E25" s="3"/>
      <c r="F25" s="3"/>
      <c r="G25" s="19"/>
      <c r="H25" s="19"/>
      <c r="I25" s="19"/>
      <c r="J25" s="20"/>
      <c r="K25" s="21"/>
      <c r="R25" s="22">
        <v>1.9</v>
      </c>
      <c r="S25" s="23">
        <f t="shared" si="9"/>
        <v>31482.200647249185</v>
      </c>
      <c r="T25" s="23">
        <f t="shared" si="14"/>
        <v>2.1921313893836232E-2</v>
      </c>
      <c r="U25" s="23">
        <f t="shared" si="15"/>
        <v>5.9382737294604322E-3</v>
      </c>
      <c r="V25" s="4"/>
      <c r="W25" s="40"/>
      <c r="AA25" s="119">
        <v>25</v>
      </c>
      <c r="AB25" s="119">
        <v>8.9400000000000005E-4</v>
      </c>
      <c r="AC25" s="119">
        <v>997.07</v>
      </c>
      <c r="AD25" s="121">
        <v>8.9662711745414066E-7</v>
      </c>
    </row>
    <row r="26" spans="1:30" x14ac:dyDescent="0.35">
      <c r="N26" s="22"/>
      <c r="R26" s="22">
        <v>2</v>
      </c>
      <c r="S26" s="23">
        <f t="shared" si="9"/>
        <v>33139.158576051777</v>
      </c>
      <c r="T26" s="23">
        <f t="shared" si="14"/>
        <v>2.1642004457156336E-2</v>
      </c>
      <c r="U26" s="23">
        <f t="shared" si="15"/>
        <v>5.862611481373515E-3</v>
      </c>
      <c r="V26" s="4"/>
      <c r="W26" s="40"/>
      <c r="AA26" s="32"/>
      <c r="AB26" s="32"/>
      <c r="AC26" s="32"/>
      <c r="AD26" s="32"/>
    </row>
    <row r="27" spans="1:30" x14ac:dyDescent="0.35">
      <c r="K27" s="1"/>
      <c r="L27" s="4"/>
      <c r="N27" s="22"/>
      <c r="R27" s="22">
        <v>2.1</v>
      </c>
      <c r="S27" s="23">
        <f t="shared" si="9"/>
        <v>34796.11650485437</v>
      </c>
      <c r="T27" s="23">
        <f t="shared" si="14"/>
        <v>2.1379628642450382E-2</v>
      </c>
      <c r="U27" s="23">
        <f t="shared" si="15"/>
        <v>5.7915363891021419E-3</v>
      </c>
      <c r="V27" s="4"/>
      <c r="W27" s="40"/>
      <c r="AA27" s="32"/>
      <c r="AB27" s="32"/>
      <c r="AC27" s="32"/>
      <c r="AD27" s="32"/>
    </row>
    <row r="28" spans="1:30" x14ac:dyDescent="0.35">
      <c r="R28" s="22">
        <v>2.2000000000000002</v>
      </c>
      <c r="S28" s="23">
        <f t="shared" si="9"/>
        <v>36453.074433656955</v>
      </c>
      <c r="T28" s="23">
        <f t="shared" si="14"/>
        <v>2.113242376098325E-2</v>
      </c>
      <c r="U28" s="23">
        <f t="shared" si="15"/>
        <v>5.7245709571704627E-3</v>
      </c>
      <c r="V28" s="4"/>
      <c r="W28" s="40"/>
      <c r="AA28" s="32"/>
      <c r="AB28" s="32"/>
      <c r="AC28" s="32"/>
      <c r="AD28" s="32"/>
    </row>
    <row r="29" spans="1:30" x14ac:dyDescent="0.35">
      <c r="L29" s="41"/>
      <c r="R29" s="22">
        <v>2.2999999999999998</v>
      </c>
      <c r="S29" s="23">
        <f t="shared" si="9"/>
        <v>38110.03236245954</v>
      </c>
      <c r="T29" s="23">
        <f t="shared" si="14"/>
        <v>2.0898880469951378E-2</v>
      </c>
      <c r="U29" s="23">
        <f t="shared" si="15"/>
        <v>5.6613063190861443E-3</v>
      </c>
      <c r="V29" s="4"/>
      <c r="W29" s="40"/>
      <c r="AA29" s="32"/>
      <c r="AB29" s="32"/>
      <c r="AC29" s="32"/>
      <c r="AD29" s="32"/>
    </row>
    <row r="30" spans="1:30" x14ac:dyDescent="0.35">
      <c r="R30" s="22">
        <v>2.4</v>
      </c>
      <c r="S30" s="23">
        <f t="shared" si="9"/>
        <v>39766.990291262133</v>
      </c>
      <c r="T30" s="23">
        <f t="shared" si="14"/>
        <v>2.0677697167444799E-2</v>
      </c>
      <c r="U30" s="23">
        <f t="shared" si="15"/>
        <v>5.6013898833728905E-3</v>
      </c>
      <c r="V30" s="4"/>
      <c r="W30" s="40"/>
      <c r="AA30" s="32"/>
      <c r="AB30" s="32"/>
      <c r="AC30" s="32"/>
      <c r="AD30" s="32"/>
    </row>
    <row r="31" spans="1:30" x14ac:dyDescent="0.35">
      <c r="F31" s="1"/>
      <c r="G31" s="1"/>
      <c r="R31" s="22">
        <v>2.5</v>
      </c>
      <c r="S31" s="23">
        <f t="shared" si="9"/>
        <v>41423.948220064718</v>
      </c>
      <c r="T31" s="23">
        <f t="shared" si="14"/>
        <v>2.046774411736494E-2</v>
      </c>
      <c r="U31" s="23">
        <f t="shared" si="15"/>
        <v>5.544515615354682E-3</v>
      </c>
      <c r="V31" s="4"/>
      <c r="W31" s="40"/>
      <c r="AA31" s="32"/>
      <c r="AB31" s="32"/>
      <c r="AC31" s="32"/>
      <c r="AD31" s="32"/>
    </row>
    <row r="32" spans="1:30" x14ac:dyDescent="0.35">
      <c r="G32" s="19"/>
      <c r="V32" s="4"/>
      <c r="W32" s="40"/>
    </row>
    <row r="33" spans="7:24" x14ac:dyDescent="0.35">
      <c r="G33" s="19"/>
      <c r="V33" s="4"/>
      <c r="W33" s="40"/>
      <c r="X33" s="1" t="s">
        <v>51</v>
      </c>
    </row>
    <row r="34" spans="7:24" x14ac:dyDescent="0.35">
      <c r="G34" s="19"/>
      <c r="V34" s="4"/>
      <c r="W34" s="40"/>
    </row>
    <row r="35" spans="7:24" x14ac:dyDescent="0.35">
      <c r="G35" s="19"/>
      <c r="V35" s="4"/>
      <c r="W35" s="40"/>
    </row>
    <row r="36" spans="7:24" x14ac:dyDescent="0.35">
      <c r="G36" s="19"/>
      <c r="V36" s="4"/>
    </row>
    <row r="37" spans="7:24" x14ac:dyDescent="0.35">
      <c r="G37" s="19"/>
      <c r="V37" s="4"/>
    </row>
    <row r="38" spans="7:24" x14ac:dyDescent="0.35">
      <c r="V38" s="4"/>
    </row>
    <row r="39" spans="7:24" x14ac:dyDescent="0.35">
      <c r="R39" s="4"/>
      <c r="S39" s="16"/>
      <c r="T39" s="16"/>
      <c r="U39" s="4"/>
      <c r="V39" s="4"/>
    </row>
    <row r="40" spans="7:24" x14ac:dyDescent="0.35">
      <c r="R40" s="4"/>
      <c r="S40" s="16"/>
      <c r="T40" s="16"/>
      <c r="U40" s="4"/>
      <c r="V40" s="4"/>
    </row>
    <row r="41" spans="7:24" x14ac:dyDescent="0.35">
      <c r="R41" s="4"/>
      <c r="S41" s="16"/>
      <c r="T41" s="16"/>
      <c r="U41" s="4"/>
      <c r="V41" s="4"/>
    </row>
    <row r="42" spans="7:24" x14ac:dyDescent="0.35">
      <c r="R42" s="4"/>
      <c r="S42" s="16"/>
      <c r="T42" s="16"/>
      <c r="U42" s="4"/>
      <c r="V42" s="4"/>
    </row>
    <row r="43" spans="7:24" x14ac:dyDescent="0.35">
      <c r="R43" s="4"/>
      <c r="S43" s="16"/>
      <c r="T43" s="16"/>
      <c r="U43" s="4"/>
      <c r="V43" s="4"/>
    </row>
    <row r="44" spans="7:24" x14ac:dyDescent="0.35">
      <c r="R44" s="4"/>
      <c r="S44" s="16"/>
      <c r="T44" s="16"/>
    </row>
    <row r="45" spans="7:24" x14ac:dyDescent="0.35">
      <c r="R45" s="4"/>
      <c r="S45" s="16"/>
      <c r="T45" s="16"/>
    </row>
    <row r="46" spans="7:24" x14ac:dyDescent="0.35">
      <c r="R46" s="4"/>
      <c r="S46" s="16"/>
      <c r="T46" s="16"/>
    </row>
    <row r="47" spans="7:24" x14ac:dyDescent="0.35">
      <c r="R47" s="4"/>
      <c r="S47" s="16"/>
      <c r="T47" s="16"/>
    </row>
    <row r="48" spans="7:24" x14ac:dyDescent="0.35">
      <c r="R48" s="4"/>
      <c r="S48" s="16"/>
      <c r="T48" s="16"/>
    </row>
    <row r="49" spans="18:20" x14ac:dyDescent="0.35">
      <c r="R49" s="4"/>
      <c r="S49" s="16"/>
      <c r="T49" s="16"/>
    </row>
    <row r="50" spans="18:20" x14ac:dyDescent="0.35">
      <c r="R50" s="4"/>
      <c r="S50" s="16"/>
      <c r="T50" s="16"/>
    </row>
    <row r="51" spans="18:20" x14ac:dyDescent="0.35">
      <c r="R51" s="4"/>
      <c r="S51" s="16"/>
      <c r="T51" s="16"/>
    </row>
    <row r="52" spans="18:20" x14ac:dyDescent="0.35">
      <c r="R52" s="4"/>
      <c r="S52" s="16"/>
      <c r="T52" s="16"/>
    </row>
    <row r="53" spans="18:20" x14ac:dyDescent="0.35">
      <c r="R53" s="4"/>
      <c r="S53" s="16"/>
      <c r="T53" s="16"/>
    </row>
    <row r="54" spans="18:20" x14ac:dyDescent="0.35">
      <c r="R54" s="4"/>
    </row>
  </sheetData>
  <mergeCells count="2">
    <mergeCell ref="A3:N3"/>
    <mergeCell ref="W5:X5"/>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99F69-D358-4BE5-AA05-B08078A96E03}">
  <dimension ref="A1:I29"/>
  <sheetViews>
    <sheetView topLeftCell="A7" zoomScale="60" zoomScaleNormal="60" workbookViewId="0">
      <selection activeCell="R19" sqref="R19"/>
    </sheetView>
  </sheetViews>
  <sheetFormatPr defaultRowHeight="15.5" x14ac:dyDescent="0.35"/>
  <cols>
    <col min="1" max="1" width="28.84375" customWidth="1"/>
    <col min="2" max="2" width="12.07421875" bestFit="1" customWidth="1"/>
    <col min="3" max="3" width="11.765625" bestFit="1" customWidth="1"/>
    <col min="4" max="5" width="11.765625" customWidth="1"/>
    <col min="7" max="7" width="13.84375" bestFit="1" customWidth="1"/>
  </cols>
  <sheetData>
    <row r="1" spans="1:1" x14ac:dyDescent="0.35">
      <c r="A1" t="s">
        <v>74</v>
      </c>
    </row>
    <row r="25" spans="1:9" x14ac:dyDescent="0.35">
      <c r="A25" s="105" t="s">
        <v>120</v>
      </c>
      <c r="B25" s="105"/>
      <c r="C25" s="105"/>
      <c r="D25" s="105"/>
      <c r="E25" s="105"/>
      <c r="F25" s="105"/>
      <c r="G25" s="105"/>
      <c r="H25" s="105"/>
      <c r="I25" s="105"/>
    </row>
    <row r="26" spans="1:9" x14ac:dyDescent="0.35">
      <c r="A26" s="105"/>
      <c r="B26" s="105" t="s">
        <v>65</v>
      </c>
      <c r="C26" s="105" t="s">
        <v>77</v>
      </c>
      <c r="D26" s="105"/>
      <c r="E26" s="105"/>
      <c r="F26" s="105" t="s">
        <v>66</v>
      </c>
      <c r="G26" s="105" t="s">
        <v>67</v>
      </c>
      <c r="H26" s="105"/>
      <c r="I26" s="105"/>
    </row>
    <row r="27" spans="1:9" x14ac:dyDescent="0.35">
      <c r="A27" s="105">
        <v>1</v>
      </c>
      <c r="B27" s="105">
        <f>0.0066*(22000^0.0143)</f>
        <v>7.6144857783753848E-3</v>
      </c>
      <c r="C27" s="105"/>
      <c r="D27" s="105"/>
      <c r="E27" s="105"/>
      <c r="F27" s="105">
        <f>AVERAGEA(B27:B29)</f>
        <v>7.6936769262487131E-3</v>
      </c>
      <c r="G27" s="105">
        <f>_xlfn.STDEV.P(B27:B29)</f>
        <v>1.6556071529919673E-4</v>
      </c>
      <c r="H27" s="105"/>
      <c r="I27" s="105"/>
    </row>
    <row r="28" spans="1:9" x14ac:dyDescent="0.35">
      <c r="A28" s="105">
        <v>2</v>
      </c>
      <c r="B28" s="105">
        <f>0.0043*(22000^0.0562)</f>
        <v>7.5424529591277293E-3</v>
      </c>
      <c r="C28" s="105"/>
      <c r="D28" s="105"/>
      <c r="E28" s="105"/>
      <c r="F28" s="105"/>
      <c r="G28" s="105"/>
      <c r="H28" s="105"/>
      <c r="I28" s="105"/>
    </row>
    <row r="29" spans="1:9" x14ac:dyDescent="0.35">
      <c r="A29" s="105">
        <v>3</v>
      </c>
      <c r="B29" s="107">
        <f>0.0041*(22000^0.0659)</f>
        <v>7.9240920412430235E-3</v>
      </c>
      <c r="C29" s="105"/>
      <c r="D29" s="105"/>
      <c r="E29" s="105"/>
      <c r="F29" s="105"/>
      <c r="G29" s="105"/>
      <c r="H29" s="105"/>
      <c r="I29" s="105"/>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91195-9A2F-48B0-973B-FA531D7B6223}">
  <dimension ref="A1:AD90"/>
  <sheetViews>
    <sheetView zoomScale="60" zoomScaleNormal="60" zoomScalePageLayoutView="90" workbookViewId="0">
      <selection activeCell="I3" sqref="I2:J3"/>
    </sheetView>
  </sheetViews>
  <sheetFormatPr defaultColWidth="8.69140625" defaultRowHeight="15.5" x14ac:dyDescent="0.35"/>
  <cols>
    <col min="1" max="4" width="8.69140625" style="2"/>
    <col min="5" max="5" width="12.3046875" style="2" customWidth="1"/>
    <col min="6" max="6" width="15.69140625" style="2" bestFit="1" customWidth="1"/>
    <col min="7" max="7" width="8.53515625" style="2" customWidth="1"/>
    <col min="8" max="8" width="8.69140625" style="2"/>
    <col min="9" max="9" width="15.69140625" style="2" bestFit="1" customWidth="1"/>
    <col min="10" max="10" width="12.23046875" style="2" customWidth="1"/>
    <col min="11" max="11" width="10.4609375" style="2" customWidth="1"/>
    <col min="12" max="12" width="8.53515625" style="3" customWidth="1"/>
    <col min="13" max="13" width="10.4609375" style="4" customWidth="1"/>
    <col min="14" max="14" width="27.3046875" style="4" bestFit="1" customWidth="1"/>
    <col min="15" max="15" width="13.53515625" style="4" bestFit="1" customWidth="1"/>
    <col min="16" max="16" width="27.23046875" style="4" customWidth="1"/>
    <col min="17" max="17" width="8.4609375" style="5" customWidth="1"/>
    <col min="18" max="18" width="10.23046875" style="2" customWidth="1"/>
    <col min="19" max="19" width="13.84375" style="2" customWidth="1"/>
    <col min="20" max="22" width="10" style="2" customWidth="1"/>
    <col min="23" max="23" width="21" style="2" customWidth="1"/>
    <col min="24" max="24" width="8.69140625" style="2" customWidth="1"/>
    <col min="25" max="25" width="8.69140625" style="2"/>
    <col min="26" max="26" width="22" style="2" customWidth="1"/>
    <col min="27" max="27" width="35.84375" style="2" customWidth="1"/>
    <col min="28" max="28" width="16.84375" style="2" customWidth="1"/>
    <col min="29" max="16384" width="8.69140625" style="2"/>
  </cols>
  <sheetData>
    <row r="1" spans="1:28" x14ac:dyDescent="0.35">
      <c r="A1" s="1" t="s">
        <v>131</v>
      </c>
    </row>
    <row r="2" spans="1:28" x14ac:dyDescent="0.35">
      <c r="A2" s="1"/>
      <c r="I2" s="1"/>
      <c r="J2" s="1"/>
    </row>
    <row r="3" spans="1:28" x14ac:dyDescent="0.35">
      <c r="A3" s="1"/>
      <c r="I3" s="1"/>
      <c r="J3" s="1"/>
    </row>
    <row r="4" spans="1:28" x14ac:dyDescent="0.35">
      <c r="A4" s="150" t="s">
        <v>3</v>
      </c>
      <c r="B4" s="150"/>
      <c r="C4" s="150"/>
      <c r="D4" s="150"/>
      <c r="E4" s="150"/>
      <c r="F4" s="150"/>
      <c r="G4" s="150"/>
      <c r="H4" s="150"/>
      <c r="I4" s="150"/>
      <c r="J4" s="150"/>
      <c r="K4" s="150"/>
      <c r="L4" s="150"/>
      <c r="M4" s="150"/>
      <c r="N4" s="150"/>
      <c r="O4" s="108"/>
      <c r="P4" s="108"/>
      <c r="Q4" s="7"/>
    </row>
    <row r="6" spans="1:28" ht="19" x14ac:dyDescent="0.4">
      <c r="A6" s="8"/>
      <c r="B6" s="9" t="s">
        <v>4</v>
      </c>
      <c r="C6" s="9" t="s">
        <v>5</v>
      </c>
      <c r="D6" s="10" t="s">
        <v>6</v>
      </c>
      <c r="E6" s="10" t="s">
        <v>7</v>
      </c>
      <c r="F6" s="10" t="s">
        <v>8</v>
      </c>
      <c r="G6" s="10" t="s">
        <v>9</v>
      </c>
      <c r="H6" s="10" t="s">
        <v>10</v>
      </c>
      <c r="I6" s="9" t="s">
        <v>11</v>
      </c>
      <c r="J6" s="9" t="s">
        <v>12</v>
      </c>
      <c r="K6" s="9" t="s">
        <v>13</v>
      </c>
      <c r="L6" s="11" t="s">
        <v>14</v>
      </c>
      <c r="M6" s="12" t="s">
        <v>15</v>
      </c>
      <c r="N6" s="13" t="s">
        <v>16</v>
      </c>
      <c r="O6" s="14" t="s">
        <v>17</v>
      </c>
      <c r="P6" s="14" t="s">
        <v>18</v>
      </c>
      <c r="Q6" s="14"/>
      <c r="R6" s="15" t="s">
        <v>19</v>
      </c>
      <c r="S6" s="16" t="s">
        <v>14</v>
      </c>
      <c r="T6" s="15" t="s">
        <v>20</v>
      </c>
      <c r="U6" s="16" t="s">
        <v>21</v>
      </c>
      <c r="V6" s="16"/>
      <c r="W6" s="151" t="s">
        <v>22</v>
      </c>
      <c r="X6" s="151"/>
    </row>
    <row r="7" spans="1:28" x14ac:dyDescent="0.35">
      <c r="A7" s="17" t="s">
        <v>23</v>
      </c>
      <c r="B7" s="18">
        <v>0</v>
      </c>
      <c r="C7" s="19">
        <f t="shared" ref="C7:C19" si="0">B7*0.0166667</f>
        <v>0</v>
      </c>
      <c r="D7" s="19">
        <f t="shared" ref="D7:D19" si="1">B7*0.000277778</f>
        <v>0</v>
      </c>
      <c r="E7" s="3">
        <f t="shared" ref="E7:E19" si="2">0.001*D7</f>
        <v>0</v>
      </c>
      <c r="F7" s="19">
        <f t="shared" ref="F7:F19" si="3">E7/X$8</f>
        <v>0</v>
      </c>
      <c r="G7" s="19">
        <f t="shared" ref="G7:G19" si="4">F7^(2)</f>
        <v>0</v>
      </c>
      <c r="H7" s="19">
        <f t="shared" ref="H7:H19" si="5">F7*1.94384</f>
        <v>0</v>
      </c>
      <c r="I7" s="20">
        <v>0</v>
      </c>
      <c r="J7" s="20">
        <f t="shared" ref="J7:J19" si="6">I7 * 10</f>
        <v>0</v>
      </c>
      <c r="K7" s="21">
        <f t="shared" ref="K7:K19" si="7">J7*100</f>
        <v>0</v>
      </c>
      <c r="L7" s="3">
        <f t="shared" ref="L7:L19" si="8">(F7*X$12)/X$13</f>
        <v>0</v>
      </c>
      <c r="R7" s="22">
        <v>0</v>
      </c>
      <c r="S7" s="23">
        <f t="shared" ref="S7:S32" si="9">(R7*X$12)/X$13</f>
        <v>0</v>
      </c>
      <c r="T7" s="23"/>
      <c r="U7" s="23"/>
      <c r="V7" s="23"/>
    </row>
    <row r="8" spans="1:28" x14ac:dyDescent="0.35">
      <c r="A8" s="2" t="s">
        <v>52</v>
      </c>
      <c r="B8" s="2">
        <v>1850</v>
      </c>
      <c r="C8" s="19">
        <f t="shared" si="0"/>
        <v>30.833394999999999</v>
      </c>
      <c r="D8" s="19">
        <f t="shared" si="1"/>
        <v>0.51388929999999999</v>
      </c>
      <c r="E8" s="3">
        <f t="shared" si="2"/>
        <v>5.1388930000000001E-4</v>
      </c>
      <c r="F8" s="19">
        <f t="shared" si="3"/>
        <v>1.0277786</v>
      </c>
      <c r="G8" s="19">
        <f t="shared" si="4"/>
        <v>1.05632885061796</v>
      </c>
      <c r="H8" s="19">
        <f t="shared" si="5"/>
        <v>1.9978371538240001</v>
      </c>
      <c r="I8" s="2">
        <v>1.7242870967741932</v>
      </c>
      <c r="J8" s="20">
        <f t="shared" si="6"/>
        <v>17.242870967741933</v>
      </c>
      <c r="K8" s="21">
        <f t="shared" si="7"/>
        <v>1724.2870967741933</v>
      </c>
      <c r="L8" s="3">
        <f t="shared" si="8"/>
        <v>14390.229137685845</v>
      </c>
      <c r="M8" s="4">
        <f t="shared" ref="M8:M19" si="10">(X$16*G8*N8)/8</f>
        <v>8.6033232244510689</v>
      </c>
      <c r="N8" s="4">
        <f t="shared" ref="N8:N19" si="11">(K8*2*X$12)/(X$14*X$16*G8)</f>
        <v>6.3505263779050483E-2</v>
      </c>
      <c r="O8" s="4">
        <f t="shared" ref="O8:O19" si="12">N8/4</f>
        <v>1.5876315944762621E-2</v>
      </c>
      <c r="P8" s="4">
        <f t="shared" ref="P8:P19" si="13">3.7*(10^(-1/(2*SQRT(N8)))-2.51/(L8*SQRT(N8)))</f>
        <v>3.581811269505019E-2</v>
      </c>
      <c r="R8" s="22">
        <v>0.1</v>
      </c>
      <c r="S8" s="23">
        <f t="shared" si="9"/>
        <v>1400.1292824822237</v>
      </c>
      <c r="T8" s="23">
        <f t="shared" ref="T8:T32" si="14">0.292/(S8^(0.25))</f>
        <v>4.773542755599354E-2</v>
      </c>
      <c r="U8" s="23">
        <f>0.0791/(S8^0.25)</f>
        <v>1.2931069587942087E-2</v>
      </c>
      <c r="V8" s="23"/>
      <c r="W8" s="1" t="s">
        <v>24</v>
      </c>
      <c r="X8" s="2">
        <v>5.0000000000000001E-4</v>
      </c>
    </row>
    <row r="9" spans="1:28" x14ac:dyDescent="0.35">
      <c r="A9" s="2" t="s">
        <v>53</v>
      </c>
      <c r="B9" s="2">
        <v>2650</v>
      </c>
      <c r="C9" s="19">
        <f t="shared" si="0"/>
        <v>44.166755000000002</v>
      </c>
      <c r="D9" s="19">
        <f t="shared" si="1"/>
        <v>0.73611170000000004</v>
      </c>
      <c r="E9" s="3">
        <f t="shared" si="2"/>
        <v>7.3611170000000004E-4</v>
      </c>
      <c r="F9" s="19">
        <f t="shared" si="3"/>
        <v>1.4722234000000001</v>
      </c>
      <c r="G9" s="19">
        <f t="shared" si="4"/>
        <v>2.1674417395075602</v>
      </c>
      <c r="H9" s="19">
        <f t="shared" si="5"/>
        <v>2.8617667338560002</v>
      </c>
      <c r="I9" s="2">
        <v>3.7444806451612909</v>
      </c>
      <c r="J9" s="20">
        <f t="shared" si="6"/>
        <v>37.444806451612905</v>
      </c>
      <c r="K9" s="21">
        <f t="shared" si="7"/>
        <v>3744.4806451612903</v>
      </c>
      <c r="L9" s="3">
        <f t="shared" si="8"/>
        <v>20613.030926955398</v>
      </c>
      <c r="M9" s="4">
        <f t="shared" si="10"/>
        <v>18.683070445920301</v>
      </c>
      <c r="N9" s="4">
        <f t="shared" si="11"/>
        <v>6.7211477884700374E-2</v>
      </c>
      <c r="O9" s="4">
        <f t="shared" si="12"/>
        <v>1.6802869471175094E-2</v>
      </c>
      <c r="P9" s="4">
        <f t="shared" si="13"/>
        <v>4.1870993138173156E-2</v>
      </c>
      <c r="R9" s="22">
        <v>0.2</v>
      </c>
      <c r="S9" s="23">
        <f t="shared" si="9"/>
        <v>2800.2585649644475</v>
      </c>
      <c r="T9" s="23">
        <f t="shared" si="14"/>
        <v>4.0140549912438352E-2</v>
      </c>
      <c r="U9" s="23">
        <f t="shared" ref="U9:U32" si="15">0.0791/(S9^0.25)</f>
        <v>1.087369006189683E-2</v>
      </c>
      <c r="V9" s="23"/>
      <c r="W9" s="2" t="s">
        <v>25</v>
      </c>
    </row>
    <row r="10" spans="1:28" ht="19" x14ac:dyDescent="0.4">
      <c r="A10" s="2" t="s">
        <v>54</v>
      </c>
      <c r="B10" s="2">
        <v>3300</v>
      </c>
      <c r="C10" s="19">
        <f t="shared" si="0"/>
        <v>55.000109999999999</v>
      </c>
      <c r="D10" s="19">
        <f t="shared" si="1"/>
        <v>0.91666740000000002</v>
      </c>
      <c r="E10" s="3">
        <f t="shared" si="2"/>
        <v>9.1666740000000005E-4</v>
      </c>
      <c r="F10" s="19">
        <f t="shared" si="3"/>
        <v>1.8333348</v>
      </c>
      <c r="G10" s="19">
        <f t="shared" si="4"/>
        <v>3.3611164888910401</v>
      </c>
      <c r="H10" s="19">
        <f t="shared" si="5"/>
        <v>3.5637095176320002</v>
      </c>
      <c r="I10" s="2">
        <v>5.907167741935484</v>
      </c>
      <c r="J10" s="20">
        <f t="shared" si="6"/>
        <v>59.071677419354842</v>
      </c>
      <c r="K10" s="21">
        <f t="shared" si="7"/>
        <v>5907.1677419354837</v>
      </c>
      <c r="L10" s="3">
        <f t="shared" si="8"/>
        <v>25669.057380736911</v>
      </c>
      <c r="M10" s="4">
        <f t="shared" si="10"/>
        <v>29.473788628354558</v>
      </c>
      <c r="N10" s="4">
        <f t="shared" si="11"/>
        <v>6.8374635859879587E-2</v>
      </c>
      <c r="O10" s="4">
        <f t="shared" si="12"/>
        <v>1.7093658964969897E-2</v>
      </c>
      <c r="P10" s="4">
        <f t="shared" si="13"/>
        <v>4.3911283629901009E-2</v>
      </c>
      <c r="R10" s="22">
        <v>0.3</v>
      </c>
      <c r="S10" s="23">
        <f t="shared" si="9"/>
        <v>4200.3878474466701</v>
      </c>
      <c r="T10" s="23">
        <f t="shared" si="14"/>
        <v>3.6271081326880283E-2</v>
      </c>
      <c r="U10" s="23">
        <f t="shared" si="15"/>
        <v>9.8254881265624327E-3</v>
      </c>
      <c r="V10" s="23"/>
      <c r="W10" s="1" t="s">
        <v>26</v>
      </c>
      <c r="X10" s="19">
        <v>0.05</v>
      </c>
      <c r="AA10" s="27" t="s">
        <v>27</v>
      </c>
    </row>
    <row r="11" spans="1:28" ht="18.5" x14ac:dyDescent="0.35">
      <c r="A11" s="2" t="s">
        <v>55</v>
      </c>
      <c r="B11" s="2">
        <v>4100</v>
      </c>
      <c r="C11" s="19">
        <f t="shared" si="0"/>
        <v>68.333469999999991</v>
      </c>
      <c r="D11" s="19">
        <f t="shared" si="1"/>
        <v>1.1388898000000001</v>
      </c>
      <c r="E11" s="3">
        <f t="shared" si="2"/>
        <v>1.1388898000000002E-3</v>
      </c>
      <c r="F11" s="19">
        <f t="shared" si="3"/>
        <v>2.2777796000000001</v>
      </c>
      <c r="G11" s="19">
        <f t="shared" si="4"/>
        <v>5.1882799061761604</v>
      </c>
      <c r="H11" s="19">
        <f t="shared" si="5"/>
        <v>4.4276390976640005</v>
      </c>
      <c r="I11" s="2">
        <v>8.624587096774194</v>
      </c>
      <c r="J11" s="20">
        <f t="shared" si="6"/>
        <v>86.245870967741936</v>
      </c>
      <c r="K11" s="21">
        <f t="shared" si="7"/>
        <v>8624.5870967741939</v>
      </c>
      <c r="L11" s="3">
        <f t="shared" si="8"/>
        <v>31891.859170006464</v>
      </c>
      <c r="M11" s="4">
        <f t="shared" si="10"/>
        <v>43.03234108159392</v>
      </c>
      <c r="N11" s="4">
        <f t="shared" si="11"/>
        <v>6.4671688751578901E-2</v>
      </c>
      <c r="O11" s="4">
        <f t="shared" si="12"/>
        <v>1.6167922187894725E-2</v>
      </c>
      <c r="P11" s="4">
        <f t="shared" si="13"/>
        <v>3.8855712699324134E-2</v>
      </c>
      <c r="R11" s="22">
        <v>0.4</v>
      </c>
      <c r="S11" s="23">
        <f t="shared" si="9"/>
        <v>5600.517129928895</v>
      </c>
      <c r="T11" s="23">
        <f t="shared" si="14"/>
        <v>3.3754044527682221E-2</v>
      </c>
      <c r="U11" s="23">
        <f t="shared" si="15"/>
        <v>9.1436469936289864E-3</v>
      </c>
      <c r="V11" s="23"/>
      <c r="W11" s="1" t="s">
        <v>28</v>
      </c>
      <c r="X11" s="19">
        <v>9.4999999999999998E-3</v>
      </c>
      <c r="AA11" s="28" t="s">
        <v>29</v>
      </c>
      <c r="AB11" s="2" t="s">
        <v>30</v>
      </c>
    </row>
    <row r="12" spans="1:28" ht="16.5" x14ac:dyDescent="0.4">
      <c r="A12" s="2" t="s">
        <v>56</v>
      </c>
      <c r="C12" s="19">
        <f t="shared" si="0"/>
        <v>0</v>
      </c>
      <c r="D12" s="19">
        <f t="shared" si="1"/>
        <v>0</v>
      </c>
      <c r="E12" s="3">
        <f t="shared" si="2"/>
        <v>0</v>
      </c>
      <c r="F12" s="19">
        <f t="shared" si="3"/>
        <v>0</v>
      </c>
      <c r="G12" s="19">
        <f t="shared" si="4"/>
        <v>0</v>
      </c>
      <c r="H12" s="19">
        <f t="shared" si="5"/>
        <v>0</v>
      </c>
      <c r="J12" s="20">
        <f t="shared" si="6"/>
        <v>0</v>
      </c>
      <c r="K12" s="21">
        <f t="shared" si="7"/>
        <v>0</v>
      </c>
      <c r="L12" s="3">
        <f t="shared" si="8"/>
        <v>0</v>
      </c>
      <c r="M12" s="4" t="e">
        <f t="shared" si="10"/>
        <v>#DIV/0!</v>
      </c>
      <c r="N12" s="4" t="e">
        <f t="shared" si="11"/>
        <v>#DIV/0!</v>
      </c>
      <c r="O12" s="4" t="e">
        <f t="shared" si="12"/>
        <v>#DIV/0!</v>
      </c>
      <c r="P12" s="4" t="e">
        <f t="shared" si="13"/>
        <v>#DIV/0!</v>
      </c>
      <c r="R12" s="22">
        <v>0.5</v>
      </c>
      <c r="S12" s="23">
        <f t="shared" si="9"/>
        <v>7000.646412411118</v>
      </c>
      <c r="T12" s="23">
        <f t="shared" si="14"/>
        <v>3.1922604381975028E-2</v>
      </c>
      <c r="U12" s="23">
        <f t="shared" si="15"/>
        <v>8.647527419911729E-3</v>
      </c>
      <c r="V12" s="23"/>
      <c r="W12" s="1" t="s">
        <v>163</v>
      </c>
      <c r="X12" s="4">
        <f>2*(X10*X11)/(X10+X11)</f>
        <v>1.5966386554621848E-2</v>
      </c>
      <c r="Y12" s="1">
        <f>10*X12*100</f>
        <v>15.966386554621847</v>
      </c>
      <c r="AA12" s="27" t="s">
        <v>32</v>
      </c>
      <c r="AB12" s="2" t="s">
        <v>33</v>
      </c>
    </row>
    <row r="13" spans="1:28" x14ac:dyDescent="0.35">
      <c r="A13" s="2" t="s">
        <v>63</v>
      </c>
      <c r="C13" s="19">
        <f t="shared" si="0"/>
        <v>0</v>
      </c>
      <c r="D13" s="19">
        <f t="shared" si="1"/>
        <v>0</v>
      </c>
      <c r="E13" s="3">
        <f t="shared" si="2"/>
        <v>0</v>
      </c>
      <c r="F13" s="19">
        <f t="shared" si="3"/>
        <v>0</v>
      </c>
      <c r="G13" s="19">
        <f t="shared" si="4"/>
        <v>0</v>
      </c>
      <c r="H13" s="19">
        <f t="shared" si="5"/>
        <v>0</v>
      </c>
      <c r="J13" s="20">
        <f t="shared" si="6"/>
        <v>0</v>
      </c>
      <c r="K13" s="21">
        <f t="shared" si="7"/>
        <v>0</v>
      </c>
      <c r="L13" s="3">
        <f t="shared" si="8"/>
        <v>0</v>
      </c>
      <c r="M13" s="4" t="e">
        <f t="shared" si="10"/>
        <v>#DIV/0!</v>
      </c>
      <c r="N13" s="4" t="e">
        <f t="shared" si="11"/>
        <v>#DIV/0!</v>
      </c>
      <c r="O13" s="4" t="e">
        <f t="shared" si="12"/>
        <v>#DIV/0!</v>
      </c>
      <c r="P13" s="4" t="e">
        <f t="shared" si="13"/>
        <v>#DIV/0!</v>
      </c>
      <c r="R13" s="22">
        <v>0.6</v>
      </c>
      <c r="S13" s="23">
        <f t="shared" si="9"/>
        <v>8400.7756948933402</v>
      </c>
      <c r="T13" s="23">
        <f t="shared" si="14"/>
        <v>3.0500222265149576E-2</v>
      </c>
      <c r="U13" s="23">
        <f t="shared" si="15"/>
        <v>8.2622177437442872E-3</v>
      </c>
      <c r="V13" s="23"/>
      <c r="W13" s="1" t="s">
        <v>164</v>
      </c>
      <c r="X13" s="31">
        <f>X17/X16</f>
        <v>1.1403508771929824E-6</v>
      </c>
    </row>
    <row r="14" spans="1:28" ht="16.5" x14ac:dyDescent="0.4">
      <c r="A14" s="2" t="s">
        <v>62</v>
      </c>
      <c r="C14" s="19">
        <f t="shared" si="0"/>
        <v>0</v>
      </c>
      <c r="D14" s="19">
        <f t="shared" si="1"/>
        <v>0</v>
      </c>
      <c r="E14" s="3">
        <f t="shared" si="2"/>
        <v>0</v>
      </c>
      <c r="F14" s="19">
        <f t="shared" si="3"/>
        <v>0</v>
      </c>
      <c r="G14" s="19">
        <f t="shared" si="4"/>
        <v>0</v>
      </c>
      <c r="H14" s="19">
        <f t="shared" si="5"/>
        <v>0</v>
      </c>
      <c r="J14" s="20">
        <f t="shared" si="6"/>
        <v>0</v>
      </c>
      <c r="K14" s="21">
        <f t="shared" si="7"/>
        <v>0</v>
      </c>
      <c r="L14" s="3">
        <f t="shared" si="8"/>
        <v>0</v>
      </c>
      <c r="M14" s="4" t="e">
        <f t="shared" si="10"/>
        <v>#DIV/0!</v>
      </c>
      <c r="N14" s="4" t="e">
        <f t="shared" si="11"/>
        <v>#DIV/0!</v>
      </c>
      <c r="O14" s="4" t="e">
        <f t="shared" si="12"/>
        <v>#DIV/0!</v>
      </c>
      <c r="P14" s="4" t="e">
        <f t="shared" si="13"/>
        <v>#DIV/0!</v>
      </c>
      <c r="R14" s="22">
        <v>0.7</v>
      </c>
      <c r="S14" s="23">
        <f t="shared" si="9"/>
        <v>9800.9049773755651</v>
      </c>
      <c r="T14" s="23">
        <f t="shared" si="14"/>
        <v>2.9347175337488155E-2</v>
      </c>
      <c r="U14" s="23">
        <f t="shared" si="15"/>
        <v>7.9498683876551828E-3</v>
      </c>
      <c r="V14" s="23"/>
      <c r="W14" s="1" t="s">
        <v>35</v>
      </c>
      <c r="X14" s="32">
        <v>0.8</v>
      </c>
      <c r="AA14" s="27" t="s">
        <v>36</v>
      </c>
      <c r="AB14" s="1" t="s">
        <v>37</v>
      </c>
    </row>
    <row r="15" spans="1:28" x14ac:dyDescent="0.35">
      <c r="A15" s="2" t="s">
        <v>57</v>
      </c>
      <c r="C15" s="19">
        <f t="shared" si="0"/>
        <v>0</v>
      </c>
      <c r="D15" s="19">
        <f t="shared" si="1"/>
        <v>0</v>
      </c>
      <c r="E15" s="3">
        <f t="shared" si="2"/>
        <v>0</v>
      </c>
      <c r="F15" s="19">
        <f t="shared" si="3"/>
        <v>0</v>
      </c>
      <c r="G15" s="19">
        <f t="shared" si="4"/>
        <v>0</v>
      </c>
      <c r="H15" s="19">
        <f t="shared" si="5"/>
        <v>0</v>
      </c>
      <c r="J15" s="20">
        <f t="shared" si="6"/>
        <v>0</v>
      </c>
      <c r="K15" s="21">
        <f t="shared" si="7"/>
        <v>0</v>
      </c>
      <c r="L15" s="3">
        <f t="shared" si="8"/>
        <v>0</v>
      </c>
      <c r="M15" s="4" t="e">
        <f t="shared" si="10"/>
        <v>#DIV/0!</v>
      </c>
      <c r="N15" s="4" t="e">
        <f t="shared" si="11"/>
        <v>#DIV/0!</v>
      </c>
      <c r="O15" s="4" t="e">
        <f t="shared" si="12"/>
        <v>#DIV/0!</v>
      </c>
      <c r="P15" s="4" t="e">
        <f t="shared" si="13"/>
        <v>#DIV/0!</v>
      </c>
      <c r="R15" s="22">
        <v>0.8</v>
      </c>
      <c r="S15" s="23">
        <f t="shared" si="9"/>
        <v>11201.03425985779</v>
      </c>
      <c r="T15" s="23">
        <f t="shared" si="14"/>
        <v>2.8383655043642236E-2</v>
      </c>
      <c r="U15" s="23">
        <f t="shared" si="15"/>
        <v>7.688859979288018E-3</v>
      </c>
      <c r="V15" s="23"/>
      <c r="X15" s="32"/>
    </row>
    <row r="16" spans="1:28" x14ac:dyDescent="0.35">
      <c r="A16" s="2" t="s">
        <v>58</v>
      </c>
      <c r="C16" s="19">
        <f t="shared" si="0"/>
        <v>0</v>
      </c>
      <c r="D16" s="19">
        <f t="shared" si="1"/>
        <v>0</v>
      </c>
      <c r="E16" s="3">
        <f t="shared" si="2"/>
        <v>0</v>
      </c>
      <c r="F16" s="19">
        <f t="shared" si="3"/>
        <v>0</v>
      </c>
      <c r="G16" s="19">
        <f t="shared" si="4"/>
        <v>0</v>
      </c>
      <c r="H16" s="19">
        <f t="shared" si="5"/>
        <v>0</v>
      </c>
      <c r="J16" s="20">
        <f t="shared" si="6"/>
        <v>0</v>
      </c>
      <c r="K16" s="21">
        <f t="shared" si="7"/>
        <v>0</v>
      </c>
      <c r="L16" s="3">
        <f t="shared" si="8"/>
        <v>0</v>
      </c>
      <c r="M16" s="4" t="e">
        <f t="shared" si="10"/>
        <v>#DIV/0!</v>
      </c>
      <c r="N16" s="4" t="e">
        <f t="shared" si="11"/>
        <v>#DIV/0!</v>
      </c>
      <c r="O16" s="4" t="e">
        <f t="shared" si="12"/>
        <v>#DIV/0!</v>
      </c>
      <c r="P16" s="4" t="e">
        <f t="shared" si="13"/>
        <v>#DIV/0!</v>
      </c>
      <c r="Q16" s="34"/>
      <c r="R16" s="22">
        <v>0.9</v>
      </c>
      <c r="S16" s="23">
        <f t="shared" si="9"/>
        <v>12601.163542340013</v>
      </c>
      <c r="T16" s="23">
        <f t="shared" si="14"/>
        <v>2.7560061949334747E-2</v>
      </c>
      <c r="U16" s="23">
        <f t="shared" si="15"/>
        <v>7.4657565075081462E-3</v>
      </c>
      <c r="V16" s="23"/>
      <c r="W16" s="2" t="s">
        <v>38</v>
      </c>
      <c r="X16" s="32">
        <f>VLOOKUP(X18, SW!A4:F34, 3, FALSE)</f>
        <v>1026</v>
      </c>
      <c r="Y16" s="32"/>
    </row>
    <row r="17" spans="1:30" x14ac:dyDescent="0.35">
      <c r="A17" s="2" t="s">
        <v>59</v>
      </c>
      <c r="B17" s="2">
        <v>3200</v>
      </c>
      <c r="C17" s="19">
        <f t="shared" si="0"/>
        <v>53.333439999999996</v>
      </c>
      <c r="D17" s="19">
        <f t="shared" si="1"/>
        <v>0.88888960000000006</v>
      </c>
      <c r="E17" s="3">
        <f t="shared" si="2"/>
        <v>8.8888960000000012E-4</v>
      </c>
      <c r="F17" s="19">
        <f t="shared" si="3"/>
        <v>1.7777792000000001</v>
      </c>
      <c r="G17" s="19">
        <f t="shared" si="4"/>
        <v>3.1604988839526404</v>
      </c>
      <c r="H17" s="19">
        <f t="shared" si="5"/>
        <v>3.4557183201280002</v>
      </c>
      <c r="I17" s="2">
        <v>5.637719354838711</v>
      </c>
      <c r="J17" s="20">
        <f t="shared" si="6"/>
        <v>56.377193548387112</v>
      </c>
      <c r="K17" s="21">
        <f t="shared" si="7"/>
        <v>5637.7193548387113</v>
      </c>
      <c r="L17" s="3">
        <f t="shared" si="8"/>
        <v>24891.207157078217</v>
      </c>
      <c r="M17" s="4">
        <f t="shared" si="10"/>
        <v>28.1293770330713</v>
      </c>
      <c r="N17" s="4">
        <f t="shared" si="11"/>
        <v>6.9398023090761637E-2</v>
      </c>
      <c r="O17" s="4">
        <f t="shared" si="12"/>
        <v>1.7349505772690409E-2</v>
      </c>
      <c r="P17" s="4">
        <f t="shared" si="13"/>
        <v>4.5378826461672468E-2</v>
      </c>
      <c r="R17" s="22">
        <v>1</v>
      </c>
      <c r="S17" s="23">
        <f t="shared" si="9"/>
        <v>14001.292824822236</v>
      </c>
      <c r="T17" s="23">
        <f t="shared" si="14"/>
        <v>2.684360359036532E-2</v>
      </c>
      <c r="U17" s="23">
        <f t="shared" si="15"/>
        <v>7.2716748082119762E-3</v>
      </c>
      <c r="V17" s="23"/>
      <c r="W17" s="2" t="s">
        <v>39</v>
      </c>
      <c r="X17" s="32">
        <f>VLOOKUP(X18, SW!A4:F34, 5, FALSE)</f>
        <v>1.17E-3</v>
      </c>
    </row>
    <row r="18" spans="1:30" x14ac:dyDescent="0.35">
      <c r="A18" s="2" t="s">
        <v>60</v>
      </c>
      <c r="B18" s="2">
        <v>2600</v>
      </c>
      <c r="C18" s="19">
        <f t="shared" si="0"/>
        <v>43.333419999999997</v>
      </c>
      <c r="D18" s="19">
        <f t="shared" si="1"/>
        <v>0.72222280000000005</v>
      </c>
      <c r="E18" s="3">
        <f t="shared" si="2"/>
        <v>7.2222280000000007E-4</v>
      </c>
      <c r="F18" s="19">
        <f t="shared" si="3"/>
        <v>1.4444456000000001</v>
      </c>
      <c r="G18" s="19">
        <f t="shared" si="4"/>
        <v>2.0864230913593604</v>
      </c>
      <c r="H18" s="19">
        <f t="shared" si="5"/>
        <v>2.8077711351040002</v>
      </c>
      <c r="I18" s="2">
        <v>3.4998290322580647</v>
      </c>
      <c r="J18" s="20">
        <f t="shared" si="6"/>
        <v>34.998290322580644</v>
      </c>
      <c r="K18" s="21">
        <f t="shared" si="7"/>
        <v>3499.8290322580642</v>
      </c>
      <c r="L18" s="3">
        <f t="shared" si="8"/>
        <v>20224.105815126051</v>
      </c>
      <c r="M18" s="4">
        <f t="shared" si="10"/>
        <v>17.462382251287607</v>
      </c>
      <c r="N18" s="4">
        <f t="shared" si="11"/>
        <v>6.5259499139867436E-2</v>
      </c>
      <c r="O18" s="4">
        <f t="shared" si="12"/>
        <v>1.6314874784966859E-2</v>
      </c>
      <c r="P18" s="4">
        <f t="shared" si="13"/>
        <v>3.902905930019606E-2</v>
      </c>
      <c r="Q18" s="14"/>
      <c r="R18" s="22">
        <v>1.1000000000000001</v>
      </c>
      <c r="S18" s="23">
        <f t="shared" si="9"/>
        <v>15401.422107304461</v>
      </c>
      <c r="T18" s="23">
        <f t="shared" si="14"/>
        <v>2.6211546507461905E-2</v>
      </c>
      <c r="U18" s="23">
        <f t="shared" si="15"/>
        <v>7.1004566052747841E-3</v>
      </c>
      <c r="V18" s="23"/>
      <c r="W18" s="2" t="s">
        <v>161</v>
      </c>
      <c r="X18" s="2">
        <v>17</v>
      </c>
    </row>
    <row r="19" spans="1:30" x14ac:dyDescent="0.35">
      <c r="A19" s="2" t="s">
        <v>61</v>
      </c>
      <c r="B19" s="2">
        <v>1800</v>
      </c>
      <c r="C19" s="19">
        <f t="shared" si="0"/>
        <v>30.000059999999998</v>
      </c>
      <c r="D19" s="19">
        <f t="shared" si="1"/>
        <v>0.50000040000000001</v>
      </c>
      <c r="E19" s="3">
        <f t="shared" si="2"/>
        <v>5.0000040000000004E-4</v>
      </c>
      <c r="F19" s="19">
        <f t="shared" si="3"/>
        <v>1.0000008</v>
      </c>
      <c r="G19" s="19">
        <f t="shared" si="4"/>
        <v>1.00000160000064</v>
      </c>
      <c r="H19" s="19">
        <f t="shared" si="5"/>
        <v>1.9438415550720001</v>
      </c>
      <c r="I19" s="2">
        <v>1.453806451612903</v>
      </c>
      <c r="J19" s="20">
        <f t="shared" si="6"/>
        <v>14.53806451612903</v>
      </c>
      <c r="K19" s="21">
        <f t="shared" si="7"/>
        <v>1453.8064516129029</v>
      </c>
      <c r="L19" s="3">
        <f t="shared" si="8"/>
        <v>14001.304025856496</v>
      </c>
      <c r="M19" s="4">
        <f t="shared" si="10"/>
        <v>7.2537611818921084</v>
      </c>
      <c r="N19" s="4">
        <f t="shared" si="11"/>
        <v>5.6559450884118095E-2</v>
      </c>
      <c r="O19" s="4">
        <f t="shared" si="12"/>
        <v>1.4139862721029524E-2</v>
      </c>
      <c r="P19" s="4">
        <f t="shared" si="13"/>
        <v>2.6438466576276326E-2</v>
      </c>
      <c r="R19" s="22">
        <v>1.2</v>
      </c>
      <c r="S19" s="23">
        <f t="shared" si="9"/>
        <v>16801.55138978668</v>
      </c>
      <c r="T19" s="23">
        <f t="shared" si="14"/>
        <v>2.5647527567205806E-2</v>
      </c>
      <c r="U19" s="23">
        <f t="shared" si="15"/>
        <v>6.9476692827602033E-3</v>
      </c>
      <c r="V19" s="23"/>
      <c r="W19" s="1"/>
      <c r="X19" s="1"/>
      <c r="AA19" s="119" t="s">
        <v>40</v>
      </c>
      <c r="AB19" s="119"/>
      <c r="AC19" s="119"/>
      <c r="AD19" s="119"/>
    </row>
    <row r="20" spans="1:30" x14ac:dyDescent="0.35">
      <c r="A20" s="24"/>
      <c r="B20" s="18"/>
      <c r="C20" s="19"/>
      <c r="D20" s="19"/>
      <c r="E20" s="3"/>
      <c r="F20" s="19"/>
      <c r="G20" s="19"/>
      <c r="H20" s="19"/>
      <c r="I20" s="20"/>
      <c r="J20" s="20"/>
      <c r="K20" s="21"/>
      <c r="R20" s="22">
        <v>1.3</v>
      </c>
      <c r="S20" s="23">
        <f t="shared" si="9"/>
        <v>18201.680672268911</v>
      </c>
      <c r="T20" s="23">
        <f t="shared" si="14"/>
        <v>2.5139404082175045E-2</v>
      </c>
      <c r="U20" s="23">
        <f t="shared" si="15"/>
        <v>6.8100235030823511E-3</v>
      </c>
      <c r="V20" s="23"/>
      <c r="AA20" s="120" t="s">
        <v>41</v>
      </c>
      <c r="AB20" s="119" t="s">
        <v>42</v>
      </c>
      <c r="AC20" s="119" t="s">
        <v>43</v>
      </c>
      <c r="AD20" s="119" t="s">
        <v>44</v>
      </c>
    </row>
    <row r="21" spans="1:30" x14ac:dyDescent="0.35">
      <c r="A21" s="24"/>
      <c r="B21" s="18"/>
      <c r="C21" s="19"/>
      <c r="D21" s="19"/>
      <c r="E21" s="3"/>
      <c r="F21" s="19"/>
      <c r="G21" s="19"/>
      <c r="H21" s="19"/>
      <c r="I21" s="20"/>
      <c r="J21" s="20"/>
      <c r="K21" s="21"/>
      <c r="R21" s="22">
        <v>1.4</v>
      </c>
      <c r="S21" s="23">
        <f t="shared" si="9"/>
        <v>19601.80995475113</v>
      </c>
      <c r="T21" s="23">
        <f t="shared" si="14"/>
        <v>2.4677934539116011E-2</v>
      </c>
      <c r="U21" s="23">
        <f t="shared" si="15"/>
        <v>6.6850158289180712E-3</v>
      </c>
      <c r="V21" s="23"/>
      <c r="W21" s="1" t="s">
        <v>45</v>
      </c>
      <c r="X21" s="1">
        <v>3.9999999999999998E-6</v>
      </c>
      <c r="AA21" s="120" t="s">
        <v>46</v>
      </c>
      <c r="AB21" s="119" t="s">
        <v>47</v>
      </c>
      <c r="AC21" s="119" t="s">
        <v>48</v>
      </c>
      <c r="AD21" s="119" t="s">
        <v>49</v>
      </c>
    </row>
    <row r="22" spans="1:30" x14ac:dyDescent="0.35">
      <c r="A22" s="24"/>
      <c r="B22" s="18"/>
      <c r="C22" s="19"/>
      <c r="D22" s="19"/>
      <c r="E22" s="43"/>
      <c r="F22" s="19"/>
      <c r="G22" s="19"/>
      <c r="H22" s="19"/>
      <c r="I22" s="20"/>
      <c r="J22" s="20"/>
      <c r="K22" s="21"/>
      <c r="R22" s="22">
        <v>1.5</v>
      </c>
      <c r="S22" s="23">
        <f t="shared" si="9"/>
        <v>21001.939237233353</v>
      </c>
      <c r="T22" s="23">
        <f t="shared" si="14"/>
        <v>2.4255933988362521E-2</v>
      </c>
      <c r="U22" s="23">
        <f t="shared" si="15"/>
        <v>6.5706999262995737E-3</v>
      </c>
      <c r="V22" s="23"/>
      <c r="W22" s="1" t="s">
        <v>50</v>
      </c>
      <c r="X22" s="2">
        <v>2.3999999999999998E-4</v>
      </c>
      <c r="AA22" s="119">
        <v>0</v>
      </c>
      <c r="AB22" s="119">
        <v>1.792E-3</v>
      </c>
      <c r="AC22" s="119">
        <v>999.87</v>
      </c>
      <c r="AD22" s="121">
        <v>1.7922329902887374E-6</v>
      </c>
    </row>
    <row r="23" spans="1:30" x14ac:dyDescent="0.35">
      <c r="A23" s="24"/>
      <c r="B23" s="18"/>
      <c r="C23" s="19"/>
      <c r="D23" s="19"/>
      <c r="E23" s="3"/>
      <c r="F23" s="19"/>
      <c r="G23" s="19"/>
      <c r="H23" s="19"/>
      <c r="I23" s="20"/>
      <c r="J23" s="20"/>
      <c r="K23" s="21"/>
      <c r="P23" s="43"/>
      <c r="R23" s="22">
        <v>1.6</v>
      </c>
      <c r="S23" s="23">
        <f t="shared" si="9"/>
        <v>22402.06851971558</v>
      </c>
      <c r="T23" s="23">
        <f t="shared" si="14"/>
        <v>2.386771377799677E-2</v>
      </c>
      <c r="U23" s="23">
        <f t="shared" si="15"/>
        <v>6.4655347939710436E-3</v>
      </c>
      <c r="V23" s="23"/>
      <c r="AA23" s="119">
        <v>5</v>
      </c>
      <c r="AB23" s="119">
        <v>1.519E-3</v>
      </c>
      <c r="AC23" s="119">
        <v>999.99</v>
      </c>
      <c r="AD23" s="121">
        <v>1.5190151901519014E-6</v>
      </c>
    </row>
    <row r="24" spans="1:30" x14ac:dyDescent="0.35">
      <c r="B24" s="18"/>
      <c r="C24" s="19"/>
      <c r="D24" s="19"/>
      <c r="E24" s="3"/>
      <c r="F24" s="3"/>
      <c r="G24" s="19"/>
      <c r="H24" s="19"/>
      <c r="I24" s="19"/>
      <c r="J24" s="20"/>
      <c r="K24" s="21"/>
      <c r="R24" s="22">
        <v>1.7</v>
      </c>
      <c r="S24" s="23">
        <f t="shared" si="9"/>
        <v>23802.197802197799</v>
      </c>
      <c r="T24" s="23">
        <f t="shared" si="14"/>
        <v>2.3508698515601785E-2</v>
      </c>
      <c r="U24" s="23">
        <f t="shared" si="15"/>
        <v>6.3682810020003469E-3</v>
      </c>
      <c r="V24" s="23"/>
      <c r="W24" s="40"/>
      <c r="AA24" s="119">
        <f>AA23+5</f>
        <v>10</v>
      </c>
      <c r="AB24" s="119">
        <v>1.3079999999999999E-3</v>
      </c>
      <c r="AC24" s="119">
        <v>999.73</v>
      </c>
      <c r="AD24" s="121">
        <v>1.3083532553789522E-6</v>
      </c>
    </row>
    <row r="25" spans="1:30" x14ac:dyDescent="0.35">
      <c r="B25" s="18"/>
      <c r="C25" s="19"/>
      <c r="D25" s="19"/>
      <c r="E25" s="3"/>
      <c r="F25" s="3"/>
      <c r="G25" s="19"/>
      <c r="H25" s="19"/>
      <c r="I25" s="19"/>
      <c r="J25" s="20"/>
      <c r="K25" s="21"/>
      <c r="R25" s="22">
        <v>1.8</v>
      </c>
      <c r="S25" s="23">
        <f t="shared" si="9"/>
        <v>25202.327084680026</v>
      </c>
      <c r="T25" s="23">
        <f t="shared" si="14"/>
        <v>2.3175157297365891E-2</v>
      </c>
      <c r="U25" s="23">
        <f t="shared" si="15"/>
        <v>6.2779278843206922E-3</v>
      </c>
      <c r="V25" s="23"/>
      <c r="W25" s="40"/>
      <c r="AA25" s="119" t="e">
        <f>#REF!+5</f>
        <v>#REF!</v>
      </c>
      <c r="AB25" s="119">
        <v>1.005E-3</v>
      </c>
      <c r="AC25" s="119">
        <v>998.23</v>
      </c>
      <c r="AD25" s="121">
        <v>1.0067820041473407E-6</v>
      </c>
    </row>
    <row r="26" spans="1:30" x14ac:dyDescent="0.35">
      <c r="B26" s="18"/>
      <c r="C26" s="19"/>
      <c r="D26" s="19"/>
      <c r="E26" s="3"/>
      <c r="F26" s="3"/>
      <c r="G26" s="19"/>
      <c r="H26" s="19"/>
      <c r="I26" s="19"/>
      <c r="J26" s="20"/>
      <c r="K26" s="21"/>
      <c r="R26" s="22">
        <v>1.9</v>
      </c>
      <c r="S26" s="23">
        <f t="shared" si="9"/>
        <v>26602.456367162249</v>
      </c>
      <c r="T26" s="23">
        <f t="shared" si="14"/>
        <v>2.2864010798593348E-2</v>
      </c>
      <c r="U26" s="23">
        <f t="shared" si="15"/>
        <v>6.1936412813997739E-3</v>
      </c>
      <c r="V26" s="23"/>
      <c r="W26" s="40"/>
      <c r="AA26" s="119">
        <v>25</v>
      </c>
      <c r="AB26" s="119">
        <v>8.9400000000000005E-4</v>
      </c>
      <c r="AC26" s="119">
        <v>997.07</v>
      </c>
      <c r="AD26" s="121">
        <v>8.9662711745414066E-7</v>
      </c>
    </row>
    <row r="27" spans="1:30" x14ac:dyDescent="0.35">
      <c r="N27" s="22"/>
      <c r="R27" s="22">
        <v>2</v>
      </c>
      <c r="S27" s="23">
        <f t="shared" si="9"/>
        <v>28002.585649644472</v>
      </c>
      <c r="T27" s="23">
        <f t="shared" si="14"/>
        <v>2.2572690031629938E-2</v>
      </c>
      <c r="U27" s="23">
        <f t="shared" si="15"/>
        <v>6.1147252791161925E-3</v>
      </c>
      <c r="V27" s="23"/>
      <c r="W27" s="40"/>
      <c r="AA27" s="122"/>
      <c r="AB27" s="122"/>
      <c r="AC27" s="122"/>
      <c r="AD27" s="122"/>
    </row>
    <row r="28" spans="1:30" x14ac:dyDescent="0.35">
      <c r="K28" s="1"/>
      <c r="L28" s="4"/>
      <c r="N28" s="22"/>
      <c r="R28" s="22">
        <v>2.1</v>
      </c>
      <c r="S28" s="23">
        <f t="shared" si="9"/>
        <v>29402.714932126699</v>
      </c>
      <c r="T28" s="23">
        <f t="shared" si="14"/>
        <v>2.2299031094497823E-2</v>
      </c>
      <c r="U28" s="23">
        <f t="shared" si="15"/>
        <v>6.040593697173898E-3</v>
      </c>
      <c r="V28" s="23"/>
      <c r="W28" s="40"/>
      <c r="AA28" s="32"/>
      <c r="AB28" s="32"/>
      <c r="AC28" s="32"/>
      <c r="AD28" s="32"/>
    </row>
    <row r="29" spans="1:30" x14ac:dyDescent="0.35">
      <c r="R29" s="22">
        <v>2.2000000000000002</v>
      </c>
      <c r="S29" s="23">
        <f t="shared" si="9"/>
        <v>30802.844214608922</v>
      </c>
      <c r="T29" s="23">
        <f t="shared" si="14"/>
        <v>2.2041195496380735E-2</v>
      </c>
      <c r="U29" s="23">
        <f t="shared" si="15"/>
        <v>5.9707485060401244E-3</v>
      </c>
      <c r="V29" s="23"/>
      <c r="W29" s="40"/>
      <c r="AA29" s="32"/>
      <c r="AB29" s="32"/>
      <c r="AC29" s="32"/>
      <c r="AD29" s="32"/>
    </row>
    <row r="30" spans="1:30" x14ac:dyDescent="0.35">
      <c r="L30" s="41"/>
      <c r="R30" s="22">
        <v>2.2999999999999998</v>
      </c>
      <c r="S30" s="23">
        <f t="shared" si="9"/>
        <v>32202.973497091141</v>
      </c>
      <c r="T30" s="23">
        <f t="shared" si="14"/>
        <v>2.1797608987198309E-2</v>
      </c>
      <c r="U30" s="23">
        <f t="shared" si="15"/>
        <v>5.9047632564636528E-3</v>
      </c>
      <c r="V30" s="23"/>
      <c r="W30" s="40"/>
      <c r="AA30" s="32"/>
      <c r="AB30" s="32"/>
      <c r="AC30" s="32"/>
      <c r="AD30" s="32"/>
    </row>
    <row r="31" spans="1:30" x14ac:dyDescent="0.35">
      <c r="R31" s="22">
        <v>2.4</v>
      </c>
      <c r="S31" s="23">
        <f t="shared" si="9"/>
        <v>33603.102779573361</v>
      </c>
      <c r="T31" s="23">
        <f t="shared" si="14"/>
        <v>2.1566913991384183E-2</v>
      </c>
      <c r="U31" s="23">
        <f t="shared" si="15"/>
        <v>5.8422701942414008E-3</v>
      </c>
      <c r="V31" s="23"/>
      <c r="W31" s="40"/>
      <c r="AA31" s="32"/>
      <c r="AB31" s="32"/>
      <c r="AC31" s="32"/>
      <c r="AD31" s="32"/>
    </row>
    <row r="32" spans="1:30" x14ac:dyDescent="0.35">
      <c r="F32" s="1"/>
      <c r="G32" s="1"/>
      <c r="R32" s="22">
        <v>2.5</v>
      </c>
      <c r="S32" s="23">
        <f t="shared" si="9"/>
        <v>35003.232062055591</v>
      </c>
      <c r="T32" s="23">
        <f t="shared" si="14"/>
        <v>2.1347932190043641E-2</v>
      </c>
      <c r="U32" s="23">
        <f t="shared" si="15"/>
        <v>5.7829501240837401E-3</v>
      </c>
      <c r="V32" s="23"/>
      <c r="W32" s="40"/>
      <c r="AA32" s="32"/>
      <c r="AB32" s="32"/>
      <c r="AC32" s="32"/>
      <c r="AD32" s="32"/>
    </row>
    <row r="33" spans="7:24" x14ac:dyDescent="0.35">
      <c r="G33" s="19"/>
      <c r="W33" s="40"/>
    </row>
    <row r="34" spans="7:24" x14ac:dyDescent="0.35">
      <c r="G34" s="19"/>
      <c r="W34" s="40"/>
      <c r="X34" s="1" t="s">
        <v>51</v>
      </c>
    </row>
    <row r="35" spans="7:24" x14ac:dyDescent="0.35">
      <c r="G35" s="19"/>
      <c r="W35" s="40"/>
    </row>
    <row r="36" spans="7:24" x14ac:dyDescent="0.35">
      <c r="G36" s="19"/>
      <c r="W36" s="40"/>
    </row>
    <row r="37" spans="7:24" x14ac:dyDescent="0.35">
      <c r="G37" s="19"/>
    </row>
    <row r="38" spans="7:24" x14ac:dyDescent="0.35">
      <c r="G38" s="19"/>
    </row>
    <row r="40" spans="7:24" x14ac:dyDescent="0.35">
      <c r="R40" s="4"/>
      <c r="S40" s="16"/>
      <c r="T40" s="16"/>
      <c r="U40" s="4"/>
      <c r="V40" s="4"/>
    </row>
    <row r="41" spans="7:24" x14ac:dyDescent="0.35">
      <c r="R41" s="4"/>
      <c r="S41" s="16"/>
      <c r="T41" s="16"/>
      <c r="U41" s="4"/>
      <c r="V41" s="4"/>
    </row>
    <row r="42" spans="7:24" x14ac:dyDescent="0.35">
      <c r="R42" s="4"/>
      <c r="S42" s="16"/>
      <c r="T42" s="16"/>
      <c r="U42" s="4"/>
      <c r="V42" s="4"/>
    </row>
    <row r="43" spans="7:24" x14ac:dyDescent="0.35">
      <c r="R43" s="4"/>
      <c r="S43" s="16"/>
      <c r="T43" s="16"/>
      <c r="U43" s="4"/>
      <c r="V43" s="4"/>
    </row>
    <row r="44" spans="7:24" x14ac:dyDescent="0.35">
      <c r="R44" s="4"/>
      <c r="S44" s="16"/>
      <c r="T44" s="16"/>
      <c r="U44" s="4"/>
      <c r="V44" s="4"/>
    </row>
    <row r="45" spans="7:24" x14ac:dyDescent="0.35">
      <c r="R45" s="4"/>
      <c r="S45" s="16"/>
      <c r="T45" s="16"/>
    </row>
    <row r="46" spans="7:24" x14ac:dyDescent="0.35">
      <c r="R46" s="4"/>
      <c r="S46" s="16"/>
      <c r="T46" s="16"/>
    </row>
    <row r="47" spans="7:24" x14ac:dyDescent="0.35">
      <c r="R47" s="4"/>
      <c r="S47" s="16"/>
      <c r="T47" s="16"/>
    </row>
    <row r="48" spans="7:24" x14ac:dyDescent="0.35">
      <c r="R48" s="4"/>
      <c r="S48" s="16"/>
      <c r="T48" s="16"/>
    </row>
    <row r="49" spans="18:20" x14ac:dyDescent="0.35">
      <c r="R49" s="4"/>
      <c r="S49" s="16"/>
      <c r="T49" s="16"/>
    </row>
    <row r="50" spans="18:20" x14ac:dyDescent="0.35">
      <c r="R50" s="4"/>
      <c r="S50" s="16"/>
      <c r="T50" s="16"/>
    </row>
    <row r="51" spans="18:20" x14ac:dyDescent="0.35">
      <c r="R51" s="4"/>
      <c r="S51" s="16"/>
      <c r="T51" s="16"/>
    </row>
    <row r="52" spans="18:20" x14ac:dyDescent="0.35">
      <c r="R52" s="4"/>
      <c r="S52" s="16"/>
      <c r="T52" s="16"/>
    </row>
    <row r="53" spans="18:20" x14ac:dyDescent="0.35">
      <c r="R53" s="4"/>
      <c r="S53" s="16"/>
      <c r="T53" s="16"/>
    </row>
    <row r="54" spans="18:20" x14ac:dyDescent="0.35">
      <c r="R54" s="4"/>
      <c r="S54" s="16"/>
      <c r="T54" s="16"/>
    </row>
    <row r="55" spans="18:20" x14ac:dyDescent="0.35">
      <c r="R55" s="4"/>
    </row>
    <row r="86" spans="13:16" x14ac:dyDescent="0.35">
      <c r="N86" s="22"/>
    </row>
    <row r="88" spans="13:16" x14ac:dyDescent="0.35">
      <c r="M88" s="22"/>
      <c r="N88" s="22"/>
      <c r="O88" s="22"/>
      <c r="P88" s="22"/>
    </row>
    <row r="89" spans="13:16" x14ac:dyDescent="0.35">
      <c r="O89" s="22"/>
      <c r="P89" s="22"/>
    </row>
    <row r="90" spans="13:16" x14ac:dyDescent="0.35">
      <c r="O90" s="22"/>
      <c r="P90" s="22"/>
    </row>
  </sheetData>
  <mergeCells count="2">
    <mergeCell ref="A4:N4"/>
    <mergeCell ref="W6:X6"/>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2E575-7ABB-4651-A55B-8B9BEFE2D87D}">
  <dimension ref="A1:AD90"/>
  <sheetViews>
    <sheetView topLeftCell="A3" zoomScale="60" zoomScaleNormal="60" zoomScalePageLayoutView="90" workbookViewId="0">
      <selection activeCell="L8" sqref="L8:L12"/>
    </sheetView>
  </sheetViews>
  <sheetFormatPr defaultColWidth="8.69140625" defaultRowHeight="15.5" x14ac:dyDescent="0.35"/>
  <cols>
    <col min="1" max="4" width="8.69140625" style="2"/>
    <col min="5" max="5" width="12.3046875" style="2" customWidth="1"/>
    <col min="6" max="6" width="15.69140625" style="2" bestFit="1" customWidth="1"/>
    <col min="7" max="7" width="8.53515625" style="2" customWidth="1"/>
    <col min="8" max="8" width="8.69140625" style="2"/>
    <col min="9" max="9" width="15.69140625" style="2" bestFit="1" customWidth="1"/>
    <col min="10" max="10" width="12.23046875" style="2" customWidth="1"/>
    <col min="11" max="11" width="10.4609375" style="2" customWidth="1"/>
    <col min="12" max="12" width="8.53515625" style="3" customWidth="1"/>
    <col min="13" max="13" width="10.4609375" style="4" customWidth="1"/>
    <col min="14" max="14" width="27.3046875" style="4" bestFit="1" customWidth="1"/>
    <col min="15" max="15" width="13.53515625" style="4" bestFit="1" customWidth="1"/>
    <col min="16" max="16" width="27.23046875" style="4" customWidth="1"/>
    <col min="17" max="17" width="8.4609375" style="5" customWidth="1"/>
    <col min="18" max="18" width="10.23046875" style="2" customWidth="1"/>
    <col min="19" max="19" width="13.84375" style="2" customWidth="1"/>
    <col min="20" max="22" width="10" style="2" customWidth="1"/>
    <col min="23" max="23" width="21" style="2" customWidth="1"/>
    <col min="24" max="24" width="8.69140625" style="2" customWidth="1"/>
    <col min="25" max="25" width="8.69140625" style="2"/>
    <col min="26" max="26" width="22" style="2" customWidth="1"/>
    <col min="27" max="27" width="35.84375" style="2" customWidth="1"/>
    <col min="28" max="28" width="16.84375" style="2" customWidth="1"/>
    <col min="29" max="16384" width="8.69140625" style="2"/>
  </cols>
  <sheetData>
    <row r="1" spans="1:28" x14ac:dyDescent="0.35">
      <c r="A1" s="1" t="s">
        <v>132</v>
      </c>
    </row>
    <row r="2" spans="1:28" x14ac:dyDescent="0.35">
      <c r="A2" s="1" t="s">
        <v>0</v>
      </c>
      <c r="I2" s="1" t="s">
        <v>1</v>
      </c>
      <c r="J2" s="1" t="s">
        <v>2</v>
      </c>
    </row>
    <row r="3" spans="1:28" x14ac:dyDescent="0.35">
      <c r="A3" s="1"/>
      <c r="I3" s="1"/>
      <c r="J3" s="1"/>
    </row>
    <row r="4" spans="1:28" x14ac:dyDescent="0.35">
      <c r="A4" s="150" t="s">
        <v>3</v>
      </c>
      <c r="B4" s="150"/>
      <c r="C4" s="150"/>
      <c r="D4" s="150"/>
      <c r="E4" s="150"/>
      <c r="F4" s="150"/>
      <c r="G4" s="150"/>
      <c r="H4" s="150"/>
      <c r="I4" s="150"/>
      <c r="J4" s="150"/>
      <c r="K4" s="150"/>
      <c r="L4" s="150"/>
      <c r="M4" s="150"/>
      <c r="N4" s="150"/>
      <c r="O4" s="109"/>
      <c r="P4" s="109"/>
      <c r="Q4" s="7"/>
    </row>
    <row r="6" spans="1:28" ht="19" x14ac:dyDescent="0.4">
      <c r="A6" s="8"/>
      <c r="B6" s="9" t="s">
        <v>4</v>
      </c>
      <c r="C6" s="9" t="s">
        <v>5</v>
      </c>
      <c r="D6" s="10" t="s">
        <v>6</v>
      </c>
      <c r="E6" s="10" t="s">
        <v>7</v>
      </c>
      <c r="F6" s="10" t="s">
        <v>8</v>
      </c>
      <c r="G6" s="10" t="s">
        <v>9</v>
      </c>
      <c r="H6" s="10" t="s">
        <v>10</v>
      </c>
      <c r="I6" s="9" t="s">
        <v>11</v>
      </c>
      <c r="J6" s="9" t="s">
        <v>12</v>
      </c>
      <c r="K6" s="9" t="s">
        <v>13</v>
      </c>
      <c r="L6" s="11" t="s">
        <v>14</v>
      </c>
      <c r="M6" s="12" t="s">
        <v>15</v>
      </c>
      <c r="N6" s="13" t="s">
        <v>16</v>
      </c>
      <c r="O6" s="14" t="s">
        <v>17</v>
      </c>
      <c r="P6" s="14" t="s">
        <v>18</v>
      </c>
      <c r="Q6" s="14"/>
      <c r="R6" s="15" t="s">
        <v>19</v>
      </c>
      <c r="S6" s="16" t="s">
        <v>14</v>
      </c>
      <c r="T6" s="15" t="s">
        <v>20</v>
      </c>
      <c r="U6" s="16" t="s">
        <v>21</v>
      </c>
      <c r="V6" s="16"/>
      <c r="W6" s="151" t="s">
        <v>22</v>
      </c>
      <c r="X6" s="151"/>
    </row>
    <row r="7" spans="1:28" x14ac:dyDescent="0.35">
      <c r="A7" s="17" t="s">
        <v>23</v>
      </c>
      <c r="B7" s="18">
        <v>0</v>
      </c>
      <c r="C7" s="19">
        <f t="shared" ref="C7:C14" si="0">B7*0.0166667</f>
        <v>0</v>
      </c>
      <c r="D7" s="19">
        <f t="shared" ref="D7:D14" si="1">B7*0.000277778</f>
        <v>0</v>
      </c>
      <c r="E7" s="3">
        <f t="shared" ref="E7:E19" si="2">0.001*D7</f>
        <v>0</v>
      </c>
      <c r="F7" s="19">
        <f t="shared" ref="F7:F19" si="3">E7/X$8</f>
        <v>0</v>
      </c>
      <c r="G7" s="19">
        <f t="shared" ref="G7:G19" si="4">F7^(2)</f>
        <v>0</v>
      </c>
      <c r="H7" s="19">
        <f t="shared" ref="H7:H19" si="5">F7*1.94384</f>
        <v>0</v>
      </c>
      <c r="I7" s="20">
        <v>0</v>
      </c>
      <c r="J7" s="20">
        <f t="shared" ref="J7:J19" si="6">I7 * 10</f>
        <v>0</v>
      </c>
      <c r="K7" s="21">
        <f t="shared" ref="K7:K19" si="7">J7*100</f>
        <v>0</v>
      </c>
      <c r="L7" s="3">
        <f t="shared" ref="L7:L19" si="8">(F7*X$12)/X$13</f>
        <v>0</v>
      </c>
      <c r="R7" s="22">
        <v>0</v>
      </c>
      <c r="S7" s="23">
        <f t="shared" ref="S7:S32" si="9">(R7*X$12)/X$13</f>
        <v>0</v>
      </c>
      <c r="T7" s="23"/>
      <c r="U7" s="23"/>
      <c r="V7" s="23"/>
    </row>
    <row r="8" spans="1:28" x14ac:dyDescent="0.35">
      <c r="A8" s="2" t="s">
        <v>52</v>
      </c>
      <c r="B8" s="2">
        <v>1750</v>
      </c>
      <c r="C8" s="19">
        <f t="shared" si="0"/>
        <v>29.166725</v>
      </c>
      <c r="D8" s="19">
        <f t="shared" si="1"/>
        <v>0.48611150000000003</v>
      </c>
      <c r="E8" s="3">
        <f t="shared" si="2"/>
        <v>4.8611150000000002E-4</v>
      </c>
      <c r="F8" s="19">
        <f t="shared" si="3"/>
        <v>0.97222300000000006</v>
      </c>
      <c r="G8" s="19">
        <f t="shared" si="4"/>
        <v>0.94521756172900007</v>
      </c>
      <c r="H8" s="19">
        <f t="shared" si="5"/>
        <v>1.8898459563200001</v>
      </c>
      <c r="I8" s="2">
        <v>1.5616179723502304</v>
      </c>
      <c r="J8" s="20">
        <f t="shared" si="6"/>
        <v>15.616179723502304</v>
      </c>
      <c r="K8" s="21">
        <f t="shared" si="7"/>
        <v>1561.6179723502305</v>
      </c>
      <c r="L8" s="3">
        <f t="shared" si="8"/>
        <v>13956.982843137257</v>
      </c>
      <c r="M8" s="4">
        <f t="shared" ref="M8:M19" si="10">(X$16*G8*N8)/8</f>
        <v>7.7916863116214232</v>
      </c>
      <c r="N8" s="4">
        <f t="shared" ref="N8:N19" si="11">(K8*2*X$12)/(X$14*X$16*G8)</f>
        <v>6.4337739710757694E-2</v>
      </c>
      <c r="O8" s="4">
        <f t="shared" ref="O8:O19" si="12">N8/4</f>
        <v>1.6084434927689423E-2</v>
      </c>
      <c r="P8" s="4">
        <f t="shared" ref="P8:P19" si="13">3.7*(10^(-1/(2*SQRT(N8)))-2.51/(L8*SQRT(N8)))</f>
        <v>3.6910850298499234E-2</v>
      </c>
      <c r="R8" s="22">
        <v>0.1</v>
      </c>
      <c r="S8" s="23">
        <f t="shared" si="9"/>
        <v>1435.5742296918768</v>
      </c>
      <c r="T8" s="23">
        <f t="shared" ref="T8:T32" si="14">0.292/(S8^(0.25))</f>
        <v>4.7438007349558602E-2</v>
      </c>
      <c r="U8" s="23">
        <f>0.0791/(S8^0.25)</f>
        <v>1.2850501305993444E-2</v>
      </c>
      <c r="V8" s="23"/>
      <c r="W8" s="1" t="s">
        <v>24</v>
      </c>
      <c r="X8" s="2">
        <v>5.0000000000000001E-4</v>
      </c>
    </row>
    <row r="9" spans="1:28" x14ac:dyDescent="0.35">
      <c r="A9" s="2" t="s">
        <v>53</v>
      </c>
      <c r="B9" s="2">
        <v>2600</v>
      </c>
      <c r="C9" s="19">
        <f t="shared" si="0"/>
        <v>43.333419999999997</v>
      </c>
      <c r="D9" s="19">
        <f t="shared" si="1"/>
        <v>0.72222280000000005</v>
      </c>
      <c r="E9" s="3">
        <f t="shared" si="2"/>
        <v>7.2222280000000007E-4</v>
      </c>
      <c r="F9" s="19">
        <f t="shared" si="3"/>
        <v>1.4444456000000001</v>
      </c>
      <c r="G9" s="19">
        <f t="shared" si="4"/>
        <v>2.0864230913593604</v>
      </c>
      <c r="H9" s="19">
        <f t="shared" si="5"/>
        <v>2.8077711351040002</v>
      </c>
      <c r="I9" s="2">
        <v>3.71321935483871</v>
      </c>
      <c r="J9" s="20">
        <f t="shared" si="6"/>
        <v>37.1321935483871</v>
      </c>
      <c r="K9" s="21">
        <f t="shared" si="7"/>
        <v>3713.2193548387099</v>
      </c>
      <c r="L9" s="3">
        <f t="shared" si="8"/>
        <v>20736.088795518212</v>
      </c>
      <c r="M9" s="4">
        <f t="shared" si="10"/>
        <v>18.527092369205747</v>
      </c>
      <c r="N9" s="4">
        <f t="shared" si="11"/>
        <v>6.9306027688722779E-2</v>
      </c>
      <c r="O9" s="4">
        <f t="shared" si="12"/>
        <v>1.7326506922180695E-2</v>
      </c>
      <c r="P9" s="4">
        <f t="shared" si="13"/>
        <v>4.4958409322338778E-2</v>
      </c>
      <c r="R9" s="22">
        <v>0.2</v>
      </c>
      <c r="S9" s="23">
        <f t="shared" si="9"/>
        <v>2871.1484593837536</v>
      </c>
      <c r="T9" s="23">
        <f t="shared" si="14"/>
        <v>3.9890450327023201E-2</v>
      </c>
      <c r="U9" s="23">
        <f t="shared" ref="U9:U32" si="15">0.0791/(S9^0.25)</f>
        <v>1.0805940482423067E-2</v>
      </c>
      <c r="V9" s="23"/>
      <c r="W9" s="2" t="s">
        <v>25</v>
      </c>
    </row>
    <row r="10" spans="1:28" ht="19" x14ac:dyDescent="0.4">
      <c r="A10" s="2" t="s">
        <v>54</v>
      </c>
      <c r="B10" s="2">
        <v>3350</v>
      </c>
      <c r="C10" s="19">
        <f t="shared" si="0"/>
        <v>55.833444999999998</v>
      </c>
      <c r="D10" s="19">
        <f t="shared" si="1"/>
        <v>0.9305563</v>
      </c>
      <c r="E10" s="3">
        <f t="shared" si="2"/>
        <v>9.3055630000000002E-4</v>
      </c>
      <c r="F10" s="19">
        <f t="shared" si="3"/>
        <v>1.8611126</v>
      </c>
      <c r="G10" s="19">
        <f t="shared" si="4"/>
        <v>3.4637401098787599</v>
      </c>
      <c r="H10" s="19">
        <f t="shared" si="5"/>
        <v>3.6177051163840002</v>
      </c>
      <c r="I10" s="2">
        <v>6.1844806451612895</v>
      </c>
      <c r="J10" s="20">
        <f t="shared" si="6"/>
        <v>61.844806451612897</v>
      </c>
      <c r="K10" s="21">
        <f t="shared" si="7"/>
        <v>6184.4806451612894</v>
      </c>
      <c r="L10" s="3">
        <f t="shared" si="8"/>
        <v>26717.652871148461</v>
      </c>
      <c r="M10" s="4">
        <f t="shared" si="10"/>
        <v>30.85744019381946</v>
      </c>
      <c r="N10" s="4">
        <f t="shared" si="11"/>
        <v>6.9531359158100409E-2</v>
      </c>
      <c r="O10" s="4">
        <f t="shared" si="12"/>
        <v>1.7382839789525102E-2</v>
      </c>
      <c r="P10" s="4">
        <f t="shared" si="13"/>
        <v>4.5673505379052182E-2</v>
      </c>
      <c r="R10" s="22">
        <v>0.3</v>
      </c>
      <c r="S10" s="23">
        <f t="shared" si="9"/>
        <v>4306.7226890756301</v>
      </c>
      <c r="T10" s="23">
        <f t="shared" si="14"/>
        <v>3.6045090840397156E-2</v>
      </c>
      <c r="U10" s="23">
        <f t="shared" si="15"/>
        <v>9.7642694708062177E-3</v>
      </c>
      <c r="V10" s="23"/>
      <c r="W10" s="1" t="s">
        <v>26</v>
      </c>
      <c r="X10" s="19">
        <v>0.05</v>
      </c>
      <c r="AA10" s="27" t="s">
        <v>27</v>
      </c>
    </row>
    <row r="11" spans="1:28" ht="18.5" x14ac:dyDescent="0.35">
      <c r="A11" s="2" t="s">
        <v>55</v>
      </c>
      <c r="B11" s="2">
        <v>4050</v>
      </c>
      <c r="C11" s="19">
        <f t="shared" si="0"/>
        <v>67.500135</v>
      </c>
      <c r="D11" s="19">
        <f t="shared" si="1"/>
        <v>1.1250009000000001</v>
      </c>
      <c r="E11" s="3">
        <f t="shared" si="2"/>
        <v>1.1250009E-3</v>
      </c>
      <c r="F11" s="19">
        <f t="shared" si="3"/>
        <v>2.2500018000000002</v>
      </c>
      <c r="G11" s="19">
        <f t="shared" si="4"/>
        <v>5.0625081000032406</v>
      </c>
      <c r="H11" s="19">
        <f t="shared" si="5"/>
        <v>4.3736434989120001</v>
      </c>
      <c r="I11" s="2">
        <v>8.0276516129032256</v>
      </c>
      <c r="J11" s="20">
        <f t="shared" si="6"/>
        <v>80.27651612903226</v>
      </c>
      <c r="K11" s="21">
        <f t="shared" si="7"/>
        <v>8027.6516129032261</v>
      </c>
      <c r="L11" s="3">
        <f t="shared" si="8"/>
        <v>32300.446008403367</v>
      </c>
      <c r="M11" s="4">
        <f t="shared" si="10"/>
        <v>40.053933992952025</v>
      </c>
      <c r="N11" s="4">
        <f t="shared" si="11"/>
        <v>6.1751223704450714E-2</v>
      </c>
      <c r="O11" s="4">
        <f t="shared" si="12"/>
        <v>1.5437805926112678E-2</v>
      </c>
      <c r="P11" s="4">
        <f>3.7*(10^(-1/(2*SQRT(N11)))-2.51/(L11*SQRT(N11)))</f>
        <v>3.4827230718521084E-2</v>
      </c>
      <c r="R11" s="22">
        <v>0.4</v>
      </c>
      <c r="S11" s="23">
        <f t="shared" si="9"/>
        <v>5742.2969187675071</v>
      </c>
      <c r="T11" s="23">
        <f t="shared" si="14"/>
        <v>3.354373668285017E-2</v>
      </c>
      <c r="U11" s="23">
        <f t="shared" si="15"/>
        <v>9.0866766151145497E-3</v>
      </c>
      <c r="V11" s="23"/>
      <c r="W11" s="1" t="s">
        <v>28</v>
      </c>
      <c r="X11" s="19">
        <v>9.4999999999999998E-3</v>
      </c>
      <c r="AA11" s="28" t="s">
        <v>29</v>
      </c>
      <c r="AB11" s="2" t="s">
        <v>30</v>
      </c>
    </row>
    <row r="12" spans="1:28" ht="16.5" x14ac:dyDescent="0.4">
      <c r="A12" s="2" t="s">
        <v>56</v>
      </c>
      <c r="B12" s="2">
        <v>4800</v>
      </c>
      <c r="C12" s="19">
        <f t="shared" si="0"/>
        <v>80.000159999999994</v>
      </c>
      <c r="D12" s="19">
        <f t="shared" si="1"/>
        <v>1.3333344</v>
      </c>
      <c r="E12" s="3">
        <f t="shared" si="2"/>
        <v>1.3333344E-3</v>
      </c>
      <c r="F12" s="19">
        <f t="shared" si="3"/>
        <v>2.6666688000000001</v>
      </c>
      <c r="G12" s="19">
        <f t="shared" si="4"/>
        <v>7.1111224888934403</v>
      </c>
      <c r="H12" s="19">
        <f t="shared" si="5"/>
        <v>5.1835774801920005</v>
      </c>
      <c r="I12" s="2">
        <v>8.4836032258064513</v>
      </c>
      <c r="J12" s="20">
        <f t="shared" si="6"/>
        <v>84.836032258064506</v>
      </c>
      <c r="K12" s="21">
        <f t="shared" si="7"/>
        <v>8483.6032258064515</v>
      </c>
      <c r="L12" s="3">
        <f t="shared" si="8"/>
        <v>38282.010084033616</v>
      </c>
      <c r="M12" s="4">
        <f t="shared" si="10"/>
        <v>42.328902649769574</v>
      </c>
      <c r="N12" s="4">
        <f t="shared" si="11"/>
        <v>4.6458477355177982E-2</v>
      </c>
      <c r="O12" s="4">
        <f t="shared" si="12"/>
        <v>1.1614619338794496E-2</v>
      </c>
      <c r="P12" s="4">
        <f t="shared" si="13"/>
        <v>1.6594802337493358E-2</v>
      </c>
      <c r="R12" s="22">
        <v>0.5</v>
      </c>
      <c r="S12" s="23">
        <f t="shared" si="9"/>
        <v>7177.8711484593841</v>
      </c>
      <c r="T12" s="23">
        <f t="shared" si="14"/>
        <v>3.1723707502417577E-2</v>
      </c>
      <c r="U12" s="23">
        <f t="shared" si="15"/>
        <v>8.5936481624699669E-3</v>
      </c>
      <c r="V12" s="23"/>
      <c r="W12" s="1" t="s">
        <v>163</v>
      </c>
      <c r="X12" s="4">
        <f>2*(X10*X11)/(X10+X11)</f>
        <v>1.5966386554621848E-2</v>
      </c>
      <c r="Y12" s="1">
        <f>10*X12*100</f>
        <v>15.966386554621847</v>
      </c>
      <c r="AA12" s="27" t="s">
        <v>32</v>
      </c>
      <c r="AB12" s="2" t="s">
        <v>33</v>
      </c>
    </row>
    <row r="13" spans="1:28" x14ac:dyDescent="0.35">
      <c r="A13" s="2" t="s">
        <v>63</v>
      </c>
      <c r="C13" s="19">
        <f t="shared" si="0"/>
        <v>0</v>
      </c>
      <c r="D13" s="19">
        <f t="shared" si="1"/>
        <v>0</v>
      </c>
      <c r="E13" s="3">
        <f t="shared" si="2"/>
        <v>0</v>
      </c>
      <c r="F13" s="19">
        <f t="shared" si="3"/>
        <v>0</v>
      </c>
      <c r="G13" s="19">
        <f t="shared" si="4"/>
        <v>0</v>
      </c>
      <c r="H13" s="19">
        <f t="shared" si="5"/>
        <v>0</v>
      </c>
      <c r="J13" s="20">
        <f t="shared" si="6"/>
        <v>0</v>
      </c>
      <c r="K13" s="21">
        <f t="shared" si="7"/>
        <v>0</v>
      </c>
      <c r="L13" s="3">
        <f t="shared" si="8"/>
        <v>0</v>
      </c>
      <c r="M13" s="4" t="e">
        <f t="shared" si="10"/>
        <v>#DIV/0!</v>
      </c>
      <c r="N13" s="4" t="e">
        <f t="shared" si="11"/>
        <v>#DIV/0!</v>
      </c>
      <c r="O13" s="4" t="e">
        <f t="shared" si="12"/>
        <v>#DIV/0!</v>
      </c>
      <c r="P13" s="4" t="e">
        <f t="shared" si="13"/>
        <v>#DIV/0!</v>
      </c>
      <c r="R13" s="22">
        <v>0.6</v>
      </c>
      <c r="S13" s="23">
        <f t="shared" si="9"/>
        <v>8613.4453781512602</v>
      </c>
      <c r="T13" s="23">
        <f t="shared" si="14"/>
        <v>3.031018767518447E-2</v>
      </c>
      <c r="U13" s="23">
        <f t="shared" si="15"/>
        <v>8.2107391955722319E-3</v>
      </c>
      <c r="V13" s="23"/>
      <c r="W13" s="1" t="s">
        <v>164</v>
      </c>
      <c r="X13" s="31">
        <f>X17/X16</f>
        <v>1.1121951219512194E-6</v>
      </c>
    </row>
    <row r="14" spans="1:28" ht="16.5" x14ac:dyDescent="0.4">
      <c r="A14" s="2" t="s">
        <v>62</v>
      </c>
      <c r="C14" s="19">
        <f t="shared" si="0"/>
        <v>0</v>
      </c>
      <c r="D14" s="19">
        <f t="shared" si="1"/>
        <v>0</v>
      </c>
      <c r="E14" s="3">
        <f t="shared" si="2"/>
        <v>0</v>
      </c>
      <c r="F14" s="19">
        <f t="shared" si="3"/>
        <v>0</v>
      </c>
      <c r="G14" s="19">
        <f t="shared" si="4"/>
        <v>0</v>
      </c>
      <c r="H14" s="19">
        <f t="shared" si="5"/>
        <v>0</v>
      </c>
      <c r="J14" s="20">
        <f t="shared" si="6"/>
        <v>0</v>
      </c>
      <c r="K14" s="21">
        <f t="shared" si="7"/>
        <v>0</v>
      </c>
      <c r="L14" s="3">
        <f t="shared" si="8"/>
        <v>0</v>
      </c>
      <c r="M14" s="4" t="e">
        <f t="shared" si="10"/>
        <v>#DIV/0!</v>
      </c>
      <c r="N14" s="4" t="e">
        <f t="shared" si="11"/>
        <v>#DIV/0!</v>
      </c>
      <c r="O14" s="4" t="e">
        <f t="shared" si="12"/>
        <v>#DIV/0!</v>
      </c>
      <c r="P14" s="4" t="e">
        <f t="shared" si="13"/>
        <v>#DIV/0!</v>
      </c>
      <c r="R14" s="22">
        <v>0.7</v>
      </c>
      <c r="S14" s="23">
        <f t="shared" si="9"/>
        <v>10049.019607843138</v>
      </c>
      <c r="T14" s="23">
        <f t="shared" si="14"/>
        <v>2.9164324918123638E-2</v>
      </c>
      <c r="U14" s="23">
        <f t="shared" si="15"/>
        <v>7.9003359624095198E-3</v>
      </c>
      <c r="V14" s="23"/>
      <c r="W14" s="1" t="s">
        <v>35</v>
      </c>
      <c r="X14" s="32">
        <v>0.8</v>
      </c>
      <c r="AA14" s="27" t="s">
        <v>36</v>
      </c>
      <c r="AB14" s="1" t="s">
        <v>37</v>
      </c>
    </row>
    <row r="15" spans="1:28" x14ac:dyDescent="0.35">
      <c r="A15" s="2" t="s">
        <v>57</v>
      </c>
      <c r="C15" s="19">
        <f>B15*0.0166667</f>
        <v>0</v>
      </c>
      <c r="D15" s="19">
        <f>B15*0.000277778</f>
        <v>0</v>
      </c>
      <c r="E15" s="3">
        <f t="shared" si="2"/>
        <v>0</v>
      </c>
      <c r="F15" s="19">
        <f t="shared" si="3"/>
        <v>0</v>
      </c>
      <c r="G15" s="19">
        <f t="shared" si="4"/>
        <v>0</v>
      </c>
      <c r="H15" s="19">
        <f t="shared" si="5"/>
        <v>0</v>
      </c>
      <c r="J15" s="20">
        <f t="shared" si="6"/>
        <v>0</v>
      </c>
      <c r="K15" s="21">
        <f t="shared" si="7"/>
        <v>0</v>
      </c>
      <c r="L15" s="3">
        <f t="shared" si="8"/>
        <v>0</v>
      </c>
      <c r="M15" s="4" t="e">
        <f t="shared" si="10"/>
        <v>#DIV/0!</v>
      </c>
      <c r="N15" s="4" t="e">
        <f t="shared" si="11"/>
        <v>#DIV/0!</v>
      </c>
      <c r="O15" s="4" t="e">
        <f t="shared" si="12"/>
        <v>#DIV/0!</v>
      </c>
      <c r="P15" s="4" t="e">
        <f t="shared" si="13"/>
        <v>#DIV/0!</v>
      </c>
      <c r="R15" s="22">
        <v>0.8</v>
      </c>
      <c r="S15" s="23">
        <f t="shared" si="9"/>
        <v>11484.593837535014</v>
      </c>
      <c r="T15" s="23">
        <f t="shared" si="14"/>
        <v>2.8206807930823231E-2</v>
      </c>
      <c r="U15" s="23">
        <f t="shared" si="15"/>
        <v>7.6409537922195814E-3</v>
      </c>
      <c r="V15" s="23"/>
      <c r="X15" s="32"/>
    </row>
    <row r="16" spans="1:28" x14ac:dyDescent="0.35">
      <c r="A16" s="2" t="s">
        <v>58</v>
      </c>
      <c r="B16" s="2">
        <v>4000</v>
      </c>
      <c r="C16" s="19">
        <f>B16*0.0166667</f>
        <v>66.666799999999995</v>
      </c>
      <c r="D16" s="19">
        <f>B16*0.000277778</f>
        <v>1.1111120000000001</v>
      </c>
      <c r="E16" s="3">
        <f t="shared" si="2"/>
        <v>1.111112E-3</v>
      </c>
      <c r="F16" s="19">
        <f t="shared" si="3"/>
        <v>2.2222240000000002</v>
      </c>
      <c r="G16" s="19">
        <f t="shared" si="4"/>
        <v>4.9382795061760012</v>
      </c>
      <c r="H16" s="19">
        <f t="shared" si="5"/>
        <v>4.3196479001600006</v>
      </c>
      <c r="I16" s="2">
        <v>8.0021064516129048</v>
      </c>
      <c r="J16" s="20">
        <f t="shared" si="6"/>
        <v>80.021064516129044</v>
      </c>
      <c r="K16" s="21">
        <f t="shared" si="7"/>
        <v>8002.1064516129045</v>
      </c>
      <c r="L16" s="3">
        <f t="shared" si="8"/>
        <v>31901.675070028017</v>
      </c>
      <c r="M16" s="4">
        <f t="shared" si="10"/>
        <v>39.926476518026568</v>
      </c>
      <c r="N16" s="4">
        <f t="shared" si="11"/>
        <v>6.3103208263317154E-2</v>
      </c>
      <c r="O16" s="4">
        <f t="shared" si="12"/>
        <v>1.5775802065829288E-2</v>
      </c>
      <c r="P16" s="4">
        <f t="shared" si="13"/>
        <v>3.6666545367663103E-2</v>
      </c>
      <c r="Q16" s="34"/>
      <c r="R16" s="22">
        <v>0.9</v>
      </c>
      <c r="S16" s="23">
        <f t="shared" si="9"/>
        <v>12920.168067226892</v>
      </c>
      <c r="T16" s="23">
        <f t="shared" si="14"/>
        <v>2.7388346313087116E-2</v>
      </c>
      <c r="U16" s="23">
        <f t="shared" si="15"/>
        <v>7.4192403882369553E-3</v>
      </c>
      <c r="V16" s="23"/>
      <c r="W16" s="2" t="s">
        <v>38</v>
      </c>
      <c r="X16" s="32">
        <f>VLOOKUP(X18, SW!A4:F34, 3, FALSE)</f>
        <v>1025</v>
      </c>
      <c r="Y16" s="32"/>
    </row>
    <row r="17" spans="1:30" x14ac:dyDescent="0.35">
      <c r="A17" s="2" t="s">
        <v>59</v>
      </c>
      <c r="B17" s="2">
        <v>3250</v>
      </c>
      <c r="C17" s="19">
        <f>B17*0.0166667</f>
        <v>54.166775000000001</v>
      </c>
      <c r="D17" s="19">
        <f>B17*0.000277778</f>
        <v>0.90277850000000004</v>
      </c>
      <c r="E17" s="3">
        <f t="shared" si="2"/>
        <v>9.0277850000000008E-4</v>
      </c>
      <c r="F17" s="19">
        <f t="shared" si="3"/>
        <v>1.8055570000000001</v>
      </c>
      <c r="G17" s="19">
        <f t="shared" si="4"/>
        <v>3.2600360802490003</v>
      </c>
      <c r="H17" s="19">
        <f t="shared" si="5"/>
        <v>3.5097139188800002</v>
      </c>
      <c r="I17" s="2">
        <v>6.0429612903225802</v>
      </c>
      <c r="J17" s="20">
        <f t="shared" si="6"/>
        <v>60.429612903225802</v>
      </c>
      <c r="K17" s="21">
        <f t="shared" si="7"/>
        <v>6042.9612903225807</v>
      </c>
      <c r="L17" s="3">
        <f t="shared" si="8"/>
        <v>25920.110994397761</v>
      </c>
      <c r="M17" s="4">
        <f t="shared" si="10"/>
        <v>30.151329967470858</v>
      </c>
      <c r="N17" s="4">
        <f t="shared" si="11"/>
        <v>7.2185536482368126E-2</v>
      </c>
      <c r="O17" s="4">
        <f t="shared" si="12"/>
        <v>1.8046384120592032E-2</v>
      </c>
      <c r="P17" s="4">
        <f t="shared" si="13"/>
        <v>4.9623923076275792E-2</v>
      </c>
      <c r="R17" s="22">
        <v>1</v>
      </c>
      <c r="S17" s="23">
        <f t="shared" si="9"/>
        <v>14355.742296918768</v>
      </c>
      <c r="T17" s="23">
        <f t="shared" si="14"/>
        <v>2.6676351917340312E-2</v>
      </c>
      <c r="U17" s="23">
        <f t="shared" si="15"/>
        <v>7.2263679337726677E-3</v>
      </c>
      <c r="V17" s="23"/>
      <c r="W17" s="2" t="s">
        <v>39</v>
      </c>
      <c r="X17" s="32">
        <f>VLOOKUP(X18, SW!A4:F34, 5, FALSE)</f>
        <v>1.14E-3</v>
      </c>
    </row>
    <row r="18" spans="1:30" x14ac:dyDescent="0.35">
      <c r="A18" s="2" t="s">
        <v>60</v>
      </c>
      <c r="B18" s="2">
        <v>2550</v>
      </c>
      <c r="C18" s="19">
        <f>B18*0.0166667</f>
        <v>42.500084999999999</v>
      </c>
      <c r="D18" s="19">
        <f>B18*0.000277778</f>
        <v>0.70833390000000007</v>
      </c>
      <c r="E18" s="3">
        <f t="shared" si="2"/>
        <v>7.083339000000001E-4</v>
      </c>
      <c r="F18" s="19">
        <f t="shared" si="3"/>
        <v>1.4166678000000001</v>
      </c>
      <c r="G18" s="19">
        <f t="shared" si="4"/>
        <v>2.0069476555568406</v>
      </c>
      <c r="H18" s="19">
        <f t="shared" si="5"/>
        <v>2.7537755363520002</v>
      </c>
      <c r="I18" s="2">
        <v>3.623719354838709</v>
      </c>
      <c r="J18" s="20">
        <f t="shared" si="6"/>
        <v>36.23719354838709</v>
      </c>
      <c r="K18" s="21">
        <f t="shared" si="7"/>
        <v>3623.719354838709</v>
      </c>
      <c r="L18" s="3">
        <f t="shared" si="8"/>
        <v>20337.317857142862</v>
      </c>
      <c r="M18" s="4">
        <f t="shared" si="10"/>
        <v>18.080532495256165</v>
      </c>
      <c r="N18" s="4">
        <f t="shared" si="11"/>
        <v>7.0313917152629218E-2</v>
      </c>
      <c r="O18" s="4">
        <f t="shared" si="12"/>
        <v>1.7578479288157305E-2</v>
      </c>
      <c r="P18" s="4">
        <f t="shared" si="13"/>
        <v>4.642859326745765E-2</v>
      </c>
      <c r="Q18" s="14"/>
      <c r="R18" s="22">
        <v>1.1000000000000001</v>
      </c>
      <c r="S18" s="23">
        <f t="shared" si="9"/>
        <v>15791.316526610646</v>
      </c>
      <c r="T18" s="23">
        <f t="shared" si="14"/>
        <v>2.6048232927331428E-2</v>
      </c>
      <c r="U18" s="23">
        <f t="shared" si="15"/>
        <v>7.0562165224380691E-3</v>
      </c>
      <c r="V18" s="23"/>
      <c r="W18" s="2" t="s">
        <v>161</v>
      </c>
      <c r="X18" s="2">
        <v>18</v>
      </c>
    </row>
    <row r="19" spans="1:30" x14ac:dyDescent="0.35">
      <c r="A19" s="2" t="s">
        <v>61</v>
      </c>
      <c r="B19" s="2">
        <v>1800</v>
      </c>
      <c r="C19" s="19">
        <f>B19*0.0166667</f>
        <v>30.000059999999998</v>
      </c>
      <c r="D19" s="19">
        <f>B19*0.000277778</f>
        <v>0.50000040000000001</v>
      </c>
      <c r="E19" s="3">
        <f t="shared" si="2"/>
        <v>5.0000040000000004E-4</v>
      </c>
      <c r="F19" s="19">
        <f t="shared" si="3"/>
        <v>1.0000008</v>
      </c>
      <c r="G19" s="19">
        <f t="shared" si="4"/>
        <v>1.00000160000064</v>
      </c>
      <c r="H19" s="19">
        <f t="shared" si="5"/>
        <v>1.9438415550720001</v>
      </c>
      <c r="I19" s="2">
        <v>1.5741967741935479</v>
      </c>
      <c r="J19" s="20">
        <f t="shared" si="6"/>
        <v>15.741967741935479</v>
      </c>
      <c r="K19" s="21">
        <f t="shared" si="7"/>
        <v>1574.196774193548</v>
      </c>
      <c r="L19" s="3">
        <f t="shared" si="8"/>
        <v>14355.753781512605</v>
      </c>
      <c r="M19" s="4">
        <f t="shared" si="10"/>
        <v>7.8544481905665462</v>
      </c>
      <c r="N19" s="4">
        <f t="shared" si="11"/>
        <v>6.1302912183137735E-2</v>
      </c>
      <c r="O19" s="4">
        <f t="shared" si="12"/>
        <v>1.5325728045784434E-2</v>
      </c>
      <c r="P19" s="4">
        <f t="shared" si="13"/>
        <v>3.2768070316034251E-2</v>
      </c>
      <c r="R19" s="22">
        <v>1.2</v>
      </c>
      <c r="S19" s="23">
        <f t="shared" si="9"/>
        <v>17226.89075630252</v>
      </c>
      <c r="T19" s="23">
        <f t="shared" si="14"/>
        <v>2.5487728161729936E-2</v>
      </c>
      <c r="U19" s="23">
        <f t="shared" si="15"/>
        <v>6.9043811561398574E-3</v>
      </c>
      <c r="V19" s="23"/>
      <c r="W19" s="1"/>
      <c r="X19" s="1"/>
      <c r="AA19" s="36" t="s">
        <v>40</v>
      </c>
      <c r="AB19" s="37"/>
      <c r="AC19" s="37"/>
      <c r="AD19" s="37"/>
    </row>
    <row r="20" spans="1:30" x14ac:dyDescent="0.35">
      <c r="A20" s="24"/>
      <c r="B20" s="18"/>
      <c r="C20" s="19"/>
      <c r="D20" s="19"/>
      <c r="E20" s="3"/>
      <c r="F20" s="19"/>
      <c r="G20" s="19"/>
      <c r="H20" s="19"/>
      <c r="I20" s="20"/>
      <c r="J20" s="20"/>
      <c r="K20" s="21"/>
      <c r="R20" s="22">
        <v>1.3</v>
      </c>
      <c r="S20" s="23">
        <f t="shared" si="9"/>
        <v>18662.4649859944</v>
      </c>
      <c r="T20" s="23">
        <f t="shared" si="14"/>
        <v>2.4982770589304339E-2</v>
      </c>
      <c r="U20" s="23">
        <f t="shared" si="15"/>
        <v>6.7675929918286758E-3</v>
      </c>
      <c r="V20" s="23"/>
      <c r="AA20" s="38" t="s">
        <v>41</v>
      </c>
      <c r="AB20" s="37" t="s">
        <v>42</v>
      </c>
      <c r="AC20" s="37" t="s">
        <v>43</v>
      </c>
      <c r="AD20" s="37" t="s">
        <v>44</v>
      </c>
    </row>
    <row r="21" spans="1:30" x14ac:dyDescent="0.35">
      <c r="A21" s="24"/>
      <c r="B21" s="18"/>
      <c r="C21" s="19"/>
      <c r="D21" s="19"/>
      <c r="E21" s="3"/>
      <c r="F21" s="19"/>
      <c r="G21" s="19"/>
      <c r="H21" s="19"/>
      <c r="I21" s="20"/>
      <c r="J21" s="20"/>
      <c r="K21" s="21"/>
      <c r="R21" s="22">
        <v>1.4</v>
      </c>
      <c r="S21" s="23">
        <f t="shared" si="9"/>
        <v>20098.039215686276</v>
      </c>
      <c r="T21" s="23">
        <f t="shared" si="14"/>
        <v>2.452417627694475E-2</v>
      </c>
      <c r="U21" s="23">
        <f t="shared" si="15"/>
        <v>6.6433641900901707E-3</v>
      </c>
      <c r="V21" s="23"/>
      <c r="W21" s="1" t="s">
        <v>45</v>
      </c>
      <c r="X21" s="1">
        <v>3.9999999999999998E-6</v>
      </c>
      <c r="AA21" s="38" t="s">
        <v>46</v>
      </c>
      <c r="AB21" s="37" t="s">
        <v>47</v>
      </c>
      <c r="AC21" s="37" t="s">
        <v>48</v>
      </c>
      <c r="AD21" s="37" t="s">
        <v>49</v>
      </c>
    </row>
    <row r="22" spans="1:30" x14ac:dyDescent="0.35">
      <c r="A22" s="24"/>
      <c r="B22" s="18"/>
      <c r="C22" s="19"/>
      <c r="D22" s="19"/>
      <c r="E22" s="43"/>
      <c r="F22" s="19"/>
      <c r="G22" s="19"/>
      <c r="H22" s="19"/>
      <c r="I22" s="20"/>
      <c r="J22" s="20"/>
      <c r="K22" s="21"/>
      <c r="R22" s="22">
        <v>1.5</v>
      </c>
      <c r="S22" s="23">
        <f t="shared" si="9"/>
        <v>21533.613445378152</v>
      </c>
      <c r="T22" s="23">
        <f t="shared" si="14"/>
        <v>2.4104805041510025E-2</v>
      </c>
      <c r="U22" s="23">
        <f t="shared" si="15"/>
        <v>6.5297605437789142E-3</v>
      </c>
      <c r="V22" s="23"/>
      <c r="W22" s="1" t="s">
        <v>50</v>
      </c>
      <c r="X22" s="2">
        <v>2.3999999999999998E-4</v>
      </c>
      <c r="AA22" s="37">
        <v>0</v>
      </c>
      <c r="AB22" s="37">
        <v>1.792E-3</v>
      </c>
      <c r="AC22" s="37">
        <v>999.87</v>
      </c>
      <c r="AD22" s="39">
        <v>1.7922329902887374E-6</v>
      </c>
    </row>
    <row r="23" spans="1:30" x14ac:dyDescent="0.35">
      <c r="A23" s="24"/>
      <c r="B23" s="18"/>
      <c r="C23" s="19"/>
      <c r="D23" s="19"/>
      <c r="E23" s="3"/>
      <c r="F23" s="19"/>
      <c r="G23" s="19"/>
      <c r="H23" s="19"/>
      <c r="I23" s="20"/>
      <c r="J23" s="20"/>
      <c r="K23" s="21"/>
      <c r="P23" s="43"/>
      <c r="R23" s="22">
        <v>1.6</v>
      </c>
      <c r="S23" s="23">
        <f t="shared" si="9"/>
        <v>22969.187675070028</v>
      </c>
      <c r="T23" s="23">
        <f t="shared" si="14"/>
        <v>2.3719003674779301E-2</v>
      </c>
      <c r="U23" s="23">
        <f t="shared" si="15"/>
        <v>6.4252506529967222E-3</v>
      </c>
      <c r="V23" s="23"/>
      <c r="AA23" s="37">
        <v>5</v>
      </c>
      <c r="AB23" s="37">
        <v>1.519E-3</v>
      </c>
      <c r="AC23" s="37">
        <v>999.99</v>
      </c>
      <c r="AD23" s="39">
        <v>1.5190151901519014E-6</v>
      </c>
    </row>
    <row r="24" spans="1:30" x14ac:dyDescent="0.35">
      <c r="B24" s="18"/>
      <c r="C24" s="19"/>
      <c r="D24" s="19"/>
      <c r="E24" s="3"/>
      <c r="F24" s="3"/>
      <c r="G24" s="19"/>
      <c r="H24" s="19"/>
      <c r="I24" s="19"/>
      <c r="J24" s="20"/>
      <c r="K24" s="21"/>
      <c r="R24" s="22">
        <v>1.7</v>
      </c>
      <c r="S24" s="23">
        <f t="shared" si="9"/>
        <v>24404.761904761905</v>
      </c>
      <c r="T24" s="23">
        <f t="shared" si="14"/>
        <v>2.3362225291761372E-2</v>
      </c>
      <c r="U24" s="23">
        <f t="shared" si="15"/>
        <v>6.3286028101997415E-3</v>
      </c>
      <c r="V24" s="23"/>
      <c r="W24" s="40"/>
      <c r="AA24" s="37">
        <f>AA23+5</f>
        <v>10</v>
      </c>
      <c r="AB24" s="37">
        <v>1.3079999999999999E-3</v>
      </c>
      <c r="AC24" s="37">
        <v>999.73</v>
      </c>
      <c r="AD24" s="39">
        <v>1.3083532553789522E-6</v>
      </c>
    </row>
    <row r="25" spans="1:30" x14ac:dyDescent="0.35">
      <c r="B25" s="18"/>
      <c r="C25" s="19"/>
      <c r="D25" s="19"/>
      <c r="E25" s="3"/>
      <c r="F25" s="3"/>
      <c r="G25" s="19"/>
      <c r="H25" s="19"/>
      <c r="I25" s="19"/>
      <c r="J25" s="20"/>
      <c r="K25" s="21"/>
      <c r="R25" s="22">
        <v>1.8</v>
      </c>
      <c r="S25" s="23">
        <f t="shared" si="9"/>
        <v>25840.336134453784</v>
      </c>
      <c r="T25" s="23">
        <f t="shared" si="14"/>
        <v>2.3030762234402244E-2</v>
      </c>
      <c r="U25" s="23">
        <f t="shared" si="15"/>
        <v>6.2388126463740331E-3</v>
      </c>
      <c r="V25" s="23"/>
      <c r="W25" s="40"/>
      <c r="AA25" s="37" t="e">
        <f>#REF!+5</f>
        <v>#REF!</v>
      </c>
      <c r="AB25" s="37">
        <v>1.005E-3</v>
      </c>
      <c r="AC25" s="37">
        <v>998.23</v>
      </c>
      <c r="AD25" s="39">
        <v>1.0067820041473407E-6</v>
      </c>
    </row>
    <row r="26" spans="1:30" x14ac:dyDescent="0.35">
      <c r="B26" s="18"/>
      <c r="C26" s="19"/>
      <c r="D26" s="19"/>
      <c r="E26" s="3"/>
      <c r="F26" s="3"/>
      <c r="G26" s="19"/>
      <c r="H26" s="19"/>
      <c r="I26" s="19"/>
      <c r="J26" s="20"/>
      <c r="K26" s="21"/>
      <c r="R26" s="22">
        <v>1.9</v>
      </c>
      <c r="S26" s="23">
        <f t="shared" si="9"/>
        <v>27275.91036414566</v>
      </c>
      <c r="T26" s="23">
        <f t="shared" si="14"/>
        <v>2.2721554364037024E-2</v>
      </c>
      <c r="U26" s="23">
        <f t="shared" si="15"/>
        <v>6.155051199299072E-3</v>
      </c>
      <c r="V26" s="23"/>
      <c r="W26" s="40"/>
      <c r="AA26" s="37">
        <v>25</v>
      </c>
      <c r="AB26" s="37">
        <v>8.9400000000000005E-4</v>
      </c>
      <c r="AC26" s="37">
        <v>997.07</v>
      </c>
      <c r="AD26" s="39">
        <v>8.9662711745414066E-7</v>
      </c>
    </row>
    <row r="27" spans="1:30" x14ac:dyDescent="0.35">
      <c r="N27" s="22"/>
      <c r="R27" s="22">
        <v>2</v>
      </c>
      <c r="S27" s="23">
        <f t="shared" si="9"/>
        <v>28711.484593837537</v>
      </c>
      <c r="T27" s="23">
        <f t="shared" si="14"/>
        <v>2.2432048699338021E-2</v>
      </c>
      <c r="U27" s="23">
        <f t="shared" si="15"/>
        <v>6.076626890813828E-3</v>
      </c>
      <c r="V27" s="23"/>
      <c r="W27" s="40"/>
      <c r="AA27" s="32"/>
      <c r="AB27" s="32"/>
      <c r="AC27" s="32"/>
      <c r="AD27" s="32"/>
    </row>
    <row r="28" spans="1:30" x14ac:dyDescent="0.35">
      <c r="K28" s="1"/>
      <c r="L28" s="4"/>
      <c r="N28" s="22"/>
      <c r="R28" s="22">
        <v>2.1</v>
      </c>
      <c r="S28" s="23">
        <f t="shared" si="9"/>
        <v>30147.058823529416</v>
      </c>
      <c r="T28" s="23">
        <f t="shared" si="14"/>
        <v>2.2160094820728303E-2</v>
      </c>
      <c r="U28" s="23">
        <f t="shared" si="15"/>
        <v>6.0029571928753725E-3</v>
      </c>
      <c r="V28" s="23"/>
      <c r="W28" s="40"/>
      <c r="AA28" s="32"/>
      <c r="AB28" s="32"/>
      <c r="AC28" s="32"/>
      <c r="AD28" s="32"/>
    </row>
    <row r="29" spans="1:30" x14ac:dyDescent="0.35">
      <c r="R29" s="22">
        <v>2.2000000000000002</v>
      </c>
      <c r="S29" s="23">
        <f t="shared" si="9"/>
        <v>31582.633053221292</v>
      </c>
      <c r="T29" s="23">
        <f t="shared" si="14"/>
        <v>2.1903865692286768E-2</v>
      </c>
      <c r="U29" s="23">
        <f t="shared" si="15"/>
        <v>5.9335471789722033E-3</v>
      </c>
      <c r="V29" s="23"/>
      <c r="W29" s="40"/>
      <c r="AA29" s="32"/>
      <c r="AB29" s="32"/>
      <c r="AC29" s="32"/>
      <c r="AD29" s="32"/>
    </row>
    <row r="30" spans="1:30" x14ac:dyDescent="0.35">
      <c r="L30" s="41"/>
      <c r="R30" s="22">
        <v>2.2999999999999998</v>
      </c>
      <c r="S30" s="23">
        <f t="shared" si="9"/>
        <v>33018.207282913165</v>
      </c>
      <c r="T30" s="23">
        <f t="shared" si="14"/>
        <v>2.1661796872450706E-2</v>
      </c>
      <c r="U30" s="23">
        <f t="shared" si="15"/>
        <v>5.8679730568864759E-3</v>
      </c>
      <c r="V30" s="23"/>
      <c r="W30" s="40"/>
      <c r="AA30" s="32"/>
      <c r="AB30" s="32"/>
      <c r="AC30" s="32"/>
      <c r="AD30" s="32"/>
    </row>
    <row r="31" spans="1:30" x14ac:dyDescent="0.35">
      <c r="R31" s="22">
        <v>2.4</v>
      </c>
      <c r="S31" s="23">
        <f t="shared" si="9"/>
        <v>34453.781512605041</v>
      </c>
      <c r="T31" s="23">
        <f t="shared" si="14"/>
        <v>2.1432539244159853E-2</v>
      </c>
      <c r="U31" s="23">
        <f t="shared" si="15"/>
        <v>5.8058693637433037E-3</v>
      </c>
      <c r="V31" s="23"/>
      <c r="W31" s="40"/>
      <c r="AA31" s="32"/>
      <c r="AB31" s="32"/>
      <c r="AC31" s="32"/>
      <c r="AD31" s="32"/>
    </row>
    <row r="32" spans="1:30" x14ac:dyDescent="0.35">
      <c r="F32" s="1"/>
      <c r="G32" s="1"/>
      <c r="R32" s="22">
        <v>2.5</v>
      </c>
      <c r="S32" s="23">
        <f t="shared" si="9"/>
        <v>35889.355742296917</v>
      </c>
      <c r="T32" s="23">
        <f t="shared" si="14"/>
        <v>2.1214921830149534E-2</v>
      </c>
      <c r="U32" s="23">
        <f t="shared" si="15"/>
        <v>5.7469188930302333E-3</v>
      </c>
      <c r="V32" s="23"/>
      <c r="W32" s="40"/>
      <c r="AA32" s="32"/>
      <c r="AB32" s="32"/>
      <c r="AC32" s="32"/>
      <c r="AD32" s="32"/>
    </row>
    <row r="33" spans="7:24" x14ac:dyDescent="0.35">
      <c r="G33" s="19"/>
      <c r="W33" s="40"/>
    </row>
    <row r="34" spans="7:24" x14ac:dyDescent="0.35">
      <c r="G34" s="19"/>
      <c r="W34" s="40"/>
      <c r="X34" s="1" t="s">
        <v>51</v>
      </c>
    </row>
    <row r="35" spans="7:24" x14ac:dyDescent="0.35">
      <c r="G35" s="19"/>
      <c r="W35" s="40"/>
    </row>
    <row r="36" spans="7:24" x14ac:dyDescent="0.35">
      <c r="G36" s="19"/>
      <c r="W36" s="40"/>
    </row>
    <row r="37" spans="7:24" x14ac:dyDescent="0.35">
      <c r="G37" s="19"/>
    </row>
    <row r="38" spans="7:24" x14ac:dyDescent="0.35">
      <c r="G38" s="19"/>
    </row>
    <row r="40" spans="7:24" x14ac:dyDescent="0.35">
      <c r="R40" s="4"/>
      <c r="S40" s="16"/>
      <c r="T40" s="16"/>
      <c r="U40" s="4"/>
      <c r="V40" s="4"/>
    </row>
    <row r="41" spans="7:24" x14ac:dyDescent="0.35">
      <c r="R41" s="4"/>
      <c r="S41" s="16"/>
      <c r="T41" s="16"/>
      <c r="U41" s="4"/>
      <c r="V41" s="4"/>
    </row>
    <row r="42" spans="7:24" x14ac:dyDescent="0.35">
      <c r="R42" s="4"/>
      <c r="S42" s="16"/>
      <c r="T42" s="16"/>
      <c r="U42" s="4"/>
      <c r="V42" s="4"/>
    </row>
    <row r="43" spans="7:24" x14ac:dyDescent="0.35">
      <c r="R43" s="4"/>
      <c r="S43" s="16"/>
      <c r="T43" s="16"/>
      <c r="U43" s="4"/>
      <c r="V43" s="4"/>
    </row>
    <row r="44" spans="7:24" x14ac:dyDescent="0.35">
      <c r="R44" s="4"/>
      <c r="S44" s="16"/>
      <c r="T44" s="16"/>
      <c r="U44" s="4"/>
      <c r="V44" s="4"/>
    </row>
    <row r="45" spans="7:24" x14ac:dyDescent="0.35">
      <c r="R45" s="4"/>
      <c r="S45" s="16"/>
      <c r="T45" s="16"/>
    </row>
    <row r="46" spans="7:24" x14ac:dyDescent="0.35">
      <c r="R46" s="4"/>
      <c r="S46" s="16"/>
      <c r="T46" s="16"/>
    </row>
    <row r="47" spans="7:24" x14ac:dyDescent="0.35">
      <c r="R47" s="4"/>
      <c r="S47" s="16"/>
      <c r="T47" s="16"/>
    </row>
    <row r="48" spans="7:24" x14ac:dyDescent="0.35">
      <c r="R48" s="4"/>
      <c r="S48" s="16"/>
      <c r="T48" s="16"/>
    </row>
    <row r="49" spans="18:20" x14ac:dyDescent="0.35">
      <c r="R49" s="4"/>
      <c r="S49" s="16"/>
      <c r="T49" s="16"/>
    </row>
    <row r="50" spans="18:20" x14ac:dyDescent="0.35">
      <c r="R50" s="4"/>
      <c r="S50" s="16"/>
      <c r="T50" s="16"/>
    </row>
    <row r="51" spans="18:20" x14ac:dyDescent="0.35">
      <c r="R51" s="4"/>
      <c r="S51" s="16"/>
      <c r="T51" s="16"/>
    </row>
    <row r="52" spans="18:20" x14ac:dyDescent="0.35">
      <c r="R52" s="4"/>
      <c r="S52" s="16"/>
      <c r="T52" s="16"/>
    </row>
    <row r="53" spans="18:20" x14ac:dyDescent="0.35">
      <c r="R53" s="4"/>
      <c r="S53" s="16"/>
      <c r="T53" s="16"/>
    </row>
    <row r="54" spans="18:20" x14ac:dyDescent="0.35">
      <c r="R54" s="4"/>
      <c r="S54" s="16"/>
      <c r="T54" s="16"/>
    </row>
    <row r="55" spans="18:20" x14ac:dyDescent="0.35">
      <c r="R55" s="4"/>
    </row>
    <row r="86" spans="13:16" x14ac:dyDescent="0.35">
      <c r="N86" s="22"/>
    </row>
    <row r="88" spans="13:16" x14ac:dyDescent="0.35">
      <c r="M88" s="22"/>
      <c r="N88" s="22"/>
      <c r="O88" s="22"/>
      <c r="P88" s="22"/>
    </row>
    <row r="89" spans="13:16" x14ac:dyDescent="0.35">
      <c r="O89" s="22"/>
      <c r="P89" s="22"/>
    </row>
    <row r="90" spans="13:16" x14ac:dyDescent="0.35">
      <c r="O90" s="22"/>
      <c r="P90" s="22"/>
    </row>
  </sheetData>
  <mergeCells count="2">
    <mergeCell ref="A4:N4"/>
    <mergeCell ref="W6:X6"/>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A47CD-2C33-417A-B911-66CBEFF45B1A}">
  <dimension ref="A1:AD90"/>
  <sheetViews>
    <sheetView zoomScale="60" zoomScaleNormal="60" zoomScalePageLayoutView="90" workbookViewId="0">
      <selection activeCell="L8" sqref="L8:L13"/>
    </sheetView>
  </sheetViews>
  <sheetFormatPr defaultColWidth="8.69140625" defaultRowHeight="15.5" x14ac:dyDescent="0.35"/>
  <cols>
    <col min="1" max="4" width="8.69140625" style="2"/>
    <col min="5" max="5" width="12.3046875" style="2" customWidth="1"/>
    <col min="6" max="6" width="15.69140625" style="2" bestFit="1" customWidth="1"/>
    <col min="7" max="7" width="8.53515625" style="2" customWidth="1"/>
    <col min="8" max="8" width="8.69140625" style="2"/>
    <col min="9" max="9" width="15.69140625" style="2" bestFit="1" customWidth="1"/>
    <col min="10" max="10" width="12.23046875" style="2" customWidth="1"/>
    <col min="11" max="11" width="10.4609375" style="2" customWidth="1"/>
    <col min="12" max="12" width="8.53515625" style="3" customWidth="1"/>
    <col min="13" max="13" width="10.4609375" style="4" customWidth="1"/>
    <col min="14" max="14" width="27.3046875" style="4" bestFit="1" customWidth="1"/>
    <col min="15" max="15" width="13.53515625" style="4" bestFit="1" customWidth="1"/>
    <col min="16" max="16" width="27.23046875" style="4" customWidth="1"/>
    <col min="17" max="17" width="8.4609375" style="5" customWidth="1"/>
    <col min="18" max="18" width="10.23046875" style="2" customWidth="1"/>
    <col min="19" max="19" width="13.84375" style="2" customWidth="1"/>
    <col min="20" max="22" width="10" style="2" customWidth="1"/>
    <col min="23" max="23" width="21" style="2" customWidth="1"/>
    <col min="24" max="24" width="8.69140625" style="2" customWidth="1"/>
    <col min="25" max="25" width="8.69140625" style="2"/>
    <col min="26" max="26" width="22" style="2" customWidth="1"/>
    <col min="27" max="27" width="35.84375" style="2" customWidth="1"/>
    <col min="28" max="28" width="16.84375" style="2" customWidth="1"/>
    <col min="29" max="16384" width="8.69140625" style="2"/>
  </cols>
  <sheetData>
    <row r="1" spans="1:28" x14ac:dyDescent="0.35">
      <c r="A1" s="1" t="s">
        <v>133</v>
      </c>
    </row>
    <row r="2" spans="1:28" x14ac:dyDescent="0.35">
      <c r="A2" s="1" t="s">
        <v>0</v>
      </c>
      <c r="I2" s="1" t="s">
        <v>1</v>
      </c>
      <c r="J2" s="1" t="s">
        <v>2</v>
      </c>
    </row>
    <row r="3" spans="1:28" x14ac:dyDescent="0.35">
      <c r="A3" s="1"/>
      <c r="I3" s="1"/>
      <c r="J3" s="1"/>
    </row>
    <row r="4" spans="1:28" x14ac:dyDescent="0.35">
      <c r="A4" s="150" t="s">
        <v>3</v>
      </c>
      <c r="B4" s="150"/>
      <c r="C4" s="150"/>
      <c r="D4" s="150"/>
      <c r="E4" s="150"/>
      <c r="F4" s="150"/>
      <c r="G4" s="150"/>
      <c r="H4" s="150"/>
      <c r="I4" s="150"/>
      <c r="J4" s="150"/>
      <c r="K4" s="150"/>
      <c r="L4" s="150"/>
      <c r="M4" s="150"/>
      <c r="N4" s="150"/>
      <c r="O4" s="115"/>
      <c r="P4" s="115"/>
      <c r="Q4" s="7"/>
    </row>
    <row r="6" spans="1:28" ht="19" x14ac:dyDescent="0.4">
      <c r="A6" s="8"/>
      <c r="B6" s="9" t="s">
        <v>4</v>
      </c>
      <c r="C6" s="9" t="s">
        <v>5</v>
      </c>
      <c r="D6" s="10" t="s">
        <v>6</v>
      </c>
      <c r="E6" s="10" t="s">
        <v>7</v>
      </c>
      <c r="F6" s="10" t="s">
        <v>8</v>
      </c>
      <c r="G6" s="10" t="s">
        <v>9</v>
      </c>
      <c r="H6" s="10" t="s">
        <v>10</v>
      </c>
      <c r="I6" s="9" t="s">
        <v>11</v>
      </c>
      <c r="J6" s="9" t="s">
        <v>12</v>
      </c>
      <c r="K6" s="9" t="s">
        <v>13</v>
      </c>
      <c r="L6" s="11" t="s">
        <v>14</v>
      </c>
      <c r="M6" s="12" t="s">
        <v>15</v>
      </c>
      <c r="N6" s="13" t="s">
        <v>16</v>
      </c>
      <c r="O6" s="14" t="s">
        <v>17</v>
      </c>
      <c r="P6" s="14" t="s">
        <v>18</v>
      </c>
      <c r="Q6" s="14"/>
      <c r="R6" s="15" t="s">
        <v>19</v>
      </c>
      <c r="S6" s="16" t="s">
        <v>14</v>
      </c>
      <c r="T6" s="15" t="s">
        <v>20</v>
      </c>
      <c r="U6" s="16" t="s">
        <v>21</v>
      </c>
      <c r="V6" s="16"/>
      <c r="W6" s="118" t="s">
        <v>22</v>
      </c>
      <c r="X6" s="118"/>
    </row>
    <row r="7" spans="1:28" x14ac:dyDescent="0.35">
      <c r="A7" s="17" t="s">
        <v>23</v>
      </c>
      <c r="B7" s="18">
        <v>0</v>
      </c>
      <c r="C7" s="19">
        <f t="shared" ref="C7:C14" si="0">B7*0.0166667</f>
        <v>0</v>
      </c>
      <c r="D7" s="19">
        <f t="shared" ref="D7:D14" si="1">B7*0.000277778</f>
        <v>0</v>
      </c>
      <c r="E7" s="3">
        <f t="shared" ref="E7:E19" si="2">0.001*D7</f>
        <v>0</v>
      </c>
      <c r="F7" s="19">
        <f t="shared" ref="F7:F19" si="3">E7/X$8</f>
        <v>0</v>
      </c>
      <c r="G7" s="19">
        <f t="shared" ref="G7:G19" si="4">F7^(2)</f>
        <v>0</v>
      </c>
      <c r="H7" s="19">
        <f t="shared" ref="H7:H19" si="5">F7*1.94384</f>
        <v>0</v>
      </c>
      <c r="I7" s="20">
        <v>0</v>
      </c>
      <c r="J7" s="20">
        <f t="shared" ref="J7:J19" si="6">I7 * 10</f>
        <v>0</v>
      </c>
      <c r="K7" s="21">
        <f t="shared" ref="K7:K19" si="7">J7*100</f>
        <v>0</v>
      </c>
      <c r="L7" s="3">
        <f t="shared" ref="L7:L19" si="8">(F7*X$12)/X$13</f>
        <v>0</v>
      </c>
      <c r="R7" s="22">
        <v>0</v>
      </c>
      <c r="S7" s="23">
        <f t="shared" ref="S7:S32" si="9">(R7*X$12)/X$13</f>
        <v>0</v>
      </c>
      <c r="T7" s="23"/>
      <c r="U7" s="23"/>
      <c r="V7" s="23"/>
    </row>
    <row r="8" spans="1:28" x14ac:dyDescent="0.35">
      <c r="A8" s="2" t="s">
        <v>52</v>
      </c>
      <c r="B8" s="2">
        <v>1650</v>
      </c>
      <c r="C8" s="19">
        <f t="shared" si="0"/>
        <v>27.500055</v>
      </c>
      <c r="D8" s="19">
        <f t="shared" si="1"/>
        <v>0.45833370000000001</v>
      </c>
      <c r="E8" s="3">
        <f t="shared" si="2"/>
        <v>4.5833370000000003E-4</v>
      </c>
      <c r="F8" s="19">
        <f t="shared" si="3"/>
        <v>0.91666740000000002</v>
      </c>
      <c r="G8" s="19">
        <f t="shared" si="4"/>
        <v>0.84027912222276002</v>
      </c>
      <c r="H8" s="19">
        <f t="shared" si="5"/>
        <v>1.7818547588160001</v>
      </c>
      <c r="I8" s="2">
        <v>1.173135483870968</v>
      </c>
      <c r="J8" s="20">
        <f t="shared" si="6"/>
        <v>11.731354838709681</v>
      </c>
      <c r="K8" s="21">
        <f t="shared" si="7"/>
        <v>1173.1354838709681</v>
      </c>
      <c r="L8" s="3">
        <f t="shared" si="8"/>
        <v>13159.440966386555</v>
      </c>
      <c r="M8" s="4">
        <f t="shared" ref="M8:M19" si="10">(X$16*G8*N8)/8</f>
        <v>5.8533545676335059</v>
      </c>
      <c r="N8" s="4">
        <f t="shared" ref="N8:N19" si="11">(K8*2*X$12)/(X$14*X$16*G8)</f>
        <v>5.4368503713151432E-2</v>
      </c>
      <c r="O8" s="4">
        <f t="shared" ref="O8:O19" si="12">N8/4</f>
        <v>1.3592125928287858E-2</v>
      </c>
      <c r="P8" s="4">
        <f t="shared" ref="P8:P19" si="13">3.7*(10^(-1/(2*SQRT(N8)))-2.51/(L8*SQRT(N8)))</f>
        <v>2.3510135535859927E-2</v>
      </c>
      <c r="R8" s="22">
        <v>0.1</v>
      </c>
      <c r="S8" s="23">
        <f t="shared" si="9"/>
        <v>1435.5742296918768</v>
      </c>
      <c r="T8" s="23">
        <f t="shared" ref="T8:T32" si="14">0.292/(S8^(0.25))</f>
        <v>4.7438007349558602E-2</v>
      </c>
      <c r="U8" s="23">
        <f>0.0791/(S8^0.25)</f>
        <v>1.2850501305993444E-2</v>
      </c>
      <c r="V8" s="23"/>
      <c r="W8" s="1" t="s">
        <v>24</v>
      </c>
      <c r="X8" s="2">
        <v>5.0000000000000001E-4</v>
      </c>
    </row>
    <row r="9" spans="1:28" x14ac:dyDescent="0.35">
      <c r="A9" s="2" t="s">
        <v>53</v>
      </c>
      <c r="B9" s="2">
        <v>2400</v>
      </c>
      <c r="C9" s="19">
        <f t="shared" si="0"/>
        <v>40.000079999999997</v>
      </c>
      <c r="D9" s="19">
        <f t="shared" si="1"/>
        <v>0.66666720000000002</v>
      </c>
      <c r="E9" s="3">
        <f t="shared" si="2"/>
        <v>6.6666719999999998E-4</v>
      </c>
      <c r="F9" s="19">
        <f t="shared" si="3"/>
        <v>1.3333344</v>
      </c>
      <c r="G9" s="19">
        <f t="shared" si="4"/>
        <v>1.7777806222233601</v>
      </c>
      <c r="H9" s="19">
        <f t="shared" si="5"/>
        <v>2.5917887400960002</v>
      </c>
      <c r="I9" s="2">
        <v>2.8800709677419358</v>
      </c>
      <c r="J9" s="20">
        <f t="shared" si="6"/>
        <v>28.800709677419359</v>
      </c>
      <c r="K9" s="21">
        <f t="shared" si="7"/>
        <v>2880.0709677419359</v>
      </c>
      <c r="L9" s="3">
        <f t="shared" si="8"/>
        <v>19141.005042016808</v>
      </c>
      <c r="M9" s="4">
        <f t="shared" si="10"/>
        <v>14.370101992409868</v>
      </c>
      <c r="N9" s="4">
        <f t="shared" si="11"/>
        <v>6.3088151708521181E-2</v>
      </c>
      <c r="O9" s="4">
        <f t="shared" si="12"/>
        <v>1.5772037927130295E-2</v>
      </c>
      <c r="P9" s="4">
        <f t="shared" si="13"/>
        <v>3.5873052375318321E-2</v>
      </c>
      <c r="R9" s="22">
        <v>0.2</v>
      </c>
      <c r="S9" s="23">
        <f t="shared" si="9"/>
        <v>2871.1484593837536</v>
      </c>
      <c r="T9" s="23">
        <f t="shared" si="14"/>
        <v>3.9890450327023201E-2</v>
      </c>
      <c r="U9" s="23">
        <f t="shared" ref="U9:U32" si="15">0.0791/(S9^0.25)</f>
        <v>1.0805940482423067E-2</v>
      </c>
      <c r="V9" s="23"/>
      <c r="W9" s="2" t="s">
        <v>25</v>
      </c>
    </row>
    <row r="10" spans="1:28" ht="19" x14ac:dyDescent="0.4">
      <c r="A10" s="2" t="s">
        <v>54</v>
      </c>
      <c r="B10" s="2">
        <v>3200</v>
      </c>
      <c r="C10" s="19">
        <f t="shared" si="0"/>
        <v>53.333439999999996</v>
      </c>
      <c r="D10" s="19">
        <f t="shared" si="1"/>
        <v>0.88888960000000006</v>
      </c>
      <c r="E10" s="3">
        <f t="shared" si="2"/>
        <v>8.8888960000000012E-4</v>
      </c>
      <c r="F10" s="19">
        <f t="shared" si="3"/>
        <v>1.7777792000000001</v>
      </c>
      <c r="G10" s="19">
        <f t="shared" si="4"/>
        <v>3.1604988839526404</v>
      </c>
      <c r="H10" s="19">
        <f t="shared" si="5"/>
        <v>3.4557183201280002</v>
      </c>
      <c r="I10" s="2">
        <v>5.0789129032258078</v>
      </c>
      <c r="J10" s="20">
        <f t="shared" si="6"/>
        <v>50.789129032258074</v>
      </c>
      <c r="K10" s="21">
        <f t="shared" si="7"/>
        <v>5078.9129032258079</v>
      </c>
      <c r="L10" s="3">
        <f t="shared" si="8"/>
        <v>25521.340056022411</v>
      </c>
      <c r="M10" s="4">
        <f t="shared" si="10"/>
        <v>25.341214590674991</v>
      </c>
      <c r="N10" s="4">
        <f t="shared" si="11"/>
        <v>6.2580338342292804E-2</v>
      </c>
      <c r="O10" s="4">
        <f t="shared" si="12"/>
        <v>1.5645084585573201E-2</v>
      </c>
      <c r="P10" s="4">
        <f t="shared" si="13"/>
        <v>3.5654936484107343E-2</v>
      </c>
      <c r="R10" s="22">
        <v>0.3</v>
      </c>
      <c r="S10" s="23">
        <f t="shared" si="9"/>
        <v>4306.7226890756301</v>
      </c>
      <c r="T10" s="23">
        <f t="shared" si="14"/>
        <v>3.6045090840397156E-2</v>
      </c>
      <c r="U10" s="23">
        <f t="shared" si="15"/>
        <v>9.7642694708062177E-3</v>
      </c>
      <c r="V10" s="23"/>
      <c r="W10" s="1" t="s">
        <v>26</v>
      </c>
      <c r="X10" s="19">
        <v>0.05</v>
      </c>
      <c r="AA10" s="27" t="s">
        <v>27</v>
      </c>
    </row>
    <row r="11" spans="1:28" ht="18.5" x14ac:dyDescent="0.35">
      <c r="A11" s="2" t="s">
        <v>55</v>
      </c>
      <c r="B11" s="2">
        <v>3900</v>
      </c>
      <c r="C11" s="19">
        <f t="shared" si="0"/>
        <v>65.000129999999999</v>
      </c>
      <c r="D11" s="19">
        <f t="shared" si="1"/>
        <v>1.0833342000000001</v>
      </c>
      <c r="E11" s="3">
        <f t="shared" si="2"/>
        <v>1.0833342000000001E-3</v>
      </c>
      <c r="F11" s="19">
        <f t="shared" si="3"/>
        <v>2.1666684000000003</v>
      </c>
      <c r="G11" s="19">
        <f t="shared" si="4"/>
        <v>4.6944519555585611</v>
      </c>
      <c r="H11" s="19">
        <f t="shared" si="5"/>
        <v>4.2116567026560006</v>
      </c>
      <c r="I11" s="2">
        <v>7.3950096774193543</v>
      </c>
      <c r="J11" s="20">
        <f t="shared" si="6"/>
        <v>73.95009677419354</v>
      </c>
      <c r="K11" s="21">
        <f t="shared" si="7"/>
        <v>7395.0096774193544</v>
      </c>
      <c r="L11" s="3">
        <f t="shared" si="8"/>
        <v>31104.133193277317</v>
      </c>
      <c r="M11" s="4">
        <f t="shared" si="10"/>
        <v>36.897369714014623</v>
      </c>
      <c r="N11" s="4">
        <f t="shared" si="11"/>
        <v>6.134464122008168E-2</v>
      </c>
      <c r="O11" s="4">
        <f t="shared" si="12"/>
        <v>1.533616030502042E-2</v>
      </c>
      <c r="P11" s="4">
        <f t="shared" si="13"/>
        <v>3.4231391340666252E-2</v>
      </c>
      <c r="R11" s="22">
        <v>0.4</v>
      </c>
      <c r="S11" s="23">
        <f t="shared" si="9"/>
        <v>5742.2969187675071</v>
      </c>
      <c r="T11" s="23">
        <f t="shared" si="14"/>
        <v>3.354373668285017E-2</v>
      </c>
      <c r="U11" s="23">
        <f t="shared" si="15"/>
        <v>9.0866766151145497E-3</v>
      </c>
      <c r="V11" s="23"/>
      <c r="W11" s="1" t="s">
        <v>28</v>
      </c>
      <c r="X11" s="19">
        <v>9.4999999999999998E-3</v>
      </c>
      <c r="AA11" s="28" t="s">
        <v>29</v>
      </c>
      <c r="AB11" s="2" t="s">
        <v>30</v>
      </c>
    </row>
    <row r="12" spans="1:28" ht="16.5" x14ac:dyDescent="0.4">
      <c r="A12" s="2" t="s">
        <v>56</v>
      </c>
      <c r="B12" s="2">
        <v>4550</v>
      </c>
      <c r="C12" s="19">
        <f t="shared" si="0"/>
        <v>75.833484999999996</v>
      </c>
      <c r="D12" s="19">
        <f t="shared" si="1"/>
        <v>1.2638899000000001</v>
      </c>
      <c r="E12" s="3">
        <f t="shared" si="2"/>
        <v>1.2638899000000001E-3</v>
      </c>
      <c r="F12" s="19">
        <f t="shared" si="3"/>
        <v>2.5277798000000002</v>
      </c>
      <c r="G12" s="19">
        <f t="shared" si="4"/>
        <v>6.3896707172880411</v>
      </c>
      <c r="H12" s="19">
        <f t="shared" si="5"/>
        <v>4.9135994864320001</v>
      </c>
      <c r="I12" s="2">
        <v>8.4357709677419361</v>
      </c>
      <c r="J12" s="20">
        <f t="shared" si="6"/>
        <v>84.357709677419365</v>
      </c>
      <c r="K12" s="21">
        <f t="shared" si="7"/>
        <v>8435.7709677419371</v>
      </c>
      <c r="L12" s="3">
        <f t="shared" si="8"/>
        <v>36288.15539215687</v>
      </c>
      <c r="M12" s="4">
        <f t="shared" si="10"/>
        <v>42.090243799132558</v>
      </c>
      <c r="N12" s="4">
        <f t="shared" si="11"/>
        <v>5.1412542904104054E-2</v>
      </c>
      <c r="O12" s="4">
        <f t="shared" si="12"/>
        <v>1.2853135726026014E-2</v>
      </c>
      <c r="P12" s="4">
        <f t="shared" si="13"/>
        <v>2.1942247363074034E-2</v>
      </c>
      <c r="R12" s="22">
        <v>0.5</v>
      </c>
      <c r="S12" s="23">
        <f t="shared" si="9"/>
        <v>7177.8711484593841</v>
      </c>
      <c r="T12" s="23">
        <f t="shared" si="14"/>
        <v>3.1723707502417577E-2</v>
      </c>
      <c r="U12" s="23">
        <f t="shared" si="15"/>
        <v>8.5936481624699669E-3</v>
      </c>
      <c r="V12" s="23"/>
      <c r="W12" s="1" t="s">
        <v>163</v>
      </c>
      <c r="X12" s="4">
        <v>1.5966386554621848E-2</v>
      </c>
      <c r="Y12" s="1">
        <f>10*X12*100</f>
        <v>15.966386554621847</v>
      </c>
      <c r="AA12" s="27" t="s">
        <v>32</v>
      </c>
      <c r="AB12" s="2" t="s">
        <v>33</v>
      </c>
    </row>
    <row r="13" spans="1:28" x14ac:dyDescent="0.35">
      <c r="A13" s="2" t="s">
        <v>63</v>
      </c>
      <c r="B13" s="2">
        <v>5300</v>
      </c>
      <c r="C13" s="19">
        <f t="shared" si="0"/>
        <v>88.333510000000004</v>
      </c>
      <c r="D13" s="19">
        <f t="shared" si="1"/>
        <v>1.4722234000000001</v>
      </c>
      <c r="E13" s="3">
        <f t="shared" si="2"/>
        <v>1.4722234000000001E-3</v>
      </c>
      <c r="F13" s="19">
        <f t="shared" si="3"/>
        <v>2.9444468000000001</v>
      </c>
      <c r="G13" s="19">
        <f t="shared" si="4"/>
        <v>8.669766958030241</v>
      </c>
      <c r="H13" s="19">
        <f t="shared" si="5"/>
        <v>5.7235334677120004</v>
      </c>
      <c r="I13" s="2">
        <v>8.5815516129032279</v>
      </c>
      <c r="J13" s="20">
        <f t="shared" si="6"/>
        <v>85.815516129032275</v>
      </c>
      <c r="K13" s="21">
        <f t="shared" si="7"/>
        <v>8581.5516129032276</v>
      </c>
      <c r="L13" s="3">
        <f t="shared" si="8"/>
        <v>42269.719467787116</v>
      </c>
      <c r="M13" s="4">
        <f t="shared" si="10"/>
        <v>42.817615715641104</v>
      </c>
      <c r="N13" s="4">
        <f t="shared" si="11"/>
        <v>3.8546165152754275E-2</v>
      </c>
      <c r="O13" s="4">
        <f t="shared" si="12"/>
        <v>9.6365412881885687E-3</v>
      </c>
      <c r="P13" s="4">
        <f t="shared" si="13"/>
        <v>9.3882599540250754E-3</v>
      </c>
      <c r="R13" s="22">
        <v>0.6</v>
      </c>
      <c r="S13" s="23">
        <f t="shared" si="9"/>
        <v>8613.4453781512602</v>
      </c>
      <c r="T13" s="23">
        <f t="shared" si="14"/>
        <v>3.031018767518447E-2</v>
      </c>
      <c r="U13" s="23">
        <f t="shared" si="15"/>
        <v>8.2107391955722319E-3</v>
      </c>
      <c r="V13" s="23"/>
      <c r="W13" s="1" t="s">
        <v>164</v>
      </c>
      <c r="X13" s="31">
        <f>X17/X16</f>
        <v>1.1121951219512194E-6</v>
      </c>
    </row>
    <row r="14" spans="1:28" ht="16.5" x14ac:dyDescent="0.4">
      <c r="A14" s="2" t="s">
        <v>62</v>
      </c>
      <c r="B14" s="2">
        <v>5300</v>
      </c>
      <c r="C14" s="19">
        <f t="shared" si="0"/>
        <v>88.333510000000004</v>
      </c>
      <c r="D14" s="19">
        <f t="shared" si="1"/>
        <v>1.4722234000000001</v>
      </c>
      <c r="E14" s="3">
        <f t="shared" si="2"/>
        <v>1.4722234000000001E-3</v>
      </c>
      <c r="F14" s="19">
        <f t="shared" si="3"/>
        <v>2.9444468000000001</v>
      </c>
      <c r="G14" s="19">
        <f t="shared" si="4"/>
        <v>8.669766958030241</v>
      </c>
      <c r="H14" s="19">
        <f t="shared" si="5"/>
        <v>5.7235334677120004</v>
      </c>
      <c r="I14" s="2">
        <v>8.5815516129032279</v>
      </c>
      <c r="J14" s="20">
        <f t="shared" si="6"/>
        <v>85.815516129032275</v>
      </c>
      <c r="K14" s="21">
        <f t="shared" si="7"/>
        <v>8581.5516129032276</v>
      </c>
      <c r="L14" s="3">
        <f t="shared" si="8"/>
        <v>42269.719467787116</v>
      </c>
      <c r="M14" s="4">
        <f t="shared" si="10"/>
        <v>42.817615715641104</v>
      </c>
      <c r="N14" s="4">
        <f t="shared" si="11"/>
        <v>3.8546165152754275E-2</v>
      </c>
      <c r="O14" s="4">
        <f t="shared" si="12"/>
        <v>9.6365412881885687E-3</v>
      </c>
      <c r="P14" s="4">
        <f t="shared" si="13"/>
        <v>9.3882599540250754E-3</v>
      </c>
      <c r="R14" s="22">
        <v>0.7</v>
      </c>
      <c r="S14" s="23">
        <f t="shared" si="9"/>
        <v>10049.019607843138</v>
      </c>
      <c r="T14" s="23">
        <f t="shared" si="14"/>
        <v>2.9164324918123638E-2</v>
      </c>
      <c r="U14" s="23">
        <f t="shared" si="15"/>
        <v>7.9003359624095198E-3</v>
      </c>
      <c r="V14" s="23"/>
      <c r="W14" s="1" t="s">
        <v>35</v>
      </c>
      <c r="X14" s="32">
        <v>0.8</v>
      </c>
      <c r="AA14" s="27" t="s">
        <v>36</v>
      </c>
      <c r="AB14" s="1" t="s">
        <v>37</v>
      </c>
    </row>
    <row r="15" spans="1:28" x14ac:dyDescent="0.35">
      <c r="A15" s="2" t="s">
        <v>57</v>
      </c>
      <c r="B15" s="2">
        <v>4550</v>
      </c>
      <c r="C15" s="19">
        <f>B15*0.0166667</f>
        <v>75.833484999999996</v>
      </c>
      <c r="D15" s="19">
        <f>B15*0.000277778</f>
        <v>1.2638899000000001</v>
      </c>
      <c r="E15" s="3">
        <f t="shared" si="2"/>
        <v>1.2638899000000001E-3</v>
      </c>
      <c r="F15" s="19">
        <f t="shared" si="3"/>
        <v>2.5277798000000002</v>
      </c>
      <c r="G15" s="19">
        <f t="shared" si="4"/>
        <v>6.3896707172880411</v>
      </c>
      <c r="H15" s="19">
        <f t="shared" si="5"/>
        <v>4.9135994864320001</v>
      </c>
      <c r="I15" s="2">
        <v>8.4002032258064503</v>
      </c>
      <c r="J15" s="20">
        <f t="shared" si="6"/>
        <v>84.002032258064503</v>
      </c>
      <c r="K15" s="21">
        <f t="shared" si="7"/>
        <v>8400.2032258064501</v>
      </c>
      <c r="L15" s="3">
        <f t="shared" si="8"/>
        <v>36288.15539215687</v>
      </c>
      <c r="M15" s="4">
        <f t="shared" si="10"/>
        <v>41.912778700189747</v>
      </c>
      <c r="N15" s="4">
        <f t="shared" si="11"/>
        <v>5.119577219455624E-2</v>
      </c>
      <c r="O15" s="4">
        <f t="shared" si="12"/>
        <v>1.279894304863906E-2</v>
      </c>
      <c r="P15" s="4">
        <f t="shared" si="13"/>
        <v>2.1693446966919824E-2</v>
      </c>
      <c r="R15" s="22">
        <v>0.8</v>
      </c>
      <c r="S15" s="23">
        <f t="shared" si="9"/>
        <v>11484.593837535014</v>
      </c>
      <c r="T15" s="23">
        <f t="shared" si="14"/>
        <v>2.8206807930823231E-2</v>
      </c>
      <c r="U15" s="23">
        <f t="shared" si="15"/>
        <v>7.6409537922195814E-3</v>
      </c>
      <c r="V15" s="23"/>
      <c r="X15" s="32"/>
    </row>
    <row r="16" spans="1:28" x14ac:dyDescent="0.35">
      <c r="A16" s="2" t="s">
        <v>58</v>
      </c>
      <c r="B16" s="2">
        <v>3800</v>
      </c>
      <c r="C16" s="19">
        <f>B16*0.0166667</f>
        <v>63.333459999999995</v>
      </c>
      <c r="D16" s="19">
        <f>B16*0.000277778</f>
        <v>1.0555564</v>
      </c>
      <c r="E16" s="3">
        <f t="shared" si="2"/>
        <v>1.0555563999999999E-3</v>
      </c>
      <c r="F16" s="19">
        <f t="shared" si="3"/>
        <v>2.1111127999999999</v>
      </c>
      <c r="G16" s="19">
        <f t="shared" si="4"/>
        <v>4.4567972543238392</v>
      </c>
      <c r="H16" s="19">
        <f t="shared" si="5"/>
        <v>4.1036655051519997</v>
      </c>
      <c r="I16" s="2">
        <v>7.3414580645161287</v>
      </c>
      <c r="J16" s="20">
        <f t="shared" si="6"/>
        <v>73.414580645161294</v>
      </c>
      <c r="K16" s="21">
        <f t="shared" si="7"/>
        <v>7341.4580645161295</v>
      </c>
      <c r="L16" s="3">
        <f t="shared" si="8"/>
        <v>30306.591316526607</v>
      </c>
      <c r="M16" s="4">
        <f t="shared" si="10"/>
        <v>36.63017416644076</v>
      </c>
      <c r="N16" s="4">
        <f t="shared" si="11"/>
        <v>6.4147868067656558E-2</v>
      </c>
      <c r="O16" s="4">
        <f t="shared" si="12"/>
        <v>1.6036967016914139E-2</v>
      </c>
      <c r="P16" s="4">
        <f t="shared" si="13"/>
        <v>3.8059793279126161E-2</v>
      </c>
      <c r="Q16" s="34"/>
      <c r="R16" s="22">
        <v>0.9</v>
      </c>
      <c r="S16" s="23">
        <f t="shared" si="9"/>
        <v>12920.168067226892</v>
      </c>
      <c r="T16" s="23">
        <f t="shared" si="14"/>
        <v>2.7388346313087116E-2</v>
      </c>
      <c r="U16" s="23">
        <f t="shared" si="15"/>
        <v>7.4192403882369553E-3</v>
      </c>
      <c r="V16" s="23"/>
      <c r="W16" s="2" t="s">
        <v>38</v>
      </c>
      <c r="X16" s="32">
        <f>VLOOKUP(X18, SW!A4:F34, 3, FALSE)</f>
        <v>1025</v>
      </c>
      <c r="Y16" s="32"/>
    </row>
    <row r="17" spans="1:30" x14ac:dyDescent="0.35">
      <c r="A17" s="2" t="s">
        <v>59</v>
      </c>
      <c r="B17" s="2">
        <v>3100</v>
      </c>
      <c r="C17" s="19">
        <f>B17*0.0166667</f>
        <v>51.66677</v>
      </c>
      <c r="D17" s="19">
        <f>B17*0.000277778</f>
        <v>0.86111179999999998</v>
      </c>
      <c r="E17" s="3">
        <f t="shared" si="2"/>
        <v>8.6111179999999996E-4</v>
      </c>
      <c r="F17" s="19">
        <f t="shared" si="3"/>
        <v>1.7222236</v>
      </c>
      <c r="G17" s="19">
        <f t="shared" si="4"/>
        <v>2.9660541283969599</v>
      </c>
      <c r="H17" s="19">
        <f t="shared" si="5"/>
        <v>3.3477271226239997</v>
      </c>
      <c r="I17" s="2">
        <v>4.7991032258064514</v>
      </c>
      <c r="J17" s="20">
        <f t="shared" si="6"/>
        <v>47.991032258064514</v>
      </c>
      <c r="K17" s="21">
        <f t="shared" si="7"/>
        <v>4799.1032258064515</v>
      </c>
      <c r="L17" s="3">
        <f t="shared" si="8"/>
        <v>24723.798179271707</v>
      </c>
      <c r="M17" s="4">
        <f t="shared" si="10"/>
        <v>23.945105380862017</v>
      </c>
      <c r="N17" s="4">
        <f t="shared" si="11"/>
        <v>6.3009176256615299E-2</v>
      </c>
      <c r="O17" s="4">
        <f t="shared" si="12"/>
        <v>1.5752294064153825E-2</v>
      </c>
      <c r="P17" s="4">
        <f t="shared" si="13"/>
        <v>3.6199895980336849E-2</v>
      </c>
      <c r="R17" s="22">
        <v>1</v>
      </c>
      <c r="S17" s="23">
        <f t="shared" si="9"/>
        <v>14355.742296918768</v>
      </c>
      <c r="T17" s="23">
        <f t="shared" si="14"/>
        <v>2.6676351917340312E-2</v>
      </c>
      <c r="U17" s="23">
        <f t="shared" si="15"/>
        <v>7.2263679337726677E-3</v>
      </c>
      <c r="V17" s="23"/>
      <c r="W17" s="2" t="s">
        <v>39</v>
      </c>
      <c r="X17" s="32">
        <f>VLOOKUP(X18, SW!A4:F34, 5, FALSE)</f>
        <v>1.14E-3</v>
      </c>
    </row>
    <row r="18" spans="1:30" x14ac:dyDescent="0.35">
      <c r="A18" s="2" t="s">
        <v>60</v>
      </c>
      <c r="B18" s="2">
        <v>2400</v>
      </c>
      <c r="C18" s="19">
        <f>B18*0.0166667</f>
        <v>40.000079999999997</v>
      </c>
      <c r="D18" s="19">
        <f>B18*0.000277778</f>
        <v>0.66666720000000002</v>
      </c>
      <c r="E18" s="3">
        <f t="shared" si="2"/>
        <v>6.6666719999999998E-4</v>
      </c>
      <c r="F18" s="19">
        <f t="shared" si="3"/>
        <v>1.3333344</v>
      </c>
      <c r="G18" s="19">
        <f t="shared" si="4"/>
        <v>1.7777806222233601</v>
      </c>
      <c r="H18" s="19">
        <f t="shared" si="5"/>
        <v>2.5917887400960002</v>
      </c>
      <c r="I18" s="2">
        <v>2.7063774193548391</v>
      </c>
      <c r="J18" s="20">
        <f t="shared" si="6"/>
        <v>27.06377419354839</v>
      </c>
      <c r="K18" s="21">
        <f t="shared" si="7"/>
        <v>2706.3774193548388</v>
      </c>
      <c r="L18" s="3">
        <f t="shared" si="8"/>
        <v>19141.005042016808</v>
      </c>
      <c r="M18" s="4">
        <f t="shared" si="10"/>
        <v>13.503458762537273</v>
      </c>
      <c r="N18" s="4">
        <f t="shared" si="11"/>
        <v>5.9283382640615903E-2</v>
      </c>
      <c r="O18" s="4">
        <f t="shared" si="12"/>
        <v>1.4820845660153976E-2</v>
      </c>
      <c r="P18" s="4">
        <f t="shared" si="13"/>
        <v>3.0715747492251397E-2</v>
      </c>
      <c r="Q18" s="14"/>
      <c r="R18" s="22">
        <v>1.1000000000000001</v>
      </c>
      <c r="S18" s="23">
        <f t="shared" si="9"/>
        <v>15791.316526610646</v>
      </c>
      <c r="T18" s="23">
        <f t="shared" si="14"/>
        <v>2.6048232927331428E-2</v>
      </c>
      <c r="U18" s="23">
        <f t="shared" si="15"/>
        <v>7.0562165224380691E-3</v>
      </c>
      <c r="V18" s="23"/>
      <c r="W18" s="2" t="s">
        <v>161</v>
      </c>
      <c r="X18" s="2">
        <v>18</v>
      </c>
    </row>
    <row r="19" spans="1:30" x14ac:dyDescent="0.35">
      <c r="A19" s="2" t="s">
        <v>61</v>
      </c>
      <c r="B19" s="2">
        <v>1700</v>
      </c>
      <c r="C19" s="19">
        <f>B19*0.0166667</f>
        <v>28.333389999999998</v>
      </c>
      <c r="D19" s="19">
        <f>B19*0.000277778</f>
        <v>0.47222259999999999</v>
      </c>
      <c r="E19" s="3">
        <f t="shared" si="2"/>
        <v>4.7222259999999999E-4</v>
      </c>
      <c r="F19" s="19">
        <f t="shared" si="3"/>
        <v>0.94444519999999998</v>
      </c>
      <c r="G19" s="19">
        <f t="shared" si="4"/>
        <v>0.89197673580303993</v>
      </c>
      <c r="H19" s="19">
        <f t="shared" si="5"/>
        <v>1.8358503575680001</v>
      </c>
      <c r="I19" s="2">
        <v>1.1001741935483875</v>
      </c>
      <c r="J19" s="20">
        <f t="shared" si="6"/>
        <v>11.001741935483874</v>
      </c>
      <c r="K19" s="21">
        <f t="shared" si="7"/>
        <v>1100.1741935483874</v>
      </c>
      <c r="L19" s="3">
        <f t="shared" si="8"/>
        <v>13558.211904761905</v>
      </c>
      <c r="M19" s="4">
        <f t="shared" si="10"/>
        <v>5.489314516129034</v>
      </c>
      <c r="N19" s="4">
        <f t="shared" si="11"/>
        <v>4.8032004255375522E-2</v>
      </c>
      <c r="O19" s="4">
        <f t="shared" si="12"/>
        <v>1.2008001063843881E-2</v>
      </c>
      <c r="P19" s="4">
        <f t="shared" si="13"/>
        <v>1.6229213993275166E-2</v>
      </c>
      <c r="R19" s="22">
        <v>1.2</v>
      </c>
      <c r="S19" s="23">
        <f t="shared" si="9"/>
        <v>17226.89075630252</v>
      </c>
      <c r="T19" s="23">
        <f t="shared" si="14"/>
        <v>2.5487728161729936E-2</v>
      </c>
      <c r="U19" s="23">
        <f t="shared" si="15"/>
        <v>6.9043811561398574E-3</v>
      </c>
      <c r="V19" s="23"/>
      <c r="W19" s="1"/>
      <c r="X19" s="1"/>
      <c r="AA19" s="36" t="s">
        <v>40</v>
      </c>
      <c r="AB19" s="37"/>
      <c r="AC19" s="37"/>
      <c r="AD19" s="37"/>
    </row>
    <row r="20" spans="1:30" x14ac:dyDescent="0.35">
      <c r="A20" s="24"/>
      <c r="B20" s="18"/>
      <c r="C20" s="19"/>
      <c r="D20" s="19"/>
      <c r="E20" s="3"/>
      <c r="F20" s="19"/>
      <c r="G20" s="19"/>
      <c r="H20" s="19"/>
      <c r="I20" s="20"/>
      <c r="J20" s="20"/>
      <c r="K20" s="21"/>
      <c r="R20" s="22">
        <v>1.3</v>
      </c>
      <c r="S20" s="23">
        <f t="shared" si="9"/>
        <v>18662.4649859944</v>
      </c>
      <c r="T20" s="23">
        <f t="shared" si="14"/>
        <v>2.4982770589304339E-2</v>
      </c>
      <c r="U20" s="23">
        <f t="shared" si="15"/>
        <v>6.7675929918286758E-3</v>
      </c>
      <c r="V20" s="23"/>
      <c r="AA20" s="38" t="s">
        <v>41</v>
      </c>
      <c r="AB20" s="37" t="s">
        <v>42</v>
      </c>
      <c r="AC20" s="37" t="s">
        <v>43</v>
      </c>
      <c r="AD20" s="37" t="s">
        <v>44</v>
      </c>
    </row>
    <row r="21" spans="1:30" x14ac:dyDescent="0.35">
      <c r="A21" s="24"/>
      <c r="B21" s="18"/>
      <c r="C21" s="19"/>
      <c r="D21" s="19"/>
      <c r="E21" s="3"/>
      <c r="F21" s="19"/>
      <c r="G21" s="19"/>
      <c r="H21" s="19"/>
      <c r="I21" s="20"/>
      <c r="J21" s="20"/>
      <c r="K21" s="21"/>
      <c r="R21" s="22">
        <v>1.4</v>
      </c>
      <c r="S21" s="23">
        <f t="shared" si="9"/>
        <v>20098.039215686276</v>
      </c>
      <c r="T21" s="23">
        <f t="shared" si="14"/>
        <v>2.452417627694475E-2</v>
      </c>
      <c r="U21" s="23">
        <f t="shared" si="15"/>
        <v>6.6433641900901707E-3</v>
      </c>
      <c r="V21" s="23"/>
      <c r="W21" s="1" t="s">
        <v>45</v>
      </c>
      <c r="X21" s="1">
        <v>3.9999999999999998E-6</v>
      </c>
      <c r="AA21" s="38" t="s">
        <v>46</v>
      </c>
      <c r="AB21" s="37" t="s">
        <v>47</v>
      </c>
      <c r="AC21" s="37" t="s">
        <v>48</v>
      </c>
      <c r="AD21" s="37" t="s">
        <v>49</v>
      </c>
    </row>
    <row r="22" spans="1:30" x14ac:dyDescent="0.35">
      <c r="A22" s="24"/>
      <c r="B22" s="18"/>
      <c r="C22" s="19"/>
      <c r="D22" s="19"/>
      <c r="E22" s="43"/>
      <c r="F22" s="19"/>
      <c r="G22" s="19"/>
      <c r="H22" s="19"/>
      <c r="I22" s="20"/>
      <c r="J22" s="20"/>
      <c r="K22" s="21"/>
      <c r="R22" s="22">
        <v>1.5</v>
      </c>
      <c r="S22" s="23">
        <f t="shared" si="9"/>
        <v>21533.613445378152</v>
      </c>
      <c r="T22" s="23">
        <f t="shared" si="14"/>
        <v>2.4104805041510025E-2</v>
      </c>
      <c r="U22" s="23">
        <f t="shared" si="15"/>
        <v>6.5297605437789142E-3</v>
      </c>
      <c r="V22" s="23"/>
      <c r="W22" s="1" t="s">
        <v>50</v>
      </c>
      <c r="X22" s="2">
        <v>2.3999999999999998E-4</v>
      </c>
      <c r="AA22" s="37">
        <v>0</v>
      </c>
      <c r="AB22" s="37">
        <v>1.792E-3</v>
      </c>
      <c r="AC22" s="37">
        <v>999.87</v>
      </c>
      <c r="AD22" s="39">
        <v>1.7922329902887374E-6</v>
      </c>
    </row>
    <row r="23" spans="1:30" x14ac:dyDescent="0.35">
      <c r="A23" s="24"/>
      <c r="B23" s="18"/>
      <c r="C23" s="19"/>
      <c r="D23" s="19"/>
      <c r="E23" s="3"/>
      <c r="F23" s="19"/>
      <c r="G23" s="19"/>
      <c r="H23" s="19"/>
      <c r="I23" s="20"/>
      <c r="J23" s="20"/>
      <c r="K23" s="21"/>
      <c r="P23" s="43"/>
      <c r="R23" s="22">
        <v>1.6</v>
      </c>
      <c r="S23" s="23">
        <f t="shared" si="9"/>
        <v>22969.187675070028</v>
      </c>
      <c r="T23" s="23">
        <f t="shared" si="14"/>
        <v>2.3719003674779301E-2</v>
      </c>
      <c r="U23" s="23">
        <f t="shared" si="15"/>
        <v>6.4252506529967222E-3</v>
      </c>
      <c r="V23" s="23"/>
      <c r="AA23" s="37">
        <v>5</v>
      </c>
      <c r="AB23" s="37">
        <v>1.519E-3</v>
      </c>
      <c r="AC23" s="37">
        <v>999.99</v>
      </c>
      <c r="AD23" s="39">
        <v>1.5190151901519014E-6</v>
      </c>
    </row>
    <row r="24" spans="1:30" x14ac:dyDescent="0.35">
      <c r="B24" s="18"/>
      <c r="C24" s="19"/>
      <c r="D24" s="19"/>
      <c r="E24" s="3"/>
      <c r="F24" s="3"/>
      <c r="G24" s="19"/>
      <c r="H24" s="19"/>
      <c r="I24" s="19"/>
      <c r="J24" s="20"/>
      <c r="K24" s="21"/>
      <c r="R24" s="22">
        <v>1.7</v>
      </c>
      <c r="S24" s="23">
        <f t="shared" si="9"/>
        <v>24404.761904761905</v>
      </c>
      <c r="T24" s="23">
        <f t="shared" si="14"/>
        <v>2.3362225291761372E-2</v>
      </c>
      <c r="U24" s="23">
        <f t="shared" si="15"/>
        <v>6.3286028101997415E-3</v>
      </c>
      <c r="V24" s="23"/>
      <c r="W24" s="40"/>
      <c r="AA24" s="37">
        <f>AA23+5</f>
        <v>10</v>
      </c>
      <c r="AB24" s="37">
        <v>1.3079999999999999E-3</v>
      </c>
      <c r="AC24" s="37">
        <v>999.73</v>
      </c>
      <c r="AD24" s="39">
        <v>1.3083532553789522E-6</v>
      </c>
    </row>
    <row r="25" spans="1:30" x14ac:dyDescent="0.35">
      <c r="B25" s="18"/>
      <c r="C25" s="19"/>
      <c r="D25" s="19"/>
      <c r="E25" s="3"/>
      <c r="F25" s="3"/>
      <c r="G25" s="19"/>
      <c r="H25" s="19"/>
      <c r="I25" s="19"/>
      <c r="J25" s="20"/>
      <c r="K25" s="21"/>
      <c r="R25" s="22">
        <v>1.8</v>
      </c>
      <c r="S25" s="23">
        <f t="shared" si="9"/>
        <v>25840.336134453784</v>
      </c>
      <c r="T25" s="23">
        <f t="shared" si="14"/>
        <v>2.3030762234402244E-2</v>
      </c>
      <c r="U25" s="23">
        <f t="shared" si="15"/>
        <v>6.2388126463740331E-3</v>
      </c>
      <c r="V25" s="23"/>
      <c r="W25" s="40"/>
      <c r="AA25" s="37" t="e">
        <f>#REF!+5</f>
        <v>#REF!</v>
      </c>
      <c r="AB25" s="37">
        <v>1.005E-3</v>
      </c>
      <c r="AC25" s="37">
        <v>998.23</v>
      </c>
      <c r="AD25" s="39">
        <v>1.0067820041473407E-6</v>
      </c>
    </row>
    <row r="26" spans="1:30" x14ac:dyDescent="0.35">
      <c r="B26" s="18"/>
      <c r="C26" s="19"/>
      <c r="D26" s="19"/>
      <c r="E26" s="3"/>
      <c r="F26" s="3"/>
      <c r="G26" s="19"/>
      <c r="H26" s="19"/>
      <c r="I26" s="19"/>
      <c r="J26" s="20"/>
      <c r="K26" s="21"/>
      <c r="R26" s="22">
        <v>1.9</v>
      </c>
      <c r="S26" s="23">
        <f t="shared" si="9"/>
        <v>27275.91036414566</v>
      </c>
      <c r="T26" s="23">
        <f t="shared" si="14"/>
        <v>2.2721554364037024E-2</v>
      </c>
      <c r="U26" s="23">
        <f t="shared" si="15"/>
        <v>6.155051199299072E-3</v>
      </c>
      <c r="V26" s="23"/>
      <c r="W26" s="40"/>
      <c r="AA26" s="37">
        <v>25</v>
      </c>
      <c r="AB26" s="37">
        <v>8.9400000000000005E-4</v>
      </c>
      <c r="AC26" s="37">
        <v>997.07</v>
      </c>
      <c r="AD26" s="39">
        <v>8.9662711745414066E-7</v>
      </c>
    </row>
    <row r="27" spans="1:30" x14ac:dyDescent="0.35">
      <c r="N27" s="22"/>
      <c r="R27" s="22">
        <v>2</v>
      </c>
      <c r="S27" s="23">
        <f t="shared" si="9"/>
        <v>28711.484593837537</v>
      </c>
      <c r="T27" s="23">
        <f t="shared" si="14"/>
        <v>2.2432048699338021E-2</v>
      </c>
      <c r="U27" s="23">
        <f t="shared" si="15"/>
        <v>6.076626890813828E-3</v>
      </c>
      <c r="V27" s="23"/>
      <c r="W27" s="40"/>
      <c r="AA27" s="32"/>
      <c r="AB27" s="32"/>
      <c r="AC27" s="32"/>
      <c r="AD27" s="32"/>
    </row>
    <row r="28" spans="1:30" x14ac:dyDescent="0.35">
      <c r="K28" s="1"/>
      <c r="L28" s="4"/>
      <c r="N28" s="22"/>
      <c r="R28" s="22">
        <v>2.1</v>
      </c>
      <c r="S28" s="23">
        <f t="shared" si="9"/>
        <v>30147.058823529416</v>
      </c>
      <c r="T28" s="23">
        <f t="shared" si="14"/>
        <v>2.2160094820728303E-2</v>
      </c>
      <c r="U28" s="23">
        <f t="shared" si="15"/>
        <v>6.0029571928753725E-3</v>
      </c>
      <c r="V28" s="23"/>
      <c r="W28" s="40"/>
      <c r="AA28" s="32"/>
      <c r="AB28" s="32"/>
      <c r="AC28" s="32"/>
      <c r="AD28" s="32"/>
    </row>
    <row r="29" spans="1:30" x14ac:dyDescent="0.35">
      <c r="R29" s="22">
        <v>2.2000000000000002</v>
      </c>
      <c r="S29" s="23">
        <f t="shared" si="9"/>
        <v>31582.633053221292</v>
      </c>
      <c r="T29" s="23">
        <f t="shared" si="14"/>
        <v>2.1903865692286768E-2</v>
      </c>
      <c r="U29" s="23">
        <f t="shared" si="15"/>
        <v>5.9335471789722033E-3</v>
      </c>
      <c r="V29" s="23"/>
      <c r="W29" s="40"/>
      <c r="AA29" s="32"/>
      <c r="AB29" s="32"/>
      <c r="AC29" s="32"/>
      <c r="AD29" s="32"/>
    </row>
    <row r="30" spans="1:30" x14ac:dyDescent="0.35">
      <c r="L30" s="41"/>
      <c r="R30" s="22">
        <v>2.2999999999999998</v>
      </c>
      <c r="S30" s="23">
        <f t="shared" si="9"/>
        <v>33018.207282913165</v>
      </c>
      <c r="T30" s="23">
        <f t="shared" si="14"/>
        <v>2.1661796872450706E-2</v>
      </c>
      <c r="U30" s="23">
        <f t="shared" si="15"/>
        <v>5.8679730568864759E-3</v>
      </c>
      <c r="V30" s="23"/>
      <c r="W30" s="40"/>
      <c r="AA30" s="32"/>
      <c r="AB30" s="32"/>
      <c r="AC30" s="32"/>
      <c r="AD30" s="32"/>
    </row>
    <row r="31" spans="1:30" x14ac:dyDescent="0.35">
      <c r="R31" s="22">
        <v>2.4</v>
      </c>
      <c r="S31" s="23">
        <f t="shared" si="9"/>
        <v>34453.781512605041</v>
      </c>
      <c r="T31" s="23">
        <f t="shared" si="14"/>
        <v>2.1432539244159853E-2</v>
      </c>
      <c r="U31" s="23">
        <f t="shared" si="15"/>
        <v>5.8058693637433037E-3</v>
      </c>
      <c r="V31" s="23"/>
      <c r="W31" s="40"/>
      <c r="AA31" s="32"/>
      <c r="AB31" s="32"/>
      <c r="AC31" s="32"/>
      <c r="AD31" s="32"/>
    </row>
    <row r="32" spans="1:30" x14ac:dyDescent="0.35">
      <c r="F32" s="1"/>
      <c r="G32" s="1"/>
      <c r="R32" s="22">
        <v>2.5</v>
      </c>
      <c r="S32" s="23">
        <f t="shared" si="9"/>
        <v>35889.355742296917</v>
      </c>
      <c r="T32" s="23">
        <f t="shared" si="14"/>
        <v>2.1214921830149534E-2</v>
      </c>
      <c r="U32" s="23">
        <f t="shared" si="15"/>
        <v>5.7469188930302333E-3</v>
      </c>
      <c r="V32" s="23"/>
      <c r="W32" s="40"/>
      <c r="AA32" s="32"/>
      <c r="AB32" s="32"/>
      <c r="AC32" s="32"/>
      <c r="AD32" s="32"/>
    </row>
    <row r="33" spans="7:24" x14ac:dyDescent="0.35">
      <c r="G33" s="19"/>
      <c r="W33" s="40"/>
    </row>
    <row r="34" spans="7:24" x14ac:dyDescent="0.35">
      <c r="G34" s="19"/>
      <c r="W34" s="40"/>
      <c r="X34" s="1" t="s">
        <v>51</v>
      </c>
    </row>
    <row r="35" spans="7:24" x14ac:dyDescent="0.35">
      <c r="G35" s="19"/>
      <c r="W35" s="40"/>
    </row>
    <row r="36" spans="7:24" x14ac:dyDescent="0.35">
      <c r="G36" s="19"/>
      <c r="W36" s="40"/>
    </row>
    <row r="37" spans="7:24" x14ac:dyDescent="0.35">
      <c r="G37" s="19"/>
    </row>
    <row r="38" spans="7:24" x14ac:dyDescent="0.35">
      <c r="G38" s="19"/>
    </row>
    <row r="40" spans="7:24" x14ac:dyDescent="0.35">
      <c r="R40" s="4"/>
      <c r="S40" s="16"/>
      <c r="T40" s="16"/>
      <c r="U40" s="4"/>
      <c r="V40" s="4"/>
    </row>
    <row r="41" spans="7:24" x14ac:dyDescent="0.35">
      <c r="R41" s="4"/>
      <c r="S41" s="16"/>
      <c r="T41" s="16"/>
      <c r="U41" s="4"/>
      <c r="V41" s="4"/>
    </row>
    <row r="42" spans="7:24" x14ac:dyDescent="0.35">
      <c r="R42" s="4"/>
      <c r="S42" s="16"/>
      <c r="T42" s="16"/>
      <c r="U42" s="4"/>
      <c r="V42" s="4"/>
    </row>
    <row r="43" spans="7:24" x14ac:dyDescent="0.35">
      <c r="R43" s="4"/>
      <c r="S43" s="16"/>
      <c r="T43" s="16"/>
      <c r="U43" s="4"/>
      <c r="V43" s="4"/>
    </row>
    <row r="44" spans="7:24" x14ac:dyDescent="0.35">
      <c r="R44" s="4"/>
      <c r="S44" s="16"/>
      <c r="T44" s="16"/>
      <c r="U44" s="4"/>
      <c r="V44" s="4"/>
    </row>
    <row r="45" spans="7:24" x14ac:dyDescent="0.35">
      <c r="R45" s="4"/>
      <c r="S45" s="16"/>
      <c r="T45" s="16"/>
    </row>
    <row r="46" spans="7:24" x14ac:dyDescent="0.35">
      <c r="R46" s="4"/>
      <c r="S46" s="16"/>
      <c r="T46" s="16"/>
    </row>
    <row r="47" spans="7:24" x14ac:dyDescent="0.35">
      <c r="R47" s="4"/>
      <c r="S47" s="16"/>
      <c r="T47" s="16"/>
    </row>
    <row r="48" spans="7:24" x14ac:dyDescent="0.35">
      <c r="R48" s="4"/>
      <c r="S48" s="16"/>
      <c r="T48" s="16"/>
    </row>
    <row r="49" spans="18:20" x14ac:dyDescent="0.35">
      <c r="R49" s="4"/>
      <c r="S49" s="16"/>
      <c r="T49" s="16"/>
    </row>
    <row r="50" spans="18:20" x14ac:dyDescent="0.35">
      <c r="R50" s="4"/>
      <c r="S50" s="16"/>
      <c r="T50" s="16"/>
    </row>
    <row r="51" spans="18:20" x14ac:dyDescent="0.35">
      <c r="R51" s="4"/>
      <c r="S51" s="16"/>
      <c r="T51" s="16"/>
    </row>
    <row r="52" spans="18:20" x14ac:dyDescent="0.35">
      <c r="R52" s="4"/>
      <c r="S52" s="16"/>
      <c r="T52" s="16"/>
    </row>
    <row r="53" spans="18:20" x14ac:dyDescent="0.35">
      <c r="R53" s="4"/>
      <c r="S53" s="16"/>
      <c r="T53" s="16"/>
    </row>
    <row r="54" spans="18:20" x14ac:dyDescent="0.35">
      <c r="R54" s="4"/>
      <c r="S54" s="16"/>
      <c r="T54" s="16"/>
    </row>
    <row r="55" spans="18:20" x14ac:dyDescent="0.35">
      <c r="R55" s="4"/>
    </row>
    <row r="86" spans="13:16" x14ac:dyDescent="0.35">
      <c r="N86" s="22"/>
    </row>
    <row r="88" spans="13:16" x14ac:dyDescent="0.35">
      <c r="M88" s="22"/>
      <c r="N88" s="22"/>
      <c r="O88" s="22"/>
      <c r="P88" s="22"/>
    </row>
    <row r="89" spans="13:16" x14ac:dyDescent="0.35">
      <c r="O89" s="22"/>
      <c r="P89" s="22"/>
    </row>
    <row r="90" spans="13:16" x14ac:dyDescent="0.35">
      <c r="O90" s="22"/>
      <c r="P90" s="22"/>
    </row>
  </sheetData>
  <mergeCells count="1">
    <mergeCell ref="A4:N4"/>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35CBE-7A5F-4E6A-B008-BD2CEDBEE94D}">
  <dimension ref="A1:AD90"/>
  <sheetViews>
    <sheetView topLeftCell="A4" zoomScale="50" zoomScaleNormal="50" zoomScalePageLayoutView="90" workbookViewId="0">
      <selection activeCell="L8" sqref="L8:L12"/>
    </sheetView>
  </sheetViews>
  <sheetFormatPr defaultColWidth="8.69140625" defaultRowHeight="15.5" x14ac:dyDescent="0.35"/>
  <cols>
    <col min="1" max="4" width="8.69140625" style="2"/>
    <col min="5" max="5" width="12.3046875" style="2" customWidth="1"/>
    <col min="6" max="6" width="15.69140625" style="2" bestFit="1" customWidth="1"/>
    <col min="7" max="7" width="8.53515625" style="2" customWidth="1"/>
    <col min="8" max="8" width="8.69140625" style="2"/>
    <col min="9" max="9" width="15.69140625" style="2" bestFit="1" customWidth="1"/>
    <col min="10" max="10" width="12.23046875" style="2" customWidth="1"/>
    <col min="11" max="11" width="10.4609375" style="2" customWidth="1"/>
    <col min="12" max="12" width="8.53515625" style="3" customWidth="1"/>
    <col min="13" max="13" width="10.4609375" style="4" customWidth="1"/>
    <col min="14" max="14" width="27.3046875" style="4" bestFit="1" customWidth="1"/>
    <col min="15" max="15" width="13.53515625" style="4" bestFit="1" customWidth="1"/>
    <col min="16" max="16" width="27.23046875" style="4" customWidth="1"/>
    <col min="17" max="17" width="8.4609375" style="5" customWidth="1"/>
    <col min="18" max="18" width="10.23046875" style="2" customWidth="1"/>
    <col min="19" max="19" width="13.84375" style="2" customWidth="1"/>
    <col min="20" max="22" width="10" style="2" customWidth="1"/>
    <col min="23" max="23" width="21" style="2" customWidth="1"/>
    <col min="24" max="24" width="10.07421875" style="2" bestFit="1" customWidth="1"/>
    <col min="25" max="25" width="8.69140625" style="2"/>
    <col min="26" max="26" width="22" style="2" customWidth="1"/>
    <col min="27" max="27" width="35.84375" style="2" customWidth="1"/>
    <col min="28" max="28" width="16.84375" style="2" customWidth="1"/>
    <col min="29" max="16384" width="8.69140625" style="2"/>
  </cols>
  <sheetData>
    <row r="1" spans="1:28" x14ac:dyDescent="0.35">
      <c r="A1" s="1" t="s">
        <v>134</v>
      </c>
    </row>
    <row r="2" spans="1:28" x14ac:dyDescent="0.35">
      <c r="A2" s="1" t="s">
        <v>0</v>
      </c>
      <c r="I2" s="1" t="s">
        <v>1</v>
      </c>
      <c r="J2" s="1" t="s">
        <v>2</v>
      </c>
    </row>
    <row r="3" spans="1:28" x14ac:dyDescent="0.35">
      <c r="A3" s="1"/>
      <c r="I3" s="1"/>
      <c r="J3" s="1"/>
    </row>
    <row r="4" spans="1:28" x14ac:dyDescent="0.35">
      <c r="A4" s="150" t="s">
        <v>3</v>
      </c>
      <c r="B4" s="150"/>
      <c r="C4" s="150"/>
      <c r="D4" s="150"/>
      <c r="E4" s="150"/>
      <c r="F4" s="150"/>
      <c r="G4" s="150"/>
      <c r="H4" s="150"/>
      <c r="I4" s="150"/>
      <c r="J4" s="150"/>
      <c r="K4" s="150"/>
      <c r="L4" s="150"/>
      <c r="M4" s="150"/>
      <c r="N4" s="150"/>
      <c r="O4" s="116"/>
      <c r="P4" s="116"/>
      <c r="Q4" s="7"/>
    </row>
    <row r="6" spans="1:28" ht="19" x14ac:dyDescent="0.4">
      <c r="A6" s="8"/>
      <c r="B6" s="9" t="s">
        <v>4</v>
      </c>
      <c r="C6" s="9" t="s">
        <v>5</v>
      </c>
      <c r="D6" s="10" t="s">
        <v>6</v>
      </c>
      <c r="E6" s="10" t="s">
        <v>7</v>
      </c>
      <c r="F6" s="10" t="s">
        <v>8</v>
      </c>
      <c r="G6" s="10" t="s">
        <v>9</v>
      </c>
      <c r="H6" s="10" t="s">
        <v>10</v>
      </c>
      <c r="I6" s="9" t="s">
        <v>11</v>
      </c>
      <c r="J6" s="9" t="s">
        <v>12</v>
      </c>
      <c r="K6" s="9" t="s">
        <v>13</v>
      </c>
      <c r="L6" s="11" t="s">
        <v>14</v>
      </c>
      <c r="M6" s="12" t="s">
        <v>15</v>
      </c>
      <c r="N6" s="13" t="s">
        <v>16</v>
      </c>
      <c r="O6" s="14" t="s">
        <v>17</v>
      </c>
      <c r="P6" s="14" t="s">
        <v>18</v>
      </c>
      <c r="Q6" s="14"/>
      <c r="R6" s="15" t="s">
        <v>19</v>
      </c>
      <c r="S6" s="16" t="s">
        <v>14</v>
      </c>
      <c r="T6" s="15" t="s">
        <v>20</v>
      </c>
      <c r="U6" s="16" t="s">
        <v>21</v>
      </c>
      <c r="V6" s="16"/>
      <c r="W6" s="151" t="s">
        <v>22</v>
      </c>
      <c r="X6" s="151"/>
    </row>
    <row r="7" spans="1:28" x14ac:dyDescent="0.35">
      <c r="A7" s="17" t="s">
        <v>23</v>
      </c>
      <c r="B7" s="18">
        <v>0</v>
      </c>
      <c r="C7" s="19">
        <f t="shared" ref="C7:C14" si="0">B7*0.0166667</f>
        <v>0</v>
      </c>
      <c r="D7" s="19">
        <f t="shared" ref="D7:D14" si="1">B7*0.000277778</f>
        <v>0</v>
      </c>
      <c r="E7" s="3">
        <f t="shared" ref="E7:E19" si="2">0.001*D7</f>
        <v>0</v>
      </c>
      <c r="F7" s="19">
        <f t="shared" ref="F7:F19" si="3">E7/X$8</f>
        <v>0</v>
      </c>
      <c r="G7" s="19">
        <f t="shared" ref="G7:G19" si="4">F7^(2)</f>
        <v>0</v>
      </c>
      <c r="H7" s="19">
        <f t="shared" ref="H7:H19" si="5">F7*1.94384</f>
        <v>0</v>
      </c>
      <c r="I7" s="20">
        <v>0</v>
      </c>
      <c r="J7" s="20">
        <f t="shared" ref="J7:J19" si="6">I7 * 10</f>
        <v>0</v>
      </c>
      <c r="K7" s="21">
        <f t="shared" ref="K7:K19" si="7">J7*100</f>
        <v>0</v>
      </c>
      <c r="L7" s="3">
        <f t="shared" ref="L7:L19" si="8">(F7*X$12)/X$13</f>
        <v>0</v>
      </c>
      <c r="R7" s="22">
        <v>0</v>
      </c>
      <c r="S7" s="23">
        <f t="shared" ref="S7:S32" si="9">(R7*X$12)/X$13</f>
        <v>0</v>
      </c>
      <c r="T7" s="23"/>
      <c r="U7" s="23"/>
      <c r="V7" s="23"/>
    </row>
    <row r="8" spans="1:28" x14ac:dyDescent="0.35">
      <c r="A8" s="2" t="s">
        <v>52</v>
      </c>
      <c r="B8" s="2">
        <v>1850</v>
      </c>
      <c r="C8" s="19">
        <f t="shared" si="0"/>
        <v>30.833394999999999</v>
      </c>
      <c r="D8" s="19">
        <f t="shared" si="1"/>
        <v>0.51388929999999999</v>
      </c>
      <c r="E8" s="3">
        <f t="shared" si="2"/>
        <v>5.1388930000000001E-4</v>
      </c>
      <c r="F8" s="19">
        <f t="shared" si="3"/>
        <v>1.0277786</v>
      </c>
      <c r="G8" s="19">
        <f t="shared" si="4"/>
        <v>1.05632885061796</v>
      </c>
      <c r="H8" s="19">
        <f t="shared" si="5"/>
        <v>1.9978371538240001</v>
      </c>
      <c r="I8" s="2">
        <v>1.6117612903225809</v>
      </c>
      <c r="J8" s="20">
        <f t="shared" si="6"/>
        <v>16.117612903225808</v>
      </c>
      <c r="K8" s="21">
        <f t="shared" si="7"/>
        <v>1611.7612903225809</v>
      </c>
      <c r="L8" s="3">
        <f>(F8*X$12)/X$13</f>
        <v>15153.295658263301</v>
      </c>
      <c r="M8" s="4">
        <f t="shared" ref="M8:M19" si="10">(X$16*G8*N8)/8</f>
        <v>8.0418761859582553</v>
      </c>
      <c r="N8" s="4">
        <f t="shared" ref="N8:N19" si="11">(K8*2*X$12)/(X$14*X$16*G8)</f>
        <v>5.941886646197124E-2</v>
      </c>
      <c r="O8" s="4">
        <f t="shared" ref="O8:O19" si="12">N8/4</f>
        <v>1.485471661549281E-2</v>
      </c>
      <c r="P8" s="4">
        <f t="shared" ref="P8:P19" si="13">3.7*(10^(-1/(2*SQRT(N8)))-2.51/(L8*SQRT(N8)))</f>
        <v>3.0371122971757494E-2</v>
      </c>
      <c r="R8" s="22">
        <v>0.1</v>
      </c>
      <c r="S8" s="23">
        <f t="shared" si="9"/>
        <v>1474.3735331970622</v>
      </c>
      <c r="T8" s="23">
        <f t="shared" ref="T8:T32" si="14">0.292/(S8^(0.25))</f>
        <v>4.7122787188051407E-2</v>
      </c>
      <c r="U8" s="23">
        <f>0.0791/(S8^0.25)</f>
        <v>1.2765111186900227E-2</v>
      </c>
      <c r="V8" s="23"/>
      <c r="W8" s="1" t="s">
        <v>24</v>
      </c>
      <c r="X8" s="2">
        <v>5.0000000000000001E-4</v>
      </c>
    </row>
    <row r="9" spans="1:28" x14ac:dyDescent="0.35">
      <c r="A9" s="2" t="s">
        <v>53</v>
      </c>
      <c r="B9" s="2">
        <v>2700</v>
      </c>
      <c r="C9" s="19">
        <f t="shared" si="0"/>
        <v>45.00009</v>
      </c>
      <c r="D9" s="19">
        <f t="shared" si="1"/>
        <v>0.75000060000000002</v>
      </c>
      <c r="E9" s="3">
        <f t="shared" si="2"/>
        <v>7.500006E-4</v>
      </c>
      <c r="F9" s="19">
        <f t="shared" si="3"/>
        <v>1.5000012</v>
      </c>
      <c r="G9" s="19">
        <f t="shared" si="4"/>
        <v>2.2500036000014401</v>
      </c>
      <c r="H9" s="19">
        <f t="shared" si="5"/>
        <v>2.9157623326080002</v>
      </c>
      <c r="I9" s="2">
        <v>3.8911741935483883</v>
      </c>
      <c r="J9" s="20">
        <f t="shared" si="6"/>
        <v>38.911741935483882</v>
      </c>
      <c r="K9" s="21">
        <f t="shared" si="7"/>
        <v>3891.1741935483883</v>
      </c>
      <c r="L9" s="3">
        <f t="shared" si="8"/>
        <v>22115.620690438333</v>
      </c>
      <c r="M9" s="4">
        <f t="shared" si="10"/>
        <v>19.414997289238279</v>
      </c>
      <c r="N9" s="4">
        <f t="shared" si="11"/>
        <v>6.7347308315334045E-2</v>
      </c>
      <c r="O9" s="4">
        <f t="shared" si="12"/>
        <v>1.6836827078833511E-2</v>
      </c>
      <c r="P9" s="4">
        <f t="shared" si="13"/>
        <v>4.2186530451782812E-2</v>
      </c>
      <c r="R9" s="22">
        <v>0.2</v>
      </c>
      <c r="S9" s="23">
        <f t="shared" si="9"/>
        <v>2948.7470663941244</v>
      </c>
      <c r="T9" s="23">
        <f t="shared" si="14"/>
        <v>3.9625382823196088E-2</v>
      </c>
      <c r="U9" s="23">
        <f t="shared" ref="U9:U32" si="15">0.0791/(S9^0.25)</f>
        <v>1.0734136237379489E-2</v>
      </c>
      <c r="V9" s="23"/>
      <c r="W9" s="2" t="s">
        <v>25</v>
      </c>
    </row>
    <row r="10" spans="1:28" ht="19" x14ac:dyDescent="0.4">
      <c r="A10" s="2" t="s">
        <v>54</v>
      </c>
      <c r="B10" s="2">
        <v>3400</v>
      </c>
      <c r="C10" s="19">
        <f t="shared" si="0"/>
        <v>56.666779999999996</v>
      </c>
      <c r="D10" s="19">
        <f t="shared" si="1"/>
        <v>0.94444519999999998</v>
      </c>
      <c r="E10" s="3">
        <f t="shared" si="2"/>
        <v>9.4444519999999999E-4</v>
      </c>
      <c r="F10" s="19">
        <f t="shared" si="3"/>
        <v>1.8888904</v>
      </c>
      <c r="G10" s="19">
        <f t="shared" si="4"/>
        <v>3.5679069432121597</v>
      </c>
      <c r="H10" s="19">
        <f t="shared" si="5"/>
        <v>3.6717007151360002</v>
      </c>
      <c r="I10" s="2">
        <v>6.2874935483870971</v>
      </c>
      <c r="J10" s="20">
        <f t="shared" si="6"/>
        <v>62.874935483870971</v>
      </c>
      <c r="K10" s="21">
        <f t="shared" si="7"/>
        <v>6287.4935483870968</v>
      </c>
      <c r="L10" s="3">
        <f t="shared" si="8"/>
        <v>27849.300128700121</v>
      </c>
      <c r="M10" s="4">
        <f t="shared" si="10"/>
        <v>31.371422641637302</v>
      </c>
      <c r="N10" s="4">
        <f t="shared" si="11"/>
        <v>6.8625704602680429E-2</v>
      </c>
      <c r="O10" s="4">
        <f t="shared" si="12"/>
        <v>1.7156426150670107E-2</v>
      </c>
      <c r="P10" s="4">
        <f t="shared" si="13"/>
        <v>4.4388555823820314E-2</v>
      </c>
      <c r="R10" s="22">
        <v>0.3</v>
      </c>
      <c r="S10" s="23">
        <f t="shared" si="9"/>
        <v>4423.120599591186</v>
      </c>
      <c r="T10" s="23">
        <f t="shared" si="14"/>
        <v>3.5805575312847115E-2</v>
      </c>
      <c r="U10" s="23">
        <f t="shared" si="15"/>
        <v>9.6993870111171474E-3</v>
      </c>
      <c r="V10" s="23"/>
      <c r="W10" s="1" t="s">
        <v>26</v>
      </c>
      <c r="X10" s="19">
        <v>0.05</v>
      </c>
      <c r="AA10" s="27" t="s">
        <v>27</v>
      </c>
    </row>
    <row r="11" spans="1:28" ht="18.5" x14ac:dyDescent="0.35">
      <c r="A11" s="2" t="s">
        <v>55</v>
      </c>
      <c r="B11" s="2">
        <v>4150</v>
      </c>
      <c r="C11" s="19">
        <f t="shared" si="0"/>
        <v>69.166804999999997</v>
      </c>
      <c r="D11" s="19">
        <f t="shared" si="1"/>
        <v>1.1527787</v>
      </c>
      <c r="E11" s="3">
        <f t="shared" si="2"/>
        <v>1.1527787000000002E-3</v>
      </c>
      <c r="F11" s="19">
        <f t="shared" si="3"/>
        <v>2.3055574000000001</v>
      </c>
      <c r="G11" s="19">
        <f t="shared" si="4"/>
        <v>5.3155949246947607</v>
      </c>
      <c r="H11" s="19">
        <f t="shared" si="5"/>
        <v>4.4816346964160001</v>
      </c>
      <c r="I11" s="2">
        <v>8.0932967741935506</v>
      </c>
      <c r="J11" s="20">
        <f t="shared" si="6"/>
        <v>80.932967741935499</v>
      </c>
      <c r="K11" s="21">
        <f t="shared" si="7"/>
        <v>8093.2967741935499</v>
      </c>
      <c r="L11" s="3">
        <f t="shared" si="8"/>
        <v>33992.528098266324</v>
      </c>
      <c r="M11" s="4">
        <f t="shared" si="10"/>
        <v>40.381470249390091</v>
      </c>
      <c r="N11" s="4">
        <f t="shared" si="11"/>
        <v>5.9292036957659125E-2</v>
      </c>
      <c r="O11" s="4">
        <f t="shared" si="12"/>
        <v>1.4823009239414781E-2</v>
      </c>
      <c r="P11" s="4">
        <f t="shared" si="13"/>
        <v>3.1597745164244254E-2</v>
      </c>
      <c r="R11" s="22">
        <v>0.4</v>
      </c>
      <c r="S11" s="23">
        <f t="shared" si="9"/>
        <v>5897.4941327882489</v>
      </c>
      <c r="T11" s="23">
        <f t="shared" si="14"/>
        <v>3.332084236908172E-2</v>
      </c>
      <c r="U11" s="23">
        <f t="shared" si="15"/>
        <v>9.0262966828574109E-3</v>
      </c>
      <c r="V11" s="23"/>
      <c r="W11" s="1" t="s">
        <v>28</v>
      </c>
      <c r="X11" s="19">
        <v>9.4999999999999998E-3</v>
      </c>
      <c r="AA11" s="28" t="s">
        <v>29</v>
      </c>
      <c r="AB11" s="2" t="s">
        <v>30</v>
      </c>
    </row>
    <row r="12" spans="1:28" ht="16.5" x14ac:dyDescent="0.4">
      <c r="A12" s="2" t="s">
        <v>56</v>
      </c>
      <c r="B12" s="2">
        <v>4950</v>
      </c>
      <c r="C12" s="19">
        <f t="shared" si="0"/>
        <v>82.500164999999996</v>
      </c>
      <c r="D12" s="19">
        <f t="shared" si="1"/>
        <v>1.3750011</v>
      </c>
      <c r="E12" s="3">
        <f t="shared" si="2"/>
        <v>1.3750011000000001E-3</v>
      </c>
      <c r="F12" s="19">
        <f t="shared" si="3"/>
        <v>2.7500022</v>
      </c>
      <c r="G12" s="19">
        <f t="shared" si="4"/>
        <v>7.5625121000048399</v>
      </c>
      <c r="H12" s="19">
        <f t="shared" si="5"/>
        <v>5.345564276448</v>
      </c>
      <c r="I12" s="2">
        <v>8.4516387096774199</v>
      </c>
      <c r="J12" s="20">
        <f t="shared" si="6"/>
        <v>84.516387096774196</v>
      </c>
      <c r="K12" s="21">
        <f t="shared" si="7"/>
        <v>8451.6387096774197</v>
      </c>
      <c r="L12" s="3">
        <f t="shared" si="8"/>
        <v>40545.304599136944</v>
      </c>
      <c r="M12" s="4">
        <f t="shared" si="10"/>
        <v>42.169415830848472</v>
      </c>
      <c r="N12" s="4">
        <f t="shared" si="11"/>
        <v>4.3520875549789201E-2</v>
      </c>
      <c r="O12" s="4">
        <f t="shared" si="12"/>
        <v>1.08802188874473E-2</v>
      </c>
      <c r="P12" s="4">
        <f t="shared" si="13"/>
        <v>1.3742941289169327E-2</v>
      </c>
      <c r="R12" s="22">
        <v>0.5</v>
      </c>
      <c r="S12" s="23">
        <f t="shared" si="9"/>
        <v>7371.8676659853109</v>
      </c>
      <c r="T12" s="23">
        <f t="shared" si="14"/>
        <v>3.1512907075476528E-2</v>
      </c>
      <c r="U12" s="23">
        <f t="shared" si="15"/>
        <v>8.536544348185595E-3</v>
      </c>
      <c r="V12" s="23"/>
      <c r="W12" s="1" t="s">
        <v>163</v>
      </c>
      <c r="X12" s="4">
        <v>1.5966386554621848E-2</v>
      </c>
      <c r="Y12" s="1">
        <f>10*X12*100</f>
        <v>15.966386554621847</v>
      </c>
      <c r="AA12" s="27" t="s">
        <v>32</v>
      </c>
      <c r="AB12" s="2" t="s">
        <v>33</v>
      </c>
    </row>
    <row r="13" spans="1:28" x14ac:dyDescent="0.35">
      <c r="A13" s="2" t="s">
        <v>63</v>
      </c>
      <c r="C13" s="19">
        <f t="shared" si="0"/>
        <v>0</v>
      </c>
      <c r="D13" s="19">
        <f t="shared" si="1"/>
        <v>0</v>
      </c>
      <c r="E13" s="3">
        <f t="shared" si="2"/>
        <v>0</v>
      </c>
      <c r="F13" s="19">
        <f t="shared" si="3"/>
        <v>0</v>
      </c>
      <c r="G13" s="19">
        <f t="shared" si="4"/>
        <v>0</v>
      </c>
      <c r="H13" s="19">
        <f t="shared" si="5"/>
        <v>0</v>
      </c>
      <c r="J13" s="20">
        <f t="shared" si="6"/>
        <v>0</v>
      </c>
      <c r="K13" s="21">
        <f t="shared" si="7"/>
        <v>0</v>
      </c>
      <c r="L13" s="3">
        <f t="shared" si="8"/>
        <v>0</v>
      </c>
      <c r="M13" s="4" t="e">
        <f t="shared" si="10"/>
        <v>#DIV/0!</v>
      </c>
      <c r="N13" s="4" t="e">
        <f t="shared" si="11"/>
        <v>#DIV/0!</v>
      </c>
      <c r="O13" s="4" t="e">
        <f t="shared" si="12"/>
        <v>#DIV/0!</v>
      </c>
      <c r="P13" s="4" t="e">
        <f t="shared" si="13"/>
        <v>#DIV/0!</v>
      </c>
      <c r="R13" s="22">
        <v>0.6</v>
      </c>
      <c r="S13" s="23">
        <f t="shared" si="9"/>
        <v>8846.2411991823719</v>
      </c>
      <c r="T13" s="23">
        <f t="shared" si="14"/>
        <v>3.0108779926670038E-2</v>
      </c>
      <c r="U13" s="23">
        <f t="shared" si="15"/>
        <v>8.1561797678068506E-3</v>
      </c>
      <c r="V13" s="23"/>
      <c r="W13" s="1" t="s">
        <v>164</v>
      </c>
      <c r="X13" s="31">
        <f>X17/X16</f>
        <v>1.0829268292682929E-6</v>
      </c>
    </row>
    <row r="14" spans="1:28" ht="16.5" x14ac:dyDescent="0.4">
      <c r="A14" s="2" t="s">
        <v>62</v>
      </c>
      <c r="C14" s="19">
        <f t="shared" si="0"/>
        <v>0</v>
      </c>
      <c r="D14" s="19">
        <f t="shared" si="1"/>
        <v>0</v>
      </c>
      <c r="E14" s="3">
        <f t="shared" si="2"/>
        <v>0</v>
      </c>
      <c r="F14" s="19">
        <f t="shared" si="3"/>
        <v>0</v>
      </c>
      <c r="G14" s="19">
        <f t="shared" si="4"/>
        <v>0</v>
      </c>
      <c r="H14" s="19">
        <f t="shared" si="5"/>
        <v>0</v>
      </c>
      <c r="J14" s="20">
        <f t="shared" si="6"/>
        <v>0</v>
      </c>
      <c r="K14" s="21">
        <f t="shared" si="7"/>
        <v>0</v>
      </c>
      <c r="L14" s="3">
        <f t="shared" si="8"/>
        <v>0</v>
      </c>
      <c r="M14" s="4" t="e">
        <f t="shared" si="10"/>
        <v>#DIV/0!</v>
      </c>
      <c r="N14" s="4" t="e">
        <f t="shared" si="11"/>
        <v>#DIV/0!</v>
      </c>
      <c r="O14" s="4" t="e">
        <f t="shared" si="12"/>
        <v>#DIV/0!</v>
      </c>
      <c r="P14" s="4" t="e">
        <f t="shared" si="13"/>
        <v>#DIV/0!</v>
      </c>
      <c r="R14" s="22">
        <v>0.7</v>
      </c>
      <c r="S14" s="23">
        <f t="shared" si="9"/>
        <v>10320.614732379436</v>
      </c>
      <c r="T14" s="23">
        <f t="shared" si="14"/>
        <v>2.8970531297257632E-2</v>
      </c>
      <c r="U14" s="23">
        <f t="shared" si="15"/>
        <v>7.8478391288119148E-3</v>
      </c>
      <c r="V14" s="23"/>
      <c r="W14" s="1" t="s">
        <v>35</v>
      </c>
      <c r="X14" s="32">
        <v>0.8</v>
      </c>
      <c r="AA14" s="27" t="s">
        <v>36</v>
      </c>
      <c r="AB14" s="1" t="s">
        <v>37</v>
      </c>
    </row>
    <row r="15" spans="1:28" x14ac:dyDescent="0.35">
      <c r="A15" s="2" t="s">
        <v>57</v>
      </c>
      <c r="C15" s="19">
        <f>B15*0.0166667</f>
        <v>0</v>
      </c>
      <c r="D15" s="19">
        <f>B15*0.000277778</f>
        <v>0</v>
      </c>
      <c r="E15" s="3">
        <f t="shared" si="2"/>
        <v>0</v>
      </c>
      <c r="F15" s="19">
        <f t="shared" si="3"/>
        <v>0</v>
      </c>
      <c r="G15" s="19">
        <f t="shared" si="4"/>
        <v>0</v>
      </c>
      <c r="H15" s="19">
        <f t="shared" si="5"/>
        <v>0</v>
      </c>
      <c r="J15" s="20">
        <f t="shared" si="6"/>
        <v>0</v>
      </c>
      <c r="K15" s="21">
        <f t="shared" si="7"/>
        <v>0</v>
      </c>
      <c r="L15" s="3">
        <f t="shared" si="8"/>
        <v>0</v>
      </c>
      <c r="M15" s="4" t="e">
        <f t="shared" si="10"/>
        <v>#DIV/0!</v>
      </c>
      <c r="N15" s="4" t="e">
        <f t="shared" si="11"/>
        <v>#DIV/0!</v>
      </c>
      <c r="O15" s="4" t="e">
        <f t="shared" si="12"/>
        <v>#DIV/0!</v>
      </c>
      <c r="P15" s="4" t="e">
        <f t="shared" si="13"/>
        <v>#DIV/0!</v>
      </c>
      <c r="R15" s="22">
        <v>0.8</v>
      </c>
      <c r="S15" s="23">
        <f t="shared" si="9"/>
        <v>11794.988265576498</v>
      </c>
      <c r="T15" s="23">
        <f t="shared" si="14"/>
        <v>2.8019376901394902E-2</v>
      </c>
      <c r="U15" s="23">
        <f t="shared" si="15"/>
        <v>7.5901805236312904E-3</v>
      </c>
      <c r="V15" s="23"/>
      <c r="X15" s="32"/>
    </row>
    <row r="16" spans="1:28" x14ac:dyDescent="0.35">
      <c r="A16" s="2" t="s">
        <v>58</v>
      </c>
      <c r="C16" s="19">
        <f>B16*0.0166667</f>
        <v>0</v>
      </c>
      <c r="D16" s="19">
        <f>B16*0.000277778</f>
        <v>0</v>
      </c>
      <c r="E16" s="3">
        <f t="shared" si="2"/>
        <v>0</v>
      </c>
      <c r="F16" s="19">
        <f t="shared" si="3"/>
        <v>0</v>
      </c>
      <c r="G16" s="19">
        <f t="shared" si="4"/>
        <v>0</v>
      </c>
      <c r="H16" s="19">
        <f t="shared" si="5"/>
        <v>0</v>
      </c>
      <c r="I16" s="2">
        <v>8.0348354838709675</v>
      </c>
      <c r="J16" s="20">
        <f t="shared" si="6"/>
        <v>80.348354838709668</v>
      </c>
      <c r="K16" s="21">
        <f t="shared" si="7"/>
        <v>8034.8354838709665</v>
      </c>
      <c r="L16" s="3">
        <f t="shared" si="8"/>
        <v>0</v>
      </c>
      <c r="M16" s="4" t="e">
        <f t="shared" si="10"/>
        <v>#DIV/0!</v>
      </c>
      <c r="N16" s="4" t="e">
        <f t="shared" si="11"/>
        <v>#DIV/0!</v>
      </c>
      <c r="O16" s="4" t="e">
        <f t="shared" si="12"/>
        <v>#DIV/0!</v>
      </c>
      <c r="P16" s="4" t="e">
        <f t="shared" si="13"/>
        <v>#DIV/0!</v>
      </c>
      <c r="Q16" s="34"/>
      <c r="R16" s="22">
        <v>0.9</v>
      </c>
      <c r="S16" s="23">
        <f t="shared" si="9"/>
        <v>13269.361798773562</v>
      </c>
      <c r="T16" s="23">
        <f t="shared" si="14"/>
        <v>2.7206353867986924E-2</v>
      </c>
      <c r="U16" s="23">
        <f t="shared" si="15"/>
        <v>7.3699403799923494E-3</v>
      </c>
      <c r="V16" s="23"/>
      <c r="W16" s="2" t="s">
        <v>38</v>
      </c>
      <c r="X16" s="32">
        <f>VLOOKUP(X18, SW!A4:F34, 3, FALSE)</f>
        <v>1025</v>
      </c>
      <c r="Y16" s="32"/>
    </row>
    <row r="17" spans="1:30" x14ac:dyDescent="0.35">
      <c r="A17" s="2" t="s">
        <v>59</v>
      </c>
      <c r="C17" s="19">
        <f>B17*0.0166667</f>
        <v>0</v>
      </c>
      <c r="D17" s="19">
        <f>B17*0.000277778</f>
        <v>0</v>
      </c>
      <c r="E17" s="3">
        <f t="shared" si="2"/>
        <v>0</v>
      </c>
      <c r="F17" s="19">
        <f t="shared" si="3"/>
        <v>0</v>
      </c>
      <c r="G17" s="19">
        <f t="shared" si="4"/>
        <v>0</v>
      </c>
      <c r="H17" s="19">
        <f t="shared" si="5"/>
        <v>0</v>
      </c>
      <c r="I17" s="2">
        <v>6.1667645161290308</v>
      </c>
      <c r="J17" s="20">
        <f t="shared" si="6"/>
        <v>61.667645161290309</v>
      </c>
      <c r="K17" s="21">
        <f t="shared" si="7"/>
        <v>6166.7645161290311</v>
      </c>
      <c r="L17" s="3">
        <f t="shared" si="8"/>
        <v>0</v>
      </c>
      <c r="M17" s="4" t="e">
        <f t="shared" si="10"/>
        <v>#DIV/0!</v>
      </c>
      <c r="N17" s="4" t="e">
        <f t="shared" si="11"/>
        <v>#DIV/0!</v>
      </c>
      <c r="O17" s="4" t="e">
        <f t="shared" si="12"/>
        <v>#DIV/0!</v>
      </c>
      <c r="P17" s="4" t="e">
        <f t="shared" si="13"/>
        <v>#DIV/0!</v>
      </c>
      <c r="R17" s="22">
        <v>1</v>
      </c>
      <c r="S17" s="23">
        <f t="shared" si="9"/>
        <v>14743.735331970622</v>
      </c>
      <c r="T17" s="23">
        <f t="shared" si="14"/>
        <v>2.6499090593991626E-2</v>
      </c>
      <c r="U17" s="23">
        <f t="shared" si="15"/>
        <v>7.1783495410436236E-3</v>
      </c>
      <c r="V17" s="23"/>
      <c r="W17" s="2" t="s">
        <v>39</v>
      </c>
      <c r="X17" s="32">
        <f>VLOOKUP(X18, SW!A4:F34, 5, FALSE)</f>
        <v>1.1100000000000001E-3</v>
      </c>
    </row>
    <row r="18" spans="1:30" x14ac:dyDescent="0.35">
      <c r="A18" s="2" t="s">
        <v>60</v>
      </c>
      <c r="C18" s="19">
        <f>B18*0.0166667</f>
        <v>0</v>
      </c>
      <c r="D18" s="19">
        <f>B18*0.000277778</f>
        <v>0</v>
      </c>
      <c r="E18" s="3">
        <f t="shared" si="2"/>
        <v>0</v>
      </c>
      <c r="F18" s="19">
        <f t="shared" si="3"/>
        <v>0</v>
      </c>
      <c r="G18" s="19">
        <f t="shared" si="4"/>
        <v>0</v>
      </c>
      <c r="H18" s="19">
        <f t="shared" si="5"/>
        <v>0</v>
      </c>
      <c r="I18" s="2">
        <v>3.5513096774193569</v>
      </c>
      <c r="J18" s="20">
        <f t="shared" si="6"/>
        <v>35.513096774193571</v>
      </c>
      <c r="K18" s="21">
        <f t="shared" si="7"/>
        <v>3551.3096774193573</v>
      </c>
      <c r="L18" s="3">
        <f t="shared" si="8"/>
        <v>0</v>
      </c>
      <c r="M18" s="4" t="e">
        <f t="shared" si="10"/>
        <v>#DIV/0!</v>
      </c>
      <c r="N18" s="4" t="e">
        <f t="shared" si="11"/>
        <v>#DIV/0!</v>
      </c>
      <c r="O18" s="4" t="e">
        <f t="shared" si="12"/>
        <v>#DIV/0!</v>
      </c>
      <c r="P18" s="4" t="e">
        <f t="shared" si="13"/>
        <v>#DIV/0!</v>
      </c>
      <c r="Q18" s="14"/>
      <c r="R18" s="22">
        <v>1.1000000000000001</v>
      </c>
      <c r="S18" s="23">
        <f t="shared" si="9"/>
        <v>16218.108865167686</v>
      </c>
      <c r="T18" s="23">
        <f t="shared" si="14"/>
        <v>2.5875145383206184E-2</v>
      </c>
      <c r="U18" s="23">
        <f t="shared" si="15"/>
        <v>7.0093287664781141E-3</v>
      </c>
      <c r="V18" s="23"/>
      <c r="W18" s="2" t="s">
        <v>161</v>
      </c>
      <c r="X18" s="2">
        <v>19</v>
      </c>
    </row>
    <row r="19" spans="1:30" x14ac:dyDescent="0.35">
      <c r="A19" s="2" t="s">
        <v>61</v>
      </c>
      <c r="C19" s="19">
        <f>B19*0.0166667</f>
        <v>0</v>
      </c>
      <c r="D19" s="19">
        <f>B19*0.000277778</f>
        <v>0</v>
      </c>
      <c r="E19" s="3">
        <f t="shared" si="2"/>
        <v>0</v>
      </c>
      <c r="F19" s="19">
        <f t="shared" si="3"/>
        <v>0</v>
      </c>
      <c r="G19" s="19">
        <f t="shared" si="4"/>
        <v>0</v>
      </c>
      <c r="H19" s="19">
        <f t="shared" si="5"/>
        <v>0</v>
      </c>
      <c r="I19" s="2">
        <v>1.526470967741935</v>
      </c>
      <c r="J19" s="20">
        <f t="shared" si="6"/>
        <v>15.264709677419351</v>
      </c>
      <c r="K19" s="21">
        <f t="shared" si="7"/>
        <v>1526.4709677419351</v>
      </c>
      <c r="L19" s="3">
        <f t="shared" si="8"/>
        <v>0</v>
      </c>
      <c r="M19" s="4" t="e">
        <f t="shared" si="10"/>
        <v>#DIV/0!</v>
      </c>
      <c r="N19" s="4" t="e">
        <f t="shared" si="11"/>
        <v>#DIV/0!</v>
      </c>
      <c r="O19" s="4" t="e">
        <f t="shared" si="12"/>
        <v>#DIV/0!</v>
      </c>
      <c r="P19" s="4" t="e">
        <f t="shared" si="13"/>
        <v>#DIV/0!</v>
      </c>
      <c r="R19" s="22">
        <v>1.2</v>
      </c>
      <c r="S19" s="23">
        <f t="shared" si="9"/>
        <v>17692.482398364744</v>
      </c>
      <c r="T19" s="23">
        <f t="shared" si="14"/>
        <v>2.5318365107999834E-2</v>
      </c>
      <c r="U19" s="23">
        <f t="shared" si="15"/>
        <v>6.858502328913654E-3</v>
      </c>
      <c r="V19" s="23"/>
      <c r="W19" s="1"/>
      <c r="X19" s="1"/>
      <c r="AA19" s="36" t="s">
        <v>40</v>
      </c>
      <c r="AB19" s="37"/>
      <c r="AC19" s="37"/>
      <c r="AD19" s="37"/>
    </row>
    <row r="20" spans="1:30" x14ac:dyDescent="0.35">
      <c r="A20" s="24"/>
      <c r="B20" s="18"/>
      <c r="C20" s="19"/>
      <c r="D20" s="19"/>
      <c r="E20" s="3"/>
      <c r="F20" s="19"/>
      <c r="G20" s="19"/>
      <c r="H20" s="19"/>
      <c r="I20" s="20"/>
      <c r="J20" s="20"/>
      <c r="K20" s="21"/>
      <c r="R20" s="22">
        <v>1.3</v>
      </c>
      <c r="S20" s="23">
        <f t="shared" si="9"/>
        <v>19166.855931561811</v>
      </c>
      <c r="T20" s="23">
        <f t="shared" si="14"/>
        <v>2.4816762921190696E-2</v>
      </c>
      <c r="U20" s="23">
        <f t="shared" si="15"/>
        <v>6.7226231063910423E-3</v>
      </c>
      <c r="V20" s="23"/>
      <c r="AA20" s="38" t="s">
        <v>41</v>
      </c>
      <c r="AB20" s="37" t="s">
        <v>42</v>
      </c>
      <c r="AC20" s="37" t="s">
        <v>43</v>
      </c>
      <c r="AD20" s="37" t="s">
        <v>44</v>
      </c>
    </row>
    <row r="21" spans="1:30" x14ac:dyDescent="0.35">
      <c r="A21" s="24"/>
      <c r="B21" s="18"/>
      <c r="C21" s="19"/>
      <c r="D21" s="19"/>
      <c r="E21" s="3"/>
      <c r="F21" s="19"/>
      <c r="G21" s="19"/>
      <c r="H21" s="19"/>
      <c r="I21" s="20"/>
      <c r="J21" s="20"/>
      <c r="K21" s="21"/>
      <c r="R21" s="22">
        <v>1.4</v>
      </c>
      <c r="S21" s="23">
        <f t="shared" si="9"/>
        <v>20641.229464758871</v>
      </c>
      <c r="T21" s="23">
        <f t="shared" si="14"/>
        <v>2.4361215915859488E-2</v>
      </c>
      <c r="U21" s="23">
        <f t="shared" si="15"/>
        <v>6.5992197909057722E-3</v>
      </c>
      <c r="V21" s="23"/>
      <c r="W21" s="1" t="s">
        <v>45</v>
      </c>
      <c r="X21" s="1">
        <v>3.9999999999999998E-6</v>
      </c>
      <c r="AA21" s="38" t="s">
        <v>46</v>
      </c>
      <c r="AB21" s="37" t="s">
        <v>47</v>
      </c>
      <c r="AC21" s="37" t="s">
        <v>48</v>
      </c>
      <c r="AD21" s="37" t="s">
        <v>49</v>
      </c>
    </row>
    <row r="22" spans="1:30" x14ac:dyDescent="0.35">
      <c r="A22" s="24"/>
      <c r="B22" s="18"/>
      <c r="C22" s="19"/>
      <c r="D22" s="19"/>
      <c r="E22" s="43"/>
      <c r="F22" s="19"/>
      <c r="G22" s="19"/>
      <c r="H22" s="19"/>
      <c r="I22" s="20"/>
      <c r="J22" s="20"/>
      <c r="K22" s="21"/>
      <c r="R22" s="22">
        <v>1.5</v>
      </c>
      <c r="S22" s="23">
        <f t="shared" si="9"/>
        <v>22115.602997955935</v>
      </c>
      <c r="T22" s="23">
        <f t="shared" si="14"/>
        <v>2.3944631354569632E-2</v>
      </c>
      <c r="U22" s="23">
        <f t="shared" si="15"/>
        <v>6.4863710278988294E-3</v>
      </c>
      <c r="V22" s="23"/>
      <c r="W22" s="1" t="s">
        <v>50</v>
      </c>
      <c r="X22" s="2">
        <v>2.3999999999999998E-4</v>
      </c>
      <c r="AA22" s="37">
        <v>0</v>
      </c>
      <c r="AB22" s="37">
        <v>1.792E-3</v>
      </c>
      <c r="AC22" s="37">
        <v>999.87</v>
      </c>
      <c r="AD22" s="39">
        <v>1.7922329902887374E-6</v>
      </c>
    </row>
    <row r="23" spans="1:30" x14ac:dyDescent="0.35">
      <c r="A23" s="24"/>
      <c r="B23" s="18"/>
      <c r="C23" s="19"/>
      <c r="D23" s="19"/>
      <c r="E23" s="3"/>
      <c r="F23" s="19"/>
      <c r="G23" s="19"/>
      <c r="H23" s="19"/>
      <c r="I23" s="20"/>
      <c r="J23" s="20"/>
      <c r="K23" s="21"/>
      <c r="P23" s="43"/>
      <c r="R23" s="22">
        <v>1.6</v>
      </c>
      <c r="S23" s="23">
        <f t="shared" si="9"/>
        <v>23589.976531152995</v>
      </c>
      <c r="T23" s="23">
        <f t="shared" si="14"/>
        <v>2.3561393594025707E-2</v>
      </c>
      <c r="U23" s="23">
        <f t="shared" si="15"/>
        <v>6.3825555934501144E-3</v>
      </c>
      <c r="V23" s="23"/>
      <c r="AA23" s="37">
        <v>5</v>
      </c>
      <c r="AB23" s="37">
        <v>1.519E-3</v>
      </c>
      <c r="AC23" s="37">
        <v>999.99</v>
      </c>
      <c r="AD23" s="39">
        <v>1.5190151901519014E-6</v>
      </c>
    </row>
    <row r="24" spans="1:30" x14ac:dyDescent="0.35">
      <c r="B24" s="18"/>
      <c r="C24" s="19"/>
      <c r="D24" s="19"/>
      <c r="E24" s="3"/>
      <c r="F24" s="3"/>
      <c r="G24" s="19"/>
      <c r="H24" s="19"/>
      <c r="I24" s="19"/>
      <c r="J24" s="20"/>
      <c r="K24" s="21"/>
      <c r="R24" s="22">
        <v>1.7</v>
      </c>
      <c r="S24" s="23">
        <f t="shared" si="9"/>
        <v>25064.350064350056</v>
      </c>
      <c r="T24" s="23">
        <f t="shared" si="14"/>
        <v>2.3206985962769922E-2</v>
      </c>
      <c r="U24" s="23">
        <f t="shared" si="15"/>
        <v>6.2865499645722639E-3</v>
      </c>
      <c r="V24" s="23"/>
      <c r="W24" s="40"/>
      <c r="AA24" s="37">
        <f>AA23+5</f>
        <v>10</v>
      </c>
      <c r="AB24" s="37">
        <v>1.3079999999999999E-3</v>
      </c>
      <c r="AC24" s="37">
        <v>999.73</v>
      </c>
      <c r="AD24" s="39">
        <v>1.3083532553789522E-6</v>
      </c>
    </row>
    <row r="25" spans="1:30" x14ac:dyDescent="0.35">
      <c r="B25" s="18"/>
      <c r="C25" s="19"/>
      <c r="D25" s="19"/>
      <c r="E25" s="3"/>
      <c r="F25" s="3"/>
      <c r="G25" s="19"/>
      <c r="H25" s="19"/>
      <c r="I25" s="19"/>
      <c r="J25" s="20"/>
      <c r="K25" s="21"/>
      <c r="R25" s="22">
        <v>1.8</v>
      </c>
      <c r="S25" s="23">
        <f t="shared" si="9"/>
        <v>26538.723597547123</v>
      </c>
      <c r="T25" s="23">
        <f t="shared" si="14"/>
        <v>2.2877725439714239E-2</v>
      </c>
      <c r="U25" s="23">
        <f t="shared" si="15"/>
        <v>6.1973564461691661E-3</v>
      </c>
      <c r="V25" s="23"/>
      <c r="W25" s="40"/>
      <c r="AA25" s="37" t="e">
        <f>#REF!+5</f>
        <v>#REF!</v>
      </c>
      <c r="AB25" s="37">
        <v>1.005E-3</v>
      </c>
      <c r="AC25" s="37">
        <v>998.23</v>
      </c>
      <c r="AD25" s="39">
        <v>1.0067820041473407E-6</v>
      </c>
    </row>
    <row r="26" spans="1:30" x14ac:dyDescent="0.35">
      <c r="B26" s="18"/>
      <c r="C26" s="19"/>
      <c r="D26" s="19"/>
      <c r="E26" s="3"/>
      <c r="F26" s="3"/>
      <c r="G26" s="19"/>
      <c r="H26" s="19"/>
      <c r="I26" s="19"/>
      <c r="J26" s="20"/>
      <c r="K26" s="21"/>
      <c r="R26" s="22">
        <v>1.9</v>
      </c>
      <c r="S26" s="23">
        <f t="shared" si="9"/>
        <v>28013.097130744183</v>
      </c>
      <c r="T26" s="23">
        <f t="shared" si="14"/>
        <v>2.2570572220467006E-2</v>
      </c>
      <c r="U26" s="23">
        <f t="shared" si="15"/>
        <v>6.1141515843799333E-3</v>
      </c>
      <c r="V26" s="23"/>
      <c r="W26" s="40"/>
      <c r="AA26" s="37">
        <v>25</v>
      </c>
      <c r="AB26" s="37">
        <v>8.9400000000000005E-4</v>
      </c>
      <c r="AC26" s="37">
        <v>997.07</v>
      </c>
      <c r="AD26" s="39">
        <v>8.9662711745414066E-7</v>
      </c>
    </row>
    <row r="27" spans="1:30" x14ac:dyDescent="0.35">
      <c r="N27" s="22"/>
      <c r="R27" s="22">
        <v>2</v>
      </c>
      <c r="S27" s="23">
        <f t="shared" si="9"/>
        <v>29487.470663941243</v>
      </c>
      <c r="T27" s="23">
        <f t="shared" si="14"/>
        <v>2.2282990287970983E-2</v>
      </c>
      <c r="U27" s="23">
        <f t="shared" si="15"/>
        <v>6.0362483965017292E-3</v>
      </c>
      <c r="V27" s="23"/>
      <c r="W27" s="40"/>
      <c r="AA27" s="32"/>
      <c r="AB27" s="32"/>
      <c r="AC27" s="32"/>
      <c r="AD27" s="32"/>
    </row>
    <row r="28" spans="1:30" x14ac:dyDescent="0.35">
      <c r="K28" s="1"/>
      <c r="L28" s="4"/>
      <c r="N28" s="22"/>
      <c r="R28" s="22">
        <v>2.1</v>
      </c>
      <c r="S28" s="23">
        <f t="shared" si="9"/>
        <v>30961.844197138311</v>
      </c>
      <c r="T28" s="23">
        <f t="shared" si="14"/>
        <v>2.2012843511942669E-2</v>
      </c>
      <c r="U28" s="23">
        <f t="shared" si="15"/>
        <v>5.9630682253241961E-3</v>
      </c>
      <c r="V28" s="23"/>
      <c r="W28" s="40"/>
      <c r="AA28" s="32"/>
      <c r="AB28" s="32"/>
      <c r="AC28" s="32"/>
      <c r="AD28" s="32"/>
    </row>
    <row r="29" spans="1:30" x14ac:dyDescent="0.35">
      <c r="R29" s="22">
        <v>2.2000000000000002</v>
      </c>
      <c r="S29" s="23">
        <f t="shared" si="9"/>
        <v>32436.217730335371</v>
      </c>
      <c r="T29" s="23">
        <f t="shared" si="14"/>
        <v>2.1758316996906783E-2</v>
      </c>
      <c r="U29" s="23">
        <f t="shared" si="15"/>
        <v>5.8941194330661868E-3</v>
      </c>
      <c r="V29" s="23"/>
      <c r="W29" s="40"/>
      <c r="AA29" s="32"/>
      <c r="AB29" s="32"/>
      <c r="AC29" s="32"/>
      <c r="AD29" s="32"/>
    </row>
    <row r="30" spans="1:30" x14ac:dyDescent="0.35">
      <c r="L30" s="41"/>
      <c r="R30" s="22">
        <v>2.2999999999999998</v>
      </c>
      <c r="S30" s="23">
        <f t="shared" si="9"/>
        <v>33910.591263532428</v>
      </c>
      <c r="T30" s="23">
        <f t="shared" si="14"/>
        <v>2.1517856696836785E-2</v>
      </c>
      <c r="U30" s="23">
        <f t="shared" si="15"/>
        <v>5.8289810435609244E-3</v>
      </c>
      <c r="V30" s="23"/>
      <c r="W30" s="40"/>
      <c r="AA30" s="32"/>
      <c r="AB30" s="32"/>
      <c r="AC30" s="32"/>
      <c r="AD30" s="32"/>
    </row>
    <row r="31" spans="1:30" x14ac:dyDescent="0.35">
      <c r="R31" s="22">
        <v>2.4</v>
      </c>
      <c r="S31" s="23">
        <f t="shared" si="9"/>
        <v>35384.964796729488</v>
      </c>
      <c r="T31" s="23">
        <f t="shared" si="14"/>
        <v>2.1290122459401793E-2</v>
      </c>
      <c r="U31" s="23">
        <f t="shared" si="15"/>
        <v>5.7672900223927461E-3</v>
      </c>
      <c r="V31" s="23"/>
      <c r="W31" s="40"/>
      <c r="AA31" s="32"/>
      <c r="AB31" s="32"/>
      <c r="AC31" s="32"/>
      <c r="AD31" s="32"/>
    </row>
    <row r="32" spans="1:30" x14ac:dyDescent="0.35">
      <c r="F32" s="1"/>
      <c r="G32" s="1"/>
      <c r="R32" s="22">
        <v>2.5</v>
      </c>
      <c r="S32" s="23">
        <f t="shared" si="9"/>
        <v>36859.338329926555</v>
      </c>
      <c r="T32" s="23">
        <f t="shared" si="14"/>
        <v>2.1073951088347823E-2</v>
      </c>
      <c r="U32" s="23">
        <f t="shared" si="15"/>
        <v>5.7087312708503871E-3</v>
      </c>
      <c r="V32" s="23"/>
      <c r="W32" s="40"/>
      <c r="AA32" s="32"/>
      <c r="AB32" s="32"/>
      <c r="AC32" s="32"/>
      <c r="AD32" s="32"/>
    </row>
    <row r="33" spans="7:24" x14ac:dyDescent="0.35">
      <c r="G33" s="19"/>
      <c r="W33" s="40"/>
    </row>
    <row r="34" spans="7:24" x14ac:dyDescent="0.35">
      <c r="G34" s="19"/>
      <c r="W34" s="40"/>
      <c r="X34" s="1" t="s">
        <v>51</v>
      </c>
    </row>
    <row r="35" spans="7:24" x14ac:dyDescent="0.35">
      <c r="G35" s="19"/>
      <c r="W35" s="40"/>
    </row>
    <row r="36" spans="7:24" x14ac:dyDescent="0.35">
      <c r="G36" s="19"/>
      <c r="W36" s="40"/>
    </row>
    <row r="37" spans="7:24" x14ac:dyDescent="0.35">
      <c r="G37" s="19"/>
    </row>
    <row r="38" spans="7:24" x14ac:dyDescent="0.35">
      <c r="G38" s="19"/>
    </row>
    <row r="40" spans="7:24" x14ac:dyDescent="0.35">
      <c r="R40" s="4"/>
      <c r="S40" s="16"/>
      <c r="T40" s="16"/>
      <c r="U40" s="4"/>
      <c r="V40" s="4"/>
    </row>
    <row r="41" spans="7:24" x14ac:dyDescent="0.35">
      <c r="R41" s="4"/>
      <c r="S41" s="16"/>
      <c r="T41" s="16"/>
      <c r="U41" s="4"/>
      <c r="V41" s="4"/>
    </row>
    <row r="42" spans="7:24" x14ac:dyDescent="0.35">
      <c r="R42" s="4"/>
      <c r="S42" s="16"/>
      <c r="T42" s="16"/>
      <c r="U42" s="4"/>
      <c r="V42" s="4"/>
    </row>
    <row r="43" spans="7:24" x14ac:dyDescent="0.35">
      <c r="R43" s="4"/>
      <c r="S43" s="16"/>
      <c r="T43" s="16"/>
      <c r="U43" s="4"/>
      <c r="V43" s="4"/>
    </row>
    <row r="44" spans="7:24" x14ac:dyDescent="0.35">
      <c r="R44" s="4"/>
      <c r="S44" s="16"/>
      <c r="T44" s="16"/>
      <c r="U44" s="4"/>
      <c r="V44" s="4"/>
    </row>
    <row r="45" spans="7:24" x14ac:dyDescent="0.35">
      <c r="R45" s="4"/>
      <c r="S45" s="16"/>
      <c r="T45" s="16"/>
    </row>
    <row r="46" spans="7:24" x14ac:dyDescent="0.35">
      <c r="R46" s="4"/>
      <c r="S46" s="16"/>
      <c r="T46" s="16"/>
    </row>
    <row r="47" spans="7:24" x14ac:dyDescent="0.35">
      <c r="R47" s="4"/>
      <c r="S47" s="16"/>
      <c r="T47" s="16"/>
    </row>
    <row r="48" spans="7:24" x14ac:dyDescent="0.35">
      <c r="R48" s="4"/>
      <c r="S48" s="16"/>
      <c r="T48" s="16"/>
    </row>
    <row r="49" spans="18:20" x14ac:dyDescent="0.35">
      <c r="R49" s="4"/>
      <c r="S49" s="16"/>
      <c r="T49" s="16"/>
    </row>
    <row r="50" spans="18:20" x14ac:dyDescent="0.35">
      <c r="R50" s="4"/>
      <c r="S50" s="16"/>
      <c r="T50" s="16"/>
    </row>
    <row r="51" spans="18:20" x14ac:dyDescent="0.35">
      <c r="R51" s="4"/>
      <c r="S51" s="16"/>
      <c r="T51" s="16"/>
    </row>
    <row r="52" spans="18:20" x14ac:dyDescent="0.35">
      <c r="R52" s="4"/>
      <c r="S52" s="16"/>
      <c r="T52" s="16"/>
    </row>
    <row r="53" spans="18:20" x14ac:dyDescent="0.35">
      <c r="R53" s="4"/>
      <c r="S53" s="16"/>
      <c r="T53" s="16"/>
    </row>
    <row r="54" spans="18:20" x14ac:dyDescent="0.35">
      <c r="R54" s="4"/>
      <c r="S54" s="16"/>
      <c r="T54" s="16"/>
    </row>
    <row r="55" spans="18:20" x14ac:dyDescent="0.35">
      <c r="R55" s="4"/>
    </row>
    <row r="86" spans="13:16" x14ac:dyDescent="0.35">
      <c r="N86" s="22"/>
    </row>
    <row r="88" spans="13:16" x14ac:dyDescent="0.35">
      <c r="M88" s="22"/>
      <c r="N88" s="22"/>
      <c r="O88" s="22"/>
      <c r="P88" s="22"/>
    </row>
    <row r="89" spans="13:16" x14ac:dyDescent="0.35">
      <c r="O89" s="22"/>
      <c r="P89" s="22"/>
    </row>
    <row r="90" spans="13:16" x14ac:dyDescent="0.35">
      <c r="O90" s="22"/>
      <c r="P90" s="22"/>
    </row>
  </sheetData>
  <mergeCells count="2">
    <mergeCell ref="A4:N4"/>
    <mergeCell ref="W6:X6"/>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C6C97-BAEF-4033-83FD-1CAAB3DBB023}">
  <dimension ref="A1:AD90"/>
  <sheetViews>
    <sheetView topLeftCell="A2" zoomScale="60" zoomScaleNormal="60" zoomScalePageLayoutView="90" workbookViewId="0">
      <selection activeCell="O8" activeCellId="1" sqref="L8:L13 O8:O13"/>
    </sheetView>
  </sheetViews>
  <sheetFormatPr defaultColWidth="8.69140625" defaultRowHeight="15.5" x14ac:dyDescent="0.35"/>
  <cols>
    <col min="1" max="4" width="8.69140625" style="2"/>
    <col min="5" max="5" width="12.3046875" style="2" customWidth="1"/>
    <col min="6" max="6" width="15.69140625" style="2" bestFit="1" customWidth="1"/>
    <col min="7" max="7" width="8.53515625" style="2" customWidth="1"/>
    <col min="8" max="8" width="8.69140625" style="2"/>
    <col min="9" max="9" width="15.69140625" style="2" bestFit="1" customWidth="1"/>
    <col min="10" max="10" width="12.23046875" style="2" customWidth="1"/>
    <col min="11" max="11" width="10.4609375" style="2" customWidth="1"/>
    <col min="12" max="12" width="8.53515625" style="3" customWidth="1"/>
    <col min="13" max="13" width="10.4609375" style="4" customWidth="1"/>
    <col min="14" max="14" width="27.3046875" style="4" bestFit="1" customWidth="1"/>
    <col min="15" max="15" width="13.53515625" style="4" bestFit="1" customWidth="1"/>
    <col min="16" max="16" width="27.23046875" style="4" customWidth="1"/>
    <col min="17" max="17" width="8.4609375" style="5" customWidth="1"/>
    <col min="18" max="18" width="10.23046875" style="2" customWidth="1"/>
    <col min="19" max="19" width="13.84375" style="2" customWidth="1"/>
    <col min="20" max="22" width="10" style="2" customWidth="1"/>
    <col min="23" max="23" width="21" style="2" customWidth="1"/>
    <col min="24" max="24" width="8.69140625" style="2" customWidth="1"/>
    <col min="25" max="25" width="8.69140625" style="2"/>
    <col min="26" max="26" width="22" style="2" customWidth="1"/>
    <col min="27" max="27" width="35.84375" style="2" customWidth="1"/>
    <col min="28" max="28" width="16.84375" style="2" customWidth="1"/>
    <col min="29" max="16384" width="8.69140625" style="2"/>
  </cols>
  <sheetData>
    <row r="1" spans="1:28" x14ac:dyDescent="0.35">
      <c r="A1" s="1" t="s">
        <v>135</v>
      </c>
      <c r="L1" s="110" t="s">
        <v>136</v>
      </c>
      <c r="M1" s="22" t="s">
        <v>137</v>
      </c>
    </row>
    <row r="2" spans="1:28" x14ac:dyDescent="0.35">
      <c r="A2" s="1" t="s">
        <v>0</v>
      </c>
      <c r="I2" s="1" t="s">
        <v>1</v>
      </c>
      <c r="J2" s="1" t="s">
        <v>2</v>
      </c>
    </row>
    <row r="3" spans="1:28" x14ac:dyDescent="0.35">
      <c r="A3" s="1"/>
      <c r="I3" s="1"/>
      <c r="J3" s="1"/>
    </row>
    <row r="4" spans="1:28" x14ac:dyDescent="0.35">
      <c r="A4" s="150" t="s">
        <v>3</v>
      </c>
      <c r="B4" s="150"/>
      <c r="C4" s="150"/>
      <c r="D4" s="150"/>
      <c r="E4" s="150"/>
      <c r="F4" s="150"/>
      <c r="G4" s="150"/>
      <c r="H4" s="150"/>
      <c r="I4" s="150"/>
      <c r="J4" s="150"/>
      <c r="K4" s="150"/>
      <c r="L4" s="150"/>
      <c r="M4" s="150"/>
      <c r="N4" s="150"/>
      <c r="O4" s="117"/>
      <c r="P4" s="117"/>
      <c r="Q4" s="7"/>
    </row>
    <row r="6" spans="1:28" ht="19" x14ac:dyDescent="0.4">
      <c r="A6" s="8"/>
      <c r="B6" s="9" t="s">
        <v>4</v>
      </c>
      <c r="C6" s="9" t="s">
        <v>5</v>
      </c>
      <c r="D6" s="10" t="s">
        <v>6</v>
      </c>
      <c r="E6" s="10" t="s">
        <v>7</v>
      </c>
      <c r="F6" s="10" t="s">
        <v>8</v>
      </c>
      <c r="G6" s="10" t="s">
        <v>9</v>
      </c>
      <c r="H6" s="10" t="s">
        <v>10</v>
      </c>
      <c r="I6" s="9" t="s">
        <v>11</v>
      </c>
      <c r="J6" s="9" t="s">
        <v>12</v>
      </c>
      <c r="K6" s="9" t="s">
        <v>13</v>
      </c>
      <c r="L6" s="11" t="s">
        <v>14</v>
      </c>
      <c r="M6" s="12" t="s">
        <v>15</v>
      </c>
      <c r="N6" s="13" t="s">
        <v>16</v>
      </c>
      <c r="O6" s="14" t="s">
        <v>17</v>
      </c>
      <c r="P6" s="14" t="s">
        <v>18</v>
      </c>
      <c r="Q6" s="14"/>
      <c r="R6" s="15" t="s">
        <v>19</v>
      </c>
      <c r="S6" s="16" t="s">
        <v>14</v>
      </c>
      <c r="T6" s="15" t="s">
        <v>20</v>
      </c>
      <c r="U6" s="16" t="s">
        <v>21</v>
      </c>
      <c r="V6" s="16"/>
      <c r="W6" s="151" t="s">
        <v>22</v>
      </c>
      <c r="X6" s="151"/>
    </row>
    <row r="7" spans="1:28" x14ac:dyDescent="0.35">
      <c r="A7" s="17" t="s">
        <v>23</v>
      </c>
      <c r="B7" s="18">
        <v>0</v>
      </c>
      <c r="C7" s="19">
        <f t="shared" ref="C7:C14" si="0">B7*0.0166667</f>
        <v>0</v>
      </c>
      <c r="D7" s="19">
        <f t="shared" ref="D7:D14" si="1">B7*0.000277778</f>
        <v>0</v>
      </c>
      <c r="E7" s="3">
        <f t="shared" ref="E7:E19" si="2">0.001*D7</f>
        <v>0</v>
      </c>
      <c r="F7" s="19">
        <f t="shared" ref="F7:F19" si="3">E7/X$8</f>
        <v>0</v>
      </c>
      <c r="G7" s="19">
        <f t="shared" ref="G7:G19" si="4">F7^(2)</f>
        <v>0</v>
      </c>
      <c r="H7" s="19">
        <f t="shared" ref="H7:H19" si="5">F7*1.94384</f>
        <v>0</v>
      </c>
      <c r="I7" s="20">
        <v>0</v>
      </c>
      <c r="J7" s="20">
        <f t="shared" ref="J7:J19" si="6">I7 * 10</f>
        <v>0</v>
      </c>
      <c r="K7" s="21">
        <f t="shared" ref="K7:K19" si="7">J7*100</f>
        <v>0</v>
      </c>
      <c r="L7" s="3">
        <f t="shared" ref="L7:L19" si="8">(F7*X$12)/X$13</f>
        <v>0</v>
      </c>
      <c r="R7" s="22">
        <v>0</v>
      </c>
      <c r="S7" s="23">
        <f t="shared" ref="S7:S32" si="9">(R7*X$12)/X$13</f>
        <v>0</v>
      </c>
      <c r="T7" s="23"/>
      <c r="U7" s="23"/>
      <c r="V7" s="23"/>
    </row>
    <row r="8" spans="1:28" x14ac:dyDescent="0.35">
      <c r="A8" s="2" t="s">
        <v>52</v>
      </c>
      <c r="B8" s="2">
        <f>AVERAGE('1 EF25 P40'!B8,'2 EF25 P40'!B8,'3 EF25 P40'!B8,'4 EF25 P40'!B8)</f>
        <v>1775</v>
      </c>
      <c r="C8" s="19">
        <f t="shared" si="0"/>
        <v>29.583392499999999</v>
      </c>
      <c r="D8" s="19">
        <f t="shared" si="1"/>
        <v>0.49305595000000002</v>
      </c>
      <c r="E8" s="3">
        <f t="shared" si="2"/>
        <v>4.9305595000000005E-4</v>
      </c>
      <c r="F8" s="19">
        <f t="shared" si="3"/>
        <v>1.0380125263157896</v>
      </c>
      <c r="G8" s="19">
        <f t="shared" si="4"/>
        <v>1.0774700047884878</v>
      </c>
      <c r="H8" s="19">
        <f t="shared" si="5"/>
        <v>2.0177302691536845</v>
      </c>
      <c r="I8" s="2">
        <f>AVERAGE('1 EF25 P40'!I8,'2 EF25 P40'!I8,'3 EF25 P40'!I8,'4 EF25 P40'!I8)</f>
        <v>1.5177004608294931</v>
      </c>
      <c r="J8" s="20">
        <f t="shared" si="6"/>
        <v>15.177004608294931</v>
      </c>
      <c r="K8" s="21">
        <f t="shared" si="7"/>
        <v>1517.7004608294931</v>
      </c>
      <c r="L8" s="3">
        <f t="shared" si="8"/>
        <v>14901.440328763087</v>
      </c>
      <c r="M8" s="4">
        <f t="shared" ref="M8:M19" si="10">(X$16*G8*N8)/8</f>
        <v>7.5725600724160618</v>
      </c>
      <c r="N8" s="4">
        <f t="shared" ref="N8:N19" si="11">(K8*2*X$12)/(X$14*X$16*G8)</f>
        <v>5.4853413663124545E-2</v>
      </c>
      <c r="O8" s="4">
        <f t="shared" ref="O8:O19" si="12">N8/4</f>
        <v>1.3713353415781136E-2</v>
      </c>
      <c r="P8" s="4">
        <f t="shared" ref="P8:P19" si="13">3.7*(10^(-1/(2*SQRT(N8)))-2.51/(L8*SQRT(N8)))</f>
        <v>2.4462623109659163E-2</v>
      </c>
      <c r="R8" s="22">
        <v>0.1</v>
      </c>
      <c r="S8" s="23">
        <f t="shared" si="9"/>
        <v>1435.5742296918768</v>
      </c>
      <c r="T8" s="23">
        <f t="shared" ref="T8:T32" si="14">0.292/(S8^(0.25))</f>
        <v>4.7438007349558602E-2</v>
      </c>
      <c r="U8" s="23">
        <f>0.0791/(S8^0.25)</f>
        <v>1.2850501305993444E-2</v>
      </c>
      <c r="V8" s="23"/>
      <c r="W8" s="1" t="s">
        <v>24</v>
      </c>
      <c r="X8" s="2">
        <f>X$10*X$11</f>
        <v>4.75E-4</v>
      </c>
    </row>
    <row r="9" spans="1:28" x14ac:dyDescent="0.35">
      <c r="A9" s="2" t="s">
        <v>53</v>
      </c>
      <c r="B9" s="2">
        <f>AVERAGE('1 EF25 P40'!B9,'2 EF25 P40'!B9,'3 EF25 P40'!B9,'4 EF25 P40'!B9)</f>
        <v>2587.5</v>
      </c>
      <c r="C9" s="19">
        <f t="shared" si="0"/>
        <v>43.125086249999995</v>
      </c>
      <c r="D9" s="19">
        <f t="shared" si="1"/>
        <v>0.71875057500000006</v>
      </c>
      <c r="E9" s="3">
        <f t="shared" si="2"/>
        <v>7.1875057500000008E-4</v>
      </c>
      <c r="F9" s="19">
        <f t="shared" si="3"/>
        <v>1.5131591052631581</v>
      </c>
      <c r="G9" s="19">
        <f t="shared" si="4"/>
        <v>2.2896504778408011</v>
      </c>
      <c r="H9" s="19">
        <f t="shared" si="5"/>
        <v>2.9413391951747374</v>
      </c>
      <c r="I9" s="2">
        <f>AVERAGE('1 EF25 P40'!I9,'2 EF25 P40'!I9,'3 EF25 P40'!I9,'4 EF25 P40'!I9)</f>
        <v>3.5572362903225816</v>
      </c>
      <c r="J9" s="20">
        <f t="shared" si="6"/>
        <v>35.572362903225816</v>
      </c>
      <c r="K9" s="21">
        <f t="shared" si="7"/>
        <v>3557.2362903225817</v>
      </c>
      <c r="L9" s="3">
        <f t="shared" si="8"/>
        <v>21722.522169394077</v>
      </c>
      <c r="M9" s="4">
        <f t="shared" si="10"/>
        <v>17.748815524193553</v>
      </c>
      <c r="N9" s="4">
        <f t="shared" si="11"/>
        <v>6.0501522838222639E-2</v>
      </c>
      <c r="O9" s="4">
        <f t="shared" si="12"/>
        <v>1.512538070955566E-2</v>
      </c>
      <c r="P9" s="4">
        <f t="shared" si="13"/>
        <v>3.2573254877477475E-2</v>
      </c>
      <c r="R9" s="22">
        <v>0.2</v>
      </c>
      <c r="S9" s="23">
        <f t="shared" si="9"/>
        <v>2871.1484593837536</v>
      </c>
      <c r="T9" s="23">
        <f t="shared" si="14"/>
        <v>3.9890450327023201E-2</v>
      </c>
      <c r="U9" s="23">
        <f t="shared" ref="U9:U32" si="15">0.0791/(S9^0.25)</f>
        <v>1.0805940482423067E-2</v>
      </c>
      <c r="V9" s="23"/>
      <c r="W9" s="2" t="s">
        <v>25</v>
      </c>
    </row>
    <row r="10" spans="1:28" ht="19" x14ac:dyDescent="0.4">
      <c r="A10" s="2" t="s">
        <v>54</v>
      </c>
      <c r="B10" s="2">
        <f>AVERAGE('1 EF25 P40'!B10,'2 EF25 P40'!B10,'3 EF25 P40'!B10,'4 EF25 P40'!B10)</f>
        <v>3312.5</v>
      </c>
      <c r="C10" s="19">
        <f t="shared" si="0"/>
        <v>55.208443750000001</v>
      </c>
      <c r="D10" s="19">
        <f t="shared" si="1"/>
        <v>0.92013962500000002</v>
      </c>
      <c r="E10" s="3">
        <f t="shared" si="2"/>
        <v>9.2013962500000004E-4</v>
      </c>
      <c r="F10" s="19">
        <f t="shared" si="3"/>
        <v>1.9371360526315791</v>
      </c>
      <c r="G10" s="19">
        <f t="shared" si="4"/>
        <v>3.7524960864050558</v>
      </c>
      <c r="H10" s="19">
        <f t="shared" si="5"/>
        <v>3.7654825445473685</v>
      </c>
      <c r="I10" s="2">
        <f>AVERAGE('1 EF25 P40'!I10,'2 EF25 P40'!I10,'3 EF25 P40'!I10,'4 EF25 P40'!I10)</f>
        <v>5.8645137096774196</v>
      </c>
      <c r="J10" s="20">
        <f t="shared" si="6"/>
        <v>58.645137096774192</v>
      </c>
      <c r="K10" s="21">
        <f t="shared" si="7"/>
        <v>5864.5137096774197</v>
      </c>
      <c r="L10" s="3">
        <f t="shared" si="8"/>
        <v>27809.02596564942</v>
      </c>
      <c r="M10" s="4">
        <f t="shared" si="10"/>
        <v>29.260966513621575</v>
      </c>
      <c r="N10" s="4">
        <f t="shared" si="11"/>
        <v>6.0860363334064277E-2</v>
      </c>
      <c r="O10" s="4">
        <f t="shared" si="12"/>
        <v>1.5215090833516069E-2</v>
      </c>
      <c r="P10" s="4">
        <f t="shared" si="13"/>
        <v>3.3435129309467584E-2</v>
      </c>
      <c r="R10" s="22">
        <v>0.3</v>
      </c>
      <c r="S10" s="23">
        <f t="shared" si="9"/>
        <v>4306.7226890756301</v>
      </c>
      <c r="T10" s="23">
        <f t="shared" si="14"/>
        <v>3.6045090840397156E-2</v>
      </c>
      <c r="U10" s="23">
        <f t="shared" si="15"/>
        <v>9.7642694708062177E-3</v>
      </c>
      <c r="V10" s="23"/>
      <c r="W10" s="1" t="s">
        <v>26</v>
      </c>
      <c r="X10" s="19">
        <v>0.05</v>
      </c>
      <c r="AA10" s="27" t="s">
        <v>27</v>
      </c>
    </row>
    <row r="11" spans="1:28" ht="18.5" x14ac:dyDescent="0.35">
      <c r="A11" s="2" t="s">
        <v>55</v>
      </c>
      <c r="B11" s="2">
        <f>AVERAGE('1 EF25 P40'!B11,'2 EF25 P40'!B11,'3 EF25 P40'!B11,'4 EF25 P40'!B11)</f>
        <v>4050</v>
      </c>
      <c r="C11" s="19">
        <f t="shared" si="0"/>
        <v>67.500135</v>
      </c>
      <c r="D11" s="19">
        <f t="shared" si="1"/>
        <v>1.1250009000000001</v>
      </c>
      <c r="E11" s="3">
        <f t="shared" si="2"/>
        <v>1.1250009E-3</v>
      </c>
      <c r="F11" s="19">
        <f t="shared" si="3"/>
        <v>2.3684229473684209</v>
      </c>
      <c r="G11" s="19">
        <f t="shared" si="4"/>
        <v>5.6094272576213173</v>
      </c>
      <c r="H11" s="19">
        <f t="shared" si="5"/>
        <v>4.6038352620126313</v>
      </c>
      <c r="I11" s="2">
        <f>AVERAGE('1 EF25 P40'!I11,'2 EF25 P40'!I11,'3 EF25 P40'!I11,'4 EF25 P40'!I11)</f>
        <v>8.0351362903225798</v>
      </c>
      <c r="J11" s="20">
        <f t="shared" si="6"/>
        <v>80.351362903225805</v>
      </c>
      <c r="K11" s="21">
        <f t="shared" si="7"/>
        <v>8035.1362903225809</v>
      </c>
      <c r="L11" s="3">
        <f t="shared" si="8"/>
        <v>34000.469482529857</v>
      </c>
      <c r="M11" s="4">
        <f t="shared" si="10"/>
        <v>40.091278759487665</v>
      </c>
      <c r="N11" s="4">
        <f t="shared" si="11"/>
        <v>5.5782440375232431E-2</v>
      </c>
      <c r="O11" s="4">
        <f t="shared" si="12"/>
        <v>1.3945610093808108E-2</v>
      </c>
      <c r="P11" s="4">
        <f t="shared" si="13"/>
        <v>2.7105310125050838E-2</v>
      </c>
      <c r="R11" s="22">
        <v>0.4</v>
      </c>
      <c r="S11" s="23">
        <f t="shared" si="9"/>
        <v>5742.2969187675071</v>
      </c>
      <c r="T11" s="23">
        <f t="shared" si="14"/>
        <v>3.354373668285017E-2</v>
      </c>
      <c r="U11" s="23">
        <f t="shared" si="15"/>
        <v>9.0866766151145497E-3</v>
      </c>
      <c r="V11" s="23"/>
      <c r="W11" s="1" t="s">
        <v>28</v>
      </c>
      <c r="X11" s="19">
        <f>AVERAGE('1 EF25 P40'!X11,'2 EF25 P40'!X11,'3 EF25 P40'!X11,'3 EF25 P40'!X11,'4 EF25 P40'!X11)</f>
        <v>9.4999999999999998E-3</v>
      </c>
      <c r="AA11" s="28" t="s">
        <v>29</v>
      </c>
      <c r="AB11" s="2" t="s">
        <v>30</v>
      </c>
    </row>
    <row r="12" spans="1:28" ht="16.5" x14ac:dyDescent="0.4">
      <c r="A12" s="2" t="s">
        <v>56</v>
      </c>
      <c r="B12" s="2">
        <f>AVERAGE('2 EF25 P40'!B12,'3 EF25 P40'!B12,'4 EF25 P40'!B12)</f>
        <v>4766.666666666667</v>
      </c>
      <c r="C12" s="19">
        <f t="shared" si="0"/>
        <v>79.444603333333333</v>
      </c>
      <c r="D12" s="19">
        <f t="shared" si="1"/>
        <v>1.3240751333333334</v>
      </c>
      <c r="E12" s="3">
        <f t="shared" si="2"/>
        <v>1.3240751333333334E-3</v>
      </c>
      <c r="F12" s="19">
        <f t="shared" si="3"/>
        <v>2.7875265964912281</v>
      </c>
      <c r="G12" s="19">
        <f t="shared" si="4"/>
        <v>7.7703045261459698</v>
      </c>
      <c r="H12" s="19">
        <f t="shared" si="5"/>
        <v>5.418505699323509</v>
      </c>
      <c r="I12" s="2">
        <f>AVERAGE('2 EF25 P40'!I12,'3 EF25 P40'!I12,'4 EF25 P40'!I12)</f>
        <v>8.4570043010752673</v>
      </c>
      <c r="J12" s="20">
        <f t="shared" si="6"/>
        <v>84.57004301075267</v>
      </c>
      <c r="K12" s="21">
        <f t="shared" si="7"/>
        <v>8457.004301075267</v>
      </c>
      <c r="L12" s="3">
        <f t="shared" si="8"/>
        <v>40017.013465035139</v>
      </c>
      <c r="M12" s="4">
        <f t="shared" si="10"/>
        <v>42.196187426583528</v>
      </c>
      <c r="N12" s="4">
        <f t="shared" si="11"/>
        <v>4.2383936933205107E-2</v>
      </c>
      <c r="O12" s="4">
        <f t="shared" si="12"/>
        <v>1.0595984233301277E-2</v>
      </c>
      <c r="P12" s="4">
        <f t="shared" si="13"/>
        <v>1.2661540400639711E-2</v>
      </c>
      <c r="R12" s="22">
        <v>0.5</v>
      </c>
      <c r="S12" s="23">
        <f t="shared" si="9"/>
        <v>7177.8711484593841</v>
      </c>
      <c r="T12" s="23">
        <f t="shared" si="14"/>
        <v>3.1723707502417577E-2</v>
      </c>
      <c r="U12" s="23">
        <f t="shared" si="15"/>
        <v>8.5936481624699669E-3</v>
      </c>
      <c r="V12" s="23"/>
      <c r="W12" s="1" t="s">
        <v>31</v>
      </c>
      <c r="X12" s="4">
        <f>2*(X10*X11)/(X10+X11)</f>
        <v>1.5966386554621848E-2</v>
      </c>
      <c r="Y12" s="1">
        <f>10*X12*100</f>
        <v>15.966386554621847</v>
      </c>
      <c r="AA12" s="27" t="s">
        <v>32</v>
      </c>
      <c r="AB12" s="2" t="s">
        <v>33</v>
      </c>
    </row>
    <row r="13" spans="1:28" ht="18.5" x14ac:dyDescent="0.35">
      <c r="A13" s="98" t="s">
        <v>63</v>
      </c>
      <c r="B13" s="98">
        <f>AVERAGE('3 EF25 P40'!B13)</f>
        <v>5300</v>
      </c>
      <c r="C13" s="103">
        <f t="shared" si="0"/>
        <v>88.333510000000004</v>
      </c>
      <c r="D13" s="103">
        <f t="shared" si="1"/>
        <v>1.4722234000000001</v>
      </c>
      <c r="E13" s="110">
        <f t="shared" si="2"/>
        <v>1.4722234000000001E-3</v>
      </c>
      <c r="F13" s="103">
        <f t="shared" si="3"/>
        <v>3.0994176842105263</v>
      </c>
      <c r="G13" s="103">
        <f t="shared" si="4"/>
        <v>9.6063899811969424</v>
      </c>
      <c r="H13" s="103">
        <f t="shared" si="5"/>
        <v>6.0247720712757893</v>
      </c>
      <c r="I13" s="98">
        <f>AVERAGE('3 EF25 P40'!I13)</f>
        <v>8.5815516129032279</v>
      </c>
      <c r="J13" s="111">
        <f t="shared" si="6"/>
        <v>85.815516129032275</v>
      </c>
      <c r="K13" s="112">
        <f t="shared" si="7"/>
        <v>8581.5516129032276</v>
      </c>
      <c r="L13" s="110">
        <f t="shared" si="8"/>
        <v>44494.441545039066</v>
      </c>
      <c r="M13" s="96">
        <f t="shared" si="10"/>
        <v>42.817615715641097</v>
      </c>
      <c r="N13" s="96">
        <f t="shared" si="11"/>
        <v>3.4787914050360733E-2</v>
      </c>
      <c r="O13" s="96">
        <f t="shared" si="12"/>
        <v>8.6969785125901831E-3</v>
      </c>
      <c r="P13" s="96">
        <f t="shared" si="13"/>
        <v>6.5980471633934907E-3</v>
      </c>
      <c r="R13" s="22">
        <v>0.6</v>
      </c>
      <c r="S13" s="23">
        <f t="shared" si="9"/>
        <v>8613.4453781512602</v>
      </c>
      <c r="T13" s="23">
        <f t="shared" si="14"/>
        <v>3.031018767518447E-2</v>
      </c>
      <c r="U13" s="23">
        <f t="shared" si="15"/>
        <v>8.2107391955722319E-3</v>
      </c>
      <c r="V13" s="23"/>
      <c r="W13" s="1" t="s">
        <v>34</v>
      </c>
      <c r="X13" s="31">
        <f>X$17/X$16</f>
        <v>1.1121951219512194E-6</v>
      </c>
    </row>
    <row r="14" spans="1:28" ht="16.5" x14ac:dyDescent="0.4">
      <c r="A14" s="98" t="s">
        <v>62</v>
      </c>
      <c r="B14" s="98">
        <f>AVERAGE('3 EF25 P40'!B14)</f>
        <v>5300</v>
      </c>
      <c r="C14" s="103">
        <f t="shared" si="0"/>
        <v>88.333510000000004</v>
      </c>
      <c r="D14" s="103">
        <f t="shared" si="1"/>
        <v>1.4722234000000001</v>
      </c>
      <c r="E14" s="110">
        <f t="shared" si="2"/>
        <v>1.4722234000000001E-3</v>
      </c>
      <c r="F14" s="103">
        <f t="shared" si="3"/>
        <v>3.0994176842105263</v>
      </c>
      <c r="G14" s="103">
        <f t="shared" si="4"/>
        <v>9.6063899811969424</v>
      </c>
      <c r="H14" s="103">
        <f t="shared" si="5"/>
        <v>6.0247720712757893</v>
      </c>
      <c r="I14" s="98">
        <f>AVERAGE('3 EF25 P40'!I14)</f>
        <v>8.5815516129032279</v>
      </c>
      <c r="J14" s="111">
        <f t="shared" si="6"/>
        <v>85.815516129032275</v>
      </c>
      <c r="K14" s="112">
        <f t="shared" si="7"/>
        <v>8581.5516129032276</v>
      </c>
      <c r="L14" s="110">
        <f t="shared" si="8"/>
        <v>44494.441545039066</v>
      </c>
      <c r="M14" s="96">
        <f t="shared" si="10"/>
        <v>42.817615715641097</v>
      </c>
      <c r="N14" s="96">
        <f t="shared" si="11"/>
        <v>3.4787914050360733E-2</v>
      </c>
      <c r="O14" s="96">
        <f t="shared" si="12"/>
        <v>8.6969785125901831E-3</v>
      </c>
      <c r="P14" s="96">
        <f t="shared" si="13"/>
        <v>6.5980471633934907E-3</v>
      </c>
      <c r="R14" s="22">
        <v>0.7</v>
      </c>
      <c r="S14" s="23">
        <f t="shared" si="9"/>
        <v>10049.019607843138</v>
      </c>
      <c r="T14" s="23">
        <f t="shared" si="14"/>
        <v>2.9164324918123638E-2</v>
      </c>
      <c r="U14" s="23">
        <f t="shared" si="15"/>
        <v>7.9003359624095198E-3</v>
      </c>
      <c r="V14" s="23"/>
      <c r="W14" s="1" t="s">
        <v>35</v>
      </c>
      <c r="X14" s="32">
        <v>0.8</v>
      </c>
      <c r="AA14" s="27" t="s">
        <v>36</v>
      </c>
      <c r="AB14" s="1" t="s">
        <v>37</v>
      </c>
    </row>
    <row r="15" spans="1:28" x14ac:dyDescent="0.35">
      <c r="A15" s="2" t="s">
        <v>57</v>
      </c>
      <c r="B15" s="98">
        <f>AVERAGE('3 EF25 P40'!B15)</f>
        <v>4550</v>
      </c>
      <c r="C15" s="19">
        <f>B15*0.0166667</f>
        <v>75.833484999999996</v>
      </c>
      <c r="D15" s="19">
        <f>B15*0.000277778</f>
        <v>1.2638899000000001</v>
      </c>
      <c r="E15" s="3">
        <f t="shared" si="2"/>
        <v>1.2638899000000001E-3</v>
      </c>
      <c r="F15" s="19">
        <f t="shared" si="3"/>
        <v>2.6608208421052635</v>
      </c>
      <c r="G15" s="19">
        <f t="shared" si="4"/>
        <v>7.0799675537817635</v>
      </c>
      <c r="H15" s="19">
        <f t="shared" si="5"/>
        <v>5.1722099857178954</v>
      </c>
      <c r="I15" s="98">
        <f>AVERAGE('3 EF25 P40'!I15)</f>
        <v>8.4002032258064503</v>
      </c>
      <c r="J15" s="20">
        <f t="shared" si="6"/>
        <v>84.002032258064503</v>
      </c>
      <c r="K15" s="21">
        <f t="shared" si="7"/>
        <v>8400.2032258064501</v>
      </c>
      <c r="L15" s="3">
        <f t="shared" si="8"/>
        <v>38198.058307533545</v>
      </c>
      <c r="M15" s="4">
        <f t="shared" si="10"/>
        <v>41.912778700189747</v>
      </c>
      <c r="N15" s="4">
        <f t="shared" si="11"/>
        <v>4.6204184405587004E-2</v>
      </c>
      <c r="O15" s="4">
        <f t="shared" si="12"/>
        <v>1.1551046101396751E-2</v>
      </c>
      <c r="P15" s="4">
        <f t="shared" si="13"/>
        <v>1.6331022110484882E-2</v>
      </c>
      <c r="R15" s="22">
        <v>0.8</v>
      </c>
      <c r="S15" s="23">
        <f t="shared" si="9"/>
        <v>11484.593837535014</v>
      </c>
      <c r="T15" s="23">
        <f t="shared" si="14"/>
        <v>2.8206807930823231E-2</v>
      </c>
      <c r="U15" s="23">
        <f t="shared" si="15"/>
        <v>7.6409537922195814E-3</v>
      </c>
      <c r="V15" s="23"/>
      <c r="X15" s="32"/>
    </row>
    <row r="16" spans="1:28" x14ac:dyDescent="0.35">
      <c r="A16" s="2" t="s">
        <v>58</v>
      </c>
      <c r="B16" s="98">
        <f>AVERAGE('3 EF25 P40'!B16)</f>
        <v>3800</v>
      </c>
      <c r="C16" s="19">
        <f>B16*0.0166667</f>
        <v>63.333459999999995</v>
      </c>
      <c r="D16" s="19">
        <f>B16*0.000277778</f>
        <v>1.0555564</v>
      </c>
      <c r="E16" s="3">
        <f t="shared" si="2"/>
        <v>1.0555563999999999E-3</v>
      </c>
      <c r="F16" s="19">
        <f t="shared" si="3"/>
        <v>2.2222239999999998</v>
      </c>
      <c r="G16" s="19">
        <f t="shared" si="4"/>
        <v>4.9382795061759985</v>
      </c>
      <c r="H16" s="19">
        <f t="shared" si="5"/>
        <v>4.3196479001599997</v>
      </c>
      <c r="I16" s="98">
        <f>AVERAGE('3 EF25 P40'!I16)</f>
        <v>7.3414580645161287</v>
      </c>
      <c r="J16" s="20">
        <f t="shared" si="6"/>
        <v>73.414580645161294</v>
      </c>
      <c r="K16" s="21">
        <f t="shared" si="7"/>
        <v>7341.4580645161295</v>
      </c>
      <c r="L16" s="3">
        <f t="shared" si="8"/>
        <v>31901.67507002801</v>
      </c>
      <c r="M16" s="4">
        <f t="shared" si="10"/>
        <v>36.630174166440767</v>
      </c>
      <c r="N16" s="4">
        <f t="shared" si="11"/>
        <v>5.7893450931060061E-2</v>
      </c>
      <c r="O16" s="4">
        <f t="shared" si="12"/>
        <v>1.4473362732765015E-2</v>
      </c>
      <c r="P16" s="4">
        <f t="shared" si="13"/>
        <v>2.9704099607560465E-2</v>
      </c>
      <c r="Q16" s="34"/>
      <c r="R16" s="22">
        <v>0.9</v>
      </c>
      <c r="S16" s="23">
        <f t="shared" si="9"/>
        <v>12920.168067226892</v>
      </c>
      <c r="T16" s="23">
        <f t="shared" si="14"/>
        <v>2.7388346313087116E-2</v>
      </c>
      <c r="U16" s="23">
        <f t="shared" si="15"/>
        <v>7.4192403882369553E-3</v>
      </c>
      <c r="V16" s="23"/>
      <c r="W16" s="2" t="s">
        <v>38</v>
      </c>
      <c r="X16" s="32">
        <f>VLOOKUP(X18, SW!A4:F34, 3, FALSE)</f>
        <v>1025</v>
      </c>
      <c r="Y16" s="32"/>
    </row>
    <row r="17" spans="1:30" x14ac:dyDescent="0.35">
      <c r="A17" s="2" t="s">
        <v>59</v>
      </c>
      <c r="B17" s="98">
        <f>AVERAGE('3 EF25 P40'!B17)</f>
        <v>3100</v>
      </c>
      <c r="C17" s="19">
        <f>B17*0.0166667</f>
        <v>51.66677</v>
      </c>
      <c r="D17" s="19">
        <f>B17*0.000277778</f>
        <v>0.86111179999999998</v>
      </c>
      <c r="E17" s="3">
        <f t="shared" si="2"/>
        <v>8.6111179999999996E-4</v>
      </c>
      <c r="F17" s="19">
        <f t="shared" si="3"/>
        <v>1.8128669473684209</v>
      </c>
      <c r="G17" s="19">
        <f t="shared" si="4"/>
        <v>3.2864865688608971</v>
      </c>
      <c r="H17" s="19">
        <f t="shared" si="5"/>
        <v>3.5239232869726314</v>
      </c>
      <c r="I17" s="98">
        <f>AVERAGE('3 EF25 P40'!I17)</f>
        <v>4.7991032258064514</v>
      </c>
      <c r="J17" s="20">
        <f t="shared" si="6"/>
        <v>47.991032258064514</v>
      </c>
      <c r="K17" s="21">
        <f t="shared" si="7"/>
        <v>4799.1032258064515</v>
      </c>
      <c r="L17" s="3">
        <f t="shared" si="8"/>
        <v>26025.050715022851</v>
      </c>
      <c r="M17" s="4">
        <f t="shared" si="10"/>
        <v>23.945105380862017</v>
      </c>
      <c r="N17" s="4">
        <f t="shared" si="11"/>
        <v>5.6865781571595317E-2</v>
      </c>
      <c r="O17" s="4">
        <f t="shared" si="12"/>
        <v>1.4216445392898829E-2</v>
      </c>
      <c r="P17" s="4">
        <f t="shared" si="13"/>
        <v>2.811518015364976E-2</v>
      </c>
      <c r="R17" s="22">
        <v>1</v>
      </c>
      <c r="S17" s="23">
        <f t="shared" si="9"/>
        <v>14355.742296918768</v>
      </c>
      <c r="T17" s="23">
        <f t="shared" si="14"/>
        <v>2.6676351917340312E-2</v>
      </c>
      <c r="U17" s="23">
        <f t="shared" si="15"/>
        <v>7.2263679337726677E-3</v>
      </c>
      <c r="V17" s="23"/>
      <c r="W17" s="2" t="s">
        <v>39</v>
      </c>
      <c r="X17" s="32">
        <f>VLOOKUP(X18, SW!A4:F34, 5, FALSE)</f>
        <v>1.14E-3</v>
      </c>
    </row>
    <row r="18" spans="1:30" x14ac:dyDescent="0.35">
      <c r="A18" s="2" t="s">
        <v>60</v>
      </c>
      <c r="B18" s="98">
        <f>AVERAGE('3 EF25 P40'!B18)</f>
        <v>2400</v>
      </c>
      <c r="C18" s="19">
        <f>B18*0.0166667</f>
        <v>40.000079999999997</v>
      </c>
      <c r="D18" s="19">
        <f>B18*0.000277778</f>
        <v>0.66666720000000002</v>
      </c>
      <c r="E18" s="3">
        <f t="shared" si="2"/>
        <v>6.6666719999999998E-4</v>
      </c>
      <c r="F18" s="19">
        <f t="shared" si="3"/>
        <v>1.4035098947368421</v>
      </c>
      <c r="G18" s="19">
        <f t="shared" si="4"/>
        <v>1.9698400246242216</v>
      </c>
      <c r="H18" s="19">
        <f t="shared" si="5"/>
        <v>2.728198673785263</v>
      </c>
      <c r="I18" s="98">
        <f>AVERAGE('3 EF25 P40'!I18)</f>
        <v>2.7063774193548391</v>
      </c>
      <c r="J18" s="20">
        <f t="shared" si="6"/>
        <v>27.06377419354839</v>
      </c>
      <c r="K18" s="21">
        <f t="shared" si="7"/>
        <v>2706.3774193548388</v>
      </c>
      <c r="L18" s="3">
        <f t="shared" si="8"/>
        <v>20148.426360017693</v>
      </c>
      <c r="M18" s="4">
        <f t="shared" si="10"/>
        <v>13.503458762537273</v>
      </c>
      <c r="N18" s="4">
        <f t="shared" si="11"/>
        <v>5.3503252833155858E-2</v>
      </c>
      <c r="O18" s="4">
        <f t="shared" si="12"/>
        <v>1.3375813208288964E-2</v>
      </c>
      <c r="P18" s="4">
        <f t="shared" si="13"/>
        <v>2.3509564841423483E-2</v>
      </c>
      <c r="Q18" s="14"/>
      <c r="R18" s="22">
        <v>1.1000000000000001</v>
      </c>
      <c r="S18" s="23">
        <f t="shared" si="9"/>
        <v>15791.316526610646</v>
      </c>
      <c r="T18" s="23">
        <f t="shared" si="14"/>
        <v>2.6048232927331428E-2</v>
      </c>
      <c r="U18" s="23">
        <f t="shared" si="15"/>
        <v>7.0562165224380691E-3</v>
      </c>
      <c r="V18" s="23"/>
      <c r="W18" s="2" t="s">
        <v>161</v>
      </c>
      <c r="X18" s="2">
        <v>18</v>
      </c>
    </row>
    <row r="19" spans="1:30" x14ac:dyDescent="0.35">
      <c r="A19" s="2" t="s">
        <v>61</v>
      </c>
      <c r="B19" s="98">
        <f>AVERAGE('3 EF25 P40'!B19)</f>
        <v>1700</v>
      </c>
      <c r="C19" s="19">
        <f>B19*0.0166667</f>
        <v>28.333389999999998</v>
      </c>
      <c r="D19" s="19">
        <f>B19*0.000277778</f>
        <v>0.47222259999999999</v>
      </c>
      <c r="E19" s="3">
        <f t="shared" si="2"/>
        <v>4.7222259999999999E-4</v>
      </c>
      <c r="F19" s="19">
        <f t="shared" si="3"/>
        <v>0.99415284210526311</v>
      </c>
      <c r="G19" s="19">
        <f t="shared" si="4"/>
        <v>0.98833987346597219</v>
      </c>
      <c r="H19" s="19">
        <f t="shared" si="5"/>
        <v>1.9324740605978947</v>
      </c>
      <c r="I19" s="98">
        <f>AVERAGE('3 EF25 P40'!I19)</f>
        <v>1.1001741935483875</v>
      </c>
      <c r="J19" s="20">
        <f t="shared" si="6"/>
        <v>11.001741935483874</v>
      </c>
      <c r="K19" s="21">
        <f t="shared" si="7"/>
        <v>1100.1741935483874</v>
      </c>
      <c r="L19" s="3">
        <f t="shared" si="8"/>
        <v>14271.802005012531</v>
      </c>
      <c r="M19" s="4">
        <f t="shared" si="10"/>
        <v>5.489314516129034</v>
      </c>
      <c r="N19" s="4">
        <f t="shared" si="11"/>
        <v>4.3348883840476408E-2</v>
      </c>
      <c r="O19" s="4">
        <f t="shared" si="12"/>
        <v>1.0837220960119102E-2</v>
      </c>
      <c r="P19" s="4">
        <f t="shared" si="13"/>
        <v>1.1554051740904554E-2</v>
      </c>
      <c r="R19" s="22">
        <v>1.2</v>
      </c>
      <c r="S19" s="23">
        <f t="shared" si="9"/>
        <v>17226.89075630252</v>
      </c>
      <c r="T19" s="23">
        <f t="shared" si="14"/>
        <v>2.5487728161729936E-2</v>
      </c>
      <c r="U19" s="23">
        <f t="shared" si="15"/>
        <v>6.9043811561398574E-3</v>
      </c>
      <c r="V19" s="23"/>
      <c r="W19" s="1"/>
      <c r="X19" s="1">
        <f>AVERAGE('1 EF25 P40'!X18,'2 EF25 P40'!X18,'3 EF25 P40'!X18,'4 EF25 P40'!X18)</f>
        <v>18</v>
      </c>
      <c r="AA19" s="36" t="s">
        <v>40</v>
      </c>
      <c r="AB19" s="37"/>
      <c r="AC19" s="37"/>
      <c r="AD19" s="37"/>
    </row>
    <row r="20" spans="1:30" x14ac:dyDescent="0.35">
      <c r="A20" s="24"/>
      <c r="B20" s="18"/>
      <c r="C20" s="19"/>
      <c r="D20" s="19"/>
      <c r="E20" s="3"/>
      <c r="F20" s="19"/>
      <c r="G20" s="19"/>
      <c r="H20" s="19"/>
      <c r="I20" s="20"/>
      <c r="J20" s="20"/>
      <c r="K20" s="21"/>
      <c r="R20" s="22">
        <v>1.3</v>
      </c>
      <c r="S20" s="23">
        <f t="shared" si="9"/>
        <v>18662.4649859944</v>
      </c>
      <c r="T20" s="23">
        <f t="shared" si="14"/>
        <v>2.4982770589304339E-2</v>
      </c>
      <c r="U20" s="23">
        <f t="shared" si="15"/>
        <v>6.7675929918286758E-3</v>
      </c>
      <c r="V20" s="23"/>
      <c r="AA20" s="38" t="s">
        <v>41</v>
      </c>
      <c r="AB20" s="37" t="s">
        <v>42</v>
      </c>
      <c r="AC20" s="37" t="s">
        <v>43</v>
      </c>
      <c r="AD20" s="37" t="s">
        <v>44</v>
      </c>
    </row>
    <row r="21" spans="1:30" x14ac:dyDescent="0.35">
      <c r="A21" s="24"/>
      <c r="B21" s="18"/>
      <c r="C21" s="19"/>
      <c r="D21" s="19"/>
      <c r="E21" s="3"/>
      <c r="F21" s="19"/>
      <c r="G21" s="19"/>
      <c r="H21" s="19"/>
      <c r="I21" s="20"/>
      <c r="J21" s="20"/>
      <c r="K21" s="21"/>
      <c r="R21" s="22">
        <v>1.4</v>
      </c>
      <c r="S21" s="23">
        <f t="shared" si="9"/>
        <v>20098.039215686276</v>
      </c>
      <c r="T21" s="23">
        <f t="shared" si="14"/>
        <v>2.452417627694475E-2</v>
      </c>
      <c r="U21" s="23">
        <f t="shared" si="15"/>
        <v>6.6433641900901707E-3</v>
      </c>
      <c r="V21" s="23"/>
      <c r="W21" s="1" t="s">
        <v>45</v>
      </c>
      <c r="X21" s="1">
        <f>4*10^(-6)</f>
        <v>3.9999999999999998E-6</v>
      </c>
      <c r="AA21" s="38" t="s">
        <v>46</v>
      </c>
      <c r="AB21" s="37" t="s">
        <v>47</v>
      </c>
      <c r="AC21" s="37" t="s">
        <v>48</v>
      </c>
      <c r="AD21" s="37" t="s">
        <v>49</v>
      </c>
    </row>
    <row r="22" spans="1:30" x14ac:dyDescent="0.35">
      <c r="A22" s="24"/>
      <c r="B22" s="18"/>
      <c r="C22" s="19"/>
      <c r="D22" s="19"/>
      <c r="E22" s="43"/>
      <c r="F22" s="19"/>
      <c r="G22" s="19"/>
      <c r="H22" s="19"/>
      <c r="I22" s="20"/>
      <c r="J22" s="20"/>
      <c r="K22" s="21"/>
      <c r="R22" s="22">
        <v>1.5</v>
      </c>
      <c r="S22" s="23">
        <f t="shared" si="9"/>
        <v>21533.613445378152</v>
      </c>
      <c r="T22" s="23">
        <f t="shared" si="14"/>
        <v>2.4104805041510025E-2</v>
      </c>
      <c r="U22" s="23">
        <f t="shared" si="15"/>
        <v>6.5297605437789142E-3</v>
      </c>
      <c r="V22" s="23"/>
      <c r="W22" s="1" t="s">
        <v>50</v>
      </c>
      <c r="X22" s="2">
        <f>X21/X12</f>
        <v>2.5052631578947367E-4</v>
      </c>
      <c r="AA22" s="37">
        <v>0</v>
      </c>
      <c r="AB22" s="37">
        <v>1.792E-3</v>
      </c>
      <c r="AC22" s="37">
        <v>999.87</v>
      </c>
      <c r="AD22" s="39">
        <v>1.7922329902887374E-6</v>
      </c>
    </row>
    <row r="23" spans="1:30" x14ac:dyDescent="0.35">
      <c r="A23" s="24"/>
      <c r="B23" s="18"/>
      <c r="C23" s="19"/>
      <c r="D23" s="19"/>
      <c r="E23" s="3"/>
      <c r="F23" s="19"/>
      <c r="G23" s="19"/>
      <c r="H23" s="19"/>
      <c r="I23" s="20"/>
      <c r="J23" s="20"/>
      <c r="K23" s="21"/>
      <c r="P23" s="43"/>
      <c r="R23" s="22">
        <v>1.6</v>
      </c>
      <c r="S23" s="23">
        <f t="shared" si="9"/>
        <v>22969.187675070028</v>
      </c>
      <c r="T23" s="23">
        <f t="shared" si="14"/>
        <v>2.3719003674779301E-2</v>
      </c>
      <c r="U23" s="23">
        <f t="shared" si="15"/>
        <v>6.4252506529967222E-3</v>
      </c>
      <c r="V23" s="23"/>
      <c r="AA23" s="37">
        <v>5</v>
      </c>
      <c r="AB23" s="37">
        <v>1.519E-3</v>
      </c>
      <c r="AC23" s="37">
        <v>999.99</v>
      </c>
      <c r="AD23" s="39">
        <v>1.5190151901519014E-6</v>
      </c>
    </row>
    <row r="24" spans="1:30" x14ac:dyDescent="0.35">
      <c r="B24" s="18"/>
      <c r="C24" s="19"/>
      <c r="D24" s="19"/>
      <c r="E24" s="3"/>
      <c r="F24" s="3"/>
      <c r="G24" s="19"/>
      <c r="H24" s="19"/>
      <c r="I24" s="19"/>
      <c r="J24" s="20"/>
      <c r="K24" s="21"/>
      <c r="R24" s="22">
        <v>1.7</v>
      </c>
      <c r="S24" s="23">
        <f t="shared" si="9"/>
        <v>24404.761904761905</v>
      </c>
      <c r="T24" s="23">
        <f t="shared" si="14"/>
        <v>2.3362225291761372E-2</v>
      </c>
      <c r="U24" s="23">
        <f t="shared" si="15"/>
        <v>6.3286028101997415E-3</v>
      </c>
      <c r="V24" s="23"/>
      <c r="W24" s="40"/>
      <c r="AA24" s="37">
        <f>AA23+5</f>
        <v>10</v>
      </c>
      <c r="AB24" s="37">
        <v>1.3079999999999999E-3</v>
      </c>
      <c r="AC24" s="37">
        <v>999.73</v>
      </c>
      <c r="AD24" s="39">
        <v>1.3083532553789522E-6</v>
      </c>
    </row>
    <row r="25" spans="1:30" x14ac:dyDescent="0.35">
      <c r="B25" s="18"/>
      <c r="C25" s="19"/>
      <c r="D25" s="19"/>
      <c r="E25" s="3"/>
      <c r="F25" s="3"/>
      <c r="G25" s="19"/>
      <c r="H25" s="19"/>
      <c r="I25" s="19"/>
      <c r="J25" s="20"/>
      <c r="K25" s="21"/>
      <c r="R25" s="22">
        <v>1.8</v>
      </c>
      <c r="S25" s="23">
        <f t="shared" si="9"/>
        <v>25840.336134453784</v>
      </c>
      <c r="T25" s="23">
        <f t="shared" si="14"/>
        <v>2.3030762234402244E-2</v>
      </c>
      <c r="U25" s="23">
        <f t="shared" si="15"/>
        <v>6.2388126463740331E-3</v>
      </c>
      <c r="V25" s="23"/>
      <c r="W25" s="40"/>
      <c r="AA25" s="37" t="e">
        <f>#REF!+5</f>
        <v>#REF!</v>
      </c>
      <c r="AB25" s="37">
        <v>1.005E-3</v>
      </c>
      <c r="AC25" s="37">
        <v>998.23</v>
      </c>
      <c r="AD25" s="39">
        <v>1.0067820041473407E-6</v>
      </c>
    </row>
    <row r="26" spans="1:30" x14ac:dyDescent="0.35">
      <c r="B26" s="18"/>
      <c r="C26" s="19"/>
      <c r="D26" s="19"/>
      <c r="E26" s="3"/>
      <c r="F26" s="3"/>
      <c r="G26" s="19"/>
      <c r="H26" s="19"/>
      <c r="I26" s="19"/>
      <c r="J26" s="20"/>
      <c r="K26" s="21"/>
      <c r="R26" s="22">
        <v>1.9</v>
      </c>
      <c r="S26" s="23">
        <f t="shared" si="9"/>
        <v>27275.91036414566</v>
      </c>
      <c r="T26" s="23">
        <f t="shared" si="14"/>
        <v>2.2721554364037024E-2</v>
      </c>
      <c r="U26" s="23">
        <f t="shared" si="15"/>
        <v>6.155051199299072E-3</v>
      </c>
      <c r="V26" s="23"/>
      <c r="W26" s="40"/>
      <c r="AA26" s="37">
        <v>25</v>
      </c>
      <c r="AB26" s="37">
        <v>8.9400000000000005E-4</v>
      </c>
      <c r="AC26" s="37">
        <v>997.07</v>
      </c>
      <c r="AD26" s="39">
        <v>8.9662711745414066E-7</v>
      </c>
    </row>
    <row r="27" spans="1:30" x14ac:dyDescent="0.35">
      <c r="N27" s="22"/>
      <c r="R27" s="22">
        <v>2</v>
      </c>
      <c r="S27" s="23">
        <f t="shared" si="9"/>
        <v>28711.484593837537</v>
      </c>
      <c r="T27" s="23">
        <f t="shared" si="14"/>
        <v>2.2432048699338021E-2</v>
      </c>
      <c r="U27" s="23">
        <f t="shared" si="15"/>
        <v>6.076626890813828E-3</v>
      </c>
      <c r="V27" s="23"/>
      <c r="W27" s="40"/>
      <c r="AA27" s="32"/>
      <c r="AB27" s="32"/>
      <c r="AC27" s="32"/>
      <c r="AD27" s="32"/>
    </row>
    <row r="28" spans="1:30" x14ac:dyDescent="0.35">
      <c r="K28" s="1"/>
      <c r="L28" s="4"/>
      <c r="N28" s="22"/>
      <c r="R28" s="22">
        <v>2.1</v>
      </c>
      <c r="S28" s="23">
        <f t="shared" si="9"/>
        <v>30147.058823529416</v>
      </c>
      <c r="T28" s="23">
        <f t="shared" si="14"/>
        <v>2.2160094820728303E-2</v>
      </c>
      <c r="U28" s="23">
        <f t="shared" si="15"/>
        <v>6.0029571928753725E-3</v>
      </c>
      <c r="V28" s="23"/>
      <c r="W28" s="40"/>
      <c r="AA28" s="32"/>
      <c r="AB28" s="32"/>
      <c r="AC28" s="32"/>
      <c r="AD28" s="32"/>
    </row>
    <row r="29" spans="1:30" x14ac:dyDescent="0.35">
      <c r="R29" s="22">
        <v>2.2000000000000002</v>
      </c>
      <c r="S29" s="23">
        <f t="shared" si="9"/>
        <v>31582.633053221292</v>
      </c>
      <c r="T29" s="23">
        <f t="shared" si="14"/>
        <v>2.1903865692286768E-2</v>
      </c>
      <c r="U29" s="23">
        <f t="shared" si="15"/>
        <v>5.9335471789722033E-3</v>
      </c>
      <c r="V29" s="23"/>
      <c r="W29" s="40"/>
      <c r="AA29" s="32"/>
      <c r="AB29" s="32"/>
      <c r="AC29" s="32"/>
      <c r="AD29" s="32"/>
    </row>
    <row r="30" spans="1:30" x14ac:dyDescent="0.35">
      <c r="L30" s="41"/>
      <c r="R30" s="22">
        <v>2.2999999999999998</v>
      </c>
      <c r="S30" s="23">
        <f t="shared" si="9"/>
        <v>33018.207282913165</v>
      </c>
      <c r="T30" s="23">
        <f t="shared" si="14"/>
        <v>2.1661796872450706E-2</v>
      </c>
      <c r="U30" s="23">
        <f t="shared" si="15"/>
        <v>5.8679730568864759E-3</v>
      </c>
      <c r="V30" s="23"/>
      <c r="W30" s="40"/>
      <c r="AA30" s="32"/>
      <c r="AB30" s="32"/>
      <c r="AC30" s="32"/>
      <c r="AD30" s="32"/>
    </row>
    <row r="31" spans="1:30" x14ac:dyDescent="0.35">
      <c r="R31" s="22">
        <v>2.4</v>
      </c>
      <c r="S31" s="23">
        <f t="shared" si="9"/>
        <v>34453.781512605041</v>
      </c>
      <c r="T31" s="23">
        <f t="shared" si="14"/>
        <v>2.1432539244159853E-2</v>
      </c>
      <c r="U31" s="23">
        <f t="shared" si="15"/>
        <v>5.8058693637433037E-3</v>
      </c>
      <c r="V31" s="23"/>
      <c r="W31" s="40"/>
      <c r="AA31" s="32"/>
      <c r="AB31" s="32"/>
      <c r="AC31" s="32"/>
      <c r="AD31" s="32"/>
    </row>
    <row r="32" spans="1:30" x14ac:dyDescent="0.35">
      <c r="F32" s="1"/>
      <c r="G32" s="1"/>
      <c r="R32" s="22">
        <v>2.5</v>
      </c>
      <c r="S32" s="23">
        <f t="shared" si="9"/>
        <v>35889.355742296917</v>
      </c>
      <c r="T32" s="23">
        <f t="shared" si="14"/>
        <v>2.1214921830149534E-2</v>
      </c>
      <c r="U32" s="23">
        <f t="shared" si="15"/>
        <v>5.7469188930302333E-3</v>
      </c>
      <c r="V32" s="23"/>
      <c r="W32" s="40"/>
      <c r="AA32" s="32"/>
      <c r="AB32" s="32"/>
      <c r="AC32" s="32"/>
      <c r="AD32" s="32"/>
    </row>
    <row r="33" spans="7:24" x14ac:dyDescent="0.35">
      <c r="G33" s="19"/>
      <c r="W33" s="40"/>
    </row>
    <row r="34" spans="7:24" x14ac:dyDescent="0.35">
      <c r="G34" s="19"/>
      <c r="W34" s="40"/>
      <c r="X34" s="1" t="s">
        <v>51</v>
      </c>
    </row>
    <row r="35" spans="7:24" x14ac:dyDescent="0.35">
      <c r="G35" s="19"/>
      <c r="W35" s="40"/>
    </row>
    <row r="36" spans="7:24" x14ac:dyDescent="0.35">
      <c r="G36" s="19"/>
      <c r="W36" s="40"/>
    </row>
    <row r="37" spans="7:24" x14ac:dyDescent="0.35">
      <c r="G37" s="19"/>
    </row>
    <row r="38" spans="7:24" x14ac:dyDescent="0.35">
      <c r="G38" s="19"/>
    </row>
    <row r="40" spans="7:24" x14ac:dyDescent="0.35">
      <c r="R40" s="4"/>
      <c r="S40" s="16"/>
      <c r="T40" s="16"/>
      <c r="U40" s="4"/>
      <c r="V40" s="4"/>
    </row>
    <row r="41" spans="7:24" x14ac:dyDescent="0.35">
      <c r="R41" s="4"/>
      <c r="S41" s="16"/>
      <c r="T41" s="16"/>
      <c r="U41" s="4"/>
      <c r="V41" s="4"/>
    </row>
    <row r="42" spans="7:24" x14ac:dyDescent="0.35">
      <c r="R42" s="4"/>
      <c r="S42" s="16"/>
      <c r="T42" s="16"/>
      <c r="U42" s="4"/>
      <c r="V42" s="4"/>
    </row>
    <row r="43" spans="7:24" x14ac:dyDescent="0.35">
      <c r="R43" s="4"/>
      <c r="S43" s="16"/>
      <c r="T43" s="16"/>
      <c r="U43" s="4"/>
      <c r="V43" s="4"/>
    </row>
    <row r="44" spans="7:24" x14ac:dyDescent="0.35">
      <c r="R44" s="4"/>
      <c r="S44" s="16"/>
      <c r="T44" s="16"/>
      <c r="U44" s="4"/>
      <c r="V44" s="4"/>
    </row>
    <row r="45" spans="7:24" x14ac:dyDescent="0.35">
      <c r="R45" s="4"/>
      <c r="S45" s="16"/>
      <c r="T45" s="16"/>
    </row>
    <row r="46" spans="7:24" x14ac:dyDescent="0.35">
      <c r="R46" s="4"/>
      <c r="S46" s="16"/>
      <c r="T46" s="16"/>
    </row>
    <row r="47" spans="7:24" x14ac:dyDescent="0.35">
      <c r="R47" s="4"/>
      <c r="S47" s="16"/>
      <c r="T47" s="16"/>
    </row>
    <row r="48" spans="7:24" x14ac:dyDescent="0.35">
      <c r="R48" s="4"/>
      <c r="S48" s="16"/>
      <c r="T48" s="16"/>
    </row>
    <row r="49" spans="18:20" x14ac:dyDescent="0.35">
      <c r="R49" s="4"/>
      <c r="S49" s="16"/>
      <c r="T49" s="16"/>
    </row>
    <row r="50" spans="18:20" x14ac:dyDescent="0.35">
      <c r="R50" s="4"/>
      <c r="S50" s="16"/>
      <c r="T50" s="16"/>
    </row>
    <row r="51" spans="18:20" x14ac:dyDescent="0.35">
      <c r="R51" s="4"/>
      <c r="S51" s="16"/>
      <c r="T51" s="16"/>
    </row>
    <row r="52" spans="18:20" x14ac:dyDescent="0.35">
      <c r="R52" s="4"/>
      <c r="S52" s="16"/>
      <c r="T52" s="16"/>
    </row>
    <row r="53" spans="18:20" x14ac:dyDescent="0.35">
      <c r="R53" s="4"/>
      <c r="S53" s="16"/>
      <c r="T53" s="16"/>
    </row>
    <row r="54" spans="18:20" x14ac:dyDescent="0.35">
      <c r="R54" s="4"/>
      <c r="S54" s="16"/>
      <c r="T54" s="16"/>
    </row>
    <row r="55" spans="18:20" x14ac:dyDescent="0.35">
      <c r="R55" s="4"/>
    </row>
    <row r="86" spans="13:16" x14ac:dyDescent="0.35">
      <c r="N86" s="22"/>
    </row>
    <row r="88" spans="13:16" x14ac:dyDescent="0.35">
      <c r="M88" s="22"/>
      <c r="N88" s="22"/>
      <c r="O88" s="22"/>
      <c r="P88" s="22"/>
    </row>
    <row r="89" spans="13:16" x14ac:dyDescent="0.35">
      <c r="O89" s="22"/>
      <c r="P89" s="22"/>
    </row>
    <row r="90" spans="13:16" x14ac:dyDescent="0.35">
      <c r="O90" s="22"/>
      <c r="P90" s="22"/>
    </row>
  </sheetData>
  <mergeCells count="2">
    <mergeCell ref="A4:N4"/>
    <mergeCell ref="W6:X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1D8B0-CF85-4A99-8A14-F9571687B493}">
  <dimension ref="A1:J34"/>
  <sheetViews>
    <sheetView zoomScale="70" zoomScaleNormal="70" workbookViewId="0">
      <selection activeCell="R8" sqref="R8"/>
    </sheetView>
  </sheetViews>
  <sheetFormatPr defaultRowHeight="15.5" x14ac:dyDescent="0.35"/>
  <cols>
    <col min="1" max="1" width="10.84375" bestFit="1" customWidth="1"/>
    <col min="3" max="3" width="6.84375" bestFit="1" customWidth="1"/>
    <col min="4" max="4" width="11.4609375" bestFit="1" customWidth="1"/>
    <col min="5" max="5" width="23.84375" bestFit="1" customWidth="1"/>
    <col min="6" max="6" width="15.84375" bestFit="1" customWidth="1"/>
  </cols>
  <sheetData>
    <row r="1" spans="1:10" x14ac:dyDescent="0.35">
      <c r="A1" t="s">
        <v>143</v>
      </c>
      <c r="B1" t="s">
        <v>144</v>
      </c>
      <c r="C1" t="s">
        <v>43</v>
      </c>
      <c r="D1" t="s">
        <v>145</v>
      </c>
      <c r="E1" t="s">
        <v>146</v>
      </c>
      <c r="F1" t="s">
        <v>147</v>
      </c>
    </row>
    <row r="2" spans="1:10" x14ac:dyDescent="0.35">
      <c r="A2" t="s">
        <v>148</v>
      </c>
      <c r="B2" t="s">
        <v>149</v>
      </c>
      <c r="C2" t="s">
        <v>150</v>
      </c>
      <c r="D2" t="s">
        <v>151</v>
      </c>
      <c r="E2" t="s">
        <v>152</v>
      </c>
      <c r="F2" t="s">
        <v>153</v>
      </c>
    </row>
    <row r="3" spans="1:10" x14ac:dyDescent="0.35">
      <c r="C3" t="s">
        <v>48</v>
      </c>
      <c r="D3" t="s">
        <v>154</v>
      </c>
      <c r="E3" t="s">
        <v>155</v>
      </c>
      <c r="F3" t="s">
        <v>49</v>
      </c>
    </row>
    <row r="4" spans="1:10" x14ac:dyDescent="0.35">
      <c r="A4">
        <v>0</v>
      </c>
      <c r="B4">
        <v>5.9899999999999997E-3</v>
      </c>
      <c r="C4">
        <v>1028</v>
      </c>
      <c r="D4">
        <v>4</v>
      </c>
      <c r="E4">
        <v>1.8799999999999999E-3</v>
      </c>
      <c r="F4">
        <f>E4/C4</f>
        <v>1.8287937743190661E-6</v>
      </c>
      <c r="J4" t="s">
        <v>165</v>
      </c>
    </row>
    <row r="5" spans="1:10" x14ac:dyDescent="0.35">
      <c r="A5">
        <v>1</v>
      </c>
      <c r="B5">
        <v>6.4400000000000004E-3</v>
      </c>
      <c r="C5">
        <v>1028</v>
      </c>
      <c r="D5">
        <v>4</v>
      </c>
      <c r="E5">
        <v>1.83E-3</v>
      </c>
      <c r="F5">
        <f t="shared" ref="F5:F34" si="0">E5/C5</f>
        <v>1.7801556420233463E-6</v>
      </c>
    </row>
    <row r="6" spans="1:10" x14ac:dyDescent="0.35">
      <c r="A6">
        <v>2</v>
      </c>
      <c r="B6">
        <v>6.9199999999999999E-3</v>
      </c>
      <c r="C6">
        <v>1028</v>
      </c>
      <c r="D6">
        <v>4</v>
      </c>
      <c r="E6">
        <v>1.7700000000000001E-3</v>
      </c>
      <c r="F6">
        <f t="shared" si="0"/>
        <v>1.7217898832684826E-6</v>
      </c>
    </row>
    <row r="7" spans="1:10" x14ac:dyDescent="0.35">
      <c r="A7">
        <v>3</v>
      </c>
      <c r="B7">
        <v>7.43E-3</v>
      </c>
      <c r="C7">
        <v>1028</v>
      </c>
      <c r="D7">
        <v>4</v>
      </c>
      <c r="E7">
        <v>1.72E-3</v>
      </c>
      <c r="F7">
        <f>E7/C7</f>
        <v>1.6731517509727625E-6</v>
      </c>
    </row>
    <row r="8" spans="1:10" x14ac:dyDescent="0.35">
      <c r="A8">
        <v>4</v>
      </c>
      <c r="B8">
        <v>7.9699999999999997E-3</v>
      </c>
      <c r="C8">
        <v>1028</v>
      </c>
      <c r="D8">
        <v>4.0010000000000003</v>
      </c>
      <c r="E8">
        <v>1.67E-3</v>
      </c>
      <c r="F8">
        <f t="shared" si="0"/>
        <v>1.6245136186770429E-6</v>
      </c>
      <c r="J8" t="s">
        <v>156</v>
      </c>
    </row>
    <row r="9" spans="1:10" x14ac:dyDescent="0.35">
      <c r="A9">
        <v>5</v>
      </c>
      <c r="B9">
        <v>8.5500000000000003E-3</v>
      </c>
      <c r="C9">
        <v>1028</v>
      </c>
      <c r="D9">
        <v>4.0010000000000003</v>
      </c>
      <c r="E9">
        <v>1.6199999999999999E-3</v>
      </c>
      <c r="F9">
        <f t="shared" si="0"/>
        <v>1.5758754863813228E-6</v>
      </c>
    </row>
    <row r="10" spans="1:10" x14ac:dyDescent="0.35">
      <c r="A10">
        <v>6</v>
      </c>
      <c r="B10">
        <v>9.1599999999999997E-3</v>
      </c>
      <c r="C10">
        <v>1028</v>
      </c>
      <c r="D10">
        <v>4.0010000000000003</v>
      </c>
      <c r="E10">
        <v>1.57E-3</v>
      </c>
      <c r="F10">
        <f t="shared" si="0"/>
        <v>1.5272373540856032E-6</v>
      </c>
      <c r="J10" t="s">
        <v>157</v>
      </c>
    </row>
    <row r="11" spans="1:10" x14ac:dyDescent="0.35">
      <c r="A11">
        <v>7</v>
      </c>
      <c r="B11">
        <v>9.8200000000000006E-3</v>
      </c>
      <c r="C11">
        <v>1027</v>
      </c>
      <c r="D11">
        <v>4.0019999999999998</v>
      </c>
      <c r="E11">
        <v>1.5299999999999999E-3</v>
      </c>
      <c r="F11">
        <f t="shared" si="0"/>
        <v>1.4897760467380719E-6</v>
      </c>
    </row>
    <row r="12" spans="1:10" x14ac:dyDescent="0.35">
      <c r="A12">
        <v>8</v>
      </c>
      <c r="B12">
        <v>1.051E-2</v>
      </c>
      <c r="C12">
        <v>1027</v>
      </c>
      <c r="D12">
        <v>4.0019999999999998</v>
      </c>
      <c r="E12">
        <v>1.49E-3</v>
      </c>
      <c r="F12">
        <f t="shared" si="0"/>
        <v>1.4508276533592989E-6</v>
      </c>
      <c r="J12" t="s">
        <v>158</v>
      </c>
    </row>
    <row r="13" spans="1:10" x14ac:dyDescent="0.35">
      <c r="A13">
        <v>9</v>
      </c>
      <c r="B13">
        <v>1.125E-2</v>
      </c>
      <c r="C13">
        <v>1027</v>
      </c>
      <c r="D13">
        <v>4.0019999999999998</v>
      </c>
      <c r="E13">
        <v>1.4499999999999999E-3</v>
      </c>
      <c r="F13">
        <f t="shared" si="0"/>
        <v>1.4118792599805258E-6</v>
      </c>
    </row>
    <row r="14" spans="1:10" x14ac:dyDescent="0.35">
      <c r="A14">
        <v>10</v>
      </c>
      <c r="B14">
        <v>1.2030000000000001E-2</v>
      </c>
      <c r="C14">
        <v>1027</v>
      </c>
      <c r="D14">
        <v>4.0030000000000001</v>
      </c>
      <c r="E14">
        <v>1.41E-3</v>
      </c>
      <c r="F14">
        <f t="shared" si="0"/>
        <v>1.3729308666017527E-6</v>
      </c>
      <c r="J14" t="s">
        <v>159</v>
      </c>
    </row>
    <row r="15" spans="1:10" x14ac:dyDescent="0.35">
      <c r="A15">
        <v>11</v>
      </c>
      <c r="B15">
        <v>1.286E-2</v>
      </c>
      <c r="C15">
        <v>1027</v>
      </c>
      <c r="D15">
        <v>4.0030000000000001</v>
      </c>
      <c r="E15">
        <v>1.3699999999999999E-3</v>
      </c>
      <c r="F15">
        <f t="shared" si="0"/>
        <v>1.3339824732229794E-6</v>
      </c>
    </row>
    <row r="16" spans="1:10" x14ac:dyDescent="0.35">
      <c r="A16">
        <v>12</v>
      </c>
      <c r="B16">
        <v>1.374E-2</v>
      </c>
      <c r="C16">
        <v>1027</v>
      </c>
      <c r="D16">
        <v>4.0030000000000001</v>
      </c>
      <c r="E16">
        <v>1.33E-3</v>
      </c>
      <c r="F16">
        <f t="shared" si="0"/>
        <v>1.2950340798442063E-6</v>
      </c>
      <c r="J16" t="s">
        <v>160</v>
      </c>
    </row>
    <row r="17" spans="1:6" x14ac:dyDescent="0.35">
      <c r="A17">
        <v>13</v>
      </c>
      <c r="B17">
        <v>1.4670000000000001E-2</v>
      </c>
      <c r="C17">
        <v>1026</v>
      </c>
      <c r="D17">
        <v>4.0039999999999996</v>
      </c>
      <c r="E17">
        <v>1.2899999999999999E-3</v>
      </c>
      <c r="F17">
        <f t="shared" si="0"/>
        <v>1.2573099415204678E-6</v>
      </c>
    </row>
    <row r="18" spans="1:6" x14ac:dyDescent="0.35">
      <c r="A18">
        <v>14</v>
      </c>
      <c r="B18">
        <v>1.566E-2</v>
      </c>
      <c r="C18">
        <v>1026</v>
      </c>
      <c r="D18">
        <v>4.0039999999999996</v>
      </c>
      <c r="E18">
        <v>1.2600000000000001E-3</v>
      </c>
      <c r="F18">
        <f t="shared" si="0"/>
        <v>1.2280701754385965E-6</v>
      </c>
    </row>
    <row r="19" spans="1:6" x14ac:dyDescent="0.35">
      <c r="A19">
        <v>15</v>
      </c>
      <c r="B19">
        <v>1.6709999999999999E-2</v>
      </c>
      <c r="C19">
        <v>1026</v>
      </c>
      <c r="D19">
        <v>4.0049999999999999</v>
      </c>
      <c r="E19">
        <v>1.23E-3</v>
      </c>
      <c r="F19">
        <f t="shared" si="0"/>
        <v>1.1988304093567251E-6</v>
      </c>
    </row>
    <row r="20" spans="1:6" x14ac:dyDescent="0.35">
      <c r="A20">
        <v>16</v>
      </c>
      <c r="B20">
        <v>1.7809999999999999E-2</v>
      </c>
      <c r="C20">
        <v>1026</v>
      </c>
      <c r="D20">
        <v>4.0049999999999999</v>
      </c>
      <c r="E20">
        <v>1.1999999999999999E-3</v>
      </c>
      <c r="F20">
        <f t="shared" si="0"/>
        <v>1.1695906432748538E-6</v>
      </c>
    </row>
    <row r="21" spans="1:6" x14ac:dyDescent="0.35">
      <c r="A21">
        <v>17</v>
      </c>
      <c r="B21">
        <v>1.898E-2</v>
      </c>
      <c r="C21">
        <v>1026</v>
      </c>
      <c r="D21">
        <v>4.0060000000000002</v>
      </c>
      <c r="E21">
        <v>1.17E-3</v>
      </c>
      <c r="F21">
        <f t="shared" si="0"/>
        <v>1.1403508771929824E-6</v>
      </c>
    </row>
    <row r="22" spans="1:6" x14ac:dyDescent="0.35">
      <c r="A22">
        <v>18</v>
      </c>
      <c r="B22">
        <v>2.0219999999999998E-2</v>
      </c>
      <c r="C22">
        <v>1025</v>
      </c>
      <c r="D22">
        <v>4.0060000000000002</v>
      </c>
      <c r="E22">
        <v>1.14E-3</v>
      </c>
      <c r="F22">
        <f t="shared" si="0"/>
        <v>1.1121951219512194E-6</v>
      </c>
    </row>
    <row r="23" spans="1:6" x14ac:dyDescent="0.35">
      <c r="A23">
        <v>19</v>
      </c>
      <c r="B23">
        <v>2.1530000000000001E-2</v>
      </c>
      <c r="C23">
        <v>1025</v>
      </c>
      <c r="D23">
        <v>4.0069999999999997</v>
      </c>
      <c r="E23">
        <v>1.1100000000000001E-3</v>
      </c>
      <c r="F23">
        <f t="shared" si="0"/>
        <v>1.0829268292682929E-6</v>
      </c>
    </row>
    <row r="24" spans="1:6" x14ac:dyDescent="0.35">
      <c r="A24">
        <v>20</v>
      </c>
      <c r="B24">
        <v>2.291E-2</v>
      </c>
      <c r="C24">
        <v>1025</v>
      </c>
      <c r="D24">
        <v>4.0069999999999997</v>
      </c>
      <c r="E24">
        <v>1.08E-3</v>
      </c>
      <c r="F24">
        <f t="shared" si="0"/>
        <v>1.053658536585366E-6</v>
      </c>
    </row>
    <row r="25" spans="1:6" x14ac:dyDescent="0.35">
      <c r="A25">
        <v>21</v>
      </c>
      <c r="B25">
        <v>2.4369999999999999E-2</v>
      </c>
      <c r="C25">
        <v>1025</v>
      </c>
      <c r="D25">
        <v>4.0069999999999997</v>
      </c>
      <c r="E25">
        <v>1.0499999999999999E-3</v>
      </c>
      <c r="F25">
        <f t="shared" si="0"/>
        <v>1.024390243902439E-6</v>
      </c>
    </row>
    <row r="26" spans="1:6" x14ac:dyDescent="0.35">
      <c r="A26">
        <v>22</v>
      </c>
      <c r="B26">
        <v>2.5909999999999999E-2</v>
      </c>
      <c r="C26">
        <v>1024</v>
      </c>
      <c r="D26">
        <v>4.008</v>
      </c>
      <c r="E26">
        <v>1.0300000000000001E-3</v>
      </c>
      <c r="F26">
        <f t="shared" si="0"/>
        <v>1.0058593750000001E-6</v>
      </c>
    </row>
    <row r="27" spans="1:6" x14ac:dyDescent="0.35">
      <c r="A27">
        <v>23</v>
      </c>
      <c r="B27">
        <v>2.7529999999999999E-2</v>
      </c>
      <c r="C27">
        <v>1024</v>
      </c>
      <c r="D27">
        <v>4.008</v>
      </c>
      <c r="E27">
        <v>1.01E-3</v>
      </c>
      <c r="F27">
        <f t="shared" si="0"/>
        <v>9.8632812500000005E-7</v>
      </c>
    </row>
    <row r="28" spans="1:6" x14ac:dyDescent="0.35">
      <c r="A28">
        <v>24</v>
      </c>
      <c r="B28">
        <v>2.9239999999999999E-2</v>
      </c>
      <c r="C28">
        <v>1024</v>
      </c>
      <c r="D28">
        <v>4.0090000000000003</v>
      </c>
      <c r="E28">
        <v>9.7999999999999997E-4</v>
      </c>
      <c r="F28">
        <f t="shared" si="0"/>
        <v>9.5703124999999997E-7</v>
      </c>
    </row>
    <row r="29" spans="1:6" x14ac:dyDescent="0.35">
      <c r="A29">
        <v>25</v>
      </c>
      <c r="B29">
        <v>3.1040000000000002E-2</v>
      </c>
      <c r="C29">
        <v>1023</v>
      </c>
      <c r="D29">
        <v>4.0090000000000003</v>
      </c>
      <c r="E29">
        <v>9.6000000000000002E-4</v>
      </c>
      <c r="F29">
        <f t="shared" si="0"/>
        <v>9.3841642228739007E-7</v>
      </c>
    </row>
    <row r="30" spans="1:6" x14ac:dyDescent="0.35">
      <c r="A30">
        <v>26</v>
      </c>
      <c r="B30">
        <v>3.2939999999999997E-2</v>
      </c>
      <c r="C30">
        <v>1023</v>
      </c>
      <c r="D30">
        <v>4.0090000000000003</v>
      </c>
      <c r="E30">
        <v>9.3999999999999997E-4</v>
      </c>
      <c r="F30">
        <f t="shared" si="0"/>
        <v>9.1886608015640272E-7</v>
      </c>
    </row>
    <row r="31" spans="1:6" x14ac:dyDescent="0.35">
      <c r="A31">
        <v>27</v>
      </c>
      <c r="B31">
        <v>3.4939999999999999E-2</v>
      </c>
      <c r="C31">
        <v>1023</v>
      </c>
      <c r="D31">
        <v>4.01</v>
      </c>
      <c r="E31">
        <v>9.2000000000000003E-4</v>
      </c>
      <c r="F31">
        <f t="shared" si="0"/>
        <v>8.9931573802541547E-7</v>
      </c>
    </row>
    <row r="32" spans="1:6" x14ac:dyDescent="0.35">
      <c r="A32">
        <v>28</v>
      </c>
      <c r="B32">
        <v>3.705E-2</v>
      </c>
      <c r="C32">
        <v>1022</v>
      </c>
      <c r="D32">
        <v>4.01</v>
      </c>
      <c r="E32">
        <v>8.9999999999999998E-4</v>
      </c>
      <c r="F32">
        <f t="shared" si="0"/>
        <v>8.8062622309197648E-7</v>
      </c>
    </row>
    <row r="33" spans="1:6" x14ac:dyDescent="0.35">
      <c r="A33">
        <v>29</v>
      </c>
      <c r="B33">
        <v>3.9260000000000003E-2</v>
      </c>
      <c r="C33">
        <v>1022</v>
      </c>
      <c r="D33">
        <v>4.0110000000000001</v>
      </c>
      <c r="E33">
        <v>8.8000000000000003E-4</v>
      </c>
      <c r="F33">
        <f t="shared" si="0"/>
        <v>8.6105675146771045E-7</v>
      </c>
    </row>
    <row r="34" spans="1:6" x14ac:dyDescent="0.35">
      <c r="A34">
        <v>30</v>
      </c>
      <c r="B34">
        <v>4.1590000000000002E-2</v>
      </c>
      <c r="C34">
        <v>1022</v>
      </c>
      <c r="D34">
        <v>4.0110000000000001</v>
      </c>
      <c r="E34">
        <v>8.5999999999999998E-4</v>
      </c>
      <c r="F34">
        <f t="shared" si="0"/>
        <v>8.414872798434442E-7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A554A-ED87-4A47-9277-24141AE4E845}">
  <dimension ref="A21:D25"/>
  <sheetViews>
    <sheetView workbookViewId="0">
      <selection activeCell="D21" sqref="D21"/>
    </sheetView>
  </sheetViews>
  <sheetFormatPr defaultRowHeight="15.5" x14ac:dyDescent="0.35"/>
  <sheetData>
    <row r="21" spans="1:4" x14ac:dyDescent="0.35">
      <c r="C21">
        <v>30000</v>
      </c>
      <c r="D21" t="s">
        <v>179</v>
      </c>
    </row>
    <row r="22" spans="1:4" x14ac:dyDescent="0.35">
      <c r="A22">
        <v>1</v>
      </c>
      <c r="B22">
        <f>0.0408*(C21^-0.088)</f>
        <v>1.6469237507441996E-2</v>
      </c>
    </row>
    <row r="23" spans="1:4" x14ac:dyDescent="0.35">
      <c r="A23">
        <v>2</v>
      </c>
      <c r="B23">
        <f>8.4733*(C21^-0.616)</f>
        <v>1.479605340226639E-2</v>
      </c>
    </row>
    <row r="24" spans="1:4" x14ac:dyDescent="0.35">
      <c r="A24">
        <v>3</v>
      </c>
      <c r="B24">
        <f>4.2805*(C21^-0.558)</f>
        <v>1.3591295071557413E-2</v>
      </c>
    </row>
    <row r="25" spans="1:4" x14ac:dyDescent="0.35">
      <c r="A25">
        <v>4</v>
      </c>
      <c r="B25">
        <f>19.599*(C21^-0.697)</f>
        <v>1.4848425297294639E-2</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C9970-E38D-4730-A5CF-3FE52BDF7603}">
  <dimension ref="A1:AG89"/>
  <sheetViews>
    <sheetView topLeftCell="A5" zoomScale="30" zoomScaleNormal="30" zoomScalePageLayoutView="90" workbookViewId="0">
      <selection activeCell="N20" sqref="A20:N22"/>
    </sheetView>
  </sheetViews>
  <sheetFormatPr defaultColWidth="8.69140625" defaultRowHeight="15.5" x14ac:dyDescent="0.35"/>
  <cols>
    <col min="1" max="4" width="8.69140625" style="2"/>
    <col min="5" max="5" width="12.3046875" style="2" customWidth="1"/>
    <col min="6" max="6" width="15.69140625" style="2" bestFit="1" customWidth="1"/>
    <col min="7" max="7" width="8.53515625" style="2" customWidth="1"/>
    <col min="8" max="8" width="8.69140625" style="2"/>
    <col min="9" max="9" width="15.69140625" style="2" bestFit="1" customWidth="1"/>
    <col min="10" max="10" width="12.23046875" style="2" customWidth="1"/>
    <col min="11" max="11" width="10.4609375" style="2" customWidth="1"/>
    <col min="12" max="12" width="8.53515625" style="3" customWidth="1"/>
    <col min="13" max="13" width="10.4609375" style="4" customWidth="1"/>
    <col min="14" max="14" width="27.3046875" style="4" bestFit="1" customWidth="1"/>
    <col min="15" max="15" width="13.53515625" style="4" bestFit="1" customWidth="1"/>
    <col min="16" max="16" width="27.23046875" style="4" customWidth="1"/>
    <col min="17" max="17" width="12.765625" style="68" customWidth="1"/>
    <col min="18" max="18" width="10" style="2" customWidth="1"/>
    <col min="19" max="19" width="10" style="72" customWidth="1"/>
    <col min="20" max="20" width="8.4609375" style="5" customWidth="1"/>
    <col min="21" max="21" width="10.23046875" style="2" customWidth="1"/>
    <col min="22" max="22" width="13.84375" style="2" customWidth="1"/>
    <col min="23" max="25" width="10" style="2" customWidth="1"/>
    <col min="26" max="26" width="21" style="2" customWidth="1"/>
    <col min="27" max="27" width="8.69140625" style="2" customWidth="1"/>
    <col min="28" max="28" width="8.69140625" style="2"/>
    <col min="29" max="29" width="22" style="2" customWidth="1"/>
    <col min="30" max="30" width="35.84375" style="2" customWidth="1"/>
    <col min="31" max="31" width="16.84375" style="2" customWidth="1"/>
    <col min="32" max="16384" width="8.69140625" style="2"/>
  </cols>
  <sheetData>
    <row r="1" spans="1:31" x14ac:dyDescent="0.35">
      <c r="A1" s="1" t="s">
        <v>0</v>
      </c>
      <c r="I1" s="1" t="s">
        <v>1</v>
      </c>
      <c r="J1" s="1" t="s">
        <v>2</v>
      </c>
      <c r="Q1" s="69" t="s">
        <v>86</v>
      </c>
    </row>
    <row r="2" spans="1:31" x14ac:dyDescent="0.35">
      <c r="A2" s="1"/>
      <c r="I2" s="1"/>
      <c r="J2" s="1"/>
      <c r="Q2" s="69" t="s">
        <v>85</v>
      </c>
    </row>
    <row r="3" spans="1:31" x14ac:dyDescent="0.35">
      <c r="A3" s="150" t="s">
        <v>3</v>
      </c>
      <c r="B3" s="150"/>
      <c r="C3" s="150"/>
      <c r="D3" s="150"/>
      <c r="E3" s="150"/>
      <c r="F3" s="150"/>
      <c r="G3" s="150"/>
      <c r="H3" s="150"/>
      <c r="I3" s="150"/>
      <c r="J3" s="150"/>
      <c r="K3" s="150"/>
      <c r="L3" s="150"/>
      <c r="M3" s="150"/>
      <c r="N3" s="150"/>
      <c r="O3" s="6"/>
      <c r="P3" s="6"/>
      <c r="T3" s="7"/>
    </row>
    <row r="4" spans="1:31" x14ac:dyDescent="0.35">
      <c r="Q4" s="152" t="s">
        <v>81</v>
      </c>
      <c r="R4" s="153"/>
      <c r="S4" s="154"/>
    </row>
    <row r="5" spans="1:31"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T5" s="14"/>
      <c r="U5" s="15" t="s">
        <v>19</v>
      </c>
      <c r="V5" s="16" t="s">
        <v>14</v>
      </c>
      <c r="W5" s="15" t="s">
        <v>20</v>
      </c>
      <c r="X5" s="16" t="s">
        <v>21</v>
      </c>
      <c r="Y5" s="16"/>
      <c r="Z5" s="151" t="s">
        <v>22</v>
      </c>
      <c r="AA5" s="151"/>
    </row>
    <row r="6" spans="1:31" x14ac:dyDescent="0.35">
      <c r="A6" s="17" t="s">
        <v>23</v>
      </c>
      <c r="B6" s="18">
        <v>0</v>
      </c>
      <c r="C6" s="19">
        <f t="shared" ref="C6:C18" si="0">B6*0.0166667</f>
        <v>0</v>
      </c>
      <c r="D6" s="19">
        <f t="shared" ref="D6:D18" si="1">B6*0.000277778</f>
        <v>0</v>
      </c>
      <c r="E6" s="3">
        <f t="shared" ref="E6:E18" si="2">0.001*D6</f>
        <v>0</v>
      </c>
      <c r="F6" s="19">
        <f t="shared" ref="F6:F18" si="3">E6/AA$7</f>
        <v>0</v>
      </c>
      <c r="G6" s="19">
        <f t="shared" ref="G6:G18" si="4">F6^(2)</f>
        <v>0</v>
      </c>
      <c r="H6" s="19">
        <f t="shared" ref="H6:H18" si="5">F6*1.94384</f>
        <v>0</v>
      </c>
      <c r="I6" s="20">
        <v>0</v>
      </c>
      <c r="J6" s="20">
        <f t="shared" ref="J6:J18" si="6">I6 * 10</f>
        <v>0</v>
      </c>
      <c r="K6" s="21">
        <f t="shared" ref="K6:K18" si="7">J6*100</f>
        <v>0</v>
      </c>
      <c r="L6" s="3">
        <f t="shared" ref="L6:L18" si="8">(F6*AA$11)/AA$12</f>
        <v>0</v>
      </c>
      <c r="U6" s="22">
        <v>0</v>
      </c>
      <c r="V6" s="23">
        <f t="shared" ref="V6:V31" si="9">(U6*AA$11)/AA$12</f>
        <v>0</v>
      </c>
      <c r="W6" s="23"/>
      <c r="X6" s="23"/>
      <c r="Y6" s="23"/>
    </row>
    <row r="7" spans="1:31" x14ac:dyDescent="0.35">
      <c r="A7" s="2" t="s">
        <v>52</v>
      </c>
      <c r="B7" s="2">
        <v>2050</v>
      </c>
      <c r="C7" s="19">
        <f t="shared" si="0"/>
        <v>34.166734999999996</v>
      </c>
      <c r="D7" s="19">
        <f t="shared" si="1"/>
        <v>0.56944490000000003</v>
      </c>
      <c r="E7" s="3">
        <f t="shared" si="2"/>
        <v>5.6944490000000009E-4</v>
      </c>
      <c r="F7" s="19">
        <f t="shared" si="3"/>
        <v>1.1988313684210528</v>
      </c>
      <c r="G7" s="19">
        <f t="shared" si="4"/>
        <v>1.4371966499102939</v>
      </c>
      <c r="H7" s="19">
        <f t="shared" si="5"/>
        <v>2.3303363671915793</v>
      </c>
      <c r="I7" s="2">
        <v>1.7650999999999994</v>
      </c>
      <c r="J7" s="20">
        <f t="shared" si="6"/>
        <v>17.650999999999996</v>
      </c>
      <c r="K7" s="21">
        <f t="shared" si="7"/>
        <v>1765.0999999999997</v>
      </c>
      <c r="L7" s="3">
        <f t="shared" si="8"/>
        <v>15586.246962785113</v>
      </c>
      <c r="M7" s="4">
        <f t="shared" ref="M7:M18" si="10">(AA$15*G7*N7)/8</f>
        <v>8.8069590336134418</v>
      </c>
      <c r="N7" s="4">
        <f t="shared" ref="N7:N18" si="11">(K7*2*AA$11)/(AA$13*AA$15*G7)</f>
        <v>4.7780688801643406E-2</v>
      </c>
      <c r="O7" s="4">
        <f t="shared" ref="O7:O18" si="12">N7/4</f>
        <v>1.1945172200410852E-2</v>
      </c>
      <c r="P7" s="4">
        <f t="shared" ref="P7:P18" si="13">3.7*(10^(-1/(2*SQRT(N7)))-2.51/(L7*SQRT(N7)))</f>
        <v>1.636353922278988E-2</v>
      </c>
      <c r="U7" s="22">
        <v>0.1</v>
      </c>
      <c r="V7" s="23">
        <f t="shared" si="9"/>
        <v>1300.1200480192076</v>
      </c>
      <c r="W7" s="23">
        <f t="shared" ref="W7:W31" si="14">0.292/(V7^(0.25))</f>
        <v>4.8628064899976904E-2</v>
      </c>
      <c r="X7" s="23">
        <f>0.0791/(V7^0.25)</f>
        <v>1.3172876484891004E-2</v>
      </c>
      <c r="Y7" s="23"/>
      <c r="Z7" s="1" t="s">
        <v>24</v>
      </c>
      <c r="AA7" s="2">
        <f>AA$9*AA$10</f>
        <v>4.75E-4</v>
      </c>
    </row>
    <row r="8" spans="1:31" x14ac:dyDescent="0.35">
      <c r="A8" s="2" t="s">
        <v>53</v>
      </c>
      <c r="B8" s="2">
        <v>2750</v>
      </c>
      <c r="C8" s="19">
        <f t="shared" si="0"/>
        <v>45.833424999999998</v>
      </c>
      <c r="D8" s="19">
        <f t="shared" si="1"/>
        <v>0.7638895</v>
      </c>
      <c r="E8" s="3">
        <f t="shared" si="2"/>
        <v>7.6388949999999997E-4</v>
      </c>
      <c r="F8" s="19">
        <f t="shared" si="3"/>
        <v>1.6081884210526316</v>
      </c>
      <c r="G8" s="19">
        <f t="shared" si="4"/>
        <v>2.5862699976077561</v>
      </c>
      <c r="H8" s="19">
        <f t="shared" si="5"/>
        <v>3.1260609803789476</v>
      </c>
      <c r="I8" s="2">
        <v>2.8186</v>
      </c>
      <c r="J8" s="20">
        <f t="shared" si="6"/>
        <v>28.186</v>
      </c>
      <c r="K8" s="21">
        <f t="shared" si="7"/>
        <v>2818.6</v>
      </c>
      <c r="L8" s="3">
        <f t="shared" si="8"/>
        <v>20908.380072028813</v>
      </c>
      <c r="M8" s="4">
        <f>(AA$15*G8*N8)/8</f>
        <v>14.063392857142855</v>
      </c>
      <c r="N8" s="4">
        <f t="shared" si="11"/>
        <v>4.239931822954067E-2</v>
      </c>
      <c r="O8" s="4">
        <f t="shared" si="12"/>
        <v>1.0599829557385167E-2</v>
      </c>
      <c r="P8" s="4">
        <f t="shared" si="13"/>
        <v>1.1645684597240649E-2</v>
      </c>
      <c r="Q8" s="78">
        <v>1052205.7966666669</v>
      </c>
      <c r="R8" s="61">
        <v>21499.819333333333</v>
      </c>
      <c r="S8" s="79">
        <v>45.044666666666672</v>
      </c>
      <c r="U8" s="22">
        <v>0.2</v>
      </c>
      <c r="V8" s="23">
        <f t="shared" si="9"/>
        <v>2600.2400960384152</v>
      </c>
      <c r="W8" s="23">
        <f t="shared" si="14"/>
        <v>4.0891165455115557E-2</v>
      </c>
      <c r="X8" s="23">
        <f t="shared" ref="X8:X31" si="15">0.0791/(V8^0.25)</f>
        <v>1.1077024614724798E-2</v>
      </c>
      <c r="Y8" s="23"/>
      <c r="Z8" s="2" t="s">
        <v>25</v>
      </c>
    </row>
    <row r="9" spans="1:31" ht="19" x14ac:dyDescent="0.4">
      <c r="A9" s="2" t="s">
        <v>54</v>
      </c>
      <c r="B9" s="2">
        <v>3500</v>
      </c>
      <c r="C9" s="19">
        <f t="shared" si="0"/>
        <v>58.333449999999999</v>
      </c>
      <c r="D9" s="19">
        <f t="shared" si="1"/>
        <v>0.97222300000000006</v>
      </c>
      <c r="E9" s="3">
        <f t="shared" si="2"/>
        <v>9.7222300000000003E-4</v>
      </c>
      <c r="F9" s="19">
        <f t="shared" si="3"/>
        <v>2.0467852631578949</v>
      </c>
      <c r="G9" s="19">
        <f t="shared" si="4"/>
        <v>4.189329913480333</v>
      </c>
      <c r="H9" s="19">
        <f t="shared" si="5"/>
        <v>3.9786230659368425</v>
      </c>
      <c r="I9" s="2">
        <v>4.2865999999999991</v>
      </c>
      <c r="J9" s="20">
        <f t="shared" si="6"/>
        <v>42.865999999999993</v>
      </c>
      <c r="K9" s="21">
        <f t="shared" si="7"/>
        <v>4286.5999999999995</v>
      </c>
      <c r="L9" s="3">
        <f t="shared" si="8"/>
        <v>26610.665546218486</v>
      </c>
      <c r="M9" s="4">
        <f t="shared" si="10"/>
        <v>21.387972689075628</v>
      </c>
      <c r="N9" s="4">
        <f t="shared" si="11"/>
        <v>3.9807754863560557E-2</v>
      </c>
      <c r="O9" s="4">
        <f t="shared" si="12"/>
        <v>9.9519387158901393E-3</v>
      </c>
      <c r="P9" s="4">
        <f t="shared" si="13"/>
        <v>9.7899247158027888E-3</v>
      </c>
      <c r="Q9" s="78">
        <v>1018428.9990000001</v>
      </c>
      <c r="R9" s="61">
        <v>20876.273000000001</v>
      </c>
      <c r="S9" s="79">
        <v>45.397999999999996</v>
      </c>
      <c r="U9" s="22">
        <v>0.3</v>
      </c>
      <c r="V9" s="23">
        <f t="shared" si="9"/>
        <v>3900.3601440576222</v>
      </c>
      <c r="W9" s="23">
        <f t="shared" si="14"/>
        <v>3.6949339035184089E-2</v>
      </c>
      <c r="X9" s="23">
        <f t="shared" si="15"/>
        <v>1.0009221635900897E-2</v>
      </c>
      <c r="Y9" s="23"/>
      <c r="Z9" s="1" t="s">
        <v>26</v>
      </c>
      <c r="AA9" s="19">
        <v>0.05</v>
      </c>
      <c r="AD9" s="27" t="s">
        <v>27</v>
      </c>
    </row>
    <row r="10" spans="1:31" ht="18.5" x14ac:dyDescent="0.35">
      <c r="A10" s="2" t="s">
        <v>55</v>
      </c>
      <c r="B10" s="2">
        <v>4250</v>
      </c>
      <c r="C10" s="19">
        <f t="shared" si="0"/>
        <v>70.833474999999993</v>
      </c>
      <c r="D10" s="19">
        <f t="shared" si="1"/>
        <v>1.1805565</v>
      </c>
      <c r="E10" s="3">
        <f t="shared" si="2"/>
        <v>1.1805565000000001E-3</v>
      </c>
      <c r="F10" s="19">
        <f t="shared" si="3"/>
        <v>2.4853821052631582</v>
      </c>
      <c r="G10" s="19">
        <f t="shared" si="4"/>
        <v>6.1771242091623284</v>
      </c>
      <c r="H10" s="19">
        <f t="shared" si="5"/>
        <v>4.8311851514947373</v>
      </c>
      <c r="I10" s="2">
        <v>6.1460999999999988</v>
      </c>
      <c r="J10" s="20">
        <f t="shared" si="6"/>
        <v>61.460999999999984</v>
      </c>
      <c r="K10" s="21">
        <f t="shared" si="7"/>
        <v>6146.0999999999985</v>
      </c>
      <c r="L10" s="3">
        <f t="shared" si="8"/>
        <v>32312.951020408163</v>
      </c>
      <c r="M10" s="4">
        <f t="shared" si="10"/>
        <v>30.665940126050408</v>
      </c>
      <c r="N10" s="4">
        <f t="shared" si="11"/>
        <v>3.8709055567158243E-2</v>
      </c>
      <c r="O10" s="4">
        <f t="shared" si="12"/>
        <v>9.6772638917895608E-3</v>
      </c>
      <c r="P10" s="4">
        <f t="shared" si="13"/>
        <v>9.1771012322752286E-3</v>
      </c>
      <c r="Q10" s="2">
        <v>1059115.1285000001</v>
      </c>
      <c r="R10" s="2">
        <v>21145.369500000001</v>
      </c>
      <c r="S10" s="2">
        <v>44.158500000000004</v>
      </c>
      <c r="U10" s="22">
        <v>0.4</v>
      </c>
      <c r="V10" s="23">
        <f t="shared" si="9"/>
        <v>5200.4801920768305</v>
      </c>
      <c r="W10" s="23">
        <f t="shared" si="14"/>
        <v>3.4385234446753205E-2</v>
      </c>
      <c r="X10" s="23">
        <f t="shared" si="15"/>
        <v>9.3146302901992422E-3</v>
      </c>
      <c r="Y10" s="23"/>
      <c r="Z10" s="1" t="s">
        <v>28</v>
      </c>
      <c r="AA10" s="19">
        <v>9.4999999999999998E-3</v>
      </c>
      <c r="AD10" s="28" t="s">
        <v>29</v>
      </c>
      <c r="AE10" s="2" t="s">
        <v>30</v>
      </c>
    </row>
    <row r="11" spans="1:31" ht="16.5" x14ac:dyDescent="0.4">
      <c r="A11" s="2" t="s">
        <v>56</v>
      </c>
      <c r="B11" s="2">
        <v>4900</v>
      </c>
      <c r="C11" s="19">
        <f t="shared" si="0"/>
        <v>81.666830000000004</v>
      </c>
      <c r="D11" s="19">
        <f t="shared" si="1"/>
        <v>1.3611122</v>
      </c>
      <c r="E11" s="3">
        <f t="shared" si="2"/>
        <v>1.3611122000000001E-3</v>
      </c>
      <c r="F11" s="19">
        <f t="shared" si="3"/>
        <v>2.865499368421053</v>
      </c>
      <c r="G11" s="19">
        <f t="shared" si="4"/>
        <v>8.2110866304214536</v>
      </c>
      <c r="H11" s="19">
        <f t="shared" si="5"/>
        <v>5.57007229231158</v>
      </c>
      <c r="I11" s="2">
        <v>8.0100999999999978</v>
      </c>
      <c r="J11" s="20">
        <f t="shared" si="6"/>
        <v>80.100999999999971</v>
      </c>
      <c r="K11" s="21">
        <f t="shared" si="7"/>
        <v>8010.0999999999967</v>
      </c>
      <c r="L11" s="3">
        <f t="shared" si="8"/>
        <v>37254.931764705885</v>
      </c>
      <c r="M11" s="4">
        <f t="shared" si="10"/>
        <v>39.966360294117621</v>
      </c>
      <c r="N11" s="4">
        <f t="shared" si="11"/>
        <v>3.7952168127230637E-2</v>
      </c>
      <c r="O11" s="4">
        <f t="shared" si="12"/>
        <v>9.4880420318076593E-3</v>
      </c>
      <c r="P11" s="4">
        <f t="shared" si="13"/>
        <v>8.7582369165272247E-3</v>
      </c>
      <c r="Q11" s="68">
        <v>1064313.7119999998</v>
      </c>
      <c r="R11" s="2">
        <v>21366.888999999999</v>
      </c>
      <c r="S11" s="72">
        <v>43.708500000000001</v>
      </c>
      <c r="U11" s="22">
        <v>0.5</v>
      </c>
      <c r="V11" s="23">
        <f t="shared" si="9"/>
        <v>6500.6002400960379</v>
      </c>
      <c r="W11" s="23">
        <f t="shared" si="14"/>
        <v>3.251954695162379E-2</v>
      </c>
      <c r="X11" s="23">
        <f t="shared" si="15"/>
        <v>8.8092334379227481E-3</v>
      </c>
      <c r="Y11" s="23"/>
      <c r="Z11" s="1" t="s">
        <v>31</v>
      </c>
      <c r="AA11" s="4">
        <f>2*(AA9*AA10)/(AA9+AA10)</f>
        <v>1.5966386554621848E-2</v>
      </c>
      <c r="AB11" s="1">
        <f>10*AA11*100</f>
        <v>15.966386554621847</v>
      </c>
      <c r="AD11" s="27" t="s">
        <v>32</v>
      </c>
      <c r="AE11" s="2" t="s">
        <v>33</v>
      </c>
    </row>
    <row r="12" spans="1:31" ht="18.5" x14ac:dyDescent="0.35">
      <c r="A12" s="2" t="s">
        <v>63</v>
      </c>
      <c r="B12" s="2">
        <v>5550</v>
      </c>
      <c r="C12" s="19">
        <f t="shared" si="0"/>
        <v>92.500185000000002</v>
      </c>
      <c r="D12" s="19">
        <f t="shared" si="1"/>
        <v>1.5416679</v>
      </c>
      <c r="E12" s="3">
        <f t="shared" si="2"/>
        <v>1.5416678999999999E-3</v>
      </c>
      <c r="F12" s="19">
        <f t="shared" si="3"/>
        <v>3.245616631578947</v>
      </c>
      <c r="G12" s="19">
        <f t="shared" si="4"/>
        <v>10.53402731918187</v>
      </c>
      <c r="H12" s="19">
        <f t="shared" si="5"/>
        <v>6.30895943312842</v>
      </c>
      <c r="I12" s="2">
        <v>9.8336000000000006</v>
      </c>
      <c r="J12" s="20">
        <f t="shared" si="6"/>
        <v>98.336000000000013</v>
      </c>
      <c r="K12" s="21">
        <f t="shared" si="7"/>
        <v>9833.6000000000022</v>
      </c>
      <c r="L12" s="3">
        <f t="shared" si="8"/>
        <v>42196.912509003596</v>
      </c>
      <c r="M12" s="4">
        <f t="shared" si="10"/>
        <v>49.064705882352946</v>
      </c>
      <c r="N12" s="4">
        <f t="shared" si="11"/>
        <v>3.6317620460654967E-2</v>
      </c>
      <c r="O12" s="4">
        <f t="shared" si="12"/>
        <v>9.0794051151637419E-3</v>
      </c>
      <c r="P12" s="4">
        <f t="shared" si="13"/>
        <v>7.64585872423238E-3</v>
      </c>
      <c r="Q12" s="78">
        <v>1078627.0009999999</v>
      </c>
      <c r="R12" s="61">
        <v>21600.528333333332</v>
      </c>
      <c r="S12" s="79">
        <v>43.066000000000003</v>
      </c>
      <c r="U12" s="22">
        <v>0.6</v>
      </c>
      <c r="V12" s="23">
        <f t="shared" si="9"/>
        <v>7800.7202881152443</v>
      </c>
      <c r="W12" s="23">
        <f t="shared" si="14"/>
        <v>3.1070566740680445E-2</v>
      </c>
      <c r="X12" s="23">
        <f t="shared" si="15"/>
        <v>8.4167185931089839E-3</v>
      </c>
      <c r="Y12" s="23"/>
      <c r="Z12" s="1" t="s">
        <v>34</v>
      </c>
      <c r="AA12" s="31">
        <f>AA$16/AA$15</f>
        <v>1.2280701754385965E-6</v>
      </c>
    </row>
    <row r="13" spans="1:31" ht="16.5" x14ac:dyDescent="0.4">
      <c r="A13" s="2" t="s">
        <v>62</v>
      </c>
      <c r="B13" s="2">
        <v>5200</v>
      </c>
      <c r="C13" s="19">
        <f t="shared" si="0"/>
        <v>86.666839999999993</v>
      </c>
      <c r="D13" s="19">
        <f t="shared" si="1"/>
        <v>1.4444456000000001</v>
      </c>
      <c r="E13" s="3">
        <f t="shared" si="2"/>
        <v>1.4444456000000001E-3</v>
      </c>
      <c r="F13" s="19">
        <f t="shared" si="3"/>
        <v>3.0409381052631583</v>
      </c>
      <c r="G13" s="19">
        <f t="shared" si="4"/>
        <v>9.2473045600414867</v>
      </c>
      <c r="H13" s="19">
        <f t="shared" si="5"/>
        <v>5.9110971265347381</v>
      </c>
      <c r="I13" s="2">
        <v>8.3116000000000003</v>
      </c>
      <c r="J13" s="20">
        <f t="shared" si="6"/>
        <v>83.116</v>
      </c>
      <c r="K13" s="21">
        <f t="shared" si="7"/>
        <v>8311.6</v>
      </c>
      <c r="L13" s="3">
        <f t="shared" si="8"/>
        <v>39535.845954381759</v>
      </c>
      <c r="M13" s="4">
        <f t="shared" si="10"/>
        <v>41.470693277310922</v>
      </c>
      <c r="N13" s="4">
        <f t="shared" si="11"/>
        <v>3.4967836311893985E-2</v>
      </c>
      <c r="O13" s="4">
        <f t="shared" si="12"/>
        <v>8.7419590779734963E-3</v>
      </c>
      <c r="P13" s="4">
        <f t="shared" si="13"/>
        <v>6.5846265361983502E-3</v>
      </c>
      <c r="Q13" s="78">
        <v>1078627.0009999999</v>
      </c>
      <c r="R13" s="61">
        <v>21600.528333333332</v>
      </c>
      <c r="S13" s="79">
        <v>43.066000000000003</v>
      </c>
      <c r="U13" s="22">
        <v>0.7</v>
      </c>
      <c r="V13" s="23">
        <f t="shared" si="9"/>
        <v>9100.8403361344535</v>
      </c>
      <c r="W13" s="23">
        <f t="shared" si="14"/>
        <v>2.9895958201451016E-2</v>
      </c>
      <c r="X13" s="23">
        <f t="shared" si="15"/>
        <v>8.0985284032012873E-3</v>
      </c>
      <c r="Y13" s="23"/>
      <c r="Z13" s="1" t="s">
        <v>35</v>
      </c>
      <c r="AA13" s="32">
        <v>0.8</v>
      </c>
      <c r="AD13" s="27" t="s">
        <v>36</v>
      </c>
      <c r="AE13" s="1" t="s">
        <v>37</v>
      </c>
    </row>
    <row r="14" spans="1:31" x14ac:dyDescent="0.35">
      <c r="A14" s="2" t="s">
        <v>57</v>
      </c>
      <c r="B14" s="2">
        <v>4550</v>
      </c>
      <c r="C14" s="19">
        <f t="shared" si="0"/>
        <v>75.833484999999996</v>
      </c>
      <c r="D14" s="19">
        <f t="shared" si="1"/>
        <v>1.2638899000000001</v>
      </c>
      <c r="E14" s="3">
        <f t="shared" si="2"/>
        <v>1.2638899000000001E-3</v>
      </c>
      <c r="F14" s="19">
        <f t="shared" si="3"/>
        <v>2.6608208421052635</v>
      </c>
      <c r="G14" s="19">
        <f t="shared" si="4"/>
        <v>7.0799675537817635</v>
      </c>
      <c r="H14" s="19">
        <f t="shared" si="5"/>
        <v>5.1722099857178954</v>
      </c>
      <c r="I14" s="2">
        <v>6.3966000000000012</v>
      </c>
      <c r="J14" s="20">
        <f t="shared" si="6"/>
        <v>63.966000000000008</v>
      </c>
      <c r="K14" s="21">
        <f t="shared" si="7"/>
        <v>6396.6</v>
      </c>
      <c r="L14" s="3">
        <f t="shared" si="8"/>
        <v>34593.865210084034</v>
      </c>
      <c r="M14" s="4">
        <f t="shared" si="10"/>
        <v>31.915808823529407</v>
      </c>
      <c r="N14" s="4">
        <f t="shared" si="11"/>
        <v>3.5149343165760731E-2</v>
      </c>
      <c r="O14" s="4">
        <f t="shared" si="12"/>
        <v>8.7873357914401828E-3</v>
      </c>
      <c r="P14" s="4">
        <f t="shared" si="13"/>
        <v>6.5346843925272301E-3</v>
      </c>
      <c r="Q14" s="68">
        <v>1069671.71</v>
      </c>
      <c r="R14" s="2">
        <v>21899.074000000001</v>
      </c>
      <c r="S14" s="72">
        <v>42.662999999999997</v>
      </c>
      <c r="U14" s="22">
        <v>0.8</v>
      </c>
      <c r="V14" s="23">
        <f t="shared" si="9"/>
        <v>10400.960384153661</v>
      </c>
      <c r="W14" s="23">
        <f t="shared" si="14"/>
        <v>2.8914420383933312E-2</v>
      </c>
      <c r="X14" s="23">
        <f t="shared" si="15"/>
        <v>7.8326392204422102E-3</v>
      </c>
      <c r="Y14" s="23"/>
      <c r="AA14" s="32"/>
    </row>
    <row r="15" spans="1:31" x14ac:dyDescent="0.35">
      <c r="A15" s="2" t="s">
        <v>58</v>
      </c>
      <c r="B15" s="2">
        <v>3900</v>
      </c>
      <c r="C15" s="19">
        <f t="shared" si="0"/>
        <v>65.000129999999999</v>
      </c>
      <c r="D15" s="19">
        <f t="shared" si="1"/>
        <v>1.0833342000000001</v>
      </c>
      <c r="E15" s="3">
        <f t="shared" si="2"/>
        <v>1.0833342000000001E-3</v>
      </c>
      <c r="F15" s="19">
        <f t="shared" si="3"/>
        <v>2.2807035789473686</v>
      </c>
      <c r="G15" s="19">
        <f t="shared" si="4"/>
        <v>5.2016088150233362</v>
      </c>
      <c r="H15" s="19">
        <f t="shared" si="5"/>
        <v>4.4333228449010527</v>
      </c>
      <c r="I15" s="2">
        <v>4.7905999999999995</v>
      </c>
      <c r="J15" s="20">
        <f t="shared" si="6"/>
        <v>47.905999999999992</v>
      </c>
      <c r="K15" s="21">
        <f t="shared" si="7"/>
        <v>4790.5999999999995</v>
      </c>
      <c r="L15" s="3">
        <f t="shared" si="8"/>
        <v>29651.884465786316</v>
      </c>
      <c r="M15" s="4">
        <f t="shared" si="10"/>
        <v>23.902678571428563</v>
      </c>
      <c r="N15" s="4">
        <f t="shared" si="11"/>
        <v>3.5830387867186272E-2</v>
      </c>
      <c r="O15" s="4">
        <f t="shared" si="12"/>
        <v>8.9575969667965681E-3</v>
      </c>
      <c r="P15" s="4">
        <f t="shared" si="13"/>
        <v>6.793121421903317E-3</v>
      </c>
      <c r="Q15" s="78">
        <v>1081288.3404999999</v>
      </c>
      <c r="R15" s="61">
        <v>21778.300499999998</v>
      </c>
      <c r="S15" s="79">
        <v>43.021000000000001</v>
      </c>
      <c r="T15" s="34"/>
      <c r="U15" s="22">
        <v>0.9</v>
      </c>
      <c r="V15" s="23">
        <f t="shared" si="9"/>
        <v>11701.08043217287</v>
      </c>
      <c r="W15" s="23">
        <f t="shared" si="14"/>
        <v>2.8075426360172261E-2</v>
      </c>
      <c r="X15" s="23">
        <f t="shared" si="15"/>
        <v>7.6053637845535137E-3</v>
      </c>
      <c r="Y15" s="23"/>
      <c r="Z15" s="2" t="s">
        <v>38</v>
      </c>
      <c r="AA15" s="32">
        <f>VLOOKUP(AA17, SW!A4:F34, 3, FALSE)</f>
        <v>1026</v>
      </c>
      <c r="AB15" s="32"/>
    </row>
    <row r="16" spans="1:31" x14ac:dyDescent="0.35">
      <c r="A16" s="2" t="s">
        <v>59</v>
      </c>
      <c r="B16" s="2">
        <v>3100</v>
      </c>
      <c r="C16" s="19">
        <f t="shared" si="0"/>
        <v>51.66677</v>
      </c>
      <c r="D16" s="19">
        <f t="shared" si="1"/>
        <v>0.86111179999999998</v>
      </c>
      <c r="E16" s="3">
        <f t="shared" si="2"/>
        <v>8.6111179999999996E-4</v>
      </c>
      <c r="F16" s="19">
        <f t="shared" si="3"/>
        <v>1.8128669473684209</v>
      </c>
      <c r="G16" s="19">
        <f t="shared" si="4"/>
        <v>3.2864865688608971</v>
      </c>
      <c r="H16" s="19">
        <f t="shared" si="5"/>
        <v>3.5239232869726314</v>
      </c>
      <c r="I16" s="2">
        <v>3.1181000000000001</v>
      </c>
      <c r="J16" s="20">
        <f t="shared" si="6"/>
        <v>31.181000000000001</v>
      </c>
      <c r="K16" s="21">
        <f t="shared" si="7"/>
        <v>3118.1</v>
      </c>
      <c r="L16" s="3">
        <f t="shared" si="8"/>
        <v>23569.446626650657</v>
      </c>
      <c r="M16" s="4">
        <f t="shared" si="10"/>
        <v>15.557746848739493</v>
      </c>
      <c r="N16" s="4">
        <f t="shared" si="11"/>
        <v>3.6911140541658324E-2</v>
      </c>
      <c r="O16" s="4">
        <f t="shared" si="12"/>
        <v>9.2277851354145811E-3</v>
      </c>
      <c r="P16" s="4">
        <f t="shared" si="13"/>
        <v>7.1896515737137857E-3</v>
      </c>
      <c r="Q16" s="78">
        <v>1092811.9010000001</v>
      </c>
      <c r="R16" s="61">
        <v>21601.076000000001</v>
      </c>
      <c r="S16" s="79">
        <v>42.613500000000002</v>
      </c>
      <c r="U16" s="22">
        <v>1</v>
      </c>
      <c r="V16" s="23">
        <f t="shared" si="9"/>
        <v>13001.200480192076</v>
      </c>
      <c r="W16" s="23">
        <f t="shared" si="14"/>
        <v>2.7345570457295312E-2</v>
      </c>
      <c r="X16" s="23">
        <f t="shared" si="15"/>
        <v>7.4076528190823955E-3</v>
      </c>
      <c r="Y16" s="23"/>
      <c r="Z16" s="2" t="s">
        <v>39</v>
      </c>
      <c r="AA16" s="32">
        <f>VLOOKUP(AA17, SW!A4:F34, 5, FALSE)</f>
        <v>1.2600000000000001E-3</v>
      </c>
    </row>
    <row r="17" spans="1:33" x14ac:dyDescent="0.35">
      <c r="A17" s="2" t="s">
        <v>60</v>
      </c>
      <c r="B17" s="2">
        <v>2500</v>
      </c>
      <c r="C17" s="19">
        <f t="shared" si="0"/>
        <v>41.66675</v>
      </c>
      <c r="D17" s="19">
        <f t="shared" si="1"/>
        <v>0.69444499999999998</v>
      </c>
      <c r="E17" s="3">
        <f t="shared" si="2"/>
        <v>6.9444500000000002E-4</v>
      </c>
      <c r="F17" s="19">
        <f t="shared" si="3"/>
        <v>1.4619894736842105</v>
      </c>
      <c r="G17" s="19">
        <f t="shared" si="4"/>
        <v>2.1374132211634347</v>
      </c>
      <c r="H17" s="19">
        <f t="shared" si="5"/>
        <v>2.8418736185263156</v>
      </c>
      <c r="I17" s="2">
        <v>1.9135999999999991</v>
      </c>
      <c r="J17" s="20">
        <f t="shared" si="6"/>
        <v>19.135999999999992</v>
      </c>
      <c r="K17" s="21">
        <f t="shared" si="7"/>
        <v>1913.5999999999992</v>
      </c>
      <c r="L17" s="3">
        <f t="shared" si="8"/>
        <v>19007.618247298917</v>
      </c>
      <c r="M17" s="4">
        <f t="shared" si="10"/>
        <v>9.54789915966386</v>
      </c>
      <c r="N17" s="4">
        <f t="shared" si="11"/>
        <v>3.4830680405342825E-2</v>
      </c>
      <c r="O17" s="4">
        <f t="shared" si="12"/>
        <v>8.7076701013357061E-3</v>
      </c>
      <c r="P17" s="4">
        <f t="shared" si="13"/>
        <v>5.1284384500313142E-3</v>
      </c>
      <c r="Q17" s="78">
        <v>1106837.3870000001</v>
      </c>
      <c r="R17" s="61">
        <v>21572.584000000003</v>
      </c>
      <c r="S17" s="79">
        <v>42.8125</v>
      </c>
      <c r="T17" s="14"/>
      <c r="U17" s="22">
        <v>1.1000000000000001</v>
      </c>
      <c r="V17" s="23">
        <f t="shared" si="9"/>
        <v>14301.320528211285</v>
      </c>
      <c r="W17" s="23">
        <f t="shared" si="14"/>
        <v>2.6701694107557711E-2</v>
      </c>
      <c r="X17" s="23">
        <f t="shared" si="15"/>
        <v>7.2332328900952571E-3</v>
      </c>
      <c r="Y17" s="23"/>
      <c r="Z17" s="2" t="s">
        <v>161</v>
      </c>
      <c r="AA17" s="2">
        <v>14</v>
      </c>
    </row>
    <row r="18" spans="1:33" x14ac:dyDescent="0.35">
      <c r="A18" s="2" t="s">
        <v>61</v>
      </c>
      <c r="B18" s="2">
        <v>1700</v>
      </c>
      <c r="C18" s="19">
        <f t="shared" si="0"/>
        <v>28.333389999999998</v>
      </c>
      <c r="D18" s="19">
        <f t="shared" si="1"/>
        <v>0.47222259999999999</v>
      </c>
      <c r="E18" s="3">
        <f t="shared" si="2"/>
        <v>4.7222259999999999E-4</v>
      </c>
      <c r="F18" s="19">
        <f t="shared" si="3"/>
        <v>0.99415284210526311</v>
      </c>
      <c r="G18" s="19">
        <f t="shared" si="4"/>
        <v>0.98833987346597219</v>
      </c>
      <c r="H18" s="19">
        <f t="shared" si="5"/>
        <v>1.9324740605978947</v>
      </c>
      <c r="I18" s="2">
        <v>0.79985000000000017</v>
      </c>
      <c r="J18" s="20">
        <f t="shared" si="6"/>
        <v>7.9985000000000017</v>
      </c>
      <c r="K18" s="21">
        <f t="shared" si="7"/>
        <v>799.85000000000014</v>
      </c>
      <c r="L18" s="3">
        <f t="shared" si="8"/>
        <v>12925.180408163264</v>
      </c>
      <c r="M18" s="4">
        <f t="shared" si="10"/>
        <v>3.9908482142857142</v>
      </c>
      <c r="N18" s="4">
        <f t="shared" si="11"/>
        <v>3.1484842110638803E-2</v>
      </c>
      <c r="O18" s="4">
        <f t="shared" si="12"/>
        <v>7.8712105276597007E-3</v>
      </c>
      <c r="P18" s="4">
        <f t="shared" si="13"/>
        <v>1.5784781770110579E-3</v>
      </c>
      <c r="Q18" s="69">
        <v>1138788.7294999999</v>
      </c>
      <c r="R18" s="61">
        <v>21717.148499999999</v>
      </c>
      <c r="S18" s="79">
        <v>42.35</v>
      </c>
      <c r="U18" s="22">
        <v>1.2</v>
      </c>
      <c r="V18" s="23">
        <f t="shared" si="9"/>
        <v>15601.440576230489</v>
      </c>
      <c r="W18" s="23">
        <f t="shared" si="14"/>
        <v>2.6127128192139484E-2</v>
      </c>
      <c r="X18" s="23">
        <f t="shared" si="15"/>
        <v>7.0775884931446355E-3</v>
      </c>
      <c r="Y18" s="23"/>
      <c r="Z18" s="1"/>
      <c r="AA18" s="1"/>
      <c r="AD18" s="119" t="s">
        <v>40</v>
      </c>
      <c r="AE18" s="119"/>
      <c r="AF18" s="119"/>
      <c r="AG18" s="119"/>
    </row>
    <row r="19" spans="1:33" x14ac:dyDescent="0.35">
      <c r="A19" s="24"/>
      <c r="B19" s="18"/>
      <c r="C19" s="19"/>
      <c r="D19" s="19"/>
      <c r="E19" s="3"/>
      <c r="F19" s="19"/>
      <c r="G19" s="19"/>
      <c r="H19" s="19"/>
      <c r="I19" s="20"/>
      <c r="J19" s="20"/>
      <c r="K19" s="21"/>
      <c r="U19" s="22">
        <v>1.3</v>
      </c>
      <c r="V19" s="23">
        <f t="shared" si="9"/>
        <v>16901.560624249702</v>
      </c>
      <c r="W19" s="23">
        <f t="shared" si="14"/>
        <v>2.5609502959217982E-2</v>
      </c>
      <c r="X19" s="23">
        <f t="shared" si="15"/>
        <v>6.9373687810758309E-3</v>
      </c>
      <c r="Y19" s="23"/>
      <c r="AD19" s="120" t="s">
        <v>41</v>
      </c>
      <c r="AE19" s="119" t="s">
        <v>42</v>
      </c>
      <c r="AF19" s="119" t="s">
        <v>43</v>
      </c>
      <c r="AG19" s="119" t="s">
        <v>44</v>
      </c>
    </row>
    <row r="20" spans="1:33" x14ac:dyDescent="0.35">
      <c r="A20" s="24"/>
      <c r="B20" s="18"/>
      <c r="C20" s="19"/>
      <c r="D20" s="19"/>
      <c r="E20" s="3"/>
      <c r="F20" s="19"/>
      <c r="G20" s="19"/>
      <c r="H20" s="19"/>
      <c r="I20" s="20"/>
      <c r="J20" s="20"/>
      <c r="K20" s="21"/>
      <c r="Q20" s="70"/>
      <c r="R20" s="25"/>
      <c r="S20" s="73"/>
      <c r="U20" s="22">
        <v>1.4</v>
      </c>
      <c r="V20" s="23">
        <f t="shared" si="9"/>
        <v>18201.680672268907</v>
      </c>
      <c r="W20" s="23">
        <f t="shared" si="14"/>
        <v>2.5139404082175045E-2</v>
      </c>
      <c r="X20" s="23">
        <f t="shared" si="15"/>
        <v>6.8100235030823511E-3</v>
      </c>
      <c r="Y20" s="23"/>
      <c r="Z20" s="1" t="s">
        <v>45</v>
      </c>
      <c r="AA20" s="1">
        <f>4*10^(-6)</f>
        <v>3.9999999999999998E-6</v>
      </c>
      <c r="AD20" s="120" t="s">
        <v>46</v>
      </c>
      <c r="AE20" s="119" t="s">
        <v>47</v>
      </c>
      <c r="AF20" s="119" t="s">
        <v>48</v>
      </c>
      <c r="AG20" s="119" t="s">
        <v>49</v>
      </c>
    </row>
    <row r="21" spans="1:33" x14ac:dyDescent="0.35">
      <c r="A21" s="24"/>
      <c r="B21" s="18"/>
      <c r="C21" s="19"/>
      <c r="D21" s="19"/>
      <c r="E21" s="43"/>
      <c r="F21" s="19"/>
      <c r="G21" s="19"/>
      <c r="H21" s="19"/>
      <c r="I21" s="20"/>
      <c r="J21" s="20"/>
      <c r="K21" s="21"/>
      <c r="Q21" s="70"/>
      <c r="R21" s="25"/>
      <c r="S21" s="73"/>
      <c r="U21" s="22">
        <v>1.5</v>
      </c>
      <c r="V21" s="23">
        <f t="shared" si="9"/>
        <v>19501.800720288113</v>
      </c>
      <c r="W21" s="23">
        <f t="shared" si="14"/>
        <v>2.4709512255066228E-2</v>
      </c>
      <c r="X21" s="23">
        <f t="shared" si="15"/>
        <v>6.6935699293689688E-3</v>
      </c>
      <c r="Y21" s="23"/>
      <c r="Z21" s="1" t="s">
        <v>50</v>
      </c>
      <c r="AA21" s="2">
        <f>AA20/AA11</f>
        <v>2.5052631578947367E-4</v>
      </c>
      <c r="AD21" s="119">
        <v>0</v>
      </c>
      <c r="AE21" s="119">
        <v>1.792E-3</v>
      </c>
      <c r="AF21" s="119">
        <v>999.87</v>
      </c>
      <c r="AG21" s="121">
        <v>1.7922329902887374E-6</v>
      </c>
    </row>
    <row r="22" spans="1:33" x14ac:dyDescent="0.35">
      <c r="A22" s="24"/>
      <c r="B22" s="18"/>
      <c r="C22" s="19"/>
      <c r="D22" s="19"/>
      <c r="E22" s="3"/>
      <c r="F22" s="19"/>
      <c r="G22" s="19"/>
      <c r="H22" s="19"/>
      <c r="I22" s="20"/>
      <c r="J22" s="20"/>
      <c r="K22" s="21"/>
      <c r="P22" s="43"/>
      <c r="Q22" s="70"/>
      <c r="R22" s="25"/>
      <c r="S22" s="73"/>
      <c r="U22" s="22">
        <v>1.6</v>
      </c>
      <c r="V22" s="23">
        <f t="shared" si="9"/>
        <v>20801.920768307322</v>
      </c>
      <c r="W22" s="23">
        <f t="shared" si="14"/>
        <v>2.4314032449988456E-2</v>
      </c>
      <c r="X22" s="23">
        <f t="shared" si="15"/>
        <v>6.5864382424455029E-3</v>
      </c>
      <c r="Y22" s="23"/>
      <c r="AD22" s="119">
        <v>5</v>
      </c>
      <c r="AE22" s="119">
        <v>1.519E-3</v>
      </c>
      <c r="AF22" s="119">
        <v>999.99</v>
      </c>
      <c r="AG22" s="121">
        <v>1.5190151901519014E-6</v>
      </c>
    </row>
    <row r="23" spans="1:33" x14ac:dyDescent="0.35">
      <c r="B23" s="18"/>
      <c r="C23" s="19"/>
      <c r="D23" s="19"/>
      <c r="E23" s="3"/>
      <c r="F23" s="3"/>
      <c r="G23" s="19"/>
      <c r="H23" s="19"/>
      <c r="I23" s="19"/>
      <c r="J23" s="20"/>
      <c r="K23" s="21"/>
      <c r="Q23" s="70"/>
      <c r="R23" s="25"/>
      <c r="S23" s="73"/>
      <c r="U23" s="22">
        <v>1.7</v>
      </c>
      <c r="V23" s="23">
        <f t="shared" si="9"/>
        <v>22102.040816326527</v>
      </c>
      <c r="W23" s="23">
        <f t="shared" si="14"/>
        <v>2.3948303716138788E-2</v>
      </c>
      <c r="X23" s="23">
        <f t="shared" si="15"/>
        <v>6.4873658354334873E-3</v>
      </c>
      <c r="Y23" s="23"/>
      <c r="Z23" s="40"/>
      <c r="AD23" s="119">
        <f>AD22+5</f>
        <v>10</v>
      </c>
      <c r="AE23" s="119">
        <v>1.3079999999999999E-3</v>
      </c>
      <c r="AF23" s="119">
        <v>999.73</v>
      </c>
      <c r="AG23" s="121">
        <v>1.3083532553789522E-6</v>
      </c>
    </row>
    <row r="24" spans="1:33" x14ac:dyDescent="0.35">
      <c r="B24" s="18"/>
      <c r="C24" s="19"/>
      <c r="D24" s="19"/>
      <c r="E24" s="3"/>
      <c r="F24" s="3"/>
      <c r="G24" s="19"/>
      <c r="H24" s="19"/>
      <c r="I24" s="19"/>
      <c r="J24" s="20"/>
      <c r="K24" s="21"/>
      <c r="Q24" s="71"/>
      <c r="R24" s="4"/>
      <c r="S24" s="74"/>
      <c r="U24" s="22">
        <v>1.8</v>
      </c>
      <c r="V24" s="23">
        <f t="shared" si="9"/>
        <v>23402.16086434574</v>
      </c>
      <c r="W24" s="23">
        <f t="shared" si="14"/>
        <v>2.3608525382988493E-2</v>
      </c>
      <c r="X24" s="23">
        <f t="shared" si="15"/>
        <v>6.3953231431314733E-3</v>
      </c>
      <c r="Y24" s="23"/>
      <c r="Z24" s="40"/>
      <c r="AD24" s="119" t="e">
        <f>#REF!+5</f>
        <v>#REF!</v>
      </c>
      <c r="AE24" s="119">
        <v>1.005E-3</v>
      </c>
      <c r="AF24" s="119">
        <v>998.23</v>
      </c>
      <c r="AG24" s="121">
        <v>1.0067820041473407E-6</v>
      </c>
    </row>
    <row r="25" spans="1:33" x14ac:dyDescent="0.35">
      <c r="B25" s="18"/>
      <c r="C25" s="19"/>
      <c r="D25" s="19"/>
      <c r="E25" s="3"/>
      <c r="F25" s="3"/>
      <c r="G25" s="19"/>
      <c r="H25" s="19"/>
      <c r="I25" s="19"/>
      <c r="J25" s="20"/>
      <c r="K25" s="21"/>
      <c r="Q25" s="71"/>
      <c r="R25" s="4"/>
      <c r="S25" s="74"/>
      <c r="U25" s="22">
        <v>1.9</v>
      </c>
      <c r="V25" s="23">
        <f t="shared" si="9"/>
        <v>24702.280912364942</v>
      </c>
      <c r="W25" s="23">
        <f t="shared" si="14"/>
        <v>2.3291560543447384E-2</v>
      </c>
      <c r="X25" s="23">
        <f t="shared" si="15"/>
        <v>6.3094604074886585E-3</v>
      </c>
      <c r="Y25" s="23"/>
      <c r="Z25" s="40"/>
      <c r="AD25" s="119">
        <v>25</v>
      </c>
      <c r="AE25" s="119">
        <v>8.9400000000000005E-4</v>
      </c>
      <c r="AF25" s="119">
        <v>997.07</v>
      </c>
      <c r="AG25" s="121">
        <v>8.9662711745414066E-7</v>
      </c>
    </row>
    <row r="26" spans="1:33" x14ac:dyDescent="0.35">
      <c r="N26" s="22"/>
      <c r="P26" s="4">
        <f>2*27*1.4</f>
        <v>75.599999999999994</v>
      </c>
      <c r="Q26" s="71"/>
      <c r="R26" s="4"/>
      <c r="S26" s="74"/>
      <c r="U26" s="22">
        <v>2</v>
      </c>
      <c r="V26" s="23">
        <f t="shared" si="9"/>
        <v>26002.400960384151</v>
      </c>
      <c r="W26" s="23">
        <f t="shared" si="14"/>
        <v>2.2994792170607507E-2</v>
      </c>
      <c r="X26" s="23">
        <f t="shared" si="15"/>
        <v>6.2290687010104588E-3</v>
      </c>
      <c r="Y26" s="23"/>
      <c r="Z26" s="40"/>
      <c r="AD26" s="32"/>
      <c r="AE26" s="32"/>
      <c r="AF26" s="32"/>
      <c r="AG26" s="32"/>
    </row>
    <row r="27" spans="1:33" x14ac:dyDescent="0.35">
      <c r="K27" s="1"/>
      <c r="L27" s="4"/>
      <c r="N27" s="22"/>
      <c r="Q27" s="71"/>
      <c r="R27" s="4"/>
      <c r="S27" s="74"/>
      <c r="U27" s="22">
        <v>2.1</v>
      </c>
      <c r="V27" s="23">
        <f t="shared" si="9"/>
        <v>27302.521008403364</v>
      </c>
      <c r="W27" s="23">
        <f t="shared" si="14"/>
        <v>2.2716015898210876E-2</v>
      </c>
      <c r="X27" s="23">
        <f t="shared" si="15"/>
        <v>6.1535508820153443E-3</v>
      </c>
      <c r="Y27" s="23"/>
      <c r="Z27" s="40"/>
      <c r="AD27" s="32"/>
      <c r="AE27" s="32"/>
      <c r="AF27" s="32"/>
      <c r="AG27" s="32"/>
    </row>
    <row r="28" spans="1:33" x14ac:dyDescent="0.35">
      <c r="Q28" s="71"/>
      <c r="R28" s="4"/>
      <c r="S28" s="74"/>
      <c r="U28" s="22">
        <v>2.2000000000000002</v>
      </c>
      <c r="V28" s="23">
        <f t="shared" si="9"/>
        <v>28602.64105642257</v>
      </c>
      <c r="W28" s="23">
        <f t="shared" si="14"/>
        <v>2.2453358856246511E-2</v>
      </c>
      <c r="X28" s="23">
        <f t="shared" si="15"/>
        <v>6.0823996079763668E-3</v>
      </c>
      <c r="Y28" s="23"/>
      <c r="Z28" s="40"/>
      <c r="AD28" s="32"/>
      <c r="AE28" s="32"/>
      <c r="AF28" s="32"/>
      <c r="AG28" s="32"/>
    </row>
    <row r="29" spans="1:33" x14ac:dyDescent="0.35">
      <c r="L29" s="41"/>
      <c r="Q29" s="71"/>
      <c r="R29" s="4"/>
      <c r="S29" s="74"/>
      <c r="U29" s="22">
        <v>2.2999999999999998</v>
      </c>
      <c r="V29" s="23">
        <f t="shared" si="9"/>
        <v>29902.761104441775</v>
      </c>
      <c r="W29" s="23">
        <f t="shared" si="14"/>
        <v>2.2205217356657186E-2</v>
      </c>
      <c r="X29" s="23">
        <f t="shared" si="15"/>
        <v>6.0151804551766561E-3</v>
      </c>
      <c r="Y29" s="23"/>
      <c r="Z29" s="40"/>
      <c r="AD29" s="32"/>
      <c r="AE29" s="32"/>
      <c r="AF29" s="32"/>
      <c r="AG29" s="32"/>
    </row>
    <row r="30" spans="1:33" x14ac:dyDescent="0.35">
      <c r="Q30" s="71"/>
      <c r="R30" s="4"/>
      <c r="S30" s="74"/>
      <c r="U30" s="22">
        <v>2.4</v>
      </c>
      <c r="V30" s="23">
        <f t="shared" si="9"/>
        <v>31202.881152460977</v>
      </c>
      <c r="W30" s="23">
        <f t="shared" si="14"/>
        <v>2.1970208437644356E-2</v>
      </c>
      <c r="X30" s="23">
        <f t="shared" si="15"/>
        <v>5.9515187925262628E-3</v>
      </c>
      <c r="Y30" s="23"/>
      <c r="Z30" s="40"/>
      <c r="AD30" s="32"/>
      <c r="AE30" s="32"/>
      <c r="AF30" s="32"/>
      <c r="AG30" s="32"/>
    </row>
    <row r="31" spans="1:33" x14ac:dyDescent="0.35">
      <c r="F31" s="1"/>
      <c r="G31" s="1"/>
      <c r="Q31" s="71"/>
      <c r="R31" s="4"/>
      <c r="S31" s="74"/>
      <c r="U31" s="22">
        <v>2.5</v>
      </c>
      <c r="V31" s="23">
        <f t="shared" si="9"/>
        <v>32503.00120048019</v>
      </c>
      <c r="W31" s="23">
        <f t="shared" si="14"/>
        <v>2.1747131746123978E-2</v>
      </c>
      <c r="X31" s="23">
        <f t="shared" si="15"/>
        <v>5.8910894558849552E-3</v>
      </c>
      <c r="Y31" s="23"/>
      <c r="Z31" s="40"/>
      <c r="AD31" s="32"/>
      <c r="AE31" s="32"/>
      <c r="AF31" s="32"/>
      <c r="AG31" s="32"/>
    </row>
    <row r="32" spans="1:33" x14ac:dyDescent="0.35">
      <c r="G32" s="19"/>
      <c r="Q32" s="71"/>
      <c r="R32" s="4"/>
      <c r="S32" s="74"/>
      <c r="Z32" s="40"/>
    </row>
    <row r="33" spans="7:27" x14ac:dyDescent="0.35">
      <c r="G33" s="19"/>
      <c r="Q33" s="71"/>
      <c r="R33" s="4"/>
      <c r="S33" s="74"/>
      <c r="Z33" s="40"/>
      <c r="AA33" s="1" t="s">
        <v>51</v>
      </c>
    </row>
    <row r="34" spans="7:27" x14ac:dyDescent="0.35">
      <c r="G34" s="19"/>
      <c r="Q34" s="71"/>
      <c r="R34" s="4"/>
      <c r="S34" s="74"/>
      <c r="Z34" s="40"/>
    </row>
    <row r="35" spans="7:27" x14ac:dyDescent="0.35">
      <c r="G35" s="19"/>
      <c r="Q35" s="71"/>
      <c r="R35" s="4"/>
      <c r="S35" s="74"/>
      <c r="Z35" s="40"/>
    </row>
    <row r="36" spans="7:27" x14ac:dyDescent="0.35">
      <c r="G36" s="19"/>
      <c r="Q36" s="71"/>
      <c r="R36" s="4"/>
      <c r="S36" s="74"/>
    </row>
    <row r="37" spans="7:27" x14ac:dyDescent="0.35">
      <c r="G37" s="19"/>
      <c r="Q37" s="71"/>
      <c r="R37" s="4"/>
      <c r="S37" s="74"/>
    </row>
    <row r="38" spans="7:27" x14ac:dyDescent="0.35">
      <c r="Q38" s="71"/>
      <c r="R38" s="4"/>
      <c r="S38" s="74"/>
    </row>
    <row r="39" spans="7:27" x14ac:dyDescent="0.35">
      <c r="Q39" s="71"/>
      <c r="R39" s="4"/>
      <c r="S39" s="74"/>
      <c r="U39" s="4"/>
      <c r="V39" s="16"/>
      <c r="W39" s="16"/>
      <c r="X39" s="4"/>
      <c r="Y39" s="4"/>
    </row>
    <row r="40" spans="7:27" x14ac:dyDescent="0.35">
      <c r="Q40" s="71"/>
      <c r="R40" s="4"/>
      <c r="S40" s="74"/>
      <c r="U40" s="4"/>
      <c r="V40" s="16"/>
      <c r="W40" s="16"/>
      <c r="X40" s="4"/>
      <c r="Y40" s="4"/>
    </row>
    <row r="41" spans="7:27" x14ac:dyDescent="0.35">
      <c r="Q41" s="71"/>
      <c r="R41" s="4"/>
      <c r="S41" s="74"/>
      <c r="U41" s="4"/>
      <c r="V41" s="16"/>
      <c r="W41" s="16"/>
      <c r="X41" s="4"/>
      <c r="Y41" s="4"/>
    </row>
    <row r="42" spans="7:27" x14ac:dyDescent="0.35">
      <c r="Q42" s="71"/>
      <c r="R42" s="4"/>
      <c r="S42" s="74"/>
      <c r="U42" s="4"/>
      <c r="V42" s="16"/>
      <c r="W42" s="16"/>
      <c r="X42" s="4"/>
      <c r="Y42" s="4"/>
    </row>
    <row r="43" spans="7:27" x14ac:dyDescent="0.35">
      <c r="Q43" s="71"/>
      <c r="R43" s="4"/>
      <c r="S43" s="74"/>
      <c r="U43" s="4"/>
      <c r="V43" s="16"/>
      <c r="W43" s="16"/>
      <c r="X43" s="4"/>
      <c r="Y43" s="4"/>
    </row>
    <row r="44" spans="7:27" x14ac:dyDescent="0.35">
      <c r="U44" s="4"/>
      <c r="V44" s="16"/>
      <c r="W44" s="16"/>
    </row>
    <row r="45" spans="7:27" x14ac:dyDescent="0.35">
      <c r="U45" s="4"/>
      <c r="V45" s="16"/>
      <c r="W45" s="16"/>
    </row>
    <row r="46" spans="7:27" x14ac:dyDescent="0.35">
      <c r="U46" s="4"/>
      <c r="V46" s="16"/>
      <c r="W46" s="16"/>
    </row>
    <row r="47" spans="7:27" x14ac:dyDescent="0.35">
      <c r="U47" s="4"/>
      <c r="V47" s="16"/>
      <c r="W47" s="16"/>
    </row>
    <row r="48" spans="7:27" x14ac:dyDescent="0.35">
      <c r="U48" s="4"/>
      <c r="V48" s="16"/>
      <c r="W48" s="16"/>
    </row>
    <row r="49" spans="21:23" x14ac:dyDescent="0.35">
      <c r="U49" s="4"/>
      <c r="V49" s="16"/>
      <c r="W49" s="16"/>
    </row>
    <row r="50" spans="21:23" x14ac:dyDescent="0.35">
      <c r="U50" s="4"/>
      <c r="V50" s="16"/>
      <c r="W50" s="16"/>
    </row>
    <row r="51" spans="21:23" x14ac:dyDescent="0.35">
      <c r="U51" s="4"/>
      <c r="V51" s="16"/>
      <c r="W51" s="16"/>
    </row>
    <row r="52" spans="21:23" x14ac:dyDescent="0.35">
      <c r="U52" s="4"/>
      <c r="V52" s="16"/>
      <c r="W52" s="16"/>
    </row>
    <row r="53" spans="21:23" x14ac:dyDescent="0.35">
      <c r="U53" s="4"/>
      <c r="V53" s="16"/>
      <c r="W53" s="16"/>
    </row>
    <row r="54" spans="21:23" x14ac:dyDescent="0.35">
      <c r="U54" s="4"/>
    </row>
    <row r="85" spans="13:17" x14ac:dyDescent="0.35">
      <c r="N85" s="22" t="s">
        <v>89</v>
      </c>
    </row>
    <row r="86" spans="13:17" x14ac:dyDescent="0.35">
      <c r="O86" s="4" t="s">
        <v>83</v>
      </c>
      <c r="P86" s="4" t="s">
        <v>82</v>
      </c>
      <c r="Q86" s="68" t="s">
        <v>84</v>
      </c>
    </row>
    <row r="87" spans="13:17" x14ac:dyDescent="0.35">
      <c r="M87" s="22"/>
      <c r="N87" s="22">
        <v>15000</v>
      </c>
      <c r="O87" s="22">
        <f>(-0.0002*(N87)^2) +(9.7981*N87)+1000000</f>
        <v>1101971.5</v>
      </c>
      <c r="P87" s="22">
        <f>(0.000005*(N87)^2) -(0.2856*N87)+25042</f>
        <v>21883</v>
      </c>
      <c r="Q87" s="68">
        <f>(-0.000000004*(N87)^2) +(0.0001*N87)+44.026</f>
        <v>44.626000000000005</v>
      </c>
    </row>
    <row r="88" spans="13:17" x14ac:dyDescent="0.35">
      <c r="N88" s="4">
        <v>22000</v>
      </c>
      <c r="O88" s="22">
        <f t="shared" ref="O88:O89" si="16">(-0.0002*(N88)^2) +(9.7981*N88)+1000000</f>
        <v>1118758.2</v>
      </c>
      <c r="P88" s="22">
        <f t="shared" ref="P88:P89" si="17">(0.000005*(N88)^2) -(0.2856*N88)+25042</f>
        <v>21178.799999999999</v>
      </c>
      <c r="Q88" s="68">
        <f t="shared" ref="Q88:Q89" si="18">(-0.000000004*(N88)^2) +(0.0001*N88)+44.026</f>
        <v>44.290000000000006</v>
      </c>
    </row>
    <row r="89" spans="13:17" x14ac:dyDescent="0.35">
      <c r="N89" s="4">
        <v>40000</v>
      </c>
      <c r="O89" s="22">
        <f t="shared" si="16"/>
        <v>1071924</v>
      </c>
      <c r="P89" s="22">
        <f t="shared" si="17"/>
        <v>21618</v>
      </c>
      <c r="Q89" s="68">
        <f t="shared" si="18"/>
        <v>41.626000000000005</v>
      </c>
    </row>
  </sheetData>
  <mergeCells count="3">
    <mergeCell ref="A3:N3"/>
    <mergeCell ref="Z5:AA5"/>
    <mergeCell ref="Q4:S4"/>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B837F-F4FB-4E13-9084-B0BF48B3E585}">
  <dimension ref="A1:AK112"/>
  <sheetViews>
    <sheetView zoomScale="50" zoomScaleNormal="50" zoomScalePageLayoutView="90" workbookViewId="0"/>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6.765625" style="4" customWidth="1"/>
    <col min="14" max="14" width="11.84375" style="4" bestFit="1" customWidth="1"/>
    <col min="15" max="15" width="14.69140625" style="4" bestFit="1" customWidth="1"/>
    <col min="16" max="16" width="16.07421875" style="4" customWidth="1"/>
    <col min="17" max="17" width="12.765625" style="68" customWidth="1"/>
    <col min="18" max="18" width="10" style="2" customWidth="1"/>
    <col min="19" max="19" width="10" style="72" customWidth="1"/>
    <col min="23" max="23" width="10" style="80" customWidth="1"/>
    <col min="24" max="24" width="8.4609375" style="5" customWidth="1"/>
    <col min="25" max="25" width="10.23046875" style="2" customWidth="1"/>
    <col min="26" max="26" width="13.84375" style="2" customWidth="1"/>
    <col min="27" max="29" width="10" style="2" customWidth="1"/>
    <col min="30" max="30" width="21" style="2" customWidth="1"/>
    <col min="31" max="31" width="8.69140625" style="2" customWidth="1"/>
    <col min="32" max="32" width="8.69140625" style="2"/>
    <col min="33" max="33" width="22" style="2" customWidth="1"/>
    <col min="34" max="34" width="35.84375" style="2" customWidth="1"/>
    <col min="35" max="35" width="16.84375" style="2" customWidth="1"/>
    <col min="36" max="16384" width="8.69140625" style="2"/>
  </cols>
  <sheetData>
    <row r="1" spans="1:35" x14ac:dyDescent="0.35">
      <c r="A1" s="1"/>
      <c r="I1" s="1" t="s">
        <v>1</v>
      </c>
      <c r="J1" s="1" t="s">
        <v>2</v>
      </c>
      <c r="Q1" s="69" t="s">
        <v>87</v>
      </c>
    </row>
    <row r="2" spans="1:35" x14ac:dyDescent="0.35">
      <c r="A2" s="1"/>
      <c r="I2" s="1"/>
      <c r="J2" s="1"/>
      <c r="Q2" s="69" t="s">
        <v>85</v>
      </c>
    </row>
    <row r="3" spans="1:35" x14ac:dyDescent="0.35">
      <c r="A3" s="150" t="s">
        <v>3</v>
      </c>
      <c r="B3" s="150"/>
      <c r="C3" s="150"/>
      <c r="D3" s="150"/>
      <c r="E3" s="150"/>
      <c r="F3" s="150"/>
      <c r="G3" s="150"/>
      <c r="H3" s="150"/>
      <c r="I3" s="150"/>
      <c r="J3" s="150"/>
      <c r="K3" s="150"/>
      <c r="L3" s="150"/>
      <c r="M3" s="150"/>
      <c r="N3" s="150"/>
      <c r="O3" s="44"/>
      <c r="P3" s="44"/>
      <c r="X3" s="7"/>
    </row>
    <row r="4" spans="1:35" x14ac:dyDescent="0.35">
      <c r="Q4" s="152" t="s">
        <v>81</v>
      </c>
      <c r="R4" s="153"/>
      <c r="S4" s="154"/>
      <c r="W4" s="77"/>
    </row>
    <row r="5" spans="1:35"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W5" s="81"/>
      <c r="X5" s="14"/>
      <c r="Y5" s="15" t="s">
        <v>19</v>
      </c>
      <c r="Z5" s="16" t="s">
        <v>14</v>
      </c>
      <c r="AA5" s="15" t="s">
        <v>20</v>
      </c>
      <c r="AB5" s="16" t="s">
        <v>21</v>
      </c>
      <c r="AC5" s="1"/>
      <c r="AD5" s="151" t="s">
        <v>22</v>
      </c>
      <c r="AE5" s="151"/>
    </row>
    <row r="6" spans="1:35" x14ac:dyDescent="0.35">
      <c r="A6" s="17" t="s">
        <v>23</v>
      </c>
      <c r="B6" s="18">
        <v>0</v>
      </c>
      <c r="C6" s="19">
        <f t="shared" ref="C6:C18" si="0">B6*0.0166667</f>
        <v>0</v>
      </c>
      <c r="D6" s="19">
        <f t="shared" ref="D6:D18" si="1">B6*0.000277778</f>
        <v>0</v>
      </c>
      <c r="E6" s="3">
        <f t="shared" ref="E6:E18" si="2">0.001*D6</f>
        <v>0</v>
      </c>
      <c r="F6" s="19">
        <f t="shared" ref="F6:F18" si="3">E6/AE$7</f>
        <v>0</v>
      </c>
      <c r="G6" s="19">
        <f t="shared" ref="G6:G18" si="4">F6^(2)</f>
        <v>0</v>
      </c>
      <c r="H6" s="19">
        <f t="shared" ref="H6:H18" si="5">F6*1.94384</f>
        <v>0</v>
      </c>
      <c r="I6" s="20">
        <v>0</v>
      </c>
      <c r="J6" s="20">
        <f t="shared" ref="J6:J18" si="6">I6 * 10</f>
        <v>0</v>
      </c>
      <c r="K6" s="21">
        <f t="shared" ref="K6:K18" si="7">J6*100</f>
        <v>0</v>
      </c>
      <c r="L6" s="3">
        <f t="shared" ref="L6:L18" si="8">(F6*AE$11)/AE$12</f>
        <v>0</v>
      </c>
      <c r="Y6" s="22">
        <v>0</v>
      </c>
      <c r="Z6" s="23">
        <f t="shared" ref="Z6:Z31" si="9">(Y6*AE$11)/AE$12</f>
        <v>0</v>
      </c>
      <c r="AA6" s="23"/>
      <c r="AB6" s="23"/>
    </row>
    <row r="7" spans="1:35" x14ac:dyDescent="0.35">
      <c r="A7" s="2" t="s">
        <v>52</v>
      </c>
      <c r="B7" s="2">
        <v>1850</v>
      </c>
      <c r="C7" s="19">
        <f t="shared" si="0"/>
        <v>30.833394999999999</v>
      </c>
      <c r="D7" s="19">
        <f t="shared" si="1"/>
        <v>0.51388929999999999</v>
      </c>
      <c r="E7" s="3">
        <f t="shared" si="2"/>
        <v>5.1388930000000001E-4</v>
      </c>
      <c r="F7" s="19">
        <f t="shared" si="3"/>
        <v>1.1419762222222223</v>
      </c>
      <c r="G7" s="19">
        <f t="shared" si="4"/>
        <v>1.3041096921209383</v>
      </c>
      <c r="H7" s="19">
        <f t="shared" si="5"/>
        <v>2.2198190598044447</v>
      </c>
      <c r="I7" s="2">
        <v>1.6031677419354837</v>
      </c>
      <c r="J7" s="20">
        <f t="shared" si="6"/>
        <v>16.031677419354835</v>
      </c>
      <c r="K7" s="21">
        <f t="shared" si="7"/>
        <v>1603.1677419354835</v>
      </c>
      <c r="L7" s="3">
        <f t="shared" si="8"/>
        <v>17318.500681257199</v>
      </c>
      <c r="M7" s="4">
        <f t="shared" ref="M7:M18" si="10">(AE$15*G7*N7)/8</f>
        <v>7.6422191088026228</v>
      </c>
      <c r="N7" s="4">
        <f t="shared" ref="N7:N18" si="11">(K7*2*AE$11)/(AE$13*AE$15*G7)</f>
        <v>4.5782066607004165E-2</v>
      </c>
      <c r="O7" s="4">
        <f t="shared" ref="O7:O18" si="12">N7/4</f>
        <v>1.1445516651751041E-2</v>
      </c>
      <c r="P7" s="4">
        <f>3.7*(10^(-1/(2*SQRT(N7)))-2.51/(L7*SQRT(N7)))</f>
        <v>1.4530966149585756E-2</v>
      </c>
      <c r="Q7" s="78">
        <v>1038518.9939999999</v>
      </c>
      <c r="R7" s="61">
        <v>23327.078666666668</v>
      </c>
      <c r="S7" s="79">
        <v>39.871999999999993</v>
      </c>
      <c r="W7" s="82"/>
      <c r="Y7" s="22">
        <v>0.1</v>
      </c>
      <c r="Z7" s="23">
        <f>(Y7*AE$11)/AE$12</f>
        <v>1516.5377653447424</v>
      </c>
      <c r="AA7" s="23">
        <f t="shared" ref="AA7:AA31" si="13">0.292/(Z7^(0.25))</f>
        <v>4.6791777583270106E-2</v>
      </c>
      <c r="AB7" s="23">
        <f>0.0791/(Z7^0.25)</f>
        <v>1.2675443859029677E-2</v>
      </c>
      <c r="AC7" s="25"/>
      <c r="AD7" s="1" t="s">
        <v>24</v>
      </c>
      <c r="AE7" s="2">
        <f>AE$9*AE$10</f>
        <v>4.4999999999999999E-4</v>
      </c>
    </row>
    <row r="8" spans="1:35" x14ac:dyDescent="0.35">
      <c r="A8" s="2" t="s">
        <v>53</v>
      </c>
      <c r="B8" s="2">
        <v>2600</v>
      </c>
      <c r="C8" s="19">
        <f t="shared" si="0"/>
        <v>43.333419999999997</v>
      </c>
      <c r="D8" s="19">
        <f t="shared" si="1"/>
        <v>0.72222280000000005</v>
      </c>
      <c r="E8" s="3">
        <f t="shared" si="2"/>
        <v>7.2222280000000007E-4</v>
      </c>
      <c r="F8" s="19">
        <f t="shared" si="3"/>
        <v>1.6049395555555557</v>
      </c>
      <c r="G8" s="19">
        <f t="shared" si="4"/>
        <v>2.5758309769868646</v>
      </c>
      <c r="H8" s="19">
        <f t="shared" si="5"/>
        <v>3.1197457056711113</v>
      </c>
      <c r="I8" s="2">
        <v>3.0628967741935487</v>
      </c>
      <c r="J8" s="20">
        <f t="shared" si="6"/>
        <v>30.628967741935487</v>
      </c>
      <c r="K8" s="21">
        <f t="shared" si="7"/>
        <v>3062.8967741935485</v>
      </c>
      <c r="L8" s="3">
        <f t="shared" si="8"/>
        <v>24339.514470956063</v>
      </c>
      <c r="M8" s="4">
        <f t="shared" si="10"/>
        <v>14.600673182066704</v>
      </c>
      <c r="N8" s="4">
        <f t="shared" si="11"/>
        <v>4.4283868100821355E-2</v>
      </c>
      <c r="O8" s="4">
        <f t="shared" si="12"/>
        <v>1.1070967025205339E-2</v>
      </c>
      <c r="P8" s="4">
        <f t="shared" ref="P8:P18" si="14">3.7*(10^(-1/(2*SQRT(N8)))-2.51/(L8*SQRT(N8)))</f>
        <v>1.3753550261005651E-2</v>
      </c>
      <c r="Q8" s="78">
        <v>1067987.2073333336</v>
      </c>
      <c r="R8" s="61">
        <v>23418.409666666663</v>
      </c>
      <c r="S8" s="79">
        <v>40.043999999999997</v>
      </c>
      <c r="W8" s="82"/>
      <c r="Y8" s="22">
        <v>0.2</v>
      </c>
      <c r="Z8" s="23">
        <f t="shared" si="9"/>
        <v>3033.0755306894848</v>
      </c>
      <c r="AA8" s="23">
        <f t="shared" si="13"/>
        <v>3.9347038033120951E-2</v>
      </c>
      <c r="AB8" s="23">
        <f t="shared" ref="AB8:AB31" si="15">0.0791/(Z8^0.25)</f>
        <v>1.0658735302807766E-2</v>
      </c>
      <c r="AC8" s="25"/>
      <c r="AD8" s="2" t="s">
        <v>25</v>
      </c>
    </row>
    <row r="9" spans="1:35" ht="19" x14ac:dyDescent="0.4">
      <c r="A9" s="2" t="s">
        <v>54</v>
      </c>
      <c r="B9" s="2">
        <v>3600</v>
      </c>
      <c r="C9" s="19">
        <f t="shared" si="0"/>
        <v>60.000119999999995</v>
      </c>
      <c r="D9" s="19">
        <f t="shared" si="1"/>
        <v>1.0000008</v>
      </c>
      <c r="E9" s="3">
        <f t="shared" si="2"/>
        <v>1.0000008000000001E-3</v>
      </c>
      <c r="F9" s="19">
        <f t="shared" si="3"/>
        <v>2.2222240000000002</v>
      </c>
      <c r="G9" s="19">
        <f t="shared" si="4"/>
        <v>4.9382795061760012</v>
      </c>
      <c r="H9" s="19">
        <f t="shared" si="5"/>
        <v>4.3196479001600006</v>
      </c>
      <c r="I9" s="2">
        <v>5.5248580645161303</v>
      </c>
      <c r="J9" s="20">
        <f t="shared" si="6"/>
        <v>55.248580645161304</v>
      </c>
      <c r="K9" s="21">
        <f t="shared" si="7"/>
        <v>5524.8580645161301</v>
      </c>
      <c r="L9" s="3">
        <f t="shared" si="8"/>
        <v>33700.866190554545</v>
      </c>
      <c r="M9" s="4">
        <f t="shared" si="10"/>
        <v>26.336717468562057</v>
      </c>
      <c r="N9" s="4">
        <f t="shared" si="11"/>
        <v>4.1665443392949961E-2</v>
      </c>
      <c r="O9" s="4">
        <f t="shared" si="12"/>
        <v>1.041636084823749E-2</v>
      </c>
      <c r="P9" s="4">
        <f t="shared" si="14"/>
        <v>1.1792401430151627E-2</v>
      </c>
      <c r="Q9" s="78">
        <v>1085521.0760000001</v>
      </c>
      <c r="R9" s="61">
        <v>23494.981333333333</v>
      </c>
      <c r="S9" s="79">
        <v>40.75866666666667</v>
      </c>
      <c r="W9" s="82"/>
      <c r="Y9" s="22">
        <v>0.3</v>
      </c>
      <c r="Z9" s="23">
        <f t="shared" si="9"/>
        <v>4549.6132960342266</v>
      </c>
      <c r="AA9" s="23">
        <f t="shared" si="13"/>
        <v>3.5554062402840862E-2</v>
      </c>
      <c r="AB9" s="23">
        <f t="shared" si="15"/>
        <v>9.6312545755640831E-3</v>
      </c>
      <c r="AC9" s="25"/>
      <c r="AD9" s="1" t="s">
        <v>26</v>
      </c>
      <c r="AE9" s="19">
        <v>0.05</v>
      </c>
      <c r="AH9" s="27" t="s">
        <v>27</v>
      </c>
    </row>
    <row r="10" spans="1:35" ht="18.5" x14ac:dyDescent="0.35">
      <c r="A10" s="2" t="s">
        <v>55</v>
      </c>
      <c r="B10" s="2">
        <v>4250</v>
      </c>
      <c r="C10" s="19">
        <f t="shared" si="0"/>
        <v>70.833474999999993</v>
      </c>
      <c r="D10" s="19">
        <f t="shared" si="1"/>
        <v>1.1805565</v>
      </c>
      <c r="E10" s="3">
        <f t="shared" si="2"/>
        <v>1.1805565000000001E-3</v>
      </c>
      <c r="F10" s="19">
        <f t="shared" si="3"/>
        <v>2.623458888888889</v>
      </c>
      <c r="G10" s="19">
        <f t="shared" si="4"/>
        <v>6.8825365416901239</v>
      </c>
      <c r="H10" s="19">
        <f t="shared" si="5"/>
        <v>5.0995843265777783</v>
      </c>
      <c r="I10" s="2">
        <v>7.4758548387096786</v>
      </c>
      <c r="J10" s="20">
        <f t="shared" si="6"/>
        <v>74.758548387096781</v>
      </c>
      <c r="K10" s="21">
        <f t="shared" si="7"/>
        <v>7475.854838709678</v>
      </c>
      <c r="L10" s="3">
        <f t="shared" si="8"/>
        <v>39785.744808293559</v>
      </c>
      <c r="M10" s="4">
        <f t="shared" si="10"/>
        <v>35.637019887916892</v>
      </c>
      <c r="N10" s="4">
        <f t="shared" si="11"/>
        <v>4.045226875119233E-2</v>
      </c>
      <c r="O10" s="4">
        <f t="shared" si="12"/>
        <v>1.0113067187798083E-2</v>
      </c>
      <c r="P10" s="4">
        <f t="shared" si="14"/>
        <v>1.0923574013885945E-2</v>
      </c>
      <c r="Q10" s="78">
        <v>1085521.0760000001</v>
      </c>
      <c r="R10" s="61">
        <v>23225.183666666668</v>
      </c>
      <c r="S10" s="79">
        <v>39.978333333333332</v>
      </c>
      <c r="W10" s="82"/>
      <c r="Y10" s="22">
        <v>0.4</v>
      </c>
      <c r="Z10" s="23">
        <f t="shared" si="9"/>
        <v>6066.1510613789696</v>
      </c>
      <c r="AA10" s="23">
        <f t="shared" si="13"/>
        <v>3.3086783232902976E-2</v>
      </c>
      <c r="AB10" s="23">
        <f t="shared" si="15"/>
        <v>8.9628923072692657E-3</v>
      </c>
      <c r="AC10" s="25"/>
      <c r="AD10" s="1" t="s">
        <v>28</v>
      </c>
      <c r="AE10" s="19">
        <v>8.9999999999999993E-3</v>
      </c>
      <c r="AH10" s="28" t="s">
        <v>29</v>
      </c>
      <c r="AI10" s="2" t="s">
        <v>30</v>
      </c>
    </row>
    <row r="11" spans="1:35" ht="16.5" x14ac:dyDescent="0.4">
      <c r="A11" s="2" t="s">
        <v>56</v>
      </c>
      <c r="B11" s="2">
        <v>5050</v>
      </c>
      <c r="C11" s="19">
        <f t="shared" si="0"/>
        <v>84.166834999999992</v>
      </c>
      <c r="D11" s="19">
        <f t="shared" si="1"/>
        <v>1.4027788999999999</v>
      </c>
      <c r="E11" s="3">
        <f t="shared" si="2"/>
        <v>1.4027789E-3</v>
      </c>
      <c r="F11" s="19">
        <f t="shared" si="3"/>
        <v>3.1172864444444444</v>
      </c>
      <c r="G11" s="19">
        <f t="shared" si="4"/>
        <v>9.7174747767170864</v>
      </c>
      <c r="H11" s="19">
        <f t="shared" si="5"/>
        <v>6.0595060821688884</v>
      </c>
      <c r="I11" s="2">
        <v>8.6704903225806476</v>
      </c>
      <c r="J11" s="20">
        <f t="shared" si="6"/>
        <v>86.704903225806476</v>
      </c>
      <c r="K11" s="21">
        <f t="shared" si="7"/>
        <v>8670.4903225806484</v>
      </c>
      <c r="L11" s="3">
        <f t="shared" si="8"/>
        <v>47274.826183972349</v>
      </c>
      <c r="M11" s="4">
        <f t="shared" si="10"/>
        <v>41.331786495352667</v>
      </c>
      <c r="N11" s="4">
        <f t="shared" si="11"/>
        <v>3.3229268859911724E-2</v>
      </c>
      <c r="O11" s="4">
        <f t="shared" si="12"/>
        <v>8.3073172149779311E-3</v>
      </c>
      <c r="P11" s="4">
        <f t="shared" si="14"/>
        <v>5.6104510714479264E-3</v>
      </c>
      <c r="Q11" s="78">
        <v>1084549.2170000002</v>
      </c>
      <c r="R11" s="61">
        <v>23470.997000000003</v>
      </c>
      <c r="S11" s="79">
        <v>40.042999999999999</v>
      </c>
      <c r="W11" s="82"/>
      <c r="Y11" s="22">
        <v>0.5</v>
      </c>
      <c r="Z11" s="23">
        <f t="shared" si="9"/>
        <v>7582.6888267237109</v>
      </c>
      <c r="AA11" s="23">
        <f t="shared" si="13"/>
        <v>3.1291547611424969E-2</v>
      </c>
      <c r="AB11" s="23">
        <f t="shared" si="15"/>
        <v>8.4765801919990235E-3</v>
      </c>
      <c r="AC11" s="25"/>
      <c r="AD11" s="1" t="s">
        <v>31</v>
      </c>
      <c r="AE11" s="4">
        <f>2*(AE9*AE10)/(AE9+AE10)</f>
        <v>1.5254237288135592E-2</v>
      </c>
      <c r="AF11" s="1">
        <f>10*AE11*100</f>
        <v>15.254237288135592</v>
      </c>
      <c r="AH11" s="27" t="s">
        <v>32</v>
      </c>
      <c r="AI11" s="2" t="s">
        <v>33</v>
      </c>
    </row>
    <row r="12" spans="1:35" ht="18.5" x14ac:dyDescent="0.35">
      <c r="A12" s="2" t="s">
        <v>63</v>
      </c>
      <c r="B12" s="2">
        <v>5700</v>
      </c>
      <c r="C12" s="19">
        <f t="shared" si="0"/>
        <v>95.000190000000003</v>
      </c>
      <c r="D12" s="19">
        <f t="shared" si="1"/>
        <v>1.5833346000000001</v>
      </c>
      <c r="E12" s="3">
        <f t="shared" si="2"/>
        <v>1.5833346000000002E-3</v>
      </c>
      <c r="F12" s="19">
        <f t="shared" si="3"/>
        <v>3.5185213333333341</v>
      </c>
      <c r="G12" s="19">
        <f t="shared" si="4"/>
        <v>12.379992373121782</v>
      </c>
      <c r="H12" s="19">
        <f t="shared" si="5"/>
        <v>6.8394425085866679</v>
      </c>
      <c r="I12" s="2">
        <v>8.8111709677419405</v>
      </c>
      <c r="J12" s="20">
        <f t="shared" si="6"/>
        <v>88.111709677419412</v>
      </c>
      <c r="K12" s="21">
        <f t="shared" si="7"/>
        <v>8811.1709677419421</v>
      </c>
      <c r="L12" s="3">
        <f t="shared" si="8"/>
        <v>53359.70480171137</v>
      </c>
      <c r="M12" s="4">
        <f t="shared" si="10"/>
        <v>42.002403977583413</v>
      </c>
      <c r="N12" s="4">
        <f t="shared" si="11"/>
        <v>2.6505976028491245E-2</v>
      </c>
      <c r="O12" s="4">
        <f t="shared" si="12"/>
        <v>6.6264940071228112E-3</v>
      </c>
      <c r="P12" s="4">
        <f t="shared" si="14"/>
        <v>2.0720017529178704E-3</v>
      </c>
      <c r="Q12" s="78">
        <v>1073103.4263333334</v>
      </c>
      <c r="R12" s="61">
        <v>23484.244333333336</v>
      </c>
      <c r="S12" s="79">
        <v>38.918666666666667</v>
      </c>
      <c r="W12" s="82"/>
      <c r="Y12" s="22">
        <v>0.6</v>
      </c>
      <c r="Z12" s="23">
        <f t="shared" si="9"/>
        <v>9099.2265920684531</v>
      </c>
      <c r="AA12" s="23">
        <f t="shared" si="13"/>
        <v>2.9897283622255751E-2</v>
      </c>
      <c r="AB12" s="23">
        <f t="shared" si="15"/>
        <v>8.098887446987774E-3</v>
      </c>
      <c r="AC12" s="25"/>
      <c r="AD12" s="1" t="s">
        <v>34</v>
      </c>
      <c r="AE12" s="31">
        <f>AE$16/AE$15</f>
        <v>1.0058593750000001E-6</v>
      </c>
    </row>
    <row r="13" spans="1:35" ht="16.5" x14ac:dyDescent="0.4">
      <c r="A13" s="2" t="s">
        <v>62</v>
      </c>
      <c r="B13" s="2">
        <v>5700</v>
      </c>
      <c r="C13" s="19">
        <f t="shared" si="0"/>
        <v>95.000190000000003</v>
      </c>
      <c r="D13" s="19">
        <f t="shared" si="1"/>
        <v>1.5833346000000001</v>
      </c>
      <c r="E13" s="3">
        <f t="shared" si="2"/>
        <v>1.5833346000000002E-3</v>
      </c>
      <c r="F13" s="19">
        <f t="shared" si="3"/>
        <v>3.5185213333333341</v>
      </c>
      <c r="G13" s="19">
        <f t="shared" si="4"/>
        <v>12.379992373121782</v>
      </c>
      <c r="H13" s="19">
        <f t="shared" si="5"/>
        <v>6.8394425085866679</v>
      </c>
      <c r="I13" s="2">
        <v>8.8111709677419405</v>
      </c>
      <c r="J13" s="20">
        <f t="shared" si="6"/>
        <v>88.111709677419412</v>
      </c>
      <c r="K13" s="21">
        <f t="shared" si="7"/>
        <v>8811.1709677419421</v>
      </c>
      <c r="L13" s="3">
        <f t="shared" si="8"/>
        <v>53359.70480171137</v>
      </c>
      <c r="M13" s="4">
        <f t="shared" si="10"/>
        <v>42.002403977583413</v>
      </c>
      <c r="N13" s="4">
        <f t="shared" si="11"/>
        <v>2.6505976028491245E-2</v>
      </c>
      <c r="O13" s="4">
        <f t="shared" si="12"/>
        <v>6.6264940071228112E-3</v>
      </c>
      <c r="P13" s="4">
        <f t="shared" si="14"/>
        <v>2.0720017529178704E-3</v>
      </c>
      <c r="Q13" s="78">
        <v>1073103.4263333334</v>
      </c>
      <c r="R13" s="61">
        <v>23484.244333333336</v>
      </c>
      <c r="S13" s="79">
        <v>38.918666666666667</v>
      </c>
      <c r="W13" s="82"/>
      <c r="Y13" s="22">
        <v>0.7</v>
      </c>
      <c r="Z13" s="23">
        <f t="shared" si="9"/>
        <v>10615.764357413194</v>
      </c>
      <c r="AA13" s="23">
        <f t="shared" si="13"/>
        <v>2.8767030513725006E-2</v>
      </c>
      <c r="AB13" s="23">
        <f t="shared" si="15"/>
        <v>7.7927127179303023E-3</v>
      </c>
      <c r="AC13" s="25"/>
      <c r="AD13" s="1" t="s">
        <v>35</v>
      </c>
      <c r="AE13" s="32">
        <v>0.8</v>
      </c>
      <c r="AH13" s="27" t="s">
        <v>36</v>
      </c>
      <c r="AI13" s="1" t="s">
        <v>37</v>
      </c>
    </row>
    <row r="14" spans="1:35" x14ac:dyDescent="0.35">
      <c r="A14" s="2" t="s">
        <v>57</v>
      </c>
      <c r="B14" s="2">
        <v>4850</v>
      </c>
      <c r="C14" s="19">
        <f t="shared" si="0"/>
        <v>80.833494999999999</v>
      </c>
      <c r="D14" s="19">
        <f t="shared" si="1"/>
        <v>1.3472233</v>
      </c>
      <c r="E14" s="3">
        <f t="shared" si="2"/>
        <v>1.3472233000000001E-3</v>
      </c>
      <c r="F14" s="19">
        <f t="shared" si="3"/>
        <v>2.9938295555555561</v>
      </c>
      <c r="G14" s="19">
        <f t="shared" si="4"/>
        <v>8.9630154077179789</v>
      </c>
      <c r="H14" s="19">
        <f t="shared" si="5"/>
        <v>5.8195256432711124</v>
      </c>
      <c r="I14" s="2">
        <v>8.4157096774193541</v>
      </c>
      <c r="J14" s="20">
        <f t="shared" si="6"/>
        <v>84.157096774193548</v>
      </c>
      <c r="K14" s="21">
        <f t="shared" si="7"/>
        <v>8415.7096774193542</v>
      </c>
      <c r="L14" s="3">
        <f t="shared" si="8"/>
        <v>45402.555840052657</v>
      </c>
      <c r="M14" s="4">
        <f t="shared" si="10"/>
        <v>40.117260114816837</v>
      </c>
      <c r="N14" s="4">
        <f t="shared" si="11"/>
        <v>3.4967706780591551E-2</v>
      </c>
      <c r="O14" s="4">
        <f t="shared" si="12"/>
        <v>8.7419266951478877E-3</v>
      </c>
      <c r="P14" s="4">
        <f t="shared" si="14"/>
        <v>6.7468522247117035E-3</v>
      </c>
      <c r="Q14" s="78">
        <v>1085266.2193333334</v>
      </c>
      <c r="R14" s="61">
        <v>23778.144</v>
      </c>
      <c r="S14" s="79">
        <v>38.503333333333337</v>
      </c>
      <c r="W14" s="82"/>
      <c r="Y14" s="22">
        <v>0.8</v>
      </c>
      <c r="Z14" s="23">
        <f t="shared" si="9"/>
        <v>12132.302122757939</v>
      </c>
      <c r="AA14" s="23">
        <f t="shared" si="13"/>
        <v>2.7822557412824817E-2</v>
      </c>
      <c r="AB14" s="23">
        <f t="shared" si="15"/>
        <v>7.5368640114878193E-3</v>
      </c>
      <c r="AC14" s="25"/>
      <c r="AE14" s="32"/>
    </row>
    <row r="15" spans="1:35" x14ac:dyDescent="0.35">
      <c r="A15" s="2" t="s">
        <v>58</v>
      </c>
      <c r="B15" s="2">
        <v>4300</v>
      </c>
      <c r="C15" s="19">
        <f t="shared" si="0"/>
        <v>71.666809999999998</v>
      </c>
      <c r="D15" s="19">
        <f t="shared" si="1"/>
        <v>1.1944454</v>
      </c>
      <c r="E15" s="3">
        <f t="shared" si="2"/>
        <v>1.1944454000000001E-3</v>
      </c>
      <c r="F15" s="19">
        <f t="shared" si="3"/>
        <v>2.6543231111111112</v>
      </c>
      <c r="G15" s="19">
        <f t="shared" si="4"/>
        <v>7.0454311781785686</v>
      </c>
      <c r="H15" s="19">
        <f t="shared" si="5"/>
        <v>5.1595794363022227</v>
      </c>
      <c r="I15" s="2">
        <v>7.568270967741932</v>
      </c>
      <c r="J15" s="20">
        <f t="shared" si="6"/>
        <v>75.682709677419325</v>
      </c>
      <c r="K15" s="21">
        <f t="shared" si="7"/>
        <v>7568.2709677419325</v>
      </c>
      <c r="L15" s="3">
        <f t="shared" si="8"/>
        <v>40253.812394273489</v>
      </c>
      <c r="M15" s="4">
        <f t="shared" si="10"/>
        <v>36.077562875888439</v>
      </c>
      <c r="N15" s="4">
        <f t="shared" si="11"/>
        <v>4.0005494744005957E-2</v>
      </c>
      <c r="O15" s="4">
        <f t="shared" si="12"/>
        <v>1.0001373686001489E-2</v>
      </c>
      <c r="P15" s="4">
        <f t="shared" si="14"/>
        <v>1.0551577768281403E-2</v>
      </c>
      <c r="Q15" s="68">
        <v>1097526.3736666667</v>
      </c>
      <c r="R15" s="2">
        <v>23871.789333333334</v>
      </c>
      <c r="S15" s="72">
        <v>37.947666666666663</v>
      </c>
      <c r="W15" s="82"/>
      <c r="X15" s="34"/>
      <c r="Y15" s="22">
        <v>0.9</v>
      </c>
      <c r="Z15" s="23">
        <f t="shared" si="9"/>
        <v>13648.839888102679</v>
      </c>
      <c r="AA15" s="23">
        <f t="shared" si="13"/>
        <v>2.7015245383562102E-2</v>
      </c>
      <c r="AB15" s="23">
        <f t="shared" si="15"/>
        <v>7.3181709241087753E-3</v>
      </c>
      <c r="AC15" s="25"/>
      <c r="AD15" s="2" t="s">
        <v>38</v>
      </c>
      <c r="AE15" s="32">
        <f>VLOOKUP(AE17, SW!A4:F34, 3, FALSE)</f>
        <v>1024</v>
      </c>
      <c r="AF15" s="32"/>
    </row>
    <row r="16" spans="1:35" x14ac:dyDescent="0.35">
      <c r="A16" s="2" t="s">
        <v>59</v>
      </c>
      <c r="B16" s="2">
        <v>3450</v>
      </c>
      <c r="C16" s="19">
        <f t="shared" si="0"/>
        <v>57.500115000000001</v>
      </c>
      <c r="D16" s="19">
        <f t="shared" si="1"/>
        <v>0.95833410000000008</v>
      </c>
      <c r="E16" s="3">
        <f t="shared" si="2"/>
        <v>9.5833410000000006E-4</v>
      </c>
      <c r="F16" s="19">
        <f t="shared" si="3"/>
        <v>2.1296313333333337</v>
      </c>
      <c r="G16" s="19">
        <f t="shared" si="4"/>
        <v>4.5353296159151126</v>
      </c>
      <c r="H16" s="19">
        <f t="shared" si="5"/>
        <v>4.1396625709866672</v>
      </c>
      <c r="I16" s="2">
        <v>5.1873903225806455</v>
      </c>
      <c r="J16" s="20">
        <f t="shared" si="6"/>
        <v>51.873903225806458</v>
      </c>
      <c r="K16" s="21">
        <f t="shared" si="7"/>
        <v>5187.3903225806462</v>
      </c>
      <c r="L16" s="3">
        <f t="shared" si="8"/>
        <v>32296.663432614776</v>
      </c>
      <c r="M16" s="4">
        <f t="shared" si="10"/>
        <v>24.728025902132316</v>
      </c>
      <c r="N16" s="4">
        <f t="shared" si="11"/>
        <v>4.2596176842910331E-2</v>
      </c>
      <c r="O16" s="4">
        <f t="shared" si="12"/>
        <v>1.0649044210727583E-2</v>
      </c>
      <c r="P16" s="4">
        <f t="shared" si="14"/>
        <v>1.2589247659845468E-2</v>
      </c>
      <c r="Q16" s="68">
        <v>1080459.9006666667</v>
      </c>
      <c r="R16" s="2">
        <v>23740.222666666668</v>
      </c>
      <c r="S16" s="72">
        <v>38.412000000000006</v>
      </c>
      <c r="W16" s="82"/>
      <c r="Y16" s="22">
        <v>1</v>
      </c>
      <c r="Z16" s="23">
        <f t="shared" si="9"/>
        <v>15165.377653447422</v>
      </c>
      <c r="AA16" s="23">
        <f t="shared" si="13"/>
        <v>2.6312950214188186E-2</v>
      </c>
      <c r="AB16" s="23">
        <f t="shared" si="15"/>
        <v>7.1279258970626223E-3</v>
      </c>
      <c r="AC16" s="25"/>
      <c r="AD16" s="2" t="s">
        <v>39</v>
      </c>
      <c r="AE16" s="32">
        <f>VLOOKUP(AE17, SW!$A$4:$F$34, 5, FALSE)</f>
        <v>1.0300000000000001E-3</v>
      </c>
    </row>
    <row r="17" spans="1:37" x14ac:dyDescent="0.35">
      <c r="A17" s="2" t="s">
        <v>60</v>
      </c>
      <c r="B17" s="2">
        <v>2600</v>
      </c>
      <c r="C17" s="19">
        <f t="shared" si="0"/>
        <v>43.333419999999997</v>
      </c>
      <c r="D17" s="19">
        <f t="shared" si="1"/>
        <v>0.72222280000000005</v>
      </c>
      <c r="E17" s="3">
        <f t="shared" si="2"/>
        <v>7.2222280000000007E-4</v>
      </c>
      <c r="F17" s="19">
        <f t="shared" si="3"/>
        <v>1.6049395555555557</v>
      </c>
      <c r="G17" s="19">
        <f t="shared" si="4"/>
        <v>2.5758309769868646</v>
      </c>
      <c r="H17" s="19">
        <f t="shared" si="5"/>
        <v>3.1197457056711113</v>
      </c>
      <c r="I17" s="2">
        <v>2.9813451612903235</v>
      </c>
      <c r="J17" s="20">
        <f t="shared" si="6"/>
        <v>29.813451612903236</v>
      </c>
      <c r="K17" s="21">
        <f t="shared" si="7"/>
        <v>2981.3451612903236</v>
      </c>
      <c r="L17" s="3">
        <f t="shared" si="8"/>
        <v>24339.514470956063</v>
      </c>
      <c r="M17" s="4">
        <f t="shared" si="10"/>
        <v>14.211920790049209</v>
      </c>
      <c r="N17" s="4">
        <f t="shared" si="11"/>
        <v>4.310478139452302E-2</v>
      </c>
      <c r="O17" s="4">
        <f t="shared" si="12"/>
        <v>1.0776195348630755E-2</v>
      </c>
      <c r="P17" s="4">
        <f t="shared" si="14"/>
        <v>1.2613926170434766E-2</v>
      </c>
      <c r="Q17" s="68">
        <v>1089783.3190000001</v>
      </c>
      <c r="R17" s="2">
        <v>23614.298333333329</v>
      </c>
      <c r="S17" s="72">
        <v>38.678666666666665</v>
      </c>
      <c r="W17" s="82"/>
      <c r="X17" s="14"/>
      <c r="Y17" s="22">
        <v>1.1000000000000001</v>
      </c>
      <c r="Z17" s="23">
        <f t="shared" si="9"/>
        <v>16681.915418792163</v>
      </c>
      <c r="AA17" s="23">
        <f t="shared" si="13"/>
        <v>2.5693387848093201E-2</v>
      </c>
      <c r="AB17" s="23">
        <f t="shared" si="15"/>
        <v>6.9600923930964809E-3</v>
      </c>
      <c r="AC17" s="25"/>
      <c r="AD17" s="2" t="s">
        <v>161</v>
      </c>
      <c r="AE17" s="2">
        <v>22</v>
      </c>
    </row>
    <row r="18" spans="1:37" x14ac:dyDescent="0.35">
      <c r="A18" s="2" t="s">
        <v>61</v>
      </c>
      <c r="B18" s="2">
        <v>1950</v>
      </c>
      <c r="C18" s="19">
        <f t="shared" si="0"/>
        <v>32.500064999999999</v>
      </c>
      <c r="D18" s="19">
        <f t="shared" si="1"/>
        <v>0.54166710000000007</v>
      </c>
      <c r="E18" s="3">
        <f t="shared" si="2"/>
        <v>5.4166710000000005E-4</v>
      </c>
      <c r="F18" s="19">
        <f t="shared" si="3"/>
        <v>1.2037046666666669</v>
      </c>
      <c r="G18" s="19">
        <f t="shared" si="4"/>
        <v>1.4489049245551116</v>
      </c>
      <c r="H18" s="19">
        <f t="shared" si="5"/>
        <v>2.3398092792533336</v>
      </c>
      <c r="I18" s="2">
        <v>1.5269322580645164</v>
      </c>
      <c r="J18" s="20">
        <f t="shared" si="6"/>
        <v>15.269322580645163</v>
      </c>
      <c r="K18" s="21">
        <f t="shared" si="7"/>
        <v>1526.9322580645162</v>
      </c>
      <c r="L18" s="3">
        <f t="shared" si="8"/>
        <v>18254.635853217045</v>
      </c>
      <c r="M18" s="4">
        <f t="shared" si="10"/>
        <v>7.2788084335702559</v>
      </c>
      <c r="N18" s="4">
        <f t="shared" si="11"/>
        <v>3.9247358417756999E-2</v>
      </c>
      <c r="O18" s="4">
        <f t="shared" si="12"/>
        <v>9.8118396044392497E-3</v>
      </c>
      <c r="P18" s="4">
        <f t="shared" si="14"/>
        <v>8.5070066375101932E-3</v>
      </c>
      <c r="Q18" s="68">
        <v>1096937.1169999999</v>
      </c>
      <c r="R18" s="2">
        <v>23619.704333333331</v>
      </c>
      <c r="S18" s="72">
        <v>38.551000000000009</v>
      </c>
      <c r="W18" s="82"/>
      <c r="Y18" s="22">
        <v>1.2</v>
      </c>
      <c r="Z18" s="23">
        <f t="shared" si="9"/>
        <v>18198.453184136906</v>
      </c>
      <c r="AA18" s="23">
        <f t="shared" si="13"/>
        <v>2.514051862377845E-2</v>
      </c>
      <c r="AB18" s="23">
        <f t="shared" si="15"/>
        <v>6.8103254217153275E-3</v>
      </c>
      <c r="AC18" s="25"/>
      <c r="AD18" s="1"/>
      <c r="AE18" s="1"/>
      <c r="AH18" s="119" t="s">
        <v>40</v>
      </c>
      <c r="AI18" s="119"/>
      <c r="AJ18" s="119"/>
      <c r="AK18" s="119"/>
    </row>
    <row r="19" spans="1:37" x14ac:dyDescent="0.35">
      <c r="A19" s="24"/>
      <c r="B19" s="18"/>
      <c r="C19" s="19"/>
      <c r="D19" s="19"/>
      <c r="E19" s="3"/>
      <c r="F19" s="19"/>
      <c r="G19" s="19"/>
      <c r="H19" s="19"/>
      <c r="I19" s="20"/>
      <c r="J19" s="20"/>
      <c r="K19" s="21"/>
      <c r="W19" s="83"/>
      <c r="Y19" s="22">
        <v>1.3</v>
      </c>
      <c r="Z19" s="23">
        <f t="shared" si="9"/>
        <v>19714.990949481649</v>
      </c>
      <c r="AA19" s="23">
        <f t="shared" si="13"/>
        <v>2.4642439894547289E-2</v>
      </c>
      <c r="AB19" s="23">
        <f t="shared" si="15"/>
        <v>6.6754006700640092E-3</v>
      </c>
      <c r="AC19" s="25"/>
      <c r="AH19" s="120" t="s">
        <v>41</v>
      </c>
      <c r="AI19" s="119" t="s">
        <v>42</v>
      </c>
      <c r="AJ19" s="119" t="s">
        <v>43</v>
      </c>
      <c r="AK19" s="119" t="s">
        <v>44</v>
      </c>
    </row>
    <row r="20" spans="1:37" x14ac:dyDescent="0.35">
      <c r="A20" s="24"/>
      <c r="B20" s="18"/>
      <c r="C20" s="19"/>
      <c r="D20" s="19"/>
      <c r="E20" s="3"/>
      <c r="F20" s="19"/>
      <c r="G20" s="19"/>
      <c r="H20" s="19"/>
      <c r="I20" s="20"/>
      <c r="J20" s="20"/>
      <c r="K20" s="21"/>
      <c r="W20" s="83"/>
      <c r="Y20" s="22">
        <v>1.4</v>
      </c>
      <c r="Z20" s="23">
        <f t="shared" si="9"/>
        <v>21231.528714826389</v>
      </c>
      <c r="AA20" s="23">
        <f t="shared" si="13"/>
        <v>2.4190092836485579E-2</v>
      </c>
      <c r="AB20" s="23">
        <f t="shared" si="15"/>
        <v>6.5528641896096217E-3</v>
      </c>
      <c r="AC20" s="25"/>
      <c r="AD20" s="1" t="s">
        <v>45</v>
      </c>
      <c r="AE20" s="1">
        <f>4*10^(-6)</f>
        <v>3.9999999999999998E-6</v>
      </c>
      <c r="AH20" s="120" t="s">
        <v>46</v>
      </c>
      <c r="AI20" s="119" t="s">
        <v>47</v>
      </c>
      <c r="AJ20" s="119" t="s">
        <v>48</v>
      </c>
      <c r="AK20" s="119" t="s">
        <v>49</v>
      </c>
    </row>
    <row r="21" spans="1:37" x14ac:dyDescent="0.35">
      <c r="A21" s="24"/>
      <c r="B21" s="18"/>
      <c r="C21" s="19"/>
      <c r="D21" s="19"/>
      <c r="E21" s="43"/>
      <c r="F21" s="19"/>
      <c r="G21" s="19"/>
      <c r="H21" s="19"/>
      <c r="I21" s="20"/>
      <c r="J21" s="20"/>
      <c r="K21" s="21"/>
      <c r="Q21" s="70"/>
      <c r="R21" s="25"/>
      <c r="S21" s="73"/>
      <c r="W21" s="83"/>
      <c r="Y21" s="22">
        <v>1.5</v>
      </c>
      <c r="Z21" s="23">
        <f t="shared" si="9"/>
        <v>22748.066480171135</v>
      </c>
      <c r="AA21" s="23">
        <f t="shared" si="13"/>
        <v>2.3776434534426533E-2</v>
      </c>
      <c r="AB21" s="23">
        <f t="shared" si="15"/>
        <v>6.4408081221682843E-3</v>
      </c>
      <c r="AC21" s="25"/>
      <c r="AD21" s="1" t="s">
        <v>50</v>
      </c>
      <c r="AE21" s="2">
        <f>AE20/AE11</f>
        <v>2.6222222222222223E-4</v>
      </c>
      <c r="AH21" s="119">
        <v>0</v>
      </c>
      <c r="AI21" s="119">
        <v>1.792E-3</v>
      </c>
      <c r="AJ21" s="119">
        <v>999.87</v>
      </c>
      <c r="AK21" s="121">
        <v>1.7922329902887374E-6</v>
      </c>
    </row>
    <row r="22" spans="1:37" x14ac:dyDescent="0.35">
      <c r="A22" s="24"/>
      <c r="B22" s="18"/>
      <c r="C22" s="19"/>
      <c r="D22" s="19"/>
      <c r="E22" s="3"/>
      <c r="F22" s="19"/>
      <c r="G22" s="19"/>
      <c r="H22" s="19"/>
      <c r="I22" s="20"/>
      <c r="J22" s="20"/>
      <c r="K22" s="21"/>
      <c r="P22" s="43"/>
      <c r="Q22" s="70"/>
      <c r="R22" s="25"/>
      <c r="S22" s="73"/>
      <c r="W22" s="83"/>
      <c r="Y22" s="22">
        <v>1.6</v>
      </c>
      <c r="Z22" s="23">
        <f t="shared" si="9"/>
        <v>24264.604245515879</v>
      </c>
      <c r="AA22" s="23">
        <f t="shared" si="13"/>
        <v>2.3395888791635053E-2</v>
      </c>
      <c r="AB22" s="23">
        <f t="shared" si="15"/>
        <v>6.3377219295148385E-3</v>
      </c>
      <c r="AC22" s="25"/>
      <c r="AH22" s="119">
        <v>5</v>
      </c>
      <c r="AI22" s="119">
        <v>1.519E-3</v>
      </c>
      <c r="AJ22" s="119">
        <v>999.99</v>
      </c>
      <c r="AK22" s="121">
        <v>1.5190151901519014E-6</v>
      </c>
    </row>
    <row r="23" spans="1:37" x14ac:dyDescent="0.35">
      <c r="B23" s="18"/>
      <c r="C23" s="19"/>
      <c r="D23" s="19"/>
      <c r="E23" s="3"/>
      <c r="F23" s="3"/>
      <c r="G23" s="19"/>
      <c r="H23" s="19"/>
      <c r="I23" s="19"/>
      <c r="J23" s="20"/>
      <c r="K23" s="21"/>
      <c r="Q23" s="70"/>
      <c r="R23" s="25"/>
      <c r="S23" s="73"/>
      <c r="W23" s="83"/>
      <c r="Y23" s="22">
        <v>1.7</v>
      </c>
      <c r="Z23" s="23">
        <f t="shared" si="9"/>
        <v>25781.142010860618</v>
      </c>
      <c r="AA23" s="23">
        <f t="shared" si="13"/>
        <v>2.3043970663588952E-2</v>
      </c>
      <c r="AB23" s="23">
        <f t="shared" si="15"/>
        <v>6.2423906831845424E-3</v>
      </c>
      <c r="AC23" s="25"/>
      <c r="AD23" s="40"/>
      <c r="AH23" s="119">
        <f>AH22+5</f>
        <v>10</v>
      </c>
      <c r="AI23" s="119">
        <v>1.3079999999999999E-3</v>
      </c>
      <c r="AJ23" s="119">
        <v>999.73</v>
      </c>
      <c r="AK23" s="121">
        <v>1.3083532553789522E-6</v>
      </c>
    </row>
    <row r="24" spans="1:37" x14ac:dyDescent="0.35">
      <c r="B24" s="18"/>
      <c r="C24" s="19"/>
      <c r="D24" s="19"/>
      <c r="E24" s="3"/>
      <c r="F24" s="3"/>
      <c r="G24" s="19"/>
      <c r="H24" s="19"/>
      <c r="I24" s="19"/>
      <c r="J24" s="20"/>
      <c r="K24" s="21"/>
      <c r="Q24" s="71"/>
      <c r="R24" s="4"/>
      <c r="S24" s="74"/>
      <c r="W24" s="84"/>
      <c r="Y24" s="22">
        <v>1.8</v>
      </c>
      <c r="Z24" s="23">
        <f t="shared" si="9"/>
        <v>27297.679776205357</v>
      </c>
      <c r="AA24" s="23">
        <f t="shared" si="13"/>
        <v>2.2717023000236831E-2</v>
      </c>
      <c r="AB24" s="23">
        <f t="shared" si="15"/>
        <v>6.1538236962970323E-3</v>
      </c>
      <c r="AC24" s="4"/>
      <c r="AD24" s="40"/>
      <c r="AH24" s="119" t="e">
        <f>#REF!+5</f>
        <v>#REF!</v>
      </c>
      <c r="AI24" s="119">
        <v>1.005E-3</v>
      </c>
      <c r="AJ24" s="119">
        <v>998.23</v>
      </c>
      <c r="AK24" s="121">
        <v>1.0067820041473407E-6</v>
      </c>
    </row>
    <row r="25" spans="1:37" x14ac:dyDescent="0.35">
      <c r="B25" s="18"/>
      <c r="C25" s="19"/>
      <c r="D25" s="19"/>
      <c r="E25" s="3"/>
      <c r="F25" s="3"/>
      <c r="G25" s="19"/>
      <c r="H25" s="19"/>
      <c r="I25" s="19"/>
      <c r="J25" s="20"/>
      <c r="K25" s="21"/>
      <c r="Q25" s="71"/>
      <c r="R25" s="4"/>
      <c r="S25" s="74"/>
      <c r="W25" s="84"/>
      <c r="Y25" s="22">
        <v>1.9</v>
      </c>
      <c r="Z25" s="23">
        <f t="shared" si="9"/>
        <v>28814.217541550101</v>
      </c>
      <c r="AA25" s="23">
        <f t="shared" si="13"/>
        <v>2.2412027350008273E-2</v>
      </c>
      <c r="AB25" s="23">
        <f t="shared" si="15"/>
        <v>6.07120329926594E-3</v>
      </c>
      <c r="AC25" s="4"/>
      <c r="AD25" s="40"/>
      <c r="AH25" s="119">
        <v>25</v>
      </c>
      <c r="AI25" s="119">
        <v>8.9400000000000005E-4</v>
      </c>
      <c r="AJ25" s="119">
        <v>997.07</v>
      </c>
      <c r="AK25" s="121">
        <v>8.9662711745414066E-7</v>
      </c>
    </row>
    <row r="26" spans="1:37" x14ac:dyDescent="0.35">
      <c r="N26" s="22"/>
      <c r="Q26" s="71"/>
      <c r="R26" s="4"/>
      <c r="S26" s="74"/>
      <c r="W26" s="84"/>
      <c r="Y26" s="22">
        <v>2</v>
      </c>
      <c r="Z26" s="23">
        <f t="shared" si="9"/>
        <v>30330.755306894844</v>
      </c>
      <c r="AA26" s="23">
        <f t="shared" si="13"/>
        <v>2.2126465509860305E-2</v>
      </c>
      <c r="AB26" s="23">
        <f t="shared" si="15"/>
        <v>5.9938473350340769E-3</v>
      </c>
      <c r="AC26" s="4"/>
      <c r="AD26" s="40"/>
      <c r="AH26" s="32"/>
      <c r="AI26" s="32"/>
      <c r="AJ26" s="32"/>
      <c r="AK26" s="32"/>
    </row>
    <row r="27" spans="1:37" x14ac:dyDescent="0.35">
      <c r="K27" s="1"/>
      <c r="L27" s="4"/>
      <c r="N27" s="22"/>
      <c r="Q27" s="71"/>
      <c r="R27" s="4"/>
      <c r="S27" s="74"/>
      <c r="W27" s="84"/>
      <c r="Y27" s="22">
        <v>2.1</v>
      </c>
      <c r="Z27" s="23">
        <f t="shared" si="9"/>
        <v>31847.29307223959</v>
      </c>
      <c r="AA27" s="23">
        <f t="shared" si="13"/>
        <v>2.1858216354556526E-2</v>
      </c>
      <c r="AB27" s="23">
        <f t="shared" si="15"/>
        <v>5.9211812111144568E-3</v>
      </c>
      <c r="AC27" s="4"/>
      <c r="AD27" s="40"/>
      <c r="AH27" s="32"/>
      <c r="AI27" s="32"/>
      <c r="AJ27" s="32"/>
      <c r="AK27" s="32"/>
    </row>
    <row r="28" spans="1:37" x14ac:dyDescent="0.35">
      <c r="Q28" s="71"/>
      <c r="R28" s="4"/>
      <c r="S28" s="74"/>
      <c r="W28" s="84"/>
      <c r="Y28" s="22">
        <v>2.2000000000000002</v>
      </c>
      <c r="Z28" s="23">
        <f t="shared" si="9"/>
        <v>33363.830837584326</v>
      </c>
      <c r="AA28" s="23">
        <f t="shared" si="13"/>
        <v>2.1605477737184922E-2</v>
      </c>
      <c r="AB28" s="23">
        <f t="shared" si="15"/>
        <v>5.8527167431894778E-3</v>
      </c>
      <c r="AC28" s="4"/>
      <c r="AD28" s="40"/>
      <c r="AH28" s="32"/>
      <c r="AI28" s="32"/>
      <c r="AJ28" s="32"/>
      <c r="AK28" s="32"/>
    </row>
    <row r="29" spans="1:37" x14ac:dyDescent="0.35">
      <c r="L29" s="41"/>
      <c r="Q29" s="71"/>
      <c r="R29" s="4"/>
      <c r="S29" s="74"/>
      <c r="W29" s="84"/>
      <c r="Y29" s="22">
        <v>2.2999999999999998</v>
      </c>
      <c r="Z29" s="23">
        <f t="shared" si="9"/>
        <v>34880.368602929069</v>
      </c>
      <c r="AA29" s="23">
        <f t="shared" si="13"/>
        <v>2.1366706527969719E-2</v>
      </c>
      <c r="AB29" s="23">
        <f t="shared" si="15"/>
        <v>5.7880359122000173E-3</v>
      </c>
      <c r="AC29" s="4"/>
      <c r="AD29" s="40"/>
      <c r="AH29" s="32"/>
      <c r="AI29" s="32"/>
      <c r="AJ29" s="32"/>
      <c r="AK29" s="32"/>
    </row>
    <row r="30" spans="1:37" x14ac:dyDescent="0.35">
      <c r="Q30" s="71"/>
      <c r="R30" s="4"/>
      <c r="S30" s="74"/>
      <c r="W30" s="84"/>
      <c r="Y30" s="22">
        <v>2.4</v>
      </c>
      <c r="Z30" s="23">
        <f t="shared" si="9"/>
        <v>36396.906368273812</v>
      </c>
      <c r="AA30" s="23">
        <f t="shared" si="13"/>
        <v>2.1140571988354548E-2</v>
      </c>
      <c r="AB30" s="23">
        <f t="shared" si="15"/>
        <v>5.7267782338316607E-3</v>
      </c>
      <c r="AC30" s="4"/>
      <c r="AD30" s="40"/>
      <c r="AH30" s="32"/>
      <c r="AI30" s="32"/>
      <c r="AJ30" s="32"/>
      <c r="AK30" s="32"/>
    </row>
    <row r="31" spans="1:37" x14ac:dyDescent="0.35">
      <c r="F31" s="1"/>
      <c r="G31" s="1"/>
      <c r="Q31" s="71"/>
      <c r="R31" s="4"/>
      <c r="S31" s="74"/>
      <c r="W31" s="84"/>
      <c r="Y31" s="22">
        <v>2.5</v>
      </c>
      <c r="Z31" s="23">
        <f t="shared" si="9"/>
        <v>37913.444133618555</v>
      </c>
      <c r="AA31" s="23">
        <f t="shared" si="13"/>
        <v>2.0925919092848556E-2</v>
      </c>
      <c r="AB31" s="23">
        <f t="shared" si="15"/>
        <v>5.6686308227545234E-3</v>
      </c>
      <c r="AC31" s="4"/>
      <c r="AD31" s="40"/>
      <c r="AH31" s="32"/>
      <c r="AI31" s="32"/>
      <c r="AJ31" s="32"/>
      <c r="AK31" s="32"/>
    </row>
    <row r="32" spans="1:37" x14ac:dyDescent="0.35">
      <c r="G32" s="19"/>
      <c r="Q32" s="71"/>
      <c r="R32" s="4"/>
      <c r="S32" s="74"/>
      <c r="W32" s="84"/>
      <c r="AC32" s="4"/>
      <c r="AD32" s="40"/>
    </row>
    <row r="33" spans="7:31" x14ac:dyDescent="0.35">
      <c r="G33" s="19"/>
      <c r="Q33" s="71"/>
      <c r="R33" s="4"/>
      <c r="S33" s="74"/>
      <c r="W33" s="84"/>
      <c r="AC33" s="4"/>
      <c r="AD33" s="40"/>
      <c r="AE33" s="1" t="s">
        <v>51</v>
      </c>
    </row>
    <row r="34" spans="7:31" x14ac:dyDescent="0.35">
      <c r="G34" s="19"/>
      <c r="Q34" s="71"/>
      <c r="R34" s="4"/>
      <c r="S34" s="74"/>
      <c r="W34" s="84"/>
      <c r="AC34" s="4"/>
      <c r="AD34" s="40"/>
    </row>
    <row r="35" spans="7:31" x14ac:dyDescent="0.35">
      <c r="G35" s="19"/>
      <c r="Q35" s="71"/>
      <c r="R35" s="4"/>
      <c r="S35" s="74"/>
      <c r="W35" s="84"/>
      <c r="AC35" s="4"/>
      <c r="AD35" s="40"/>
    </row>
    <row r="36" spans="7:31" x14ac:dyDescent="0.35">
      <c r="G36" s="19"/>
      <c r="Q36" s="71"/>
      <c r="R36" s="4"/>
      <c r="S36" s="74"/>
      <c r="W36" s="84"/>
      <c r="AC36" s="4"/>
    </row>
    <row r="37" spans="7:31" x14ac:dyDescent="0.35">
      <c r="G37" s="19"/>
      <c r="Q37" s="71"/>
      <c r="R37" s="4"/>
      <c r="S37" s="74"/>
      <c r="W37" s="84"/>
      <c r="AC37" s="4"/>
    </row>
    <row r="38" spans="7:31" x14ac:dyDescent="0.35">
      <c r="Q38" s="71"/>
      <c r="R38" s="4"/>
      <c r="S38" s="74"/>
      <c r="W38" s="84"/>
      <c r="AC38" s="4"/>
    </row>
    <row r="39" spans="7:31" x14ac:dyDescent="0.35">
      <c r="Q39" s="71"/>
      <c r="R39" s="4"/>
      <c r="S39" s="74"/>
      <c r="W39" s="84"/>
      <c r="Y39" s="4"/>
      <c r="Z39" s="16"/>
      <c r="AA39" s="16"/>
      <c r="AB39" s="4"/>
      <c r="AC39" s="4"/>
    </row>
    <row r="40" spans="7:31" x14ac:dyDescent="0.35">
      <c r="Q40" s="71"/>
      <c r="R40" s="4"/>
      <c r="S40" s="74"/>
      <c r="W40" s="84"/>
      <c r="Y40" s="4"/>
      <c r="Z40" s="16"/>
      <c r="AA40" s="16"/>
      <c r="AB40" s="4"/>
      <c r="AC40" s="4"/>
    </row>
    <row r="41" spans="7:31" x14ac:dyDescent="0.35">
      <c r="Q41" s="71"/>
      <c r="R41" s="4"/>
      <c r="S41" s="74"/>
      <c r="W41" s="84"/>
      <c r="Y41" s="4"/>
      <c r="Z41" s="16"/>
      <c r="AA41" s="16"/>
      <c r="AB41" s="4"/>
      <c r="AC41" s="4"/>
    </row>
    <row r="42" spans="7:31" x14ac:dyDescent="0.35">
      <c r="Q42" s="71"/>
      <c r="R42" s="4"/>
      <c r="S42" s="74"/>
      <c r="W42" s="84"/>
      <c r="Y42" s="4"/>
      <c r="Z42" s="16"/>
      <c r="AA42" s="16"/>
      <c r="AB42" s="4"/>
      <c r="AC42" s="4"/>
    </row>
    <row r="43" spans="7:31" x14ac:dyDescent="0.35">
      <c r="Q43" s="71"/>
      <c r="R43" s="4"/>
      <c r="S43" s="74"/>
      <c r="W43" s="84"/>
      <c r="Y43" s="4"/>
      <c r="Z43" s="16"/>
      <c r="AA43" s="16"/>
      <c r="AB43" s="4"/>
      <c r="AC43" s="4"/>
    </row>
    <row r="44" spans="7:31" x14ac:dyDescent="0.35">
      <c r="Y44" s="4"/>
      <c r="Z44" s="16"/>
      <c r="AA44" s="16"/>
    </row>
    <row r="45" spans="7:31" x14ac:dyDescent="0.35">
      <c r="Y45" s="4"/>
      <c r="Z45" s="16"/>
      <c r="AA45" s="16"/>
    </row>
    <row r="46" spans="7:31" x14ac:dyDescent="0.35">
      <c r="Y46" s="4"/>
      <c r="Z46" s="16"/>
      <c r="AA46" s="16"/>
    </row>
    <row r="47" spans="7:31" x14ac:dyDescent="0.35">
      <c r="Y47" s="4"/>
      <c r="Z47" s="16"/>
      <c r="AA47" s="16"/>
    </row>
    <row r="48" spans="7:31" x14ac:dyDescent="0.35">
      <c r="Y48" s="4"/>
      <c r="Z48" s="16"/>
      <c r="AA48" s="16"/>
    </row>
    <row r="49" spans="25:27" x14ac:dyDescent="0.35">
      <c r="Y49" s="4"/>
      <c r="Z49" s="16"/>
      <c r="AA49" s="16"/>
    </row>
    <row r="50" spans="25:27" x14ac:dyDescent="0.35">
      <c r="Y50" s="4"/>
      <c r="Z50" s="16"/>
      <c r="AA50" s="16"/>
    </row>
    <row r="51" spans="25:27" x14ac:dyDescent="0.35">
      <c r="Y51" s="4"/>
      <c r="Z51" s="16"/>
      <c r="AA51" s="16"/>
    </row>
    <row r="52" spans="25:27" x14ac:dyDescent="0.35">
      <c r="Y52" s="4"/>
      <c r="Z52" s="16"/>
      <c r="AA52" s="16"/>
    </row>
    <row r="53" spans="25:27" x14ac:dyDescent="0.35">
      <c r="Y53" s="4"/>
      <c r="Z53" s="16"/>
      <c r="AA53" s="16"/>
    </row>
    <row r="54" spans="25:27" x14ac:dyDescent="0.35">
      <c r="Y54" s="4"/>
    </row>
    <row r="82" spans="13:19" x14ac:dyDescent="0.35">
      <c r="Q82" s="4"/>
      <c r="R82" s="68"/>
      <c r="S82" s="2"/>
    </row>
    <row r="83" spans="13:19" x14ac:dyDescent="0.35">
      <c r="Q83" s="4"/>
      <c r="R83" s="68"/>
      <c r="S83" s="2"/>
    </row>
    <row r="84" spans="13:19" x14ac:dyDescent="0.35">
      <c r="Q84" s="4"/>
      <c r="R84" s="68"/>
      <c r="S84" s="2"/>
    </row>
    <row r="85" spans="13:19" x14ac:dyDescent="0.35">
      <c r="Q85" s="4"/>
      <c r="R85" s="68"/>
      <c r="S85" s="2"/>
    </row>
    <row r="86" spans="13:19" x14ac:dyDescent="0.35">
      <c r="Q86" s="4"/>
      <c r="R86" s="68"/>
      <c r="S86" s="2"/>
    </row>
    <row r="87" spans="13:19" x14ac:dyDescent="0.35">
      <c r="Q87" s="4"/>
      <c r="R87" s="68"/>
      <c r="S87" s="2"/>
    </row>
    <row r="89" spans="13:19" x14ac:dyDescent="0.35">
      <c r="M89" s="22" t="s">
        <v>90</v>
      </c>
    </row>
    <row r="90" spans="13:19" x14ac:dyDescent="0.35">
      <c r="M90" s="2"/>
      <c r="N90" s="1" t="s">
        <v>83</v>
      </c>
      <c r="O90" s="41" t="s">
        <v>82</v>
      </c>
      <c r="P90" s="22" t="s">
        <v>84</v>
      </c>
    </row>
    <row r="91" spans="13:19" x14ac:dyDescent="0.35">
      <c r="M91" s="2">
        <v>15000</v>
      </c>
      <c r="N91" s="4">
        <f>((-0.0002*(M91)^2)+(9.841*M91)+939010)</f>
        <v>1041625</v>
      </c>
      <c r="O91" s="4">
        <f>((0.0000002*(M91)^2)-(0.0056*M91)+23413)</f>
        <v>23374</v>
      </c>
      <c r="P91" s="86">
        <f>(-0.000000006*(M91)^2)+(0.0003*M91)+37.149</f>
        <v>40.298999999999999</v>
      </c>
    </row>
    <row r="92" spans="13:19" x14ac:dyDescent="0.35">
      <c r="M92" s="2">
        <v>22000</v>
      </c>
      <c r="N92" s="4">
        <f t="shared" ref="N92:N93" si="16">((-0.0002*(M92)^2)+(9.841*M92)+939010)</f>
        <v>1058712</v>
      </c>
      <c r="O92" s="4">
        <f t="shared" ref="O92:O93" si="17">((0.0000002*(M92)^2)-(0.0056*M92)+23413)</f>
        <v>23386.6</v>
      </c>
      <c r="P92" s="86">
        <f t="shared" ref="P92:P93" si="18">(-0.000000006*(M92)^2)+(0.0003*M92)+37.149</f>
        <v>40.844999999999999</v>
      </c>
    </row>
    <row r="93" spans="13:19" x14ac:dyDescent="0.35">
      <c r="M93" s="2">
        <v>40000</v>
      </c>
      <c r="N93" s="4">
        <f t="shared" si="16"/>
        <v>1012650</v>
      </c>
      <c r="O93" s="4">
        <f t="shared" si="17"/>
        <v>23509</v>
      </c>
      <c r="P93" s="86">
        <f t="shared" si="18"/>
        <v>39.548999999999999</v>
      </c>
    </row>
    <row r="112" spans="17:17" x14ac:dyDescent="0.35">
      <c r="Q112" s="85"/>
    </row>
  </sheetData>
  <mergeCells count="3">
    <mergeCell ref="A3:N3"/>
    <mergeCell ref="AD5:AE5"/>
    <mergeCell ref="Q4:S4"/>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D45B1-EEDA-4B2C-9A63-1E4C09F0D7B8}">
  <dimension ref="A1:AJ112"/>
  <sheetViews>
    <sheetView zoomScale="50" zoomScaleNormal="50" zoomScalePageLayoutView="90" workbookViewId="0">
      <selection activeCell="B19" sqref="B19:S28"/>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6.765625" style="4" customWidth="1"/>
    <col min="14" max="14" width="8.4609375" style="4" customWidth="1"/>
    <col min="15" max="15" width="9.07421875" style="4" customWidth="1"/>
    <col min="16" max="16" width="27.23046875" style="4" customWidth="1"/>
    <col min="17" max="17" width="12.765625" style="68" customWidth="1"/>
    <col min="18" max="18" width="10" style="2" customWidth="1"/>
    <col min="19" max="19" width="10" style="72" customWidth="1"/>
    <col min="23" max="23" width="8.4609375" style="5" customWidth="1"/>
    <col min="24" max="24" width="10.23046875" style="2" customWidth="1"/>
    <col min="25" max="25" width="13.84375" style="2" customWidth="1"/>
    <col min="26" max="28" width="10" style="2" customWidth="1"/>
    <col min="29" max="29" width="21" style="2" customWidth="1"/>
    <col min="30" max="30" width="16.3828125" style="2" customWidth="1"/>
    <col min="31" max="31" width="8.69140625" style="2"/>
    <col min="32" max="32" width="22" style="2" customWidth="1"/>
    <col min="33" max="33" width="35.84375" style="2" customWidth="1"/>
    <col min="34" max="34" width="16.84375" style="2" customWidth="1"/>
    <col min="35" max="16384" width="8.69140625" style="2"/>
  </cols>
  <sheetData>
    <row r="1" spans="1:34" x14ac:dyDescent="0.35">
      <c r="A1" s="1"/>
      <c r="I1" s="1"/>
      <c r="J1" s="1"/>
      <c r="Q1" s="69" t="s">
        <v>88</v>
      </c>
    </row>
    <row r="2" spans="1:34" x14ac:dyDescent="0.35">
      <c r="A2" s="1"/>
      <c r="I2" s="1"/>
      <c r="J2" s="1"/>
      <c r="Q2" s="69" t="s">
        <v>85</v>
      </c>
    </row>
    <row r="3" spans="1:34" x14ac:dyDescent="0.35">
      <c r="A3" s="150" t="s">
        <v>3</v>
      </c>
      <c r="B3" s="150"/>
      <c r="C3" s="150"/>
      <c r="D3" s="150"/>
      <c r="E3" s="150"/>
      <c r="F3" s="150"/>
      <c r="G3" s="150"/>
      <c r="H3" s="150"/>
      <c r="I3" s="150"/>
      <c r="J3" s="150"/>
      <c r="K3" s="150"/>
      <c r="L3" s="150"/>
      <c r="M3" s="150"/>
      <c r="N3" s="150"/>
      <c r="O3" s="45"/>
      <c r="P3" s="45"/>
      <c r="W3" s="7"/>
    </row>
    <row r="4" spans="1:34" x14ac:dyDescent="0.35">
      <c r="Q4" s="152" t="s">
        <v>81</v>
      </c>
      <c r="R4" s="153"/>
      <c r="S4" s="154"/>
    </row>
    <row r="5" spans="1:34"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W5" s="14"/>
      <c r="X5" s="15" t="s">
        <v>19</v>
      </c>
      <c r="Y5" s="16" t="s">
        <v>14</v>
      </c>
      <c r="Z5" s="15" t="s">
        <v>20</v>
      </c>
      <c r="AA5" s="16" t="s">
        <v>21</v>
      </c>
      <c r="AB5" s="1"/>
      <c r="AC5" s="151" t="s">
        <v>22</v>
      </c>
      <c r="AD5" s="151"/>
    </row>
    <row r="6" spans="1:34" x14ac:dyDescent="0.35">
      <c r="A6" s="17" t="s">
        <v>23</v>
      </c>
      <c r="B6" s="18">
        <v>0</v>
      </c>
      <c r="C6" s="19">
        <f t="shared" ref="C6:C18" si="0">B6*0.0166667</f>
        <v>0</v>
      </c>
      <c r="D6" s="19">
        <f t="shared" ref="D6:D18" si="1">B6*0.000277778</f>
        <v>0</v>
      </c>
      <c r="E6" s="3">
        <f t="shared" ref="E6:E18" si="2">0.001*D6</f>
        <v>0</v>
      </c>
      <c r="F6" s="19">
        <f t="shared" ref="F6:F18" si="3">E6/AD$7</f>
        <v>0</v>
      </c>
      <c r="G6" s="19">
        <f t="shared" ref="G6:G18" si="4">F6^(2)</f>
        <v>0</v>
      </c>
      <c r="H6" s="19">
        <f t="shared" ref="H6:H18" si="5">F6*1.94384</f>
        <v>0</v>
      </c>
      <c r="I6" s="20">
        <v>0</v>
      </c>
      <c r="J6" s="20">
        <f t="shared" ref="J6:J18" si="6">I6 * 10</f>
        <v>0</v>
      </c>
      <c r="K6" s="21">
        <f t="shared" ref="K6:K18" si="7">J6*100</f>
        <v>0</v>
      </c>
      <c r="L6" s="3">
        <f t="shared" ref="L6:L18" si="8">(F6*AD$11)/AD$12</f>
        <v>0</v>
      </c>
      <c r="X6" s="22">
        <v>0</v>
      </c>
      <c r="Y6" s="23">
        <f t="shared" ref="Y6:Y31" si="9">(X6*AD$11)/AD$12</f>
        <v>0</v>
      </c>
      <c r="Z6" s="23"/>
      <c r="AA6" s="23"/>
    </row>
    <row r="7" spans="1:34" x14ac:dyDescent="0.35">
      <c r="A7" s="2" t="s">
        <v>52</v>
      </c>
      <c r="B7" s="2">
        <v>1850</v>
      </c>
      <c r="C7" s="19">
        <f t="shared" si="0"/>
        <v>30.833394999999999</v>
      </c>
      <c r="D7" s="19">
        <f t="shared" si="1"/>
        <v>0.51388929999999999</v>
      </c>
      <c r="E7" s="3">
        <f t="shared" si="2"/>
        <v>5.1388930000000001E-4</v>
      </c>
      <c r="F7" s="19">
        <f t="shared" si="3"/>
        <v>1.0818722105263159</v>
      </c>
      <c r="G7" s="19">
        <f t="shared" si="4"/>
        <v>1.1704474799090971</v>
      </c>
      <c r="H7" s="19">
        <f t="shared" si="5"/>
        <v>2.1029864777094738</v>
      </c>
      <c r="I7" s="2">
        <v>1.2429354838709672</v>
      </c>
      <c r="J7" s="20">
        <f t="shared" si="6"/>
        <v>12.429354838709672</v>
      </c>
      <c r="K7" s="21">
        <f t="shared" si="7"/>
        <v>1242.9354838709673</v>
      </c>
      <c r="L7" s="3">
        <f t="shared" si="8"/>
        <v>17172.967062086969</v>
      </c>
      <c r="M7" s="4">
        <f t="shared" ref="M7:M18" si="10">(AD$15*G7*N7)/8</f>
        <v>6.2016213743561917</v>
      </c>
      <c r="N7" s="4">
        <f t="shared" ref="N7:N18" si="11">(K7*2*AD$11)/(AD$13*AD$15*G7)</f>
        <v>4.1394567307642571E-2</v>
      </c>
      <c r="O7" s="4">
        <f t="shared" ref="O7:O18" si="12">N7/4</f>
        <v>1.0348641826910643E-2</v>
      </c>
      <c r="P7" s="4">
        <f t="shared" ref="P7:P18" si="13">3.7*(10^(-1/(2*SQRT(N7)))-2.51/(L7*SQRT(N7)))</f>
        <v>1.0244498777379421E-2</v>
      </c>
      <c r="Q7" s="78">
        <v>1087690.0599999998</v>
      </c>
      <c r="R7" s="61">
        <v>22824.874666666667</v>
      </c>
      <c r="S7" s="79">
        <v>42.449999999999996</v>
      </c>
      <c r="X7" s="22">
        <v>0.1</v>
      </c>
      <c r="Y7" s="23">
        <f>(X7*AD$11)/AD$12</f>
        <v>1587.3378477604631</v>
      </c>
      <c r="Z7" s="23">
        <f t="shared" ref="Z7:Z31" si="14">0.292/(Y7^(0.25))</f>
        <v>4.6261052420646133E-2</v>
      </c>
      <c r="AA7" s="23">
        <f>0.0791/(Y7^0.25)</f>
        <v>1.2531675501620239E-2</v>
      </c>
      <c r="AB7" s="25"/>
      <c r="AC7" s="1" t="s">
        <v>24</v>
      </c>
      <c r="AD7" s="2">
        <f>AD$9*AD$10</f>
        <v>4.75E-4</v>
      </c>
    </row>
    <row r="8" spans="1:34" x14ac:dyDescent="0.35">
      <c r="A8" s="2" t="s">
        <v>53</v>
      </c>
      <c r="B8" s="2">
        <v>2700</v>
      </c>
      <c r="C8" s="19">
        <f t="shared" si="0"/>
        <v>45.00009</v>
      </c>
      <c r="D8" s="19">
        <f t="shared" si="1"/>
        <v>0.75000060000000002</v>
      </c>
      <c r="E8" s="3">
        <f t="shared" si="2"/>
        <v>7.500006E-4</v>
      </c>
      <c r="F8" s="19">
        <f t="shared" si="3"/>
        <v>1.5789486315789474</v>
      </c>
      <c r="G8" s="19">
        <f t="shared" si="4"/>
        <v>2.4930787811650306</v>
      </c>
      <c r="H8" s="19">
        <f t="shared" si="5"/>
        <v>3.0692235080084211</v>
      </c>
      <c r="I8" s="2">
        <v>2.5839032258064525</v>
      </c>
      <c r="J8" s="20">
        <f t="shared" si="6"/>
        <v>25.839032258064524</v>
      </c>
      <c r="K8" s="21">
        <f t="shared" si="7"/>
        <v>2583.9032258064526</v>
      </c>
      <c r="L8" s="3">
        <f t="shared" si="8"/>
        <v>25063.249225748546</v>
      </c>
      <c r="M8" s="4">
        <f t="shared" si="10"/>
        <v>12.892374288425053</v>
      </c>
      <c r="N8" s="4">
        <f>(K8*2*AD$11)/(AD$13*AD$15*G8)</f>
        <v>4.0400517981727349E-2</v>
      </c>
      <c r="O8" s="4">
        <f t="shared" si="12"/>
        <v>1.0100129495431837E-2</v>
      </c>
      <c r="P8" s="4">
        <f t="shared" si="13"/>
        <v>1.0196444121171782E-2</v>
      </c>
      <c r="Q8" s="78">
        <v>1053580.023</v>
      </c>
      <c r="R8" s="61">
        <v>22864.195333333337</v>
      </c>
      <c r="S8" s="79">
        <v>42.928333333333335</v>
      </c>
      <c r="X8" s="22">
        <v>0.2</v>
      </c>
      <c r="Y8" s="23">
        <f t="shared" si="9"/>
        <v>3174.6756955209262</v>
      </c>
      <c r="Z8" s="23">
        <f t="shared" si="14"/>
        <v>3.8900753146385518E-2</v>
      </c>
      <c r="AA8" s="23">
        <f t="shared" ref="AA8:AA31" si="15">0.0791/(Y8^0.25)</f>
        <v>1.0537841006435256E-2</v>
      </c>
      <c r="AB8" s="25"/>
      <c r="AC8" s="2" t="s">
        <v>25</v>
      </c>
    </row>
    <row r="9" spans="1:34" ht="19" x14ac:dyDescent="0.4">
      <c r="A9" s="2" t="s">
        <v>54</v>
      </c>
      <c r="B9" s="2">
        <v>3450</v>
      </c>
      <c r="C9" s="19">
        <f t="shared" si="0"/>
        <v>57.500115000000001</v>
      </c>
      <c r="D9" s="19">
        <f t="shared" si="1"/>
        <v>0.95833410000000008</v>
      </c>
      <c r="E9" s="3">
        <f t="shared" si="2"/>
        <v>9.5833410000000006E-4</v>
      </c>
      <c r="F9" s="19">
        <f t="shared" si="3"/>
        <v>2.0175454736842107</v>
      </c>
      <c r="G9" s="19">
        <f t="shared" si="4"/>
        <v>4.070489738383646</v>
      </c>
      <c r="H9" s="19">
        <f t="shared" si="5"/>
        <v>3.921785593566316</v>
      </c>
      <c r="I9" s="2">
        <v>4.1109999999999989</v>
      </c>
      <c r="J9" s="20">
        <f t="shared" si="6"/>
        <v>41.109999999999985</v>
      </c>
      <c r="K9" s="21">
        <f>J9*100</f>
        <v>4110.9999999999982</v>
      </c>
      <c r="L9" s="3">
        <f t="shared" si="8"/>
        <v>32025.262899567588</v>
      </c>
      <c r="M9" s="4">
        <f t="shared" si="10"/>
        <v>20.511817226890745</v>
      </c>
      <c r="N9" s="4">
        <f>(K9*2*AD$11)/(AD$13*AD$15*G9)</f>
        <v>3.9368376383308895E-2</v>
      </c>
      <c r="O9" s="4">
        <f t="shared" si="12"/>
        <v>9.8420940958272238E-3</v>
      </c>
      <c r="P9" s="4">
        <f t="shared" si="13"/>
        <v>9.7129273920893554E-3</v>
      </c>
      <c r="Q9" s="78">
        <v>1038651.9899999999</v>
      </c>
      <c r="R9" s="61">
        <v>23014.107333333333</v>
      </c>
      <c r="S9" s="79">
        <v>43.206666666666671</v>
      </c>
      <c r="X9" s="22">
        <v>0.3</v>
      </c>
      <c r="Y9" s="23">
        <f t="shared" si="9"/>
        <v>4762.0135432813886</v>
      </c>
      <c r="Z9" s="23">
        <f t="shared" si="14"/>
        <v>3.5150798485005921E-2</v>
      </c>
      <c r="AA9" s="23">
        <f t="shared" si="15"/>
        <v>9.5220142471368792E-3</v>
      </c>
      <c r="AB9" s="25"/>
      <c r="AC9" s="1" t="s">
        <v>26</v>
      </c>
      <c r="AD9" s="19">
        <v>0.05</v>
      </c>
      <c r="AG9" s="27" t="s">
        <v>27</v>
      </c>
    </row>
    <row r="10" spans="1:34" ht="18.5" x14ac:dyDescent="0.35">
      <c r="A10" s="2" t="s">
        <v>55</v>
      </c>
      <c r="B10" s="2">
        <v>4200</v>
      </c>
      <c r="C10" s="19">
        <f t="shared" si="0"/>
        <v>70.000140000000002</v>
      </c>
      <c r="D10" s="19">
        <f t="shared" si="1"/>
        <v>1.1666676</v>
      </c>
      <c r="E10" s="3">
        <f t="shared" si="2"/>
        <v>1.1666676000000001E-3</v>
      </c>
      <c r="F10" s="19">
        <f t="shared" si="3"/>
        <v>2.456142315789474</v>
      </c>
      <c r="G10" s="19">
        <f t="shared" si="4"/>
        <v>6.0326350754116795</v>
      </c>
      <c r="H10" s="19">
        <f t="shared" si="5"/>
        <v>4.7743476791242108</v>
      </c>
      <c r="I10" s="2">
        <v>6.0732580645161294</v>
      </c>
      <c r="J10" s="20">
        <f t="shared" si="6"/>
        <v>60.732580645161292</v>
      </c>
      <c r="K10" s="21">
        <f t="shared" si="7"/>
        <v>6073.2580645161288</v>
      </c>
      <c r="L10" s="3">
        <f t="shared" si="8"/>
        <v>38987.276573386633</v>
      </c>
      <c r="M10" s="4">
        <f>(AD$15*G10*N10)/8</f>
        <v>30.302495595012193</v>
      </c>
      <c r="N10" s="4">
        <f t="shared" si="11"/>
        <v>3.9242925168961468E-2</v>
      </c>
      <c r="O10" s="4">
        <f t="shared" si="12"/>
        <v>9.8107312922403669E-3</v>
      </c>
      <c r="P10" s="4">
        <f t="shared" si="13"/>
        <v>9.8689205655784571E-3</v>
      </c>
      <c r="Q10" s="2">
        <v>1040549.8909999999</v>
      </c>
      <c r="R10" s="2">
        <v>22756.452999999998</v>
      </c>
      <c r="S10" s="2">
        <v>43.530333333333338</v>
      </c>
      <c r="X10" s="22">
        <v>0.4</v>
      </c>
      <c r="Y10" s="23">
        <f t="shared" si="9"/>
        <v>6349.3513910418524</v>
      </c>
      <c r="Z10" s="23">
        <f t="shared" si="14"/>
        <v>3.2711503871465236E-2</v>
      </c>
      <c r="AA10" s="23">
        <f t="shared" si="15"/>
        <v>8.8612327268250031E-3</v>
      </c>
      <c r="AB10" s="25"/>
      <c r="AC10" s="1" t="s">
        <v>28</v>
      </c>
      <c r="AD10" s="19">
        <v>9.4999999999999998E-3</v>
      </c>
      <c r="AG10" s="28" t="s">
        <v>29</v>
      </c>
      <c r="AH10" s="2" t="s">
        <v>30</v>
      </c>
    </row>
    <row r="11" spans="1:34" ht="16.5" x14ac:dyDescent="0.4">
      <c r="A11" s="2" t="s">
        <v>56</v>
      </c>
      <c r="B11" s="2">
        <v>5100</v>
      </c>
      <c r="C11" s="19">
        <f t="shared" si="0"/>
        <v>85.000169999999997</v>
      </c>
      <c r="D11" s="19">
        <f t="shared" si="1"/>
        <v>1.4166678000000001</v>
      </c>
      <c r="E11" s="3">
        <f t="shared" si="2"/>
        <v>1.4166678000000002E-3</v>
      </c>
      <c r="F11" s="19">
        <f t="shared" si="3"/>
        <v>2.9824585263157899</v>
      </c>
      <c r="G11" s="19">
        <f t="shared" si="4"/>
        <v>8.8950588611937533</v>
      </c>
      <c r="H11" s="19">
        <f t="shared" si="5"/>
        <v>5.7974221817936851</v>
      </c>
      <c r="I11" s="2">
        <v>8.7835806451612939</v>
      </c>
      <c r="J11" s="20">
        <f t="shared" si="6"/>
        <v>87.835806451612939</v>
      </c>
      <c r="K11" s="21">
        <f t="shared" si="7"/>
        <v>8783.5806451612934</v>
      </c>
      <c r="L11" s="3">
        <f t="shared" si="8"/>
        <v>47341.692981969485</v>
      </c>
      <c r="M11" s="4">
        <f t="shared" si="10"/>
        <v>43.825638723231236</v>
      </c>
      <c r="N11" s="4">
        <f t="shared" si="11"/>
        <v>3.8491909707193794E-2</v>
      </c>
      <c r="O11" s="4">
        <f t="shared" si="12"/>
        <v>9.6229774267984486E-3</v>
      </c>
      <c r="P11" s="4">
        <f t="shared" si="13"/>
        <v>9.464128300890157E-3</v>
      </c>
      <c r="Q11" s="78">
        <v>992811.55700000003</v>
      </c>
      <c r="R11" s="61">
        <v>22269.90866666667</v>
      </c>
      <c r="S11" s="79">
        <v>44.967666666666673</v>
      </c>
      <c r="X11" s="22">
        <v>0.5</v>
      </c>
      <c r="Y11" s="23">
        <f t="shared" si="9"/>
        <v>7936.6892388023152</v>
      </c>
      <c r="Z11" s="23">
        <f t="shared" si="14"/>
        <v>3.0936630304313144E-2</v>
      </c>
      <c r="AA11" s="23">
        <f t="shared" si="15"/>
        <v>8.3804364968190753E-3</v>
      </c>
      <c r="AB11" s="25"/>
      <c r="AC11" s="1" t="s">
        <v>31</v>
      </c>
      <c r="AD11" s="4">
        <f>2*(AD9*AD10)/(AD9+AD10)</f>
        <v>1.5966386554621848E-2</v>
      </c>
      <c r="AE11" s="1">
        <f>10*AD11*100</f>
        <v>15.966386554621847</v>
      </c>
      <c r="AG11" s="27" t="s">
        <v>32</v>
      </c>
      <c r="AH11" s="2" t="s">
        <v>33</v>
      </c>
    </row>
    <row r="12" spans="1:34" ht="18.5" x14ac:dyDescent="0.35">
      <c r="A12" s="2" t="s">
        <v>63</v>
      </c>
      <c r="B12" s="2">
        <v>5800</v>
      </c>
      <c r="C12" s="19">
        <f t="shared" si="0"/>
        <v>96.66686</v>
      </c>
      <c r="D12" s="19">
        <f t="shared" si="1"/>
        <v>1.6111124000000001</v>
      </c>
      <c r="E12" s="3">
        <f t="shared" si="2"/>
        <v>1.6111124000000002E-3</v>
      </c>
      <c r="F12" s="19">
        <f t="shared" si="3"/>
        <v>3.391815578947369</v>
      </c>
      <c r="G12" s="19">
        <f t="shared" si="4"/>
        <v>11.504412921590076</v>
      </c>
      <c r="H12" s="19">
        <f t="shared" si="5"/>
        <v>6.5931467949810534</v>
      </c>
      <c r="I12" s="2">
        <v>9.6339032258064528</v>
      </c>
      <c r="J12" s="20">
        <f t="shared" si="6"/>
        <v>96.33903225806452</v>
      </c>
      <c r="K12" s="21">
        <f t="shared" si="7"/>
        <v>9633.9032258064526</v>
      </c>
      <c r="L12" s="3">
        <f t="shared" si="8"/>
        <v>53839.572410867258</v>
      </c>
      <c r="M12" s="4">
        <f t="shared" si="10"/>
        <v>48.068319666576308</v>
      </c>
      <c r="N12" s="4">
        <f t="shared" si="11"/>
        <v>3.2642582455500321E-2</v>
      </c>
      <c r="O12" s="4">
        <f t="shared" si="12"/>
        <v>8.1606456138750803E-3</v>
      </c>
      <c r="P12" s="4">
        <f t="shared" si="13"/>
        <v>5.3659605646778517E-3</v>
      </c>
      <c r="Q12" s="78">
        <v>976996.45833333337</v>
      </c>
      <c r="R12" s="61">
        <v>22094.09</v>
      </c>
      <c r="S12" s="79">
        <v>45.483333333333327</v>
      </c>
      <c r="X12" s="22">
        <v>0.6</v>
      </c>
      <c r="Y12" s="23">
        <f t="shared" si="9"/>
        <v>9524.0270865627772</v>
      </c>
      <c r="Z12" s="23">
        <f t="shared" si="14"/>
        <v>2.9558180439347177E-2</v>
      </c>
      <c r="AA12" s="23">
        <f t="shared" si="15"/>
        <v>8.007027646412198E-3</v>
      </c>
      <c r="AB12" s="25"/>
      <c r="AC12" s="1" t="s">
        <v>34</v>
      </c>
      <c r="AD12" s="31">
        <f>AD$16/AD$15</f>
        <v>1.0058593750000001E-6</v>
      </c>
    </row>
    <row r="13" spans="1:34" ht="16.5" x14ac:dyDescent="0.4">
      <c r="A13" s="2" t="s">
        <v>62</v>
      </c>
      <c r="B13" s="2">
        <v>5800</v>
      </c>
      <c r="C13" s="19">
        <f t="shared" si="0"/>
        <v>96.66686</v>
      </c>
      <c r="D13" s="19">
        <f t="shared" si="1"/>
        <v>1.6111124000000001</v>
      </c>
      <c r="E13" s="3">
        <f t="shared" si="2"/>
        <v>1.6111124000000002E-3</v>
      </c>
      <c r="F13" s="19">
        <f t="shared" si="3"/>
        <v>3.391815578947369</v>
      </c>
      <c r="G13" s="19">
        <f t="shared" si="4"/>
        <v>11.504412921590076</v>
      </c>
      <c r="H13" s="19">
        <f t="shared" si="5"/>
        <v>6.5931467949810534</v>
      </c>
      <c r="I13" s="2">
        <v>9.6339032258064528</v>
      </c>
      <c r="J13" s="20">
        <f t="shared" si="6"/>
        <v>96.33903225806452</v>
      </c>
      <c r="K13" s="21">
        <f t="shared" si="7"/>
        <v>9633.9032258064526</v>
      </c>
      <c r="L13" s="3">
        <f t="shared" si="8"/>
        <v>53839.572410867258</v>
      </c>
      <c r="M13" s="4">
        <f t="shared" si="10"/>
        <v>48.068319666576308</v>
      </c>
      <c r="N13" s="4">
        <f t="shared" si="11"/>
        <v>3.2642582455500321E-2</v>
      </c>
      <c r="O13" s="4">
        <f t="shared" si="12"/>
        <v>8.1606456138750803E-3</v>
      </c>
      <c r="P13" s="4">
        <f t="shared" si="13"/>
        <v>5.3659605646778517E-3</v>
      </c>
      <c r="Q13" s="78">
        <v>976996.45833333337</v>
      </c>
      <c r="R13" s="61">
        <v>22094.09</v>
      </c>
      <c r="S13" s="79">
        <v>45.483333333333327</v>
      </c>
      <c r="X13" s="22">
        <v>0.7</v>
      </c>
      <c r="Y13" s="23">
        <f t="shared" si="9"/>
        <v>11111.364934323241</v>
      </c>
      <c r="Z13" s="23">
        <f t="shared" si="14"/>
        <v>2.8440746971270661E-2</v>
      </c>
      <c r="AA13" s="23">
        <f t="shared" si="15"/>
        <v>7.7043256350257175E-3</v>
      </c>
      <c r="AB13" s="25"/>
      <c r="AC13" s="1" t="s">
        <v>35</v>
      </c>
      <c r="AD13" s="32">
        <v>0.8</v>
      </c>
      <c r="AG13" s="27" t="s">
        <v>36</v>
      </c>
      <c r="AH13" s="1" t="s">
        <v>37</v>
      </c>
    </row>
    <row r="14" spans="1:34" x14ac:dyDescent="0.35">
      <c r="A14" s="2" t="s">
        <v>57</v>
      </c>
      <c r="B14" s="2">
        <v>4850</v>
      </c>
      <c r="C14" s="19">
        <f t="shared" si="0"/>
        <v>80.833494999999999</v>
      </c>
      <c r="D14" s="19">
        <f t="shared" si="1"/>
        <v>1.3472233</v>
      </c>
      <c r="E14" s="3">
        <f t="shared" si="2"/>
        <v>1.3472233000000001E-3</v>
      </c>
      <c r="F14" s="19">
        <f t="shared" si="3"/>
        <v>2.8362595789473688</v>
      </c>
      <c r="G14" s="19">
        <f t="shared" si="4"/>
        <v>8.0443683991707058</v>
      </c>
      <c r="H14" s="19">
        <f t="shared" si="5"/>
        <v>5.5132348199410535</v>
      </c>
      <c r="I14" s="2">
        <v>8.199064516129031</v>
      </c>
      <c r="J14" s="20">
        <f t="shared" si="6"/>
        <v>81.990645161290303</v>
      </c>
      <c r="K14" s="21">
        <f t="shared" si="7"/>
        <v>8199.0645161290304</v>
      </c>
      <c r="L14" s="3">
        <f t="shared" si="8"/>
        <v>45021.021757363138</v>
      </c>
      <c r="M14" s="4">
        <f t="shared" si="10"/>
        <v>40.909197953374886</v>
      </c>
      <c r="N14" s="4">
        <f t="shared" si="11"/>
        <v>3.9730043820928089E-2</v>
      </c>
      <c r="O14" s="4">
        <f t="shared" si="12"/>
        <v>9.9325109552320223E-3</v>
      </c>
      <c r="P14" s="4">
        <f t="shared" si="13"/>
        <v>1.043930100119032E-2</v>
      </c>
      <c r="Q14" s="78">
        <v>1021829.556</v>
      </c>
      <c r="R14" s="61">
        <v>21972.952666666668</v>
      </c>
      <c r="S14" s="79">
        <v>44.632000000000005</v>
      </c>
      <c r="X14" s="22">
        <v>0.8</v>
      </c>
      <c r="Y14" s="23">
        <f t="shared" si="9"/>
        <v>12698.702782083705</v>
      </c>
      <c r="Z14" s="23">
        <f t="shared" si="14"/>
        <v>2.7506986343073123E-2</v>
      </c>
      <c r="AA14" s="23">
        <f t="shared" si="15"/>
        <v>7.4513788347160418E-3</v>
      </c>
      <c r="AB14" s="25"/>
      <c r="AD14" s="32"/>
    </row>
    <row r="15" spans="1:34" x14ac:dyDescent="0.35">
      <c r="A15" s="2" t="s">
        <v>58</v>
      </c>
      <c r="B15" s="2">
        <v>4200</v>
      </c>
      <c r="C15" s="19">
        <f t="shared" si="0"/>
        <v>70.000140000000002</v>
      </c>
      <c r="D15" s="19">
        <f t="shared" si="1"/>
        <v>1.1666676</v>
      </c>
      <c r="E15" s="3">
        <f t="shared" si="2"/>
        <v>1.1666676000000001E-3</v>
      </c>
      <c r="F15" s="19">
        <f t="shared" si="3"/>
        <v>2.456142315789474</v>
      </c>
      <c r="G15" s="19">
        <f t="shared" si="4"/>
        <v>6.0326350754116795</v>
      </c>
      <c r="H15" s="19">
        <f t="shared" si="5"/>
        <v>4.7743476791242108</v>
      </c>
      <c r="I15" s="2">
        <v>6.1793870967741933</v>
      </c>
      <c r="J15" s="20">
        <f t="shared" si="6"/>
        <v>61.793870967741931</v>
      </c>
      <c r="K15" s="21">
        <f t="shared" si="7"/>
        <v>6179.3870967741932</v>
      </c>
      <c r="L15" s="3">
        <f t="shared" si="8"/>
        <v>38987.276573386633</v>
      </c>
      <c r="M15" s="4">
        <f t="shared" si="10"/>
        <v>30.8320259555435</v>
      </c>
      <c r="N15" s="4">
        <f t="shared" si="11"/>
        <v>3.992868783982359E-2</v>
      </c>
      <c r="O15" s="4">
        <f t="shared" si="12"/>
        <v>9.9821719599558975E-3</v>
      </c>
      <c r="P15" s="4">
        <f t="shared" si="13"/>
        <v>1.0448369770789889E-2</v>
      </c>
      <c r="Q15" s="78">
        <v>1023627.8689999999</v>
      </c>
      <c r="R15" s="61">
        <v>22504.080999999995</v>
      </c>
      <c r="S15" s="79">
        <v>43.702999999999996</v>
      </c>
      <c r="W15" s="34"/>
      <c r="X15" s="22">
        <v>0.9</v>
      </c>
      <c r="Y15" s="23">
        <f t="shared" si="9"/>
        <v>14286.040629844169</v>
      </c>
      <c r="Z15" s="23">
        <f t="shared" si="14"/>
        <v>2.6708831068055439E-2</v>
      </c>
      <c r="AA15" s="23">
        <f t="shared" si="15"/>
        <v>7.2351662242574845E-3</v>
      </c>
      <c r="AB15" s="25"/>
      <c r="AC15" s="2" t="s">
        <v>38</v>
      </c>
      <c r="AD15" s="32">
        <f>VLOOKUP(AD17, SW!$A$4:$F$34, 3, FALSE)</f>
        <v>1024</v>
      </c>
      <c r="AE15" s="32"/>
    </row>
    <row r="16" spans="1:34" x14ac:dyDescent="0.35">
      <c r="A16" s="2" t="s">
        <v>59</v>
      </c>
      <c r="B16" s="2">
        <v>3600</v>
      </c>
      <c r="C16" s="19">
        <f t="shared" si="0"/>
        <v>60.000119999999995</v>
      </c>
      <c r="D16" s="19">
        <f t="shared" si="1"/>
        <v>1.0000008</v>
      </c>
      <c r="E16" s="3">
        <f t="shared" si="2"/>
        <v>1.0000008000000001E-3</v>
      </c>
      <c r="F16" s="19">
        <f t="shared" si="3"/>
        <v>2.1052648421052633</v>
      </c>
      <c r="G16" s="19">
        <f t="shared" si="4"/>
        <v>4.4321400554044992</v>
      </c>
      <c r="H16" s="19">
        <f t="shared" si="5"/>
        <v>4.0922980106778954</v>
      </c>
      <c r="I16" s="2">
        <v>4.5726129032258056</v>
      </c>
      <c r="J16" s="20">
        <f t="shared" si="6"/>
        <v>45.726129032258058</v>
      </c>
      <c r="K16" s="21">
        <f t="shared" si="7"/>
        <v>4572.6129032258059</v>
      </c>
      <c r="L16" s="3">
        <f t="shared" si="8"/>
        <v>33417.665634331395</v>
      </c>
      <c r="M16" s="4">
        <f t="shared" si="10"/>
        <v>22.815032867985902</v>
      </c>
      <c r="N16" s="4">
        <f t="shared" si="11"/>
        <v>4.0215887145487003E-2</v>
      </c>
      <c r="O16" s="4">
        <f t="shared" si="12"/>
        <v>1.0053971786371751E-2</v>
      </c>
      <c r="P16" s="4">
        <f t="shared" si="13"/>
        <v>1.049706097881087E-2</v>
      </c>
      <c r="Q16" s="78">
        <v>1048262.0826666667</v>
      </c>
      <c r="R16" s="61">
        <v>22465.155333333332</v>
      </c>
      <c r="S16" s="79">
        <v>43.146666666666668</v>
      </c>
      <c r="X16" s="22">
        <v>1</v>
      </c>
      <c r="Y16" s="23">
        <f t="shared" si="9"/>
        <v>15873.37847760463</v>
      </c>
      <c r="Z16" s="23">
        <f t="shared" si="14"/>
        <v>2.6014501522926354E-2</v>
      </c>
      <c r="AA16" s="23">
        <f t="shared" si="15"/>
        <v>7.0470790084365582E-3</v>
      </c>
      <c r="AB16" s="25"/>
      <c r="AC16" s="2" t="s">
        <v>39</v>
      </c>
      <c r="AD16" s="123">
        <f>VLOOKUP(AD17, SW!$A$4:$F$34, 5, FALSE)</f>
        <v>1.0300000000000001E-3</v>
      </c>
    </row>
    <row r="17" spans="1:36" x14ac:dyDescent="0.35">
      <c r="A17" s="2" t="s">
        <v>60</v>
      </c>
      <c r="B17" s="2">
        <v>2700</v>
      </c>
      <c r="C17" s="19">
        <f t="shared" si="0"/>
        <v>45.00009</v>
      </c>
      <c r="D17" s="19">
        <f t="shared" si="1"/>
        <v>0.75000060000000002</v>
      </c>
      <c r="E17" s="3">
        <f t="shared" si="2"/>
        <v>7.500006E-4</v>
      </c>
      <c r="F17" s="19">
        <f t="shared" si="3"/>
        <v>1.5789486315789474</v>
      </c>
      <c r="G17" s="19">
        <f t="shared" si="4"/>
        <v>2.4930787811650306</v>
      </c>
      <c r="H17" s="19">
        <f t="shared" si="5"/>
        <v>3.0692235080084211</v>
      </c>
      <c r="I17" s="2">
        <v>2.7206774193548386</v>
      </c>
      <c r="J17" s="20">
        <f t="shared" si="6"/>
        <v>27.206774193548387</v>
      </c>
      <c r="K17" s="21">
        <f t="shared" si="7"/>
        <v>2720.6774193548385</v>
      </c>
      <c r="L17" s="3">
        <f t="shared" si="8"/>
        <v>25063.249225748546</v>
      </c>
      <c r="M17" s="4">
        <f t="shared" si="10"/>
        <v>13.574808552453236</v>
      </c>
      <c r="N17" s="4">
        <f t="shared" si="11"/>
        <v>4.2539045543711865E-2</v>
      </c>
      <c r="O17" s="4">
        <f t="shared" si="12"/>
        <v>1.0634761385927966E-2</v>
      </c>
      <c r="P17" s="4">
        <f t="shared" si="13"/>
        <v>1.2133676744148982E-2</v>
      </c>
      <c r="Q17" s="78">
        <v>1069164.1286666666</v>
      </c>
      <c r="R17" s="61">
        <v>22636.263000000003</v>
      </c>
      <c r="S17" s="79">
        <v>42.010999999999996</v>
      </c>
      <c r="W17" s="14"/>
      <c r="X17" s="22">
        <v>1.1000000000000001</v>
      </c>
      <c r="Y17" s="23">
        <f t="shared" si="9"/>
        <v>17460.716325365094</v>
      </c>
      <c r="Z17" s="23">
        <f t="shared" si="14"/>
        <v>2.5401966402952052E-2</v>
      </c>
      <c r="AA17" s="23">
        <f t="shared" si="15"/>
        <v>6.8811491180599572E-3</v>
      </c>
      <c r="AB17" s="25"/>
      <c r="AC17" s="2" t="s">
        <v>161</v>
      </c>
      <c r="AD17" s="2">
        <v>22</v>
      </c>
    </row>
    <row r="18" spans="1:36" x14ac:dyDescent="0.35">
      <c r="A18" s="2" t="s">
        <v>61</v>
      </c>
      <c r="B18" s="2">
        <v>1900</v>
      </c>
      <c r="C18" s="19">
        <f t="shared" si="0"/>
        <v>31.666729999999998</v>
      </c>
      <c r="D18" s="19">
        <f t="shared" si="1"/>
        <v>0.52777819999999998</v>
      </c>
      <c r="E18" s="3">
        <f t="shared" si="2"/>
        <v>5.2777819999999997E-4</v>
      </c>
      <c r="F18" s="19">
        <f t="shared" si="3"/>
        <v>1.1111119999999999</v>
      </c>
      <c r="G18" s="19">
        <f t="shared" si="4"/>
        <v>1.2345698765439996</v>
      </c>
      <c r="H18" s="19">
        <f t="shared" si="5"/>
        <v>2.1598239500799998</v>
      </c>
      <c r="I18" s="2">
        <v>1.4309999999999998</v>
      </c>
      <c r="J18" s="20">
        <f t="shared" si="6"/>
        <v>14.309999999999999</v>
      </c>
      <c r="K18" s="21">
        <f t="shared" si="7"/>
        <v>1430.9999999999998</v>
      </c>
      <c r="L18" s="3">
        <f t="shared" si="8"/>
        <v>17637.101307008237</v>
      </c>
      <c r="M18" s="4">
        <f t="shared" si="10"/>
        <v>7.139968487394956</v>
      </c>
      <c r="N18" s="4">
        <f t="shared" si="11"/>
        <v>4.5182540792202033E-2</v>
      </c>
      <c r="O18" s="4">
        <f t="shared" si="12"/>
        <v>1.1295635198050508E-2</v>
      </c>
      <c r="P18" s="4">
        <f t="shared" si="13"/>
        <v>1.3964432398709663E-2</v>
      </c>
      <c r="Q18" s="78">
        <v>1074665.3370000001</v>
      </c>
      <c r="R18" s="61">
        <v>22450.657666666666</v>
      </c>
      <c r="S18" s="79">
        <v>42.341333333333331</v>
      </c>
      <c r="X18" s="22">
        <v>1.2</v>
      </c>
      <c r="Y18" s="23">
        <f t="shared" si="9"/>
        <v>19048.054173125554</v>
      </c>
      <c r="Z18" s="23">
        <f t="shared" si="14"/>
        <v>2.4855367972869517E-2</v>
      </c>
      <c r="AA18" s="23">
        <f t="shared" si="15"/>
        <v>6.733080844705407E-3</v>
      </c>
      <c r="AB18" s="25"/>
      <c r="AC18" s="1"/>
      <c r="AD18" s="1"/>
      <c r="AG18" s="119" t="s">
        <v>40</v>
      </c>
      <c r="AH18" s="119"/>
      <c r="AI18" s="119"/>
      <c r="AJ18" s="119"/>
    </row>
    <row r="19" spans="1:36" x14ac:dyDescent="0.35">
      <c r="A19" s="24"/>
      <c r="B19" s="18"/>
      <c r="C19" s="19"/>
      <c r="D19" s="19"/>
      <c r="E19" s="3"/>
      <c r="F19" s="19"/>
      <c r="G19" s="19"/>
      <c r="H19" s="19"/>
      <c r="I19" s="20"/>
      <c r="J19" s="20"/>
      <c r="K19" s="21"/>
      <c r="Q19" s="70"/>
      <c r="R19" s="25"/>
      <c r="S19" s="73"/>
      <c r="X19" s="22">
        <v>1.3</v>
      </c>
      <c r="Y19" s="23">
        <f t="shared" si="9"/>
        <v>20635.392020886022</v>
      </c>
      <c r="Z19" s="23">
        <f t="shared" si="14"/>
        <v>2.4362938589062345E-2</v>
      </c>
      <c r="AA19" s="23">
        <f t="shared" si="15"/>
        <v>6.5996864465576429E-3</v>
      </c>
      <c r="AB19" s="25"/>
      <c r="AG19" s="120" t="s">
        <v>41</v>
      </c>
      <c r="AH19" s="119" t="s">
        <v>42</v>
      </c>
      <c r="AI19" s="119" t="s">
        <v>43</v>
      </c>
      <c r="AJ19" s="119" t="s">
        <v>44</v>
      </c>
    </row>
    <row r="20" spans="1:36" x14ac:dyDescent="0.35">
      <c r="A20" s="24"/>
      <c r="B20" s="18"/>
      <c r="C20" s="19"/>
      <c r="D20" s="19"/>
      <c r="E20" s="3"/>
      <c r="F20" s="19"/>
      <c r="G20" s="19"/>
      <c r="H20" s="19"/>
      <c r="I20" s="20"/>
      <c r="J20" s="20"/>
      <c r="K20" s="21"/>
      <c r="Q20" s="70"/>
      <c r="R20" s="25"/>
      <c r="S20" s="73"/>
      <c r="X20" s="22">
        <v>1.4</v>
      </c>
      <c r="Y20" s="23">
        <f t="shared" si="9"/>
        <v>22222.729868646482</v>
      </c>
      <c r="Z20" s="23">
        <f t="shared" si="14"/>
        <v>2.3915722175279437E-2</v>
      </c>
      <c r="AA20" s="23">
        <f t="shared" si="15"/>
        <v>6.4785398084404233E-3</v>
      </c>
      <c r="AB20" s="25"/>
      <c r="AC20" s="1" t="s">
        <v>45</v>
      </c>
      <c r="AD20" s="1">
        <f>4*10^(-6)</f>
        <v>3.9999999999999998E-6</v>
      </c>
      <c r="AG20" s="120" t="s">
        <v>46</v>
      </c>
      <c r="AH20" s="119" t="s">
        <v>47</v>
      </c>
      <c r="AI20" s="119" t="s">
        <v>48</v>
      </c>
      <c r="AJ20" s="119" t="s">
        <v>49</v>
      </c>
    </row>
    <row r="21" spans="1:36" x14ac:dyDescent="0.35">
      <c r="A21" s="24" t="s">
        <v>73</v>
      </c>
      <c r="B21" s="18"/>
      <c r="C21" s="19"/>
      <c r="D21" s="19"/>
      <c r="E21" s="43"/>
      <c r="F21" s="19"/>
      <c r="G21" s="19"/>
      <c r="H21" s="19"/>
      <c r="I21" s="20"/>
      <c r="J21" s="20"/>
      <c r="K21" s="21"/>
      <c r="Q21" s="70"/>
      <c r="R21" s="25"/>
      <c r="S21" s="73"/>
      <c r="X21" s="22">
        <v>1.5</v>
      </c>
      <c r="Y21" s="23">
        <f t="shared" si="9"/>
        <v>23810.067716406946</v>
      </c>
      <c r="Z21" s="23">
        <f t="shared" si="14"/>
        <v>2.3506755699027618E-2</v>
      </c>
      <c r="AA21" s="23">
        <f t="shared" si="15"/>
        <v>6.3677547116201532E-3</v>
      </c>
      <c r="AB21" s="25"/>
      <c r="AC21" s="1" t="s">
        <v>50</v>
      </c>
      <c r="AD21" s="2">
        <f>AD20/AD11</f>
        <v>2.5052631578947367E-4</v>
      </c>
      <c r="AG21" s="119">
        <v>0</v>
      </c>
      <c r="AH21" s="119">
        <v>1.792E-3</v>
      </c>
      <c r="AI21" s="119">
        <v>999.87</v>
      </c>
      <c r="AJ21" s="121">
        <v>1.7922329902887374E-6</v>
      </c>
    </row>
    <row r="22" spans="1:36" x14ac:dyDescent="0.35">
      <c r="A22" s="24"/>
      <c r="B22" s="18"/>
      <c r="C22" s="19"/>
      <c r="D22" s="19"/>
      <c r="E22" s="3"/>
      <c r="F22" s="19"/>
      <c r="G22" s="19"/>
      <c r="H22" s="19"/>
      <c r="I22" s="20"/>
      <c r="J22" s="20"/>
      <c r="K22" s="21"/>
      <c r="P22" s="43"/>
      <c r="Q22" s="70"/>
      <c r="R22" s="25"/>
      <c r="S22" s="73"/>
      <c r="X22" s="22">
        <v>1.6</v>
      </c>
      <c r="Y22" s="23">
        <f t="shared" si="9"/>
        <v>25397.405564167409</v>
      </c>
      <c r="Z22" s="23">
        <f t="shared" si="14"/>
        <v>2.313052621032307E-2</v>
      </c>
      <c r="AA22" s="23">
        <f t="shared" si="15"/>
        <v>6.2658377508101205E-3</v>
      </c>
      <c r="AB22" s="25"/>
      <c r="AG22" s="119">
        <v>5</v>
      </c>
      <c r="AH22" s="119">
        <v>1.519E-3</v>
      </c>
      <c r="AI22" s="119">
        <v>999.99</v>
      </c>
      <c r="AJ22" s="121">
        <v>1.5190151901519014E-6</v>
      </c>
    </row>
    <row r="23" spans="1:36" x14ac:dyDescent="0.35">
      <c r="B23" s="18"/>
      <c r="C23" s="19"/>
      <c r="D23" s="19"/>
      <c r="E23" s="3"/>
      <c r="F23" s="3"/>
      <c r="G23" s="19"/>
      <c r="H23" s="19"/>
      <c r="I23" s="19"/>
      <c r="J23" s="20"/>
      <c r="K23" s="21"/>
      <c r="Q23" s="70"/>
      <c r="R23" s="25"/>
      <c r="S23" s="73"/>
      <c r="X23" s="22">
        <v>1.7</v>
      </c>
      <c r="Y23" s="23">
        <f t="shared" si="9"/>
        <v>26984.74341192787</v>
      </c>
      <c r="Z23" s="23">
        <f t="shared" si="14"/>
        <v>2.278259963411329E-2</v>
      </c>
      <c r="AA23" s="23">
        <f t="shared" si="15"/>
        <v>6.1715877775971283E-3</v>
      </c>
      <c r="AB23" s="25"/>
      <c r="AC23" s="40"/>
      <c r="AG23" s="119">
        <f>AG22+5</f>
        <v>10</v>
      </c>
      <c r="AH23" s="119">
        <v>1.3079999999999999E-3</v>
      </c>
      <c r="AI23" s="119">
        <v>999.73</v>
      </c>
      <c r="AJ23" s="121">
        <v>1.3083532553789522E-6</v>
      </c>
    </row>
    <row r="24" spans="1:36" x14ac:dyDescent="0.35">
      <c r="B24" s="18"/>
      <c r="C24" s="19"/>
      <c r="D24" s="19"/>
      <c r="E24" s="3"/>
      <c r="F24" s="3"/>
      <c r="G24" s="19"/>
      <c r="H24" s="19"/>
      <c r="I24" s="19"/>
      <c r="J24" s="20"/>
      <c r="K24" s="21"/>
      <c r="Q24" s="71"/>
      <c r="R24" s="4"/>
      <c r="S24" s="74"/>
      <c r="X24" s="22">
        <v>1.8</v>
      </c>
      <c r="Y24" s="23">
        <f t="shared" si="9"/>
        <v>28572.081259688337</v>
      </c>
      <c r="Z24" s="23">
        <f t="shared" si="14"/>
        <v>2.2459360300744857E-2</v>
      </c>
      <c r="AA24" s="23">
        <f t="shared" si="15"/>
        <v>6.0840253417428717E-3</v>
      </c>
      <c r="AB24" s="4"/>
      <c r="AC24" s="40"/>
      <c r="AG24" s="119" t="e">
        <f>#REF!+5</f>
        <v>#REF!</v>
      </c>
      <c r="AH24" s="119">
        <v>1.005E-3</v>
      </c>
      <c r="AI24" s="119">
        <v>998.23</v>
      </c>
      <c r="AJ24" s="121">
        <v>1.0067820041473407E-6</v>
      </c>
    </row>
    <row r="25" spans="1:36" x14ac:dyDescent="0.35">
      <c r="B25" s="18"/>
      <c r="C25" s="19"/>
      <c r="D25" s="19"/>
      <c r="E25" s="3"/>
      <c r="F25" s="3"/>
      <c r="G25" s="19"/>
      <c r="H25" s="19"/>
      <c r="I25" s="19"/>
      <c r="J25" s="20"/>
      <c r="K25" s="21"/>
      <c r="Q25" s="71"/>
      <c r="R25" s="4"/>
      <c r="S25" s="74"/>
      <c r="X25" s="22">
        <v>1.9</v>
      </c>
      <c r="Y25" s="23">
        <f t="shared" si="9"/>
        <v>30159.419107448797</v>
      </c>
      <c r="Z25" s="23">
        <f t="shared" si="14"/>
        <v>2.2157823994752142E-2</v>
      </c>
      <c r="AA25" s="23">
        <f t="shared" si="15"/>
        <v>6.0023420478934756E-3</v>
      </c>
      <c r="AB25" s="4"/>
      <c r="AC25" s="40"/>
      <c r="AG25" s="119">
        <v>25</v>
      </c>
      <c r="AH25" s="119">
        <v>8.9400000000000005E-4</v>
      </c>
      <c r="AI25" s="119">
        <v>997.07</v>
      </c>
      <c r="AJ25" s="121">
        <v>8.9662711745414066E-7</v>
      </c>
    </row>
    <row r="26" spans="1:36" x14ac:dyDescent="0.35">
      <c r="N26" s="22"/>
      <c r="Q26" s="71"/>
      <c r="R26" s="4"/>
      <c r="S26" s="74"/>
      <c r="X26" s="22">
        <v>2</v>
      </c>
      <c r="Y26" s="23">
        <f t="shared" si="9"/>
        <v>31746.756955209261</v>
      </c>
      <c r="Z26" s="23">
        <f t="shared" si="14"/>
        <v>2.1875501075241069E-2</v>
      </c>
      <c r="AA26" s="23">
        <f t="shared" si="15"/>
        <v>5.9258634762040024E-3</v>
      </c>
      <c r="AB26" s="4"/>
      <c r="AC26" s="40"/>
      <c r="AG26" s="32"/>
      <c r="AH26" s="32"/>
      <c r="AI26" s="32"/>
      <c r="AJ26" s="32"/>
    </row>
    <row r="27" spans="1:36" x14ac:dyDescent="0.35">
      <c r="K27" s="1"/>
      <c r="L27" s="4"/>
      <c r="N27" s="22"/>
      <c r="Q27" s="71"/>
      <c r="R27" s="4"/>
      <c r="S27" s="74"/>
      <c r="X27" s="22">
        <v>2.1</v>
      </c>
      <c r="Y27" s="23">
        <f t="shared" si="9"/>
        <v>33334.094802969732</v>
      </c>
      <c r="Z27" s="23">
        <f t="shared" si="14"/>
        <v>2.1610294475358893E-2</v>
      </c>
      <c r="AA27" s="23">
        <f t="shared" si="15"/>
        <v>5.8540215513729057E-3</v>
      </c>
      <c r="AB27" s="4"/>
      <c r="AC27" s="40"/>
      <c r="AG27" s="32"/>
      <c r="AH27" s="32"/>
      <c r="AI27" s="32"/>
      <c r="AJ27" s="32"/>
    </row>
    <row r="28" spans="1:36" x14ac:dyDescent="0.35">
      <c r="Q28" s="71"/>
      <c r="R28" s="4"/>
      <c r="S28" s="74"/>
      <c r="X28" s="22">
        <v>2.2000000000000002</v>
      </c>
      <c r="Y28" s="23">
        <f t="shared" si="9"/>
        <v>34921.432650730188</v>
      </c>
      <c r="Z28" s="23">
        <f t="shared" si="14"/>
        <v>2.1360422488637676E-2</v>
      </c>
      <c r="AA28" s="23">
        <f t="shared" si="15"/>
        <v>5.7863336262028772E-3</v>
      </c>
      <c r="AB28" s="4"/>
      <c r="AC28" s="40"/>
      <c r="AG28" s="32"/>
      <c r="AH28" s="32"/>
      <c r="AI28" s="32"/>
      <c r="AJ28" s="32"/>
    </row>
    <row r="29" spans="1:36" x14ac:dyDescent="0.35">
      <c r="L29" s="41"/>
      <c r="Q29" s="71"/>
      <c r="R29" s="4"/>
      <c r="S29" s="74"/>
      <c r="X29" s="22">
        <v>2.2999999999999998</v>
      </c>
      <c r="Y29" s="23">
        <f t="shared" si="9"/>
        <v>36508.770498490652</v>
      </c>
      <c r="Z29" s="23">
        <f t="shared" si="14"/>
        <v>2.1124359487902374E-2</v>
      </c>
      <c r="AA29" s="23">
        <f t="shared" si="15"/>
        <v>5.7223864229214993E-3</v>
      </c>
      <c r="AB29" s="4"/>
      <c r="AC29" s="40"/>
      <c r="AG29" s="32"/>
      <c r="AH29" s="32"/>
      <c r="AI29" s="32"/>
      <c r="AJ29" s="32"/>
    </row>
    <row r="30" spans="1:36" x14ac:dyDescent="0.35">
      <c r="Q30" s="71"/>
      <c r="R30" s="4"/>
      <c r="S30" s="74"/>
      <c r="X30" s="22">
        <v>2.4</v>
      </c>
      <c r="Y30" s="23">
        <f t="shared" si="9"/>
        <v>38096.108346251109</v>
      </c>
      <c r="Z30" s="23">
        <f t="shared" si="14"/>
        <v>2.0900789828197961E-2</v>
      </c>
      <c r="AA30" s="23">
        <f t="shared" si="15"/>
        <v>5.6618235459262294E-3</v>
      </c>
      <c r="AB30" s="4"/>
      <c r="AC30" s="40"/>
      <c r="AG30" s="32"/>
      <c r="AH30" s="32"/>
      <c r="AI30" s="32"/>
      <c r="AJ30" s="32"/>
    </row>
    <row r="31" spans="1:36" x14ac:dyDescent="0.35">
      <c r="F31" s="1"/>
      <c r="G31" s="1"/>
      <c r="Q31" s="71"/>
      <c r="R31" s="4"/>
      <c r="S31" s="74"/>
      <c r="X31" s="22">
        <v>2.5</v>
      </c>
      <c r="Y31" s="23">
        <f t="shared" si="9"/>
        <v>39683.44619401158</v>
      </c>
      <c r="Z31" s="23">
        <f t="shared" si="14"/>
        <v>2.0688571584649193E-2</v>
      </c>
      <c r="AA31" s="23">
        <f t="shared" si="15"/>
        <v>5.6043356587183266E-3</v>
      </c>
      <c r="AB31" s="4"/>
      <c r="AC31" s="40"/>
      <c r="AG31" s="32"/>
      <c r="AH31" s="32"/>
      <c r="AI31" s="32"/>
      <c r="AJ31" s="32"/>
    </row>
    <row r="32" spans="1:36" x14ac:dyDescent="0.35">
      <c r="G32" s="19"/>
      <c r="Q32" s="71"/>
      <c r="R32" s="4"/>
      <c r="S32" s="74"/>
      <c r="AB32" s="4"/>
      <c r="AC32" s="40"/>
    </row>
    <row r="33" spans="7:30" x14ac:dyDescent="0.35">
      <c r="G33" s="19"/>
      <c r="Q33" s="71"/>
      <c r="R33" s="4"/>
      <c r="S33" s="74"/>
      <c r="AB33" s="4"/>
      <c r="AC33" s="40"/>
      <c r="AD33" s="1" t="s">
        <v>51</v>
      </c>
    </row>
    <row r="34" spans="7:30" x14ac:dyDescent="0.35">
      <c r="G34" s="19"/>
      <c r="Q34" s="71"/>
      <c r="R34" s="4"/>
      <c r="S34" s="74"/>
      <c r="AB34" s="4"/>
      <c r="AC34" s="40"/>
    </row>
    <row r="35" spans="7:30" x14ac:dyDescent="0.35">
      <c r="G35" s="19"/>
      <c r="Q35" s="71"/>
      <c r="R35" s="4"/>
      <c r="S35" s="74"/>
      <c r="AB35" s="4"/>
      <c r="AC35" s="40"/>
    </row>
    <row r="36" spans="7:30" x14ac:dyDescent="0.35">
      <c r="G36" s="19"/>
      <c r="Q36" s="71"/>
      <c r="R36" s="4"/>
      <c r="S36" s="74"/>
      <c r="AB36" s="4"/>
    </row>
    <row r="37" spans="7:30" x14ac:dyDescent="0.35">
      <c r="G37" s="19"/>
      <c r="Q37" s="71"/>
      <c r="R37" s="4"/>
      <c r="S37" s="74"/>
      <c r="AB37" s="4"/>
    </row>
    <row r="38" spans="7:30" x14ac:dyDescent="0.35">
      <c r="Q38" s="71"/>
      <c r="R38" s="4"/>
      <c r="S38" s="74"/>
      <c r="AB38" s="4"/>
    </row>
    <row r="39" spans="7:30" x14ac:dyDescent="0.35">
      <c r="Q39" s="71"/>
      <c r="R39" s="4"/>
      <c r="S39" s="74"/>
      <c r="X39" s="4"/>
      <c r="Y39" s="16"/>
      <c r="Z39" s="16"/>
      <c r="AA39" s="4"/>
      <c r="AB39" s="4"/>
    </row>
    <row r="40" spans="7:30" x14ac:dyDescent="0.35">
      <c r="Q40" s="71"/>
      <c r="R40" s="4"/>
      <c r="S40" s="74"/>
      <c r="X40" s="4"/>
      <c r="Y40" s="16"/>
      <c r="Z40" s="16"/>
      <c r="AA40" s="4"/>
      <c r="AB40" s="4"/>
    </row>
    <row r="41" spans="7:30" x14ac:dyDescent="0.35">
      <c r="Q41" s="71"/>
      <c r="R41" s="4"/>
      <c r="S41" s="74"/>
      <c r="X41" s="4"/>
      <c r="Y41" s="16"/>
      <c r="Z41" s="16"/>
      <c r="AA41" s="4"/>
      <c r="AB41" s="4"/>
    </row>
    <row r="42" spans="7:30" x14ac:dyDescent="0.35">
      <c r="Q42" s="71"/>
      <c r="R42" s="4"/>
      <c r="S42" s="74"/>
      <c r="X42" s="4"/>
      <c r="Y42" s="16"/>
      <c r="Z42" s="16"/>
      <c r="AA42" s="4"/>
      <c r="AB42" s="4"/>
    </row>
    <row r="43" spans="7:30" x14ac:dyDescent="0.35">
      <c r="Q43" s="71"/>
      <c r="R43" s="4"/>
      <c r="S43" s="74"/>
      <c r="X43" s="4"/>
      <c r="Y43" s="16"/>
      <c r="Z43" s="16"/>
      <c r="AA43" s="4"/>
      <c r="AB43" s="4"/>
    </row>
    <row r="44" spans="7:30" x14ac:dyDescent="0.35">
      <c r="X44" s="4"/>
      <c r="Y44" s="16"/>
      <c r="Z44" s="16"/>
    </row>
    <row r="45" spans="7:30" x14ac:dyDescent="0.35">
      <c r="X45" s="4"/>
      <c r="Y45" s="16"/>
      <c r="Z45" s="16"/>
    </row>
    <row r="46" spans="7:30" x14ac:dyDescent="0.35">
      <c r="X46" s="4"/>
      <c r="Y46" s="16"/>
      <c r="Z46" s="16"/>
    </row>
    <row r="47" spans="7:30" x14ac:dyDescent="0.35">
      <c r="X47" s="4"/>
      <c r="Y47" s="16"/>
      <c r="Z47" s="16"/>
    </row>
    <row r="48" spans="7:30" x14ac:dyDescent="0.35">
      <c r="X48" s="4"/>
      <c r="Y48" s="16"/>
      <c r="Z48" s="16"/>
    </row>
    <row r="49" spans="24:26" x14ac:dyDescent="0.35">
      <c r="X49" s="4"/>
      <c r="Y49" s="16"/>
      <c r="Z49" s="16"/>
    </row>
    <row r="50" spans="24:26" x14ac:dyDescent="0.35">
      <c r="X50" s="4"/>
      <c r="Y50" s="16"/>
      <c r="Z50" s="16"/>
    </row>
    <row r="51" spans="24:26" x14ac:dyDescent="0.35">
      <c r="X51" s="4"/>
      <c r="Y51" s="16"/>
      <c r="Z51" s="16"/>
    </row>
    <row r="52" spans="24:26" x14ac:dyDescent="0.35">
      <c r="X52" s="4"/>
      <c r="Y52" s="16"/>
      <c r="Z52" s="16"/>
    </row>
    <row r="53" spans="24:26" x14ac:dyDescent="0.35">
      <c r="X53" s="4"/>
      <c r="Y53" s="16"/>
      <c r="Z53" s="16"/>
    </row>
    <row r="54" spans="24:26" x14ac:dyDescent="0.35">
      <c r="X54" s="4"/>
    </row>
    <row r="80" spans="17:19" x14ac:dyDescent="0.35">
      <c r="Q80" s="68" t="s">
        <v>83</v>
      </c>
      <c r="R80" s="2" t="s">
        <v>82</v>
      </c>
      <c r="S80" s="72" t="s">
        <v>84</v>
      </c>
    </row>
    <row r="81" spans="16:19" x14ac:dyDescent="0.35">
      <c r="P81" s="4">
        <v>15000</v>
      </c>
      <c r="Q81" s="68">
        <f>((-0.00003)*(P81^2))-(2.3926*P81)+1000000</f>
        <v>957361</v>
      </c>
      <c r="R81" s="2">
        <f>(-0.000002*(P81)^2) + (0.0859*P81)+22062</f>
        <v>22900.5</v>
      </c>
      <c r="S81" s="72">
        <f>(-0.000000003*(P81)^2)-((0.00005)*P81) + 42.611</f>
        <v>41.186</v>
      </c>
    </row>
    <row r="82" spans="16:19" x14ac:dyDescent="0.35">
      <c r="P82" s="4">
        <v>22000</v>
      </c>
      <c r="Q82" s="68">
        <f t="shared" ref="Q82:Q83" si="16">((-0.00003)*(P82^2))-(2.3926*P82)+1000000</f>
        <v>932842.8</v>
      </c>
      <c r="R82" s="2">
        <f t="shared" ref="R82:R83" si="17">(-0.000002*(P82)^2) + (0.0859*P82)+22062</f>
        <v>22983.8</v>
      </c>
      <c r="S82" s="72">
        <f t="shared" ref="S82:S83" si="18">(-0.000000003*(P82)^2)-((0.00005)*P82) + 42.611</f>
        <v>40.058999999999997</v>
      </c>
    </row>
    <row r="83" spans="16:19" x14ac:dyDescent="0.35">
      <c r="P83" s="4">
        <v>40000</v>
      </c>
      <c r="Q83" s="68">
        <f t="shared" si="16"/>
        <v>856296</v>
      </c>
      <c r="R83" s="2">
        <f t="shared" si="17"/>
        <v>22298</v>
      </c>
      <c r="S83" s="72">
        <f t="shared" si="18"/>
        <v>35.811</v>
      </c>
    </row>
    <row r="112" spans="17:17" x14ac:dyDescent="0.35">
      <c r="Q112" s="85"/>
    </row>
  </sheetData>
  <mergeCells count="3">
    <mergeCell ref="A3:N3"/>
    <mergeCell ref="AC5:AD5"/>
    <mergeCell ref="Q4:S4"/>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8A7CC-3AEB-40B2-AFBD-325B1D91E01E}">
  <dimension ref="A1:AI54"/>
  <sheetViews>
    <sheetView zoomScale="60" zoomScaleNormal="60" zoomScalePageLayoutView="90" workbookViewId="0">
      <selection activeCell="I12" sqref="I12"/>
    </sheetView>
  </sheetViews>
  <sheetFormatPr defaultColWidth="8.69140625" defaultRowHeight="15.5" x14ac:dyDescent="0.35"/>
  <cols>
    <col min="1" max="4" width="8.69140625" style="2"/>
    <col min="5" max="5" width="8.07421875" style="2" bestFit="1" customWidth="1"/>
    <col min="6" max="6" width="8.69140625" style="2"/>
    <col min="7" max="7" width="8.53515625" style="2" customWidth="1"/>
    <col min="8" max="8" width="8.69140625" style="2"/>
    <col min="9" max="9" width="11.23046875" style="2" customWidth="1"/>
    <col min="10" max="10" width="12.23046875" style="2" customWidth="1"/>
    <col min="11" max="12" width="10.4609375" style="2" customWidth="1"/>
    <col min="13" max="13" width="8.53515625" style="3" customWidth="1"/>
    <col min="14" max="14" width="7.3046875" style="4" bestFit="1" customWidth="1"/>
    <col min="15" max="15" width="9.4609375" style="4" bestFit="1" customWidth="1"/>
    <col min="16" max="17" width="9.07421875" style="4" customWidth="1"/>
    <col min="18" max="18" width="27.23046875" style="4" customWidth="1"/>
    <col min="19" max="19" width="8.4609375" style="5" customWidth="1"/>
    <col min="20" max="20" width="10.23046875" style="2" customWidth="1"/>
    <col min="21" max="21" width="13.84375" style="2" customWidth="1"/>
    <col min="22" max="23" width="10" style="2" customWidth="1"/>
    <col min="24" max="24" width="12.765625" style="68" customWidth="1"/>
    <col min="25" max="25" width="10" style="2" customWidth="1"/>
    <col min="26" max="26" width="10" style="72" customWidth="1"/>
    <col min="27" max="27" width="10" style="2" customWidth="1"/>
    <col min="28" max="28" width="21" style="2" customWidth="1"/>
    <col min="29" max="29" width="8.69140625" style="2" customWidth="1"/>
    <col min="30" max="30" width="8.69140625" style="2"/>
    <col min="31" max="31" width="22" style="2" customWidth="1"/>
    <col min="32" max="32" width="35.84375" style="2" customWidth="1"/>
    <col min="33" max="33" width="16.84375" style="2" customWidth="1"/>
    <col min="34" max="16384" width="8.69140625" style="2"/>
  </cols>
  <sheetData>
    <row r="1" spans="1:33" x14ac:dyDescent="0.35">
      <c r="A1" s="1" t="s">
        <v>0</v>
      </c>
      <c r="I1" s="1"/>
      <c r="J1" s="1"/>
      <c r="X1" s="69" t="s">
        <v>91</v>
      </c>
    </row>
    <row r="2" spans="1:33" x14ac:dyDescent="0.35">
      <c r="A2" s="1"/>
      <c r="I2" s="1"/>
      <c r="J2" s="1"/>
      <c r="X2" s="69" t="s">
        <v>85</v>
      </c>
    </row>
    <row r="3" spans="1:33" x14ac:dyDescent="0.35">
      <c r="A3" s="150" t="s">
        <v>3</v>
      </c>
      <c r="B3" s="150"/>
      <c r="C3" s="150"/>
      <c r="D3" s="150"/>
      <c r="E3" s="150"/>
      <c r="F3" s="150"/>
      <c r="G3" s="150"/>
      <c r="H3" s="150"/>
      <c r="I3" s="150"/>
      <c r="J3" s="150"/>
      <c r="K3" s="150"/>
      <c r="L3" s="150"/>
      <c r="M3" s="150"/>
      <c r="N3" s="150"/>
      <c r="O3" s="150"/>
      <c r="P3" s="46"/>
      <c r="Q3" s="46"/>
      <c r="R3" s="46"/>
      <c r="S3" s="7"/>
    </row>
    <row r="4" spans="1:33" x14ac:dyDescent="0.35">
      <c r="X4" s="152" t="s">
        <v>81</v>
      </c>
      <c r="Y4" s="153"/>
      <c r="Z4" s="154"/>
    </row>
    <row r="5" spans="1:33" ht="19" x14ac:dyDescent="0.4">
      <c r="A5" s="8"/>
      <c r="B5" s="9" t="s">
        <v>4</v>
      </c>
      <c r="C5" s="9" t="s">
        <v>5</v>
      </c>
      <c r="D5" s="10" t="s">
        <v>6</v>
      </c>
      <c r="E5" s="10" t="s">
        <v>7</v>
      </c>
      <c r="F5" s="10" t="s">
        <v>8</v>
      </c>
      <c r="G5" s="10" t="s">
        <v>9</v>
      </c>
      <c r="H5" s="10" t="s">
        <v>10</v>
      </c>
      <c r="I5" s="9" t="s">
        <v>11</v>
      </c>
      <c r="J5" s="9" t="s">
        <v>12</v>
      </c>
      <c r="K5" s="9" t="s">
        <v>13</v>
      </c>
      <c r="L5" s="9" t="s">
        <v>71</v>
      </c>
      <c r="M5" s="11" t="s">
        <v>14</v>
      </c>
      <c r="N5" s="12" t="s">
        <v>15</v>
      </c>
      <c r="O5" s="13" t="s">
        <v>16</v>
      </c>
      <c r="P5" s="14" t="s">
        <v>17</v>
      </c>
      <c r="Q5" s="14" t="s">
        <v>64</v>
      </c>
      <c r="R5" s="14" t="s">
        <v>18</v>
      </c>
      <c r="S5" s="14"/>
      <c r="T5" s="15" t="s">
        <v>19</v>
      </c>
      <c r="U5" s="16" t="s">
        <v>14</v>
      </c>
      <c r="V5" s="15" t="s">
        <v>20</v>
      </c>
      <c r="W5" s="16" t="s">
        <v>21</v>
      </c>
      <c r="X5" s="75" t="s">
        <v>83</v>
      </c>
      <c r="Y5" s="67" t="s">
        <v>82</v>
      </c>
      <c r="Z5" s="76" t="s">
        <v>84</v>
      </c>
      <c r="AA5" s="1"/>
      <c r="AB5" s="151" t="s">
        <v>22</v>
      </c>
      <c r="AC5" s="151"/>
    </row>
    <row r="6" spans="1:33" x14ac:dyDescent="0.35">
      <c r="A6" s="17" t="s">
        <v>23</v>
      </c>
      <c r="B6" s="18">
        <v>0</v>
      </c>
      <c r="C6" s="19">
        <f t="shared" ref="C6:C12" si="0">B6*0.0166667</f>
        <v>0</v>
      </c>
      <c r="D6" s="19">
        <f t="shared" ref="D6:D12" si="1">B6*0.000277778</f>
        <v>0</v>
      </c>
      <c r="E6" s="3">
        <f t="shared" ref="E6:E12" si="2">0.001*D6</f>
        <v>0</v>
      </c>
      <c r="F6" s="19">
        <f t="shared" ref="F6:F12" si="3">E6/AC$7</f>
        <v>0</v>
      </c>
      <c r="G6" s="19">
        <f t="shared" ref="G6:G12" si="4">F6^(2)</f>
        <v>0</v>
      </c>
      <c r="H6" s="19">
        <f t="shared" ref="H6:H12" si="5">F6*1.94384</f>
        <v>0</v>
      </c>
      <c r="I6" s="20">
        <v>0</v>
      </c>
      <c r="J6" s="20">
        <f t="shared" ref="J6:J12" si="6">I6 * 10</f>
        <v>0</v>
      </c>
      <c r="K6" s="21">
        <f t="shared" ref="K6:K12" si="7">J6*100</f>
        <v>0</v>
      </c>
      <c r="L6" s="54">
        <v>0</v>
      </c>
      <c r="M6" s="3">
        <f t="shared" ref="M6:M12" si="8">(F6*AC$11)/AC$12</f>
        <v>0</v>
      </c>
      <c r="T6" s="22">
        <v>0</v>
      </c>
      <c r="U6" s="23">
        <f t="shared" ref="U6:U31" si="9">(T6*AC$11)/AC$12</f>
        <v>0</v>
      </c>
      <c r="V6" s="23"/>
      <c r="W6" s="23"/>
    </row>
    <row r="7" spans="1:33" x14ac:dyDescent="0.35">
      <c r="A7" s="2" t="s">
        <v>52</v>
      </c>
      <c r="B7" s="2">
        <f>AVERAGE('1 EF25 P80'!B7,'2 EF25 P80'!B7,'3 EF25 P80'!B7)</f>
        <v>1916.6666666666667</v>
      </c>
      <c r="C7" s="19">
        <f t="shared" si="0"/>
        <v>31.944508333333335</v>
      </c>
      <c r="D7" s="19">
        <f t="shared" si="1"/>
        <v>0.53240783333333341</v>
      </c>
      <c r="E7" s="3">
        <f t="shared" si="2"/>
        <v>5.3240783333333348E-4</v>
      </c>
      <c r="F7" s="19">
        <f t="shared" si="3"/>
        <v>1.1208585964912283</v>
      </c>
      <c r="G7" s="19">
        <f t="shared" si="4"/>
        <v>1.2563239933282861</v>
      </c>
      <c r="H7" s="19">
        <f t="shared" si="5"/>
        <v>2.1787697742035093</v>
      </c>
      <c r="I7" s="2">
        <f>AVERAGEA('1 EF25 P80'!I7, '2 EF25 P80'!I7, '3 EF25 P80'!I7)</f>
        <v>1.5370677419354835</v>
      </c>
      <c r="J7" s="20">
        <f t="shared" si="6"/>
        <v>15.370677419354834</v>
      </c>
      <c r="K7" s="21">
        <f t="shared" si="7"/>
        <v>1537.0677419354834</v>
      </c>
      <c r="L7" s="54">
        <f>K7/1000</f>
        <v>1.5370677419354835</v>
      </c>
      <c r="M7" s="3">
        <f t="shared" si="8"/>
        <v>16525.642491230723</v>
      </c>
      <c r="N7" s="4">
        <f t="shared" ref="N7:N12" si="10">(AC$15*G7*O7)/8</f>
        <v>7.6691930401192705</v>
      </c>
      <c r="O7" s="4">
        <f t="shared" ref="O7:O12" si="11">(K7*2*AC$11)/(AC$13*AC$15*G7)</f>
        <v>4.764464957173345E-2</v>
      </c>
      <c r="P7" s="4">
        <f t="shared" ref="P7:P12" si="12">O7/4</f>
        <v>1.1911162392933362E-2</v>
      </c>
      <c r="R7" s="4">
        <f t="shared" ref="R7:R12" si="13">3.7*(10^(-1/(2*SQRT(O7)))-2.51/(M7*SQRT(O7)))</f>
        <v>1.6371923737067369E-2</v>
      </c>
      <c r="T7" s="22">
        <v>0.1</v>
      </c>
      <c r="U7" s="23">
        <f>(T7*AC$11)/AC$12</f>
        <v>1474.3735331970622</v>
      </c>
      <c r="V7" s="23">
        <f t="shared" ref="V7:V31" si="14">0.292/(U7^(0.25))</f>
        <v>4.7122787188051407E-2</v>
      </c>
      <c r="W7" s="23">
        <f>0.0791/(U7^0.25)</f>
        <v>1.2765111186900227E-2</v>
      </c>
      <c r="X7" s="78">
        <f>AVERAGEA('1 EF25 P80'!Q7, '2 EF25 P80'!Q7, '3 EF25 P80'!Q7)</f>
        <v>1063104.5269999998</v>
      </c>
      <c r="Y7" s="78">
        <f>AVERAGEA('1 EF25 P80'!R7, '2 EF25 P80'!R7, '3 EF25 P80'!$R7)</f>
        <v>23075.976666666669</v>
      </c>
      <c r="Z7" s="78">
        <f>AVERAGEA('1 EF25 P80'!S7, '2 EF25 P80'!S7, '3 EF25 P80'!S7)</f>
        <v>41.160999999999994</v>
      </c>
      <c r="AA7" s="25"/>
      <c r="AB7" s="1" t="s">
        <v>24</v>
      </c>
      <c r="AC7" s="2">
        <f>AC$9*AC$10</f>
        <v>4.75E-4</v>
      </c>
    </row>
    <row r="8" spans="1:33" x14ac:dyDescent="0.35">
      <c r="A8" s="2" t="s">
        <v>53</v>
      </c>
      <c r="B8" s="2">
        <f>AVERAGE('1 EF25 P80'!B8,'2 EF25 P80'!B8,'3 EF25 P80'!B8)</f>
        <v>2683.3333333333335</v>
      </c>
      <c r="C8" s="19">
        <f t="shared" si="0"/>
        <v>44.72231166666667</v>
      </c>
      <c r="D8" s="19">
        <f t="shared" si="1"/>
        <v>0.74537096666666669</v>
      </c>
      <c r="E8" s="3">
        <f t="shared" si="2"/>
        <v>7.4537096666666672E-4</v>
      </c>
      <c r="F8" s="19">
        <f t="shared" si="3"/>
        <v>1.5692020350877194</v>
      </c>
      <c r="G8" s="19">
        <f t="shared" si="4"/>
        <v>2.4623950269234403</v>
      </c>
      <c r="H8" s="19">
        <f t="shared" si="5"/>
        <v>3.0502776838849126</v>
      </c>
      <c r="I8" s="2">
        <f>AVERAGEA('1 EF25 P80'!I8, '2 EF25 P80'!I8, '3 EF25 P80'!I8)</f>
        <v>2.8218000000000001</v>
      </c>
      <c r="J8" s="20">
        <f t="shared" si="6"/>
        <v>28.218</v>
      </c>
      <c r="K8" s="21">
        <f t="shared" si="7"/>
        <v>2821.8</v>
      </c>
      <c r="L8" s="54">
        <f t="shared" ref="L8:L12" si="15">K8/1000</f>
        <v>2.8218000000000001</v>
      </c>
      <c r="M8" s="3">
        <f t="shared" si="8"/>
        <v>23135.899487723014</v>
      </c>
      <c r="N8" s="4">
        <f t="shared" si="10"/>
        <v>14.079359243697477</v>
      </c>
      <c r="O8" s="4">
        <f t="shared" si="11"/>
        <v>4.4626341712249433E-2</v>
      </c>
      <c r="P8" s="4">
        <f t="shared" si="12"/>
        <v>1.1156585428062358E-2</v>
      </c>
      <c r="R8" s="4">
        <f t="shared" si="13"/>
        <v>1.3997440394604861E-2</v>
      </c>
      <c r="T8" s="22">
        <v>0.2</v>
      </c>
      <c r="U8" s="23">
        <f t="shared" si="9"/>
        <v>2948.7470663941244</v>
      </c>
      <c r="V8" s="23">
        <f t="shared" si="14"/>
        <v>3.9625382823196088E-2</v>
      </c>
      <c r="W8" s="23">
        <f t="shared" ref="W8:W31" si="16">0.0791/(U8^0.25)</f>
        <v>1.0734136237379489E-2</v>
      </c>
      <c r="X8" s="78">
        <f>AVERAGEA('1 EF25 P80'!Q8, '2 EF25 P80'!Q8, '3 EF25 P80'!Q8)</f>
        <v>1057924.3423333336</v>
      </c>
      <c r="Y8" s="78">
        <f>AVERAGEA('1 EF25 P80'!R8, '2 EF25 P80'!R8, '3 EF25 P80'!$R8)</f>
        <v>22594.141444444442</v>
      </c>
      <c r="Z8" s="78">
        <f>AVERAGEA('1 EF25 P80'!S8, '2 EF25 P80'!S8, '3 EF25 P80'!S8)</f>
        <v>42.672333333333334</v>
      </c>
      <c r="AA8" s="25"/>
      <c r="AB8" s="2" t="s">
        <v>25</v>
      </c>
    </row>
    <row r="9" spans="1:33" ht="19" x14ac:dyDescent="0.4">
      <c r="A9" s="2" t="s">
        <v>54</v>
      </c>
      <c r="B9" s="2">
        <f>AVERAGE('1 EF25 P80'!B9,'2 EF25 P80'!B9,'3 EF25 P80'!B9)</f>
        <v>3516.6666666666665</v>
      </c>
      <c r="C9" s="19">
        <f t="shared" si="0"/>
        <v>58.611228333333329</v>
      </c>
      <c r="D9" s="19">
        <f t="shared" si="1"/>
        <v>0.97685263333333328</v>
      </c>
      <c r="E9" s="3">
        <f t="shared" si="2"/>
        <v>9.7685263333333332E-4</v>
      </c>
      <c r="F9" s="19">
        <f t="shared" si="3"/>
        <v>2.0565318596491227</v>
      </c>
      <c r="G9" s="19">
        <f t="shared" si="4"/>
        <v>4.2293232897518784</v>
      </c>
      <c r="H9" s="19">
        <f t="shared" si="5"/>
        <v>3.9975688900603505</v>
      </c>
      <c r="I9" s="2">
        <f>AVERAGEA('1 EF25 P80'!I9, '2 EF25 P80'!I9, '3 EF25 P80'!I9)</f>
        <v>4.6408193548387091</v>
      </c>
      <c r="J9" s="20">
        <f t="shared" si="6"/>
        <v>46.408193548387089</v>
      </c>
      <c r="K9" s="21">
        <f t="shared" si="7"/>
        <v>4640.8193548387089</v>
      </c>
      <c r="L9" s="54">
        <f t="shared" si="15"/>
        <v>4.6408193548387091</v>
      </c>
      <c r="M9" s="3">
        <f t="shared" si="8"/>
        <v>30320.96144043202</v>
      </c>
      <c r="N9" s="4">
        <f t="shared" si="10"/>
        <v>23.155348671726749</v>
      </c>
      <c r="O9" s="4">
        <f t="shared" si="11"/>
        <v>4.2731344987916753E-2</v>
      </c>
      <c r="P9" s="4">
        <f t="shared" si="12"/>
        <v>1.0682836246979188E-2</v>
      </c>
      <c r="R9" s="4">
        <f t="shared" si="13"/>
        <v>1.2624819253057706E-2</v>
      </c>
      <c r="T9" s="22">
        <v>0.3</v>
      </c>
      <c r="U9" s="23">
        <f t="shared" si="9"/>
        <v>4423.120599591186</v>
      </c>
      <c r="V9" s="23">
        <f t="shared" si="14"/>
        <v>3.5805575312847115E-2</v>
      </c>
      <c r="W9" s="23">
        <f t="shared" si="16"/>
        <v>9.6993870111171474E-3</v>
      </c>
      <c r="X9" s="78">
        <f>AVERAGEA('1 EF25 P80'!Q9, '2 EF25 P80'!Q9, '3 EF25 P80'!Q9)</f>
        <v>1047534.0216666666</v>
      </c>
      <c r="Y9" s="78">
        <f>AVERAGEA('1 EF25 P80'!R9, '2 EF25 P80'!R9, '3 EF25 P80'!$R9)</f>
        <v>22461.787222222221</v>
      </c>
      <c r="Z9" s="78">
        <f>AVERAGEA('1 EF25 P80'!S9, '2 EF25 P80'!S9, '3 EF25 P80'!S9)</f>
        <v>43.121111111111112</v>
      </c>
      <c r="AA9" s="25"/>
      <c r="AB9" s="1" t="s">
        <v>26</v>
      </c>
      <c r="AC9" s="19">
        <v>0.05</v>
      </c>
      <c r="AE9" s="2">
        <f>AC9*AC13</f>
        <v>4.0000000000000008E-2</v>
      </c>
      <c r="AF9" s="27" t="s">
        <v>27</v>
      </c>
    </row>
    <row r="10" spans="1:33" ht="18.5" x14ac:dyDescent="0.35">
      <c r="A10" s="2" t="s">
        <v>55</v>
      </c>
      <c r="B10" s="2">
        <f>AVERAGE('1 EF25 P80'!B10,'2 EF25 P80'!B10,'3 EF25 P80'!B10)</f>
        <v>4233.333333333333</v>
      </c>
      <c r="C10" s="19">
        <f t="shared" si="0"/>
        <v>70.555696666666663</v>
      </c>
      <c r="D10" s="19">
        <f t="shared" si="1"/>
        <v>1.1759268666666667</v>
      </c>
      <c r="E10" s="3">
        <f t="shared" si="2"/>
        <v>1.1759268666666667E-3</v>
      </c>
      <c r="F10" s="19">
        <f t="shared" si="3"/>
        <v>2.4756355087719299</v>
      </c>
      <c r="G10" s="19">
        <f t="shared" si="4"/>
        <v>6.1287711722924527</v>
      </c>
      <c r="H10" s="19">
        <f t="shared" si="5"/>
        <v>4.8122393273712287</v>
      </c>
      <c r="I10" s="2">
        <f>AVERAGEA('1 EF25 P80'!I10, '2 EF25 P80'!I10, '3 EF25 P80'!I10)</f>
        <v>6.565070967741935</v>
      </c>
      <c r="J10" s="20">
        <f t="shared" si="6"/>
        <v>65.650709677419343</v>
      </c>
      <c r="K10" s="21">
        <f t="shared" si="7"/>
        <v>6565.0709677419345</v>
      </c>
      <c r="L10" s="54">
        <f t="shared" si="15"/>
        <v>6.5650709677419341</v>
      </c>
      <c r="M10" s="3">
        <f t="shared" si="8"/>
        <v>36500.114719761768</v>
      </c>
      <c r="N10" s="4">
        <f t="shared" si="10"/>
        <v>32.756394009216578</v>
      </c>
      <c r="O10" s="4">
        <f t="shared" si="11"/>
        <v>4.1714668956078879E-2</v>
      </c>
      <c r="P10" s="4">
        <f t="shared" si="12"/>
        <v>1.042866723901972E-2</v>
      </c>
      <c r="R10" s="4">
        <f t="shared" si="13"/>
        <v>1.1940496117230751E-2</v>
      </c>
      <c r="T10" s="22">
        <v>0.4</v>
      </c>
      <c r="U10" s="23">
        <f t="shared" si="9"/>
        <v>5897.4941327882489</v>
      </c>
      <c r="V10" s="23">
        <f t="shared" si="14"/>
        <v>3.332084236908172E-2</v>
      </c>
      <c r="W10" s="23">
        <f t="shared" si="16"/>
        <v>9.0262966828574109E-3</v>
      </c>
      <c r="X10" s="78">
        <f>AVERAGEA('1 EF25 P80'!Q10, '2 EF25 P80'!Q10, '3 EF25 P80'!Q10)</f>
        <v>1061728.6984999999</v>
      </c>
      <c r="Y10" s="78">
        <f>AVERAGEA('1 EF25 P80'!R10, '2 EF25 P80'!R10, '3 EF25 P80'!$R10)</f>
        <v>22375.668722222221</v>
      </c>
      <c r="Z10" s="78">
        <f>AVERAGEA('1 EF25 P80'!S10, '2 EF25 P80'!S10, '3 EF25 P80'!S10)</f>
        <v>42.555722222222222</v>
      </c>
      <c r="AA10" s="25"/>
      <c r="AB10" s="1" t="s">
        <v>28</v>
      </c>
      <c r="AC10" s="19">
        <v>9.4999999999999998E-3</v>
      </c>
      <c r="AE10" s="2">
        <v>0.04</v>
      </c>
      <c r="AF10" s="28" t="s">
        <v>29</v>
      </c>
      <c r="AG10" s="2" t="s">
        <v>30</v>
      </c>
    </row>
    <row r="11" spans="1:33" ht="16.5" x14ac:dyDescent="0.4">
      <c r="A11" s="2" t="s">
        <v>56</v>
      </c>
      <c r="B11" s="2">
        <f>AVERAGE('1 EF25 P80'!B11,'2 EF25 P80'!B11,'3 EF25 P80'!B11)</f>
        <v>5016.666666666667</v>
      </c>
      <c r="C11" s="19">
        <f t="shared" si="0"/>
        <v>83.611278333333331</v>
      </c>
      <c r="D11" s="19">
        <f t="shared" si="1"/>
        <v>1.3935196333333335</v>
      </c>
      <c r="E11" s="3">
        <f t="shared" si="2"/>
        <v>1.3935196333333334E-3</v>
      </c>
      <c r="F11" s="19">
        <f t="shared" si="3"/>
        <v>2.9337255438596492</v>
      </c>
      <c r="G11" s="19">
        <f t="shared" si="4"/>
        <v>8.6067455666945953</v>
      </c>
      <c r="H11" s="19">
        <f t="shared" si="5"/>
        <v>5.7026930611761406</v>
      </c>
      <c r="I11" s="2">
        <f>AVERAGEA('1 EF25 P80'!I11, '2 EF25 P80'!I11, '3 EF25 P80'!I11)</f>
        <v>8.4880569892473137</v>
      </c>
      <c r="J11" s="20">
        <f t="shared" si="6"/>
        <v>84.880569892473133</v>
      </c>
      <c r="K11" s="21">
        <f t="shared" si="7"/>
        <v>8488.056989247314</v>
      </c>
      <c r="L11" s="54">
        <f t="shared" si="15"/>
        <v>8.4880569892473137</v>
      </c>
      <c r="M11" s="3">
        <f t="shared" si="8"/>
        <v>43254.072955308235</v>
      </c>
      <c r="N11" s="4">
        <f t="shared" si="10"/>
        <v>42.351124683744473</v>
      </c>
      <c r="O11" s="4">
        <f t="shared" si="11"/>
        <v>3.8405383408152506E-2</v>
      </c>
      <c r="P11" s="4">
        <f t="shared" si="12"/>
        <v>9.6013458520381265E-3</v>
      </c>
      <c r="R11" s="4">
        <f t="shared" si="13"/>
        <v>9.299500837830833E-3</v>
      </c>
      <c r="T11" s="22">
        <v>0.5</v>
      </c>
      <c r="U11" s="23">
        <f t="shared" si="9"/>
        <v>7371.8676659853109</v>
      </c>
      <c r="V11" s="23">
        <f t="shared" si="14"/>
        <v>3.1512907075476528E-2</v>
      </c>
      <c r="W11" s="23">
        <f t="shared" si="16"/>
        <v>8.536544348185595E-3</v>
      </c>
      <c r="X11" s="78">
        <f>AVERAGEA('1 EF25 P80'!Q11, '2 EF25 P80'!Q11, '3 EF25 P80'!Q11)</f>
        <v>1047224.8286666666</v>
      </c>
      <c r="Y11" s="78">
        <f>AVERAGEA('1 EF25 P80'!R11, '2 EF25 P80'!R11, '3 EF25 P80'!$R11)</f>
        <v>22369.264888888891</v>
      </c>
      <c r="Z11" s="78">
        <f>AVERAGEA('1 EF25 P80'!S11, '2 EF25 P80'!S11, '3 EF25 P80'!S11)</f>
        <v>42.906388888888891</v>
      </c>
      <c r="AA11" s="25"/>
      <c r="AB11" s="1" t="s">
        <v>31</v>
      </c>
      <c r="AC11" s="4">
        <f>2*(AC9*AC10)/(AC9+AC10)</f>
        <v>1.5966386554621848E-2</v>
      </c>
      <c r="AD11" s="1">
        <f>10*AC11*100</f>
        <v>15.966386554621847</v>
      </c>
      <c r="AF11" s="27" t="s">
        <v>32</v>
      </c>
      <c r="AG11" s="2" t="s">
        <v>33</v>
      </c>
    </row>
    <row r="12" spans="1:33" ht="18.5" x14ac:dyDescent="0.35">
      <c r="A12" s="2" t="s">
        <v>63</v>
      </c>
      <c r="B12" s="2">
        <f>AVERAGE('1 EF25 P80'!B12,'2 EF25 P80'!B12,'3 EF25 P80'!B12)</f>
        <v>5683.333333333333</v>
      </c>
      <c r="C12" s="19">
        <f t="shared" si="0"/>
        <v>94.722411666666659</v>
      </c>
      <c r="D12" s="19">
        <f t="shared" si="1"/>
        <v>1.5787049666666666</v>
      </c>
      <c r="E12" s="3">
        <f t="shared" si="2"/>
        <v>1.5787049666666666E-3</v>
      </c>
      <c r="F12" s="19">
        <f t="shared" si="3"/>
        <v>3.3235894035087719</v>
      </c>
      <c r="G12" s="19">
        <f t="shared" si="4"/>
        <v>11.046246523115794</v>
      </c>
      <c r="H12" s="19">
        <f t="shared" si="5"/>
        <v>6.460526026116491</v>
      </c>
      <c r="I12" s="2">
        <f>AVERAGEA('1 EF25 P80'!I12, '2 EF25 P80'!I12, '3 EF25 P80'!I12)</f>
        <v>9.4262247311827974</v>
      </c>
      <c r="J12" s="20">
        <f t="shared" si="6"/>
        <v>94.262247311827977</v>
      </c>
      <c r="K12" s="21">
        <f t="shared" si="7"/>
        <v>9426.2247311827978</v>
      </c>
      <c r="L12" s="54">
        <f t="shared" si="15"/>
        <v>9.4262247311827974</v>
      </c>
      <c r="M12" s="3">
        <f t="shared" si="8"/>
        <v>49002.122517475444</v>
      </c>
      <c r="N12" s="4">
        <f t="shared" si="10"/>
        <v>47.032108690250304</v>
      </c>
      <c r="O12" s="4">
        <f t="shared" si="11"/>
        <v>3.3231185990302441E-2</v>
      </c>
      <c r="P12" s="4">
        <f t="shared" si="12"/>
        <v>8.3077964975756102E-3</v>
      </c>
      <c r="R12" s="4">
        <f t="shared" si="13"/>
        <v>5.6496868146360523E-3</v>
      </c>
      <c r="T12" s="22">
        <v>0.6</v>
      </c>
      <c r="U12" s="23">
        <f t="shared" si="9"/>
        <v>8846.2411991823719</v>
      </c>
      <c r="V12" s="23">
        <f t="shared" si="14"/>
        <v>3.0108779926670038E-2</v>
      </c>
      <c r="W12" s="23">
        <f t="shared" si="16"/>
        <v>8.1561797678068506E-3</v>
      </c>
      <c r="X12" s="78">
        <f>AVERAGEA('1 EF25 P80'!Q12, '2 EF25 P80'!Q12, '3 EF25 P80'!Q12)</f>
        <v>1042908.961888889</v>
      </c>
      <c r="Y12" s="78">
        <f>AVERAGEA('1 EF25 P80'!R12, '2 EF25 P80'!R12, '3 EF25 P80'!$R12)</f>
        <v>22392.954222222223</v>
      </c>
      <c r="Z12" s="78">
        <f>AVERAGEA('1 EF25 P80'!S12, '2 EF25 P80'!S12, '3 EF25 P80'!S12)</f>
        <v>42.489333333333327</v>
      </c>
      <c r="AA12" s="25"/>
      <c r="AB12" s="1" t="s">
        <v>34</v>
      </c>
      <c r="AC12" s="31">
        <f>AC$16/AC$15</f>
        <v>1.0829268292682929E-6</v>
      </c>
    </row>
    <row r="13" spans="1:33" ht="16.5" x14ac:dyDescent="0.4">
      <c r="A13" s="2" t="s">
        <v>62</v>
      </c>
      <c r="C13" s="19"/>
      <c r="D13" s="19"/>
      <c r="E13" s="3"/>
      <c r="F13" s="19"/>
      <c r="G13" s="19"/>
      <c r="H13" s="19"/>
      <c r="J13" s="20"/>
      <c r="K13" s="21"/>
      <c r="L13" s="54"/>
      <c r="T13" s="22">
        <v>0.7</v>
      </c>
      <c r="U13" s="23">
        <f t="shared" si="9"/>
        <v>10320.614732379436</v>
      </c>
      <c r="V13" s="23">
        <f t="shared" si="14"/>
        <v>2.8970531297257632E-2</v>
      </c>
      <c r="W13" s="23">
        <f>0.0791/(U13^0.25)</f>
        <v>7.8478391288119148E-3</v>
      </c>
      <c r="X13" s="78">
        <f>AVERAGEA('1 EF25 P80'!Q13, '2 EF25 P80'!Q13, '3 EF25 P80'!Q13)</f>
        <v>1042908.961888889</v>
      </c>
      <c r="Y13" s="78">
        <f>AVERAGEA('1 EF25 P80'!R13, '2 EF25 P80'!R13, '3 EF25 P80'!$R13)</f>
        <v>22392.954222222223</v>
      </c>
      <c r="Z13" s="78">
        <f>AVERAGEA('1 EF25 P80'!S13, '2 EF25 P80'!S13, '3 EF25 P80'!S13)</f>
        <v>42.489333333333327</v>
      </c>
      <c r="AA13" s="25"/>
      <c r="AB13" s="1" t="s">
        <v>35</v>
      </c>
      <c r="AC13" s="32">
        <v>0.8</v>
      </c>
      <c r="AF13" s="27" t="s">
        <v>36</v>
      </c>
      <c r="AG13" s="1" t="s">
        <v>37</v>
      </c>
    </row>
    <row r="14" spans="1:33" x14ac:dyDescent="0.35">
      <c r="C14" s="19"/>
      <c r="D14" s="19"/>
      <c r="E14" s="3"/>
      <c r="F14" s="19"/>
      <c r="G14" s="19"/>
      <c r="H14" s="19"/>
      <c r="J14" s="20"/>
      <c r="K14" s="21"/>
      <c r="L14" s="54"/>
      <c r="T14" s="22">
        <v>0.8</v>
      </c>
      <c r="U14" s="23">
        <f t="shared" si="9"/>
        <v>11794.988265576498</v>
      </c>
      <c r="V14" s="23">
        <f t="shared" si="14"/>
        <v>2.8019376901394902E-2</v>
      </c>
      <c r="W14" s="23">
        <f t="shared" si="16"/>
        <v>7.5901805236312904E-3</v>
      </c>
      <c r="X14" s="78">
        <f>AVERAGEA('1 EF25 P80'!Q14, '2 EF25 P80'!Q14, '3 EF25 P80'!Q14)</f>
        <v>1058922.4951111111</v>
      </c>
      <c r="Y14" s="78">
        <f>AVERAGEA('1 EF25 P80'!R14, '2 EF25 P80'!R14, '3 EF25 P80'!$R14)</f>
        <v>22550.056888888892</v>
      </c>
      <c r="Z14" s="78">
        <f>AVERAGEA('1 EF25 P80'!S14, '2 EF25 P80'!S14, '3 EF25 P80'!S14)</f>
        <v>41.93277777777778</v>
      </c>
      <c r="AA14" s="25"/>
      <c r="AC14" s="32"/>
    </row>
    <row r="15" spans="1:33" x14ac:dyDescent="0.35">
      <c r="A15" s="57"/>
      <c r="B15" s="55"/>
      <c r="C15" s="55"/>
      <c r="D15" s="56"/>
      <c r="E15" s="55"/>
      <c r="F15" s="3"/>
      <c r="G15" s="19"/>
      <c r="H15" s="19"/>
      <c r="J15" s="20"/>
      <c r="K15" s="21"/>
      <c r="L15" s="54"/>
      <c r="S15" s="34"/>
      <c r="T15" s="22">
        <v>0.9</v>
      </c>
      <c r="U15" s="23">
        <f t="shared" si="9"/>
        <v>13269.361798773562</v>
      </c>
      <c r="V15" s="23">
        <f t="shared" si="14"/>
        <v>2.7206353867986924E-2</v>
      </c>
      <c r="W15" s="23">
        <f t="shared" si="16"/>
        <v>7.3699403799923494E-3</v>
      </c>
      <c r="X15" s="78">
        <f>AVERAGEA('1 EF25 P80'!Q15, '2 EF25 P80'!Q15, '3 EF25 P80'!Q15)</f>
        <v>1067480.8610555555</v>
      </c>
      <c r="Y15" s="78">
        <f>AVERAGEA('1 EF25 P80'!R15, '2 EF25 P80'!R15, '3 EF25 P80'!$R15)</f>
        <v>22718.056944444441</v>
      </c>
      <c r="Z15" s="78">
        <f>AVERAGEA('1 EF25 P80'!S15, '2 EF25 P80'!S15, '3 EF25 P80'!S15)</f>
        <v>41.557222222222215</v>
      </c>
      <c r="AA15" s="25"/>
      <c r="AB15" s="2" t="s">
        <v>38</v>
      </c>
      <c r="AC15" s="32">
        <f>VLOOKUP(AC17, SW!$A$4:$F$34, 3, FALSE)</f>
        <v>1025</v>
      </c>
      <c r="AD15" s="32"/>
    </row>
    <row r="16" spans="1:33" x14ac:dyDescent="0.35">
      <c r="C16" s="19"/>
      <c r="D16" s="19"/>
      <c r="E16" s="3"/>
      <c r="G16" s="19"/>
      <c r="H16" s="19"/>
      <c r="J16" s="20"/>
      <c r="K16" s="21"/>
      <c r="L16" s="21"/>
      <c r="T16" s="22">
        <v>1</v>
      </c>
      <c r="U16" s="23">
        <f t="shared" si="9"/>
        <v>14743.735331970622</v>
      </c>
      <c r="V16" s="23">
        <f t="shared" si="14"/>
        <v>2.6499090593991626E-2</v>
      </c>
      <c r="W16" s="23">
        <f t="shared" si="16"/>
        <v>7.1783495410436236E-3</v>
      </c>
      <c r="X16" s="78">
        <f>AVERAGEA('1 EF25 P80'!Q16, '2 EF25 P80'!Q16, '3 EF25 P80'!Q16)</f>
        <v>1073844.6281111112</v>
      </c>
      <c r="Y16" s="78">
        <f>AVERAGEA('1 EF25 P80'!R16, '2 EF25 P80'!R16, '3 EF25 P80'!$R16)</f>
        <v>22602.151333333331</v>
      </c>
      <c r="Z16" s="78">
        <f>AVERAGEA('1 EF25 P80'!S16, '2 EF25 P80'!S16, '3 EF25 P80'!S16)</f>
        <v>41.390722222222223</v>
      </c>
      <c r="AA16" s="25"/>
      <c r="AB16" s="2" t="s">
        <v>39</v>
      </c>
      <c r="AC16" s="32">
        <f>VLOOKUP(AC17, SW!$A$4:$F$34, 5, FALSE)</f>
        <v>1.1100000000000001E-3</v>
      </c>
    </row>
    <row r="17" spans="1:35" x14ac:dyDescent="0.35">
      <c r="C17" s="19"/>
      <c r="D17" s="19"/>
      <c r="E17" s="3"/>
      <c r="F17" s="61"/>
      <c r="G17" s="19"/>
      <c r="H17" s="19"/>
      <c r="J17" s="20"/>
      <c r="K17" s="21"/>
      <c r="L17" s="21"/>
      <c r="S17" s="14"/>
      <c r="T17" s="22">
        <v>1.1000000000000001</v>
      </c>
      <c r="U17" s="23">
        <f t="shared" si="9"/>
        <v>16218.108865167686</v>
      </c>
      <c r="V17" s="23">
        <f t="shared" si="14"/>
        <v>2.5875145383206184E-2</v>
      </c>
      <c r="W17" s="23">
        <f t="shared" si="16"/>
        <v>7.0093287664781141E-3</v>
      </c>
      <c r="X17" s="78">
        <f>AVERAGEA('1 EF25 P80'!Q17, '2 EF25 P80'!Q17, '3 EF25 P80'!Q17)</f>
        <v>1088594.9448888889</v>
      </c>
      <c r="Y17" s="78">
        <f>AVERAGEA('1 EF25 P80'!R17, '2 EF25 P80'!R17, '3 EF25 P80'!$R17)</f>
        <v>22607.715111111112</v>
      </c>
      <c r="Z17" s="78">
        <f>AVERAGEA('1 EF25 P80'!S17, '2 EF25 P80'!S17, '3 EF25 P80'!S17)</f>
        <v>41.167388888888887</v>
      </c>
      <c r="AA17" s="25"/>
      <c r="AB17" s="2" t="s">
        <v>161</v>
      </c>
      <c r="AC17" s="2">
        <v>19</v>
      </c>
    </row>
    <row r="18" spans="1:35" x14ac:dyDescent="0.35">
      <c r="A18" s="2" t="s">
        <v>61</v>
      </c>
      <c r="C18" s="19"/>
      <c r="D18" s="19"/>
      <c r="E18" s="3"/>
      <c r="F18" s="19"/>
      <c r="G18" s="19"/>
      <c r="H18" s="19"/>
      <c r="J18" s="20"/>
      <c r="K18" s="21"/>
      <c r="L18" s="21"/>
      <c r="T18" s="22">
        <v>1.2</v>
      </c>
      <c r="U18" s="23">
        <f t="shared" si="9"/>
        <v>17692.482398364744</v>
      </c>
      <c r="V18" s="23">
        <f t="shared" si="14"/>
        <v>2.5318365107999834E-2</v>
      </c>
      <c r="W18" s="23">
        <f t="shared" si="16"/>
        <v>6.858502328913654E-3</v>
      </c>
      <c r="X18" s="78">
        <f>AVERAGEA('1 EF25 P80'!Q18, '2 EF25 P80'!Q18, '3 EF25 P80'!Q18)</f>
        <v>1103463.7278333334</v>
      </c>
      <c r="Y18" s="78">
        <f>AVERAGEA('1 EF25 P80'!R18, '2 EF25 P80'!R18, '3 EF25 P80'!$R18)</f>
        <v>22595.836833333335</v>
      </c>
      <c r="Z18" s="78">
        <f>AVERAGEA('1 EF25 P80'!S18, '2 EF25 P80'!S18, '3 EF25 P80'!S18)</f>
        <v>41.080777777777776</v>
      </c>
      <c r="AA18" s="25"/>
      <c r="AB18" s="1"/>
      <c r="AC18" s="1">
        <f>AVERAGE('1 EF25 P80'!AA17,'2 EF25 P80'!AE17,'3 EF25 P80'!AD17)</f>
        <v>19.333333333333332</v>
      </c>
      <c r="AF18" s="36" t="s">
        <v>40</v>
      </c>
      <c r="AG18" s="37"/>
      <c r="AH18" s="37"/>
      <c r="AI18" s="37"/>
    </row>
    <row r="19" spans="1:35" x14ac:dyDescent="0.35">
      <c r="A19" s="24"/>
      <c r="B19" s="18"/>
      <c r="C19" s="19"/>
      <c r="D19" s="19"/>
      <c r="E19" s="3"/>
      <c r="F19" s="19"/>
      <c r="G19" s="19"/>
      <c r="H19" s="19"/>
      <c r="I19" s="20"/>
      <c r="J19" s="20"/>
      <c r="K19" s="21"/>
      <c r="L19" s="21"/>
      <c r="T19" s="22">
        <v>1.3</v>
      </c>
      <c r="U19" s="23">
        <f t="shared" si="9"/>
        <v>19166.855931561811</v>
      </c>
      <c r="V19" s="23">
        <f t="shared" si="14"/>
        <v>2.4816762921190696E-2</v>
      </c>
      <c r="W19" s="23">
        <f t="shared" si="16"/>
        <v>6.7226231063910423E-3</v>
      </c>
      <c r="X19" s="78"/>
      <c r="Y19" s="78"/>
      <c r="Z19" s="78"/>
      <c r="AA19" s="25"/>
      <c r="AF19" s="38" t="s">
        <v>41</v>
      </c>
      <c r="AG19" s="37" t="s">
        <v>42</v>
      </c>
      <c r="AH19" s="37" t="s">
        <v>43</v>
      </c>
      <c r="AI19" s="37" t="s">
        <v>44</v>
      </c>
    </row>
    <row r="20" spans="1:35" x14ac:dyDescent="0.35">
      <c r="A20" s="24"/>
      <c r="B20" s="18"/>
      <c r="C20" s="19"/>
      <c r="D20" s="19"/>
      <c r="E20" s="3"/>
      <c r="F20" s="19"/>
      <c r="G20" s="19"/>
      <c r="H20" s="19"/>
      <c r="I20" s="20"/>
      <c r="J20" s="20"/>
      <c r="K20" s="21"/>
      <c r="L20" s="21"/>
      <c r="T20" s="22">
        <v>1.4</v>
      </c>
      <c r="U20" s="23">
        <f t="shared" si="9"/>
        <v>20641.229464758871</v>
      </c>
      <c r="V20" s="23">
        <f t="shared" si="14"/>
        <v>2.4361215915859488E-2</v>
      </c>
      <c r="W20" s="23">
        <f t="shared" si="16"/>
        <v>6.5992197909057722E-3</v>
      </c>
      <c r="X20" s="78"/>
      <c r="Y20" s="78"/>
      <c r="Z20" s="78"/>
      <c r="AA20" s="25"/>
      <c r="AB20" s="1" t="s">
        <v>45</v>
      </c>
      <c r="AC20" s="1">
        <f>4*10^(-6)</f>
        <v>3.9999999999999998E-6</v>
      </c>
      <c r="AF20" s="38" t="s">
        <v>46</v>
      </c>
      <c r="AG20" s="37" t="s">
        <v>47</v>
      </c>
      <c r="AH20" s="37" t="s">
        <v>48</v>
      </c>
      <c r="AI20" s="37" t="s">
        <v>49</v>
      </c>
    </row>
    <row r="21" spans="1:35" x14ac:dyDescent="0.35">
      <c r="A21" s="24"/>
      <c r="B21" s="18"/>
      <c r="C21" s="19"/>
      <c r="D21" s="19"/>
      <c r="E21" s="43"/>
      <c r="F21" s="19"/>
      <c r="G21" s="19"/>
      <c r="H21" s="19"/>
      <c r="I21" s="20"/>
      <c r="J21" s="20"/>
      <c r="K21" s="21"/>
      <c r="L21" s="21"/>
      <c r="T21" s="22">
        <v>1.5</v>
      </c>
      <c r="U21" s="23">
        <f t="shared" si="9"/>
        <v>22115.602997955935</v>
      </c>
      <c r="V21" s="23">
        <f t="shared" si="14"/>
        <v>2.3944631354569632E-2</v>
      </c>
      <c r="W21" s="23">
        <f t="shared" si="16"/>
        <v>6.4863710278988294E-3</v>
      </c>
      <c r="X21" s="78"/>
      <c r="Y21" s="78"/>
      <c r="Z21" s="78"/>
      <c r="AA21" s="25"/>
      <c r="AB21" s="1" t="s">
        <v>50</v>
      </c>
      <c r="AC21" s="2">
        <f>AC20/AC11</f>
        <v>2.5052631578947367E-4</v>
      </c>
      <c r="AF21" s="37">
        <v>0</v>
      </c>
      <c r="AG21" s="37">
        <v>1.792E-3</v>
      </c>
      <c r="AH21" s="37">
        <v>999.87</v>
      </c>
      <c r="AI21" s="39">
        <v>1.7922329902887374E-6</v>
      </c>
    </row>
    <row r="22" spans="1:35" x14ac:dyDescent="0.35">
      <c r="A22" s="24"/>
      <c r="B22" s="18"/>
      <c r="C22" s="19"/>
      <c r="D22" s="19"/>
      <c r="E22" s="3"/>
      <c r="F22" s="19"/>
      <c r="G22" s="19"/>
      <c r="H22" s="19"/>
      <c r="I22" s="20"/>
      <c r="J22" s="20"/>
      <c r="K22" s="21"/>
      <c r="L22" s="21"/>
      <c r="R22" s="43"/>
      <c r="T22" s="22">
        <v>1.6</v>
      </c>
      <c r="U22" s="23">
        <f t="shared" si="9"/>
        <v>23589.976531152995</v>
      </c>
      <c r="V22" s="23">
        <f t="shared" si="14"/>
        <v>2.3561393594025707E-2</v>
      </c>
      <c r="W22" s="23">
        <f t="shared" si="16"/>
        <v>6.3825555934501144E-3</v>
      </c>
      <c r="X22" s="78"/>
      <c r="Y22" s="78"/>
      <c r="Z22" s="78"/>
      <c r="AA22" s="25"/>
      <c r="AF22" s="37">
        <v>5</v>
      </c>
      <c r="AG22" s="37">
        <v>1.519E-3</v>
      </c>
      <c r="AH22" s="37">
        <v>999.99</v>
      </c>
      <c r="AI22" s="39">
        <v>1.5190151901519014E-6</v>
      </c>
    </row>
    <row r="23" spans="1:35" x14ac:dyDescent="0.35">
      <c r="B23" s="18"/>
      <c r="C23" s="19"/>
      <c r="D23" s="19"/>
      <c r="E23" s="3"/>
      <c r="F23" s="3"/>
      <c r="G23" s="19"/>
      <c r="H23" s="19"/>
      <c r="I23" s="19"/>
      <c r="J23" s="20"/>
      <c r="K23" s="21"/>
      <c r="L23" s="21"/>
      <c r="T23" s="22">
        <v>1.7</v>
      </c>
      <c r="U23" s="23">
        <f t="shared" si="9"/>
        <v>25064.350064350056</v>
      </c>
      <c r="V23" s="23">
        <f t="shared" si="14"/>
        <v>2.3206985962769922E-2</v>
      </c>
      <c r="W23" s="23">
        <f t="shared" si="16"/>
        <v>6.2865499645722639E-3</v>
      </c>
      <c r="X23" s="78"/>
      <c r="Y23" s="78"/>
      <c r="Z23" s="78"/>
      <c r="AA23" s="25"/>
      <c r="AB23" s="40"/>
      <c r="AF23" s="37">
        <f>AF22+5</f>
        <v>10</v>
      </c>
      <c r="AG23" s="37">
        <v>1.3079999999999999E-3</v>
      </c>
      <c r="AH23" s="37">
        <v>999.73</v>
      </c>
      <c r="AI23" s="39">
        <v>1.3083532553789522E-6</v>
      </c>
    </row>
    <row r="24" spans="1:35" x14ac:dyDescent="0.35">
      <c r="B24" s="18"/>
      <c r="C24" s="19"/>
      <c r="D24" s="19"/>
      <c r="E24" s="3"/>
      <c r="F24" s="3"/>
      <c r="G24" s="19"/>
      <c r="H24" s="19"/>
      <c r="I24" s="19"/>
      <c r="J24" s="20"/>
      <c r="K24" s="21"/>
      <c r="L24" s="21"/>
      <c r="T24" s="22">
        <v>1.8</v>
      </c>
      <c r="U24" s="23">
        <f t="shared" si="9"/>
        <v>26538.723597547123</v>
      </c>
      <c r="V24" s="23">
        <f t="shared" si="14"/>
        <v>2.2877725439714239E-2</v>
      </c>
      <c r="W24" s="23">
        <f t="shared" si="16"/>
        <v>6.1973564461691661E-3</v>
      </c>
      <c r="X24" s="78"/>
      <c r="Y24" s="78"/>
      <c r="Z24" s="78"/>
      <c r="AA24" s="4"/>
      <c r="AB24" s="40"/>
      <c r="AF24" s="37" t="e">
        <f>#REF!+5</f>
        <v>#REF!</v>
      </c>
      <c r="AG24" s="37">
        <v>1.005E-3</v>
      </c>
      <c r="AH24" s="37">
        <v>998.23</v>
      </c>
      <c r="AI24" s="39">
        <v>1.0067820041473407E-6</v>
      </c>
    </row>
    <row r="25" spans="1:35" x14ac:dyDescent="0.35">
      <c r="B25" s="18"/>
      <c r="C25" s="19"/>
      <c r="D25" s="19"/>
      <c r="E25" s="3"/>
      <c r="F25" s="3"/>
      <c r="G25" s="19"/>
      <c r="H25" s="19"/>
      <c r="I25" s="19"/>
      <c r="J25" s="20"/>
      <c r="K25" s="21"/>
      <c r="L25" s="21"/>
      <c r="T25" s="22">
        <v>1.9</v>
      </c>
      <c r="U25" s="23">
        <f t="shared" si="9"/>
        <v>28013.097130744183</v>
      </c>
      <c r="V25" s="23">
        <f t="shared" si="14"/>
        <v>2.2570572220467006E-2</v>
      </c>
      <c r="W25" s="23">
        <f t="shared" si="16"/>
        <v>6.1141515843799333E-3</v>
      </c>
      <c r="X25" s="78"/>
      <c r="Y25" s="78"/>
      <c r="Z25" s="78"/>
      <c r="AA25" s="4"/>
      <c r="AB25" s="40"/>
      <c r="AF25" s="37">
        <v>25</v>
      </c>
      <c r="AG25" s="37">
        <v>8.9400000000000005E-4</v>
      </c>
      <c r="AH25" s="37">
        <v>997.07</v>
      </c>
      <c r="AI25" s="39">
        <v>8.9662711745414066E-7</v>
      </c>
    </row>
    <row r="26" spans="1:35" x14ac:dyDescent="0.35">
      <c r="O26" s="22"/>
      <c r="T26" s="22">
        <v>2</v>
      </c>
      <c r="U26" s="23">
        <f t="shared" si="9"/>
        <v>29487.470663941243</v>
      </c>
      <c r="V26" s="23">
        <f t="shared" si="14"/>
        <v>2.2282990287970983E-2</v>
      </c>
      <c r="W26" s="23">
        <f t="shared" si="16"/>
        <v>6.0362483965017292E-3</v>
      </c>
      <c r="X26" s="78"/>
      <c r="Y26" s="78"/>
      <c r="Z26" s="78"/>
      <c r="AA26" s="4"/>
      <c r="AB26" s="40"/>
      <c r="AF26" s="32"/>
      <c r="AG26" s="32"/>
      <c r="AH26" s="32"/>
      <c r="AI26" s="32"/>
    </row>
    <row r="27" spans="1:35" x14ac:dyDescent="0.35">
      <c r="K27" s="1"/>
      <c r="L27" s="1"/>
      <c r="M27" s="4"/>
      <c r="O27" s="22"/>
      <c r="T27" s="22">
        <v>2.1</v>
      </c>
      <c r="U27" s="23">
        <f t="shared" si="9"/>
        <v>30961.844197138311</v>
      </c>
      <c r="V27" s="23">
        <f t="shared" si="14"/>
        <v>2.2012843511942669E-2</v>
      </c>
      <c r="W27" s="23">
        <f t="shared" si="16"/>
        <v>5.9630682253241961E-3</v>
      </c>
      <c r="X27" s="78"/>
      <c r="Y27" s="78"/>
      <c r="Z27" s="78"/>
      <c r="AA27" s="4"/>
      <c r="AB27" s="40"/>
      <c r="AF27" s="32"/>
      <c r="AG27" s="32"/>
      <c r="AH27" s="32"/>
      <c r="AI27" s="32"/>
    </row>
    <row r="28" spans="1:35" x14ac:dyDescent="0.35">
      <c r="T28" s="22">
        <v>2.2000000000000002</v>
      </c>
      <c r="U28" s="23">
        <f t="shared" si="9"/>
        <v>32436.217730335371</v>
      </c>
      <c r="V28" s="23">
        <f t="shared" si="14"/>
        <v>2.1758316996906783E-2</v>
      </c>
      <c r="W28" s="23">
        <f t="shared" si="16"/>
        <v>5.8941194330661868E-3</v>
      </c>
      <c r="X28" s="78"/>
      <c r="Y28" s="78"/>
      <c r="Z28" s="78"/>
      <c r="AA28" s="4"/>
      <c r="AB28" s="40"/>
      <c r="AF28" s="32"/>
      <c r="AG28" s="32"/>
      <c r="AH28" s="32"/>
      <c r="AI28" s="32"/>
    </row>
    <row r="29" spans="1:35" x14ac:dyDescent="0.35">
      <c r="M29" s="41"/>
      <c r="T29" s="22">
        <v>2.2999999999999998</v>
      </c>
      <c r="U29" s="23">
        <f t="shared" si="9"/>
        <v>33910.591263532428</v>
      </c>
      <c r="V29" s="23">
        <f>0.292/(U29^(0.25))</f>
        <v>2.1517856696836785E-2</v>
      </c>
      <c r="W29" s="23">
        <f t="shared" si="16"/>
        <v>5.8289810435609244E-3</v>
      </c>
      <c r="X29" s="78"/>
      <c r="Y29" s="78"/>
      <c r="Z29" s="78"/>
      <c r="AA29" s="4"/>
      <c r="AB29" s="40"/>
      <c r="AF29" s="32"/>
      <c r="AG29" s="32"/>
      <c r="AH29" s="32"/>
      <c r="AI29" s="32"/>
    </row>
    <row r="30" spans="1:35" x14ac:dyDescent="0.35">
      <c r="T30" s="22">
        <v>2.4</v>
      </c>
      <c r="U30" s="23">
        <f t="shared" si="9"/>
        <v>35384.964796729488</v>
      </c>
      <c r="V30" s="23">
        <f t="shared" si="14"/>
        <v>2.1290122459401793E-2</v>
      </c>
      <c r="W30" s="23">
        <f t="shared" si="16"/>
        <v>5.7672900223927461E-3</v>
      </c>
      <c r="X30" s="78"/>
      <c r="Y30" s="78"/>
      <c r="Z30" s="78"/>
      <c r="AA30" s="4"/>
      <c r="AB30" s="40"/>
      <c r="AF30" s="32"/>
      <c r="AG30" s="32"/>
      <c r="AH30" s="32"/>
      <c r="AI30" s="32"/>
    </row>
    <row r="31" spans="1:35" x14ac:dyDescent="0.35">
      <c r="F31" s="1"/>
      <c r="G31" s="1"/>
      <c r="T31" s="22">
        <v>2.5</v>
      </c>
      <c r="U31" s="23">
        <f t="shared" si="9"/>
        <v>36859.338329926555</v>
      </c>
      <c r="V31" s="23">
        <f t="shared" si="14"/>
        <v>2.1073951088347823E-2</v>
      </c>
      <c r="W31" s="23">
        <f t="shared" si="16"/>
        <v>5.7087312708503871E-3</v>
      </c>
      <c r="X31" s="78"/>
      <c r="Y31" s="78"/>
      <c r="Z31" s="78"/>
      <c r="AA31" s="4"/>
      <c r="AB31" s="40"/>
      <c r="AF31" s="32"/>
      <c r="AG31" s="32"/>
      <c r="AH31" s="32"/>
      <c r="AI31" s="32"/>
    </row>
    <row r="32" spans="1:35" x14ac:dyDescent="0.35">
      <c r="G32" s="19"/>
      <c r="X32" s="71"/>
      <c r="Y32" s="4"/>
      <c r="Z32" s="74"/>
      <c r="AA32" s="4"/>
      <c r="AB32" s="40"/>
    </row>
    <row r="33" spans="7:29" x14ac:dyDescent="0.35">
      <c r="G33" s="19"/>
      <c r="X33" s="71"/>
      <c r="Y33" s="4"/>
      <c r="Z33" s="74"/>
      <c r="AA33" s="4"/>
      <c r="AB33" s="40"/>
      <c r="AC33" s="1" t="s">
        <v>51</v>
      </c>
    </row>
    <row r="34" spans="7:29" x14ac:dyDescent="0.35">
      <c r="G34" s="19"/>
      <c r="X34" s="71"/>
      <c r="Y34" s="4"/>
      <c r="Z34" s="74"/>
      <c r="AA34" s="4"/>
      <c r="AB34" s="40"/>
    </row>
    <row r="35" spans="7:29" x14ac:dyDescent="0.35">
      <c r="G35" s="19"/>
      <c r="X35" s="71"/>
      <c r="Y35" s="4"/>
      <c r="Z35" s="74"/>
      <c r="AA35" s="4"/>
      <c r="AB35" s="40"/>
    </row>
    <row r="36" spans="7:29" x14ac:dyDescent="0.35">
      <c r="G36" s="19"/>
      <c r="X36" s="71"/>
      <c r="Y36" s="4"/>
      <c r="Z36" s="74"/>
      <c r="AA36" s="4"/>
    </row>
    <row r="37" spans="7:29" x14ac:dyDescent="0.35">
      <c r="G37" s="19"/>
      <c r="X37" s="71"/>
      <c r="Y37" s="4"/>
      <c r="Z37" s="74"/>
      <c r="AA37" s="4"/>
    </row>
    <row r="38" spans="7:29" x14ac:dyDescent="0.35">
      <c r="X38" s="71"/>
      <c r="Y38" s="4"/>
      <c r="Z38" s="74"/>
      <c r="AA38" s="4"/>
    </row>
    <row r="39" spans="7:29" x14ac:dyDescent="0.35">
      <c r="T39" s="4"/>
      <c r="U39" s="16"/>
      <c r="V39" s="16"/>
      <c r="W39" s="4"/>
      <c r="X39" s="71"/>
      <c r="Y39" s="4"/>
      <c r="Z39" s="74"/>
      <c r="AA39" s="4"/>
    </row>
    <row r="40" spans="7:29" x14ac:dyDescent="0.35">
      <c r="T40" s="4"/>
      <c r="U40" s="16"/>
      <c r="V40" s="16"/>
      <c r="W40" s="4"/>
      <c r="X40" s="71"/>
      <c r="Y40" s="4"/>
      <c r="Z40" s="74"/>
      <c r="AA40" s="4"/>
    </row>
    <row r="41" spans="7:29" x14ac:dyDescent="0.35">
      <c r="T41" s="4"/>
      <c r="U41" s="16"/>
      <c r="V41" s="16"/>
      <c r="W41" s="4"/>
      <c r="X41" s="71"/>
      <c r="Y41" s="4"/>
      <c r="Z41" s="74"/>
      <c r="AA41" s="4"/>
    </row>
    <row r="42" spans="7:29" x14ac:dyDescent="0.35">
      <c r="T42" s="4"/>
      <c r="U42" s="16"/>
      <c r="V42" s="16"/>
      <c r="W42" s="4"/>
      <c r="X42" s="71"/>
      <c r="Y42" s="4"/>
      <c r="Z42" s="74"/>
      <c r="AA42" s="4"/>
      <c r="AC42"/>
    </row>
    <row r="43" spans="7:29" x14ac:dyDescent="0.35">
      <c r="T43" s="4"/>
      <c r="U43" s="16"/>
      <c r="V43" s="16"/>
      <c r="W43" s="4"/>
      <c r="X43" s="71"/>
      <c r="Y43" s="4"/>
      <c r="Z43" s="74"/>
      <c r="AA43" s="4"/>
      <c r="AC43" s="53"/>
    </row>
    <row r="44" spans="7:29" x14ac:dyDescent="0.35">
      <c r="T44" s="4"/>
      <c r="U44" s="16"/>
      <c r="V44" s="16"/>
    </row>
    <row r="45" spans="7:29" x14ac:dyDescent="0.35">
      <c r="T45" s="4"/>
      <c r="U45" s="16"/>
      <c r="V45" s="16"/>
    </row>
    <row r="46" spans="7:29" x14ac:dyDescent="0.35">
      <c r="T46" s="4"/>
      <c r="U46" s="16"/>
      <c r="V46" s="16"/>
    </row>
    <row r="47" spans="7:29" x14ac:dyDescent="0.35">
      <c r="T47" s="4"/>
      <c r="U47" s="16"/>
      <c r="V47" s="16"/>
    </row>
    <row r="48" spans="7:29" x14ac:dyDescent="0.35">
      <c r="T48" s="4"/>
      <c r="U48" s="16"/>
      <c r="V48" s="16"/>
    </row>
    <row r="49" spans="20:22" x14ac:dyDescent="0.35">
      <c r="T49" s="4"/>
      <c r="U49" s="16"/>
      <c r="V49" s="16"/>
    </row>
    <row r="50" spans="20:22" x14ac:dyDescent="0.35">
      <c r="T50" s="4"/>
      <c r="U50" s="16"/>
      <c r="V50" s="16"/>
    </row>
    <row r="51" spans="20:22" x14ac:dyDescent="0.35">
      <c r="T51" s="4"/>
      <c r="U51" s="16"/>
      <c r="V51" s="16"/>
    </row>
    <row r="52" spans="20:22" x14ac:dyDescent="0.35">
      <c r="T52" s="4"/>
      <c r="U52" s="16"/>
      <c r="V52" s="16"/>
    </row>
    <row r="53" spans="20:22" x14ac:dyDescent="0.35">
      <c r="T53" s="4"/>
      <c r="U53" s="16"/>
      <c r="V53" s="16"/>
    </row>
    <row r="54" spans="20:22" x14ac:dyDescent="0.35">
      <c r="T54" s="4"/>
    </row>
  </sheetData>
  <mergeCells count="3">
    <mergeCell ref="A3:O3"/>
    <mergeCell ref="AB5:AC5"/>
    <mergeCell ref="X4:Z4"/>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C84FA-3D77-456E-A410-BDA0E033527E}">
  <dimension ref="A1:J26"/>
  <sheetViews>
    <sheetView zoomScale="30" zoomScaleNormal="30" workbookViewId="0">
      <selection activeCell="V32" sqref="V32"/>
    </sheetView>
  </sheetViews>
  <sheetFormatPr defaultRowHeight="15.5" x14ac:dyDescent="0.35"/>
  <cols>
    <col min="1" max="1" width="28" customWidth="1"/>
    <col min="2" max="2" width="12.4609375" bestFit="1" customWidth="1"/>
  </cols>
  <sheetData>
    <row r="1" spans="1:2" x14ac:dyDescent="0.35">
      <c r="A1" s="52" t="s">
        <v>76</v>
      </c>
    </row>
    <row r="2" spans="1:2" x14ac:dyDescent="0.35">
      <c r="B2" s="9"/>
    </row>
    <row r="19" spans="1:10" x14ac:dyDescent="0.35">
      <c r="A19" s="105"/>
      <c r="B19" s="105"/>
      <c r="C19" s="105"/>
      <c r="D19" s="105"/>
      <c r="E19" s="105"/>
      <c r="F19" s="105"/>
      <c r="G19" s="105"/>
      <c r="H19" s="105"/>
      <c r="I19" s="105"/>
      <c r="J19" s="105"/>
    </row>
    <row r="20" spans="1:10" x14ac:dyDescent="0.35">
      <c r="A20" s="105" t="s">
        <v>121</v>
      </c>
      <c r="B20" s="105"/>
      <c r="C20" s="105"/>
      <c r="D20" s="105"/>
      <c r="E20" s="105"/>
      <c r="F20" s="105"/>
      <c r="G20" s="105"/>
      <c r="H20" s="105"/>
      <c r="I20" s="105"/>
      <c r="J20" s="105"/>
    </row>
    <row r="21" spans="1:10" x14ac:dyDescent="0.35">
      <c r="A21" s="105"/>
      <c r="B21" s="105" t="s">
        <v>65</v>
      </c>
      <c r="C21" s="105" t="s">
        <v>77</v>
      </c>
      <c r="D21" s="105"/>
      <c r="E21" s="105"/>
      <c r="F21" s="105" t="s">
        <v>66</v>
      </c>
      <c r="G21" s="105" t="s">
        <v>67</v>
      </c>
      <c r="H21" s="105"/>
      <c r="I21" s="105"/>
      <c r="J21" s="105"/>
    </row>
    <row r="22" spans="1:10" x14ac:dyDescent="0.35">
      <c r="A22" s="105">
        <v>1</v>
      </c>
      <c r="B22" s="105">
        <f>0.1616*(22000^-0.256)</f>
        <v>1.2496291578949088E-2</v>
      </c>
      <c r="C22" s="105"/>
      <c r="D22" s="105"/>
      <c r="E22" s="105"/>
      <c r="F22" s="105">
        <f>AVERAGEA(B22:B24)</f>
        <v>1.2698844653163463E-2</v>
      </c>
      <c r="G22" s="105">
        <f>_xlfn.STDEV.P(B22:B24)</f>
        <v>9.2093615024988666E-4</v>
      </c>
      <c r="H22" s="105"/>
      <c r="I22" s="105"/>
      <c r="J22" s="105"/>
    </row>
    <row r="23" spans="1:10" x14ac:dyDescent="0.35">
      <c r="A23" s="105">
        <v>2</v>
      </c>
      <c r="B23" s="105">
        <f>0.8822*(22000^-0.415)</f>
        <v>1.3914308911595185E-2</v>
      </c>
      <c r="C23" s="105"/>
      <c r="D23" s="105"/>
      <c r="E23" s="105"/>
      <c r="F23" s="105"/>
      <c r="G23" s="105"/>
      <c r="H23" s="105"/>
      <c r="I23" s="105"/>
      <c r="J23" s="105"/>
    </row>
    <row r="24" spans="1:10" x14ac:dyDescent="0.35">
      <c r="A24" s="105">
        <v>3</v>
      </c>
      <c r="B24" s="105">
        <f>0.0545*(22000^-0.154)</f>
        <v>1.1685933468946122E-2</v>
      </c>
      <c r="C24" s="105"/>
      <c r="D24" s="105"/>
      <c r="E24" s="105"/>
      <c r="F24" s="105"/>
      <c r="G24" s="105"/>
      <c r="H24" s="105"/>
      <c r="I24" s="105"/>
      <c r="J24" s="105"/>
    </row>
    <row r="25" spans="1:10" x14ac:dyDescent="0.35">
      <c r="A25" s="105"/>
      <c r="B25" s="105"/>
      <c r="C25" s="105"/>
      <c r="D25" s="105"/>
      <c r="E25" s="105"/>
      <c r="F25" s="105"/>
      <c r="G25" s="105"/>
      <c r="H25" s="105"/>
      <c r="I25" s="105"/>
      <c r="J25" s="105"/>
    </row>
    <row r="26" spans="1:10" x14ac:dyDescent="0.35">
      <c r="A26" s="105"/>
      <c r="B26" s="105"/>
      <c r="C26" s="105"/>
      <c r="D26" s="105"/>
      <c r="E26" s="105"/>
      <c r="F26" s="105"/>
      <c r="G26" s="105"/>
      <c r="H26" s="105"/>
      <c r="I26" s="105"/>
      <c r="J26" s="105"/>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58BFB-03D1-41A6-B43F-17CC19F55411}">
  <dimension ref="A1:AG112"/>
  <sheetViews>
    <sheetView zoomScale="40" zoomScaleNormal="40" zoomScalePageLayoutView="90" workbookViewId="0">
      <selection activeCell="O1" sqref="A1:O1"/>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6.765625" style="4" customWidth="1"/>
    <col min="14" max="15" width="8.4609375" style="4" customWidth="1"/>
    <col min="16" max="16" width="27.23046875" style="4" customWidth="1"/>
    <col min="17" max="17" width="12.765625" style="68" customWidth="1"/>
    <col min="18" max="18" width="10" style="2" customWidth="1"/>
    <col min="19" max="19" width="13.3046875" style="72" bestFit="1" customWidth="1"/>
    <col min="20" max="20" width="8.4609375" style="5" customWidth="1"/>
    <col min="21" max="21" width="10.23046875" style="2" customWidth="1"/>
    <col min="22" max="22" width="13.84375" style="2" customWidth="1"/>
    <col min="23" max="25" width="10" style="2" customWidth="1"/>
    <col min="26" max="26" width="21" style="2" customWidth="1"/>
    <col min="27" max="27" width="8.69140625" style="2" customWidth="1"/>
    <col min="28" max="28" width="8.69140625" style="2"/>
    <col min="29" max="29" width="22" style="2" customWidth="1"/>
    <col min="30" max="30" width="35.84375" style="2" customWidth="1"/>
    <col min="31" max="31" width="16.84375" style="2" customWidth="1"/>
    <col min="32" max="16384" width="8.69140625" style="2"/>
  </cols>
  <sheetData>
    <row r="1" spans="1:31" x14ac:dyDescent="0.35">
      <c r="A1" s="1"/>
      <c r="I1" s="1"/>
      <c r="J1" s="1"/>
      <c r="Q1" s="69" t="s">
        <v>92</v>
      </c>
    </row>
    <row r="2" spans="1:31" x14ac:dyDescent="0.35">
      <c r="A2" s="1"/>
      <c r="I2" s="1"/>
      <c r="J2" s="1"/>
      <c r="Q2" s="69" t="s">
        <v>85</v>
      </c>
    </row>
    <row r="3" spans="1:31" x14ac:dyDescent="0.35">
      <c r="A3" s="150" t="s">
        <v>3</v>
      </c>
      <c r="B3" s="150"/>
      <c r="C3" s="150"/>
      <c r="D3" s="150"/>
      <c r="E3" s="150"/>
      <c r="F3" s="150"/>
      <c r="G3" s="150"/>
      <c r="H3" s="150"/>
      <c r="I3" s="150"/>
      <c r="J3" s="150"/>
      <c r="K3" s="150"/>
      <c r="L3" s="150"/>
      <c r="M3" s="150"/>
      <c r="N3" s="150"/>
      <c r="O3" s="6"/>
      <c r="P3" s="6"/>
      <c r="T3" s="7"/>
    </row>
    <row r="4" spans="1:31" x14ac:dyDescent="0.35">
      <c r="Q4" s="152" t="s">
        <v>81</v>
      </c>
      <c r="R4" s="153"/>
      <c r="S4" s="154"/>
    </row>
    <row r="5" spans="1:31"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T5" s="14"/>
      <c r="U5" s="15" t="s">
        <v>19</v>
      </c>
      <c r="V5" s="16" t="s">
        <v>14</v>
      </c>
      <c r="W5" s="15" t="s">
        <v>20</v>
      </c>
      <c r="X5" s="16" t="s">
        <v>21</v>
      </c>
      <c r="Y5" s="1"/>
      <c r="Z5" s="151" t="s">
        <v>22</v>
      </c>
      <c r="AA5" s="151"/>
    </row>
    <row r="6" spans="1:31" x14ac:dyDescent="0.35">
      <c r="A6" s="17" t="s">
        <v>23</v>
      </c>
      <c r="B6" s="18">
        <v>0</v>
      </c>
      <c r="C6" s="19">
        <f t="shared" ref="C6:C11" si="0">B6*0.0166667</f>
        <v>0</v>
      </c>
      <c r="D6" s="19">
        <f t="shared" ref="D6:D11" si="1">B6*0.000277778</f>
        <v>0</v>
      </c>
      <c r="E6" s="3">
        <f t="shared" ref="E6:E11" si="2">0.001*D6</f>
        <v>0</v>
      </c>
      <c r="F6" s="19">
        <f t="shared" ref="F6:F11" si="3">E6/AA$7</f>
        <v>0</v>
      </c>
      <c r="G6" s="19">
        <f t="shared" ref="G6:G11" si="4">F6^(2)</f>
        <v>0</v>
      </c>
      <c r="H6" s="19">
        <f t="shared" ref="H6:H11" si="5">F6*1.94384</f>
        <v>0</v>
      </c>
      <c r="I6" s="20">
        <v>0</v>
      </c>
      <c r="J6" s="20">
        <f t="shared" ref="J6:J11" si="6">I6 * 10</f>
        <v>0</v>
      </c>
      <c r="K6" s="21">
        <f t="shared" ref="K6:K11" si="7">J6*100</f>
        <v>0</v>
      </c>
      <c r="L6" s="3">
        <f t="shared" ref="L6:L11" si="8">(F6*AA$11)/AA$12</f>
        <v>0</v>
      </c>
      <c r="U6" s="22">
        <v>0</v>
      </c>
      <c r="V6" s="23">
        <f t="shared" ref="V6:V31" si="9">(U6*AA$11)/AA$12</f>
        <v>0</v>
      </c>
      <c r="W6" s="23"/>
      <c r="X6" s="23"/>
    </row>
    <row r="7" spans="1:31" x14ac:dyDescent="0.35">
      <c r="A7" s="2">
        <v>25</v>
      </c>
      <c r="B7" s="2">
        <v>2100</v>
      </c>
      <c r="C7" s="19">
        <f t="shared" si="0"/>
        <v>35.000070000000001</v>
      </c>
      <c r="D7" s="19">
        <f t="shared" si="1"/>
        <v>0.58333380000000001</v>
      </c>
      <c r="E7" s="3">
        <f t="shared" si="2"/>
        <v>5.8333380000000006E-4</v>
      </c>
      <c r="F7" s="19">
        <f t="shared" si="3"/>
        <v>1.3725501176470589</v>
      </c>
      <c r="G7" s="19">
        <f t="shared" si="4"/>
        <v>1.8838938254529554</v>
      </c>
      <c r="H7" s="19">
        <f t="shared" si="5"/>
        <v>2.6680178206870591</v>
      </c>
      <c r="J7" s="20">
        <f t="shared" si="6"/>
        <v>0</v>
      </c>
      <c r="K7" s="21">
        <f t="shared" si="7"/>
        <v>0</v>
      </c>
      <c r="L7" s="3">
        <f t="shared" si="8"/>
        <v>16239.329230769232</v>
      </c>
      <c r="M7" s="4">
        <f>(AA$15*G7*N7)/8</f>
        <v>0</v>
      </c>
      <c r="N7" s="4">
        <f>(K7*2*AA$11)/(AA$13*AA$15*G7)</f>
        <v>0</v>
      </c>
      <c r="Q7" s="78"/>
      <c r="R7" s="61"/>
      <c r="S7" s="79"/>
      <c r="U7" s="22">
        <v>0.1</v>
      </c>
      <c r="V7" s="23">
        <f>(U7*AA$11)/AA$12</f>
        <v>1183.1501831501832</v>
      </c>
      <c r="W7" s="23">
        <f t="shared" ref="W7:W31" si="10">0.292/(V7^(0.25))</f>
        <v>4.9787793846968985E-2</v>
      </c>
      <c r="X7" s="23">
        <f>0.0791/(V7^0.25)</f>
        <v>1.3487035935942627E-2</v>
      </c>
      <c r="Y7" s="25"/>
      <c r="Z7" s="1" t="s">
        <v>24</v>
      </c>
      <c r="AA7" s="2">
        <f>AA$9*AA$10</f>
        <v>4.2500000000000003E-4</v>
      </c>
    </row>
    <row r="8" spans="1:31" x14ac:dyDescent="0.35">
      <c r="A8" s="2">
        <v>30</v>
      </c>
      <c r="B8" s="2">
        <v>3000</v>
      </c>
      <c r="C8" s="19">
        <f t="shared" si="0"/>
        <v>50.000099999999996</v>
      </c>
      <c r="D8" s="19">
        <f t="shared" si="1"/>
        <v>0.83333400000000002</v>
      </c>
      <c r="E8" s="3">
        <f t="shared" si="2"/>
        <v>8.3333400000000003E-4</v>
      </c>
      <c r="F8" s="19">
        <f t="shared" si="3"/>
        <v>1.9607858823529412</v>
      </c>
      <c r="G8" s="19">
        <f t="shared" si="4"/>
        <v>3.8446812764346019</v>
      </c>
      <c r="H8" s="19">
        <f t="shared" si="5"/>
        <v>3.8114540295529413</v>
      </c>
      <c r="I8" s="42">
        <v>3.5217200000000002</v>
      </c>
      <c r="J8" s="20">
        <f t="shared" si="6"/>
        <v>35.217200000000005</v>
      </c>
      <c r="K8" s="21">
        <f t="shared" si="7"/>
        <v>3521.7200000000007</v>
      </c>
      <c r="L8" s="3">
        <f t="shared" si="8"/>
        <v>23199.041758241761</v>
      </c>
      <c r="M8" s="4">
        <f>(AA$15*G8*N8)/8</f>
        <v>15.990715811965817</v>
      </c>
      <c r="N8" s="4">
        <f>(K8*2*AA$11)/(AA$13*AA$15*G8)</f>
        <v>3.2430241933754406E-2</v>
      </c>
      <c r="O8" s="4">
        <f>N8/4</f>
        <v>8.1075604834386014E-3</v>
      </c>
      <c r="P8" s="4">
        <f>3.7*(10^(-1/(2*SQRT(N8)))-2.51/(L8*SQRT(N8)))</f>
        <v>3.9674569437481988E-3</v>
      </c>
      <c r="Q8" s="78">
        <v>1137503.73</v>
      </c>
      <c r="R8" s="61">
        <v>22089.058333333334</v>
      </c>
      <c r="S8" s="79">
        <v>61.222333333333331</v>
      </c>
      <c r="U8" s="22">
        <v>0.2</v>
      </c>
      <c r="V8" s="23">
        <f t="shared" si="9"/>
        <v>2366.3003663003665</v>
      </c>
      <c r="W8" s="23">
        <f t="shared" si="10"/>
        <v>4.1866377369307171E-2</v>
      </c>
      <c r="X8" s="23">
        <f t="shared" ref="X8:X31" si="11">0.0791/(V8^0.25)</f>
        <v>1.1341200170932184E-2</v>
      </c>
      <c r="Y8" s="25"/>
      <c r="Z8" s="2" t="s">
        <v>25</v>
      </c>
    </row>
    <row r="9" spans="1:31" ht="19" x14ac:dyDescent="0.4">
      <c r="A9" s="2">
        <v>35</v>
      </c>
      <c r="B9" s="2">
        <v>3850</v>
      </c>
      <c r="C9" s="19">
        <f t="shared" si="0"/>
        <v>64.166794999999993</v>
      </c>
      <c r="D9" s="19">
        <f t="shared" si="1"/>
        <v>1.0694452999999999</v>
      </c>
      <c r="E9" s="3">
        <f t="shared" si="2"/>
        <v>1.0694452999999999E-3</v>
      </c>
      <c r="F9" s="19">
        <f t="shared" si="3"/>
        <v>2.5163418823529407</v>
      </c>
      <c r="G9" s="19">
        <f t="shared" si="4"/>
        <v>6.3319764688835409</v>
      </c>
      <c r="H9" s="19">
        <f t="shared" si="5"/>
        <v>4.8913660045929399</v>
      </c>
      <c r="I9" s="42">
        <v>5.3689450000000001</v>
      </c>
      <c r="J9" s="20">
        <f t="shared" si="6"/>
        <v>53.689450000000001</v>
      </c>
      <c r="K9" s="21">
        <f t="shared" si="7"/>
        <v>5368.9449999999997</v>
      </c>
      <c r="L9" s="3">
        <f t="shared" si="8"/>
        <v>29772.103589743587</v>
      </c>
      <c r="M9" s="4">
        <f>(AA$15*G9*N9)/8</f>
        <v>24.378222489316236</v>
      </c>
      <c r="N9" s="4">
        <f>(K9*2*AA$11)/(AA$13*AA$15*G9)</f>
        <v>3.0019632430508425E-2</v>
      </c>
      <c r="O9" s="4">
        <f>N9/4</f>
        <v>7.5049081076271063E-3</v>
      </c>
      <c r="P9" s="4">
        <f>3.7*(10^(-1/(2*SQRT(N9)))-2.51/(L9*SQRT(N9)))</f>
        <v>3.0123869528244831E-3</v>
      </c>
      <c r="Q9" s="78">
        <v>1137503.73</v>
      </c>
      <c r="R9" s="61">
        <v>22089.058333333334</v>
      </c>
      <c r="S9" s="79">
        <v>61.222333333333331</v>
      </c>
      <c r="U9" s="22">
        <v>0.3</v>
      </c>
      <c r="V9" s="23">
        <f t="shared" si="9"/>
        <v>3549.4505494505493</v>
      </c>
      <c r="W9" s="23">
        <f t="shared" si="10"/>
        <v>3.7830542474791819E-2</v>
      </c>
      <c r="X9" s="23">
        <f t="shared" si="11"/>
        <v>1.0247931197794633E-2</v>
      </c>
      <c r="Y9" s="25"/>
      <c r="Z9" s="1" t="s">
        <v>26</v>
      </c>
      <c r="AA9" s="19">
        <v>0.05</v>
      </c>
      <c r="AD9" s="27" t="s">
        <v>27</v>
      </c>
    </row>
    <row r="10" spans="1:31" ht="18.5" x14ac:dyDescent="0.35">
      <c r="A10" s="2">
        <v>40</v>
      </c>
      <c r="B10" s="2">
        <v>4700</v>
      </c>
      <c r="C10" s="19">
        <f t="shared" si="0"/>
        <v>78.333489999999998</v>
      </c>
      <c r="D10" s="19">
        <f t="shared" si="1"/>
        <v>1.3055566000000001</v>
      </c>
      <c r="E10" s="3">
        <f t="shared" si="2"/>
        <v>1.3055566E-3</v>
      </c>
      <c r="F10" s="19">
        <f t="shared" si="3"/>
        <v>3.0718978823529408</v>
      </c>
      <c r="G10" s="19">
        <f t="shared" si="4"/>
        <v>9.4365565996044829</v>
      </c>
      <c r="H10" s="19">
        <f t="shared" si="5"/>
        <v>5.9712779796329407</v>
      </c>
      <c r="I10" s="42">
        <v>7.8976449999999989</v>
      </c>
      <c r="J10" s="20">
        <f t="shared" si="6"/>
        <v>78.976449999999986</v>
      </c>
      <c r="K10" s="21">
        <f t="shared" si="7"/>
        <v>7897.6449999999986</v>
      </c>
      <c r="L10" s="3">
        <f t="shared" si="8"/>
        <v>36345.165421245423</v>
      </c>
      <c r="M10" s="4">
        <f>(AA$15*G10*N10)/8</f>
        <v>35.860033386752121</v>
      </c>
      <c r="N10" s="4">
        <f>(K10*2*AA$11)/(AA$13*AA$15*G10)</f>
        <v>2.9630553669281627E-2</v>
      </c>
      <c r="O10" s="4">
        <f>N10/4</f>
        <v>7.4076384173204068E-3</v>
      </c>
      <c r="P10" s="4">
        <f>3.7*(10^(-1/(2*SQRT(N10)))-2.51/(L10*SQRT(N10)))</f>
        <v>3.1235413317007104E-3</v>
      </c>
      <c r="Q10" s="2">
        <v>1068532.635</v>
      </c>
      <c r="R10" s="2">
        <v>22684.745999999999</v>
      </c>
      <c r="S10" s="2">
        <v>62.374499999999998</v>
      </c>
      <c r="U10" s="22">
        <v>0.4</v>
      </c>
      <c r="V10" s="23">
        <f t="shared" si="9"/>
        <v>4732.600732600733</v>
      </c>
      <c r="W10" s="23">
        <f t="shared" si="10"/>
        <v>3.5205286649509643E-2</v>
      </c>
      <c r="X10" s="23">
        <f t="shared" si="11"/>
        <v>9.5367745684116888E-3</v>
      </c>
      <c r="Y10" s="25"/>
      <c r="Z10" s="1" t="s">
        <v>28</v>
      </c>
      <c r="AA10" s="19">
        <v>8.5000000000000006E-3</v>
      </c>
      <c r="AD10" s="28" t="s">
        <v>29</v>
      </c>
      <c r="AE10" s="2" t="s">
        <v>30</v>
      </c>
    </row>
    <row r="11" spans="1:31" ht="16.5" x14ac:dyDescent="0.4">
      <c r="A11" s="2">
        <v>45</v>
      </c>
      <c r="B11" s="2">
        <v>5500</v>
      </c>
      <c r="C11" s="19">
        <f t="shared" si="0"/>
        <v>91.666849999999997</v>
      </c>
      <c r="D11" s="19">
        <f t="shared" si="1"/>
        <v>1.527779</v>
      </c>
      <c r="E11" s="3">
        <f t="shared" si="2"/>
        <v>1.5277789999999999E-3</v>
      </c>
      <c r="F11" s="19">
        <f t="shared" si="3"/>
        <v>3.5947741176470585</v>
      </c>
      <c r="G11" s="19">
        <f t="shared" si="4"/>
        <v>12.922400956905188</v>
      </c>
      <c r="H11" s="19">
        <f t="shared" si="5"/>
        <v>6.9876657208470583</v>
      </c>
      <c r="I11" s="42">
        <v>9.3161000000000023</v>
      </c>
      <c r="J11" s="20">
        <f t="shared" si="6"/>
        <v>93.16100000000003</v>
      </c>
      <c r="K11" s="21">
        <f t="shared" si="7"/>
        <v>9316.1000000000022</v>
      </c>
      <c r="L11" s="3">
        <f t="shared" si="8"/>
        <v>42531.576556776556</v>
      </c>
      <c r="M11" s="4">
        <f>(AA$15*G11*N11)/8</f>
        <v>42.300667735042744</v>
      </c>
      <c r="N11" s="4">
        <f>(K11*2*AA$11)/(AA$13*AA$15*G11)</f>
        <v>2.5523876639837285E-2</v>
      </c>
      <c r="O11" s="4">
        <f>N11/4</f>
        <v>6.3809691599593212E-3</v>
      </c>
      <c r="P11" s="4">
        <f>3.7*(10^(-1/(2*SQRT(N11)))-2.51/(L11*SQRT(N11)))</f>
        <v>1.3782626932495438E-3</v>
      </c>
      <c r="Q11" s="78">
        <v>1042521.4606666667</v>
      </c>
      <c r="R11" s="61">
        <v>22926.638999999996</v>
      </c>
      <c r="S11" s="79">
        <v>63.094333333333331</v>
      </c>
      <c r="U11" s="22">
        <v>0.5</v>
      </c>
      <c r="V11" s="23">
        <f t="shared" si="9"/>
        <v>5915.7509157509157</v>
      </c>
      <c r="W11" s="23">
        <f t="shared" si="10"/>
        <v>3.3295104441325267E-2</v>
      </c>
      <c r="X11" s="23">
        <f t="shared" si="11"/>
        <v>9.019324525030235E-3</v>
      </c>
      <c r="Y11" s="25"/>
      <c r="Z11" s="1" t="s">
        <v>31</v>
      </c>
      <c r="AA11" s="4">
        <f>2*(AA9*AA10)/(AA9+AA10)</f>
        <v>1.452991452991453E-2</v>
      </c>
      <c r="AB11" s="1">
        <f>10*AA11*100</f>
        <v>14.529914529914532</v>
      </c>
      <c r="AD11" s="27" t="s">
        <v>32</v>
      </c>
      <c r="AE11" s="2" t="s">
        <v>33</v>
      </c>
    </row>
    <row r="12" spans="1:31" ht="18.5" x14ac:dyDescent="0.35">
      <c r="A12" s="26"/>
      <c r="B12" s="29"/>
      <c r="C12" s="19"/>
      <c r="D12" s="19"/>
      <c r="E12" s="3"/>
      <c r="F12" s="19"/>
      <c r="G12" s="19"/>
      <c r="H12" s="19"/>
      <c r="I12" s="30"/>
      <c r="J12" s="20"/>
      <c r="K12" s="21"/>
      <c r="Q12" s="78"/>
      <c r="R12" s="61"/>
      <c r="S12" s="79"/>
      <c r="U12" s="22">
        <v>0.6</v>
      </c>
      <c r="V12" s="23">
        <f t="shared" si="9"/>
        <v>7098.9010989010985</v>
      </c>
      <c r="W12" s="23">
        <f t="shared" si="10"/>
        <v>3.1811567554155838E-2</v>
      </c>
      <c r="X12" s="23">
        <f t="shared" si="11"/>
        <v>8.6174486079922154E-3</v>
      </c>
      <c r="Y12" s="25"/>
      <c r="Z12" s="1" t="s">
        <v>34</v>
      </c>
      <c r="AA12" s="31">
        <f>AA$16/AA$15</f>
        <v>1.2280701754385965E-6</v>
      </c>
    </row>
    <row r="13" spans="1:31" ht="16.5" x14ac:dyDescent="0.4">
      <c r="A13" s="24"/>
      <c r="B13" s="18"/>
      <c r="C13" s="19"/>
      <c r="D13" s="19"/>
      <c r="E13" s="3"/>
      <c r="F13" s="19"/>
      <c r="G13" s="19"/>
      <c r="H13" s="19"/>
      <c r="I13" s="20"/>
      <c r="J13" s="20"/>
      <c r="K13" s="21"/>
      <c r="Q13" s="78"/>
      <c r="R13" s="61"/>
      <c r="S13" s="79"/>
      <c r="U13" s="22">
        <v>0.7</v>
      </c>
      <c r="V13" s="23">
        <f t="shared" si="9"/>
        <v>8282.0512820512813</v>
      </c>
      <c r="W13" s="23">
        <f t="shared" si="10"/>
        <v>3.0608945818696394E-2</v>
      </c>
      <c r="X13" s="23">
        <f t="shared" si="11"/>
        <v>8.2916699118454965E-3</v>
      </c>
      <c r="Y13" s="25"/>
      <c r="Z13" s="1" t="s">
        <v>35</v>
      </c>
      <c r="AA13" s="32">
        <v>0.8</v>
      </c>
      <c r="AD13" s="27" t="s">
        <v>36</v>
      </c>
      <c r="AE13" s="1" t="s">
        <v>37</v>
      </c>
    </row>
    <row r="14" spans="1:31" x14ac:dyDescent="0.35">
      <c r="A14" s="24"/>
      <c r="B14" s="18"/>
      <c r="C14" s="19"/>
      <c r="D14" s="19"/>
      <c r="E14" s="43"/>
      <c r="F14" s="19"/>
      <c r="G14" s="19"/>
      <c r="H14" s="19"/>
      <c r="I14" s="20"/>
      <c r="J14" s="20"/>
      <c r="K14" s="21"/>
      <c r="Q14" s="78"/>
      <c r="R14" s="61"/>
      <c r="S14" s="79"/>
      <c r="U14" s="22">
        <v>0.8</v>
      </c>
      <c r="V14" s="23">
        <f t="shared" si="9"/>
        <v>9465.2014652014659</v>
      </c>
      <c r="W14" s="23">
        <f t="shared" si="10"/>
        <v>2.9603999341552112E-2</v>
      </c>
      <c r="X14" s="23">
        <f t="shared" si="11"/>
        <v>8.0194395476601791E-3</v>
      </c>
      <c r="Y14" s="25"/>
      <c r="AA14" s="32"/>
    </row>
    <row r="15" spans="1:31" x14ac:dyDescent="0.35">
      <c r="B15" s="33"/>
      <c r="C15" s="19"/>
      <c r="D15" s="19"/>
      <c r="E15" s="3"/>
      <c r="F15" s="19"/>
      <c r="G15" s="19"/>
      <c r="H15" s="19"/>
      <c r="I15" s="30"/>
      <c r="J15" s="20"/>
      <c r="K15" s="21"/>
      <c r="Q15" s="78"/>
      <c r="R15" s="61"/>
      <c r="S15" s="79"/>
      <c r="T15" s="34"/>
      <c r="U15" s="22">
        <v>0.9</v>
      </c>
      <c r="V15" s="23">
        <f t="shared" si="9"/>
        <v>10648.351648351649</v>
      </c>
      <c r="W15" s="23">
        <f t="shared" si="10"/>
        <v>2.8744996179905138E-2</v>
      </c>
      <c r="X15" s="23">
        <f t="shared" si="11"/>
        <v>7.7867438281866326E-3</v>
      </c>
      <c r="Y15" s="25"/>
      <c r="Z15" s="2" t="s">
        <v>38</v>
      </c>
      <c r="AA15" s="32">
        <f>VLOOKUP(AA17, SW!$A$4:$F$34, 3, FALSE)</f>
        <v>1026</v>
      </c>
      <c r="AB15" s="32"/>
    </row>
    <row r="16" spans="1:31" x14ac:dyDescent="0.35">
      <c r="B16" s="35"/>
      <c r="C16" s="19"/>
      <c r="D16" s="19"/>
      <c r="E16" s="3"/>
      <c r="F16" s="19"/>
      <c r="G16" s="19"/>
      <c r="H16" s="19"/>
      <c r="I16" s="35"/>
      <c r="J16" s="20"/>
      <c r="K16" s="21"/>
      <c r="Q16" s="78"/>
      <c r="R16" s="61"/>
      <c r="S16" s="79"/>
      <c r="U16" s="22">
        <v>1</v>
      </c>
      <c r="V16" s="23">
        <f t="shared" si="9"/>
        <v>11831.501831501831</v>
      </c>
      <c r="W16" s="23">
        <f t="shared" si="10"/>
        <v>2.7997733970208445E-2</v>
      </c>
      <c r="X16" s="23">
        <f t="shared" si="11"/>
        <v>7.5843176611078362E-3</v>
      </c>
      <c r="Y16" s="25"/>
      <c r="Z16" s="2" t="s">
        <v>39</v>
      </c>
      <c r="AA16" s="32">
        <f>VLOOKUP(AA17, SW!$A$4:$F$34, 5, FALSE)</f>
        <v>1.2600000000000001E-3</v>
      </c>
    </row>
    <row r="17" spans="1:33" x14ac:dyDescent="0.35">
      <c r="B17" s="18"/>
      <c r="C17" s="19"/>
      <c r="D17" s="19"/>
      <c r="E17" s="3"/>
      <c r="F17" s="19"/>
      <c r="G17" s="19"/>
      <c r="H17" s="19"/>
      <c r="I17" s="20"/>
      <c r="J17" s="20"/>
      <c r="K17" s="21"/>
      <c r="Q17" s="78"/>
      <c r="R17" s="61"/>
      <c r="S17" s="79"/>
      <c r="T17" s="14"/>
      <c r="U17" s="22">
        <v>1.1000000000000001</v>
      </c>
      <c r="V17" s="23">
        <f t="shared" si="9"/>
        <v>13014.652014652016</v>
      </c>
      <c r="W17" s="23">
        <f t="shared" si="10"/>
        <v>2.7338501836879411E-2</v>
      </c>
      <c r="X17" s="23">
        <f t="shared" si="11"/>
        <v>7.4057379975930194E-3</v>
      </c>
      <c r="Y17" s="25"/>
      <c r="Z17" s="2" t="s">
        <v>161</v>
      </c>
      <c r="AA17" s="2">
        <v>14</v>
      </c>
    </row>
    <row r="18" spans="1:33" x14ac:dyDescent="0.35">
      <c r="B18" s="18"/>
      <c r="C18" s="19"/>
      <c r="D18" s="19"/>
      <c r="E18" s="3"/>
      <c r="F18" s="19"/>
      <c r="G18" s="19"/>
      <c r="H18" s="19"/>
      <c r="I18" s="20"/>
      <c r="J18" s="20"/>
      <c r="K18" s="21"/>
      <c r="Q18" s="78"/>
      <c r="R18" s="61"/>
      <c r="S18" s="79"/>
      <c r="U18" s="22">
        <v>1.2</v>
      </c>
      <c r="V18" s="23">
        <f t="shared" si="9"/>
        <v>14197.802197802197</v>
      </c>
      <c r="W18" s="23">
        <f t="shared" si="10"/>
        <v>2.6750233119891019E-2</v>
      </c>
      <c r="X18" s="23">
        <f t="shared" si="11"/>
        <v>7.2463816430937671E-3</v>
      </c>
      <c r="Y18" s="25"/>
      <c r="Z18" s="1"/>
      <c r="AA18" s="1"/>
      <c r="AD18" s="36" t="s">
        <v>40</v>
      </c>
      <c r="AE18" s="37"/>
      <c r="AF18" s="37"/>
      <c r="AG18" s="37"/>
    </row>
    <row r="19" spans="1:33" x14ac:dyDescent="0.35">
      <c r="A19" s="24"/>
      <c r="B19" s="18"/>
      <c r="C19" s="19"/>
      <c r="D19" s="19"/>
      <c r="E19" s="3"/>
      <c r="F19" s="19"/>
      <c r="G19" s="19"/>
      <c r="H19" s="19"/>
      <c r="I19" s="20"/>
      <c r="J19" s="20"/>
      <c r="K19" s="21"/>
      <c r="Q19" s="70"/>
      <c r="R19" s="25"/>
      <c r="S19" s="73"/>
      <c r="U19" s="22">
        <v>1.3</v>
      </c>
      <c r="V19" s="23">
        <f t="shared" si="9"/>
        <v>15380.952380952382</v>
      </c>
      <c r="W19" s="23">
        <f t="shared" si="10"/>
        <v>2.6220263061660368E-2</v>
      </c>
      <c r="X19" s="23">
        <f t="shared" si="11"/>
        <v>7.1028178362237517E-3</v>
      </c>
      <c r="Y19" s="25"/>
      <c r="AD19" s="38" t="s">
        <v>41</v>
      </c>
      <c r="AE19" s="37" t="s">
        <v>42</v>
      </c>
      <c r="AF19" s="37" t="s">
        <v>43</v>
      </c>
      <c r="AG19" s="37" t="s">
        <v>44</v>
      </c>
    </row>
    <row r="20" spans="1:33" x14ac:dyDescent="0.35">
      <c r="A20" s="24"/>
      <c r="B20" s="18"/>
      <c r="C20" s="19"/>
      <c r="D20" s="19"/>
      <c r="E20" s="3"/>
      <c r="F20" s="19"/>
      <c r="G20" s="19"/>
      <c r="H20" s="19"/>
      <c r="I20" s="20"/>
      <c r="J20" s="20"/>
      <c r="K20" s="21"/>
      <c r="Q20" s="70"/>
      <c r="R20" s="25"/>
      <c r="S20" s="73"/>
      <c r="U20" s="22">
        <v>1.4</v>
      </c>
      <c r="V20" s="23">
        <f t="shared" si="9"/>
        <v>16564.102564102563</v>
      </c>
      <c r="W20" s="23">
        <f t="shared" si="10"/>
        <v>2.5738952813636973E-2</v>
      </c>
      <c r="X20" s="23">
        <f t="shared" si="11"/>
        <v>6.9724355053379615E-3</v>
      </c>
      <c r="Y20" s="25"/>
      <c r="Z20" s="1" t="s">
        <v>45</v>
      </c>
      <c r="AA20" s="1">
        <f>4*10^(-6)</f>
        <v>3.9999999999999998E-6</v>
      </c>
      <c r="AD20" s="38" t="s">
        <v>46</v>
      </c>
      <c r="AE20" s="37" t="s">
        <v>47</v>
      </c>
      <c r="AF20" s="37" t="s">
        <v>48</v>
      </c>
      <c r="AG20" s="37" t="s">
        <v>49</v>
      </c>
    </row>
    <row r="21" spans="1:33" x14ac:dyDescent="0.35">
      <c r="A21" s="24"/>
      <c r="B21" s="18"/>
      <c r="C21" s="19"/>
      <c r="D21" s="19"/>
      <c r="E21" s="3"/>
      <c r="F21" s="19"/>
      <c r="G21" s="19"/>
      <c r="H21" s="19"/>
      <c r="I21" s="20"/>
      <c r="J21" s="20"/>
      <c r="K21" s="21"/>
      <c r="Q21" s="70"/>
      <c r="R21" s="25"/>
      <c r="S21" s="73"/>
      <c r="U21" s="22">
        <v>1.5</v>
      </c>
      <c r="V21" s="23">
        <f t="shared" si="9"/>
        <v>17747.252747252747</v>
      </c>
      <c r="W21" s="23">
        <f t="shared" si="10"/>
        <v>2.5298808512015773E-2</v>
      </c>
      <c r="X21" s="23">
        <f t="shared" si="11"/>
        <v>6.8532046345905744E-3</v>
      </c>
      <c r="Y21" s="25"/>
      <c r="Z21" s="1" t="s">
        <v>50</v>
      </c>
      <c r="AA21" s="2">
        <f>AA20/AA11</f>
        <v>2.752941176470588E-4</v>
      </c>
      <c r="AD21" s="37">
        <v>0</v>
      </c>
      <c r="AE21" s="37">
        <v>1.792E-3</v>
      </c>
      <c r="AF21" s="37">
        <v>999.87</v>
      </c>
      <c r="AG21" s="39">
        <v>1.7922329902887374E-6</v>
      </c>
    </row>
    <row r="22" spans="1:33" x14ac:dyDescent="0.35">
      <c r="A22" s="24"/>
      <c r="B22" s="18"/>
      <c r="C22" s="19"/>
      <c r="D22" s="19"/>
      <c r="E22" s="3"/>
      <c r="F22" s="19"/>
      <c r="G22" s="19"/>
      <c r="H22" s="19"/>
      <c r="I22" s="20"/>
      <c r="J22" s="20"/>
      <c r="K22" s="21"/>
      <c r="Q22" s="70"/>
      <c r="R22" s="25"/>
      <c r="S22" s="73"/>
      <c r="U22" s="22">
        <v>1.6</v>
      </c>
      <c r="V22" s="23">
        <f t="shared" si="9"/>
        <v>18930.402930402932</v>
      </c>
      <c r="W22" s="23">
        <f t="shared" si="10"/>
        <v>2.4893896923484496E-2</v>
      </c>
      <c r="X22" s="23">
        <f t="shared" si="11"/>
        <v>6.7435179679713143E-3</v>
      </c>
      <c r="Y22" s="25"/>
      <c r="AD22" s="37">
        <v>5</v>
      </c>
      <c r="AE22" s="37">
        <v>1.519E-3</v>
      </c>
      <c r="AF22" s="37">
        <v>999.99</v>
      </c>
      <c r="AG22" s="39">
        <v>1.5190151901519014E-6</v>
      </c>
    </row>
    <row r="23" spans="1:33" x14ac:dyDescent="0.35">
      <c r="B23" s="18"/>
      <c r="C23" s="19"/>
      <c r="D23" s="19"/>
      <c r="E23" s="3"/>
      <c r="F23" s="3"/>
      <c r="G23" s="19"/>
      <c r="H23" s="19"/>
      <c r="I23" s="19"/>
      <c r="J23" s="20"/>
      <c r="K23" s="21"/>
      <c r="Q23" s="70"/>
      <c r="R23" s="25"/>
      <c r="S23" s="73"/>
      <c r="U23" s="22">
        <v>1.7</v>
      </c>
      <c r="V23" s="23">
        <f t="shared" si="9"/>
        <v>20113.553113553116</v>
      </c>
      <c r="W23" s="23">
        <f t="shared" si="10"/>
        <v>2.4519445938394425E-2</v>
      </c>
      <c r="X23" s="23">
        <f t="shared" si="11"/>
        <v>6.642082786736299E-3</v>
      </c>
      <c r="Y23" s="25"/>
      <c r="Z23" s="40"/>
      <c r="AD23" s="37">
        <f>AD22+5</f>
        <v>10</v>
      </c>
      <c r="AE23" s="37">
        <v>1.3079999999999999E-3</v>
      </c>
      <c r="AF23" s="37">
        <v>999.73</v>
      </c>
      <c r="AG23" s="39">
        <v>1.3083532553789522E-6</v>
      </c>
    </row>
    <row r="24" spans="1:33" x14ac:dyDescent="0.35">
      <c r="B24" s="18"/>
      <c r="C24" s="19"/>
      <c r="D24" s="19"/>
      <c r="E24" s="3"/>
      <c r="F24" s="3"/>
      <c r="G24" s="19"/>
      <c r="H24" s="19"/>
      <c r="I24" s="19"/>
      <c r="J24" s="20"/>
      <c r="K24" s="21"/>
      <c r="Q24" s="71"/>
      <c r="R24" s="4"/>
      <c r="S24" s="74"/>
      <c r="U24" s="22">
        <v>1.8</v>
      </c>
      <c r="V24" s="23">
        <f t="shared" si="9"/>
        <v>21296.703296703297</v>
      </c>
      <c r="W24" s="23">
        <f t="shared" si="10"/>
        <v>2.4171564244163949E-2</v>
      </c>
      <c r="X24" s="23">
        <f t="shared" si="11"/>
        <v>6.5478449716211253E-3</v>
      </c>
      <c r="Y24" s="4"/>
      <c r="Z24" s="40"/>
      <c r="AD24" s="37" t="e">
        <f>#REF!+5</f>
        <v>#REF!</v>
      </c>
      <c r="AE24" s="37">
        <v>1.005E-3</v>
      </c>
      <c r="AF24" s="37">
        <v>998.23</v>
      </c>
      <c r="AG24" s="39">
        <v>1.0067820041473407E-6</v>
      </c>
    </row>
    <row r="25" spans="1:33" x14ac:dyDescent="0.35">
      <c r="B25" s="18"/>
      <c r="C25" s="19"/>
      <c r="D25" s="19"/>
      <c r="E25" s="3"/>
      <c r="F25" s="3"/>
      <c r="G25" s="19"/>
      <c r="H25" s="19"/>
      <c r="I25" s="19"/>
      <c r="J25" s="20"/>
      <c r="K25" s="21"/>
      <c r="Q25" s="71"/>
      <c r="R25" s="4"/>
      <c r="S25" s="74"/>
      <c r="U25" s="22">
        <v>1.9</v>
      </c>
      <c r="V25" s="23">
        <f t="shared" si="9"/>
        <v>22479.853479853478</v>
      </c>
      <c r="W25" s="23">
        <f t="shared" si="10"/>
        <v>2.384704012172004E-2</v>
      </c>
      <c r="X25" s="23">
        <f t="shared" si="11"/>
        <v>6.4599344987262171E-3</v>
      </c>
      <c r="Y25" s="4"/>
      <c r="Z25" s="40"/>
      <c r="AD25" s="37">
        <v>25</v>
      </c>
      <c r="AE25" s="37">
        <v>8.9400000000000005E-4</v>
      </c>
      <c r="AF25" s="37">
        <v>997.07</v>
      </c>
      <c r="AG25" s="39">
        <v>8.9662711745414066E-7</v>
      </c>
    </row>
    <row r="26" spans="1:33" x14ac:dyDescent="0.35">
      <c r="N26" s="22"/>
      <c r="Q26" s="71"/>
      <c r="R26" s="4"/>
      <c r="S26" s="74"/>
      <c r="U26" s="22">
        <v>2</v>
      </c>
      <c r="V26" s="23">
        <f t="shared" si="9"/>
        <v>23663.003663003663</v>
      </c>
      <c r="W26" s="23">
        <f t="shared" si="10"/>
        <v>2.3543194130775429E-2</v>
      </c>
      <c r="X26" s="23">
        <f t="shared" si="11"/>
        <v>6.3776255333710162E-3</v>
      </c>
      <c r="Y26" s="4"/>
      <c r="Z26" s="40"/>
      <c r="AD26" s="32"/>
      <c r="AE26" s="32"/>
      <c r="AF26" s="32"/>
      <c r="AG26" s="32"/>
    </row>
    <row r="27" spans="1:33" x14ac:dyDescent="0.35">
      <c r="K27" s="1"/>
      <c r="L27" s="4"/>
      <c r="N27" s="22"/>
      <c r="Q27" s="71"/>
      <c r="R27" s="4"/>
      <c r="S27" s="74"/>
      <c r="U27" s="22">
        <v>2.1</v>
      </c>
      <c r="V27" s="23">
        <f t="shared" si="9"/>
        <v>24846.153846153848</v>
      </c>
      <c r="W27" s="23">
        <f t="shared" si="10"/>
        <v>2.3257769333221625E-2</v>
      </c>
      <c r="X27" s="23">
        <f t="shared" si="11"/>
        <v>6.3003066926638034E-3</v>
      </c>
      <c r="Y27" s="4"/>
      <c r="Z27" s="40"/>
      <c r="AD27" s="32"/>
      <c r="AE27" s="32"/>
      <c r="AF27" s="32"/>
      <c r="AG27" s="32"/>
    </row>
    <row r="28" spans="1:33" x14ac:dyDescent="0.35">
      <c r="Q28" s="71"/>
      <c r="R28" s="4"/>
      <c r="S28" s="74"/>
      <c r="U28" s="22">
        <v>2.2000000000000002</v>
      </c>
      <c r="V28" s="23">
        <f t="shared" si="9"/>
        <v>26029.304029304032</v>
      </c>
      <c r="W28" s="23">
        <f t="shared" si="10"/>
        <v>2.2988848193038983E-2</v>
      </c>
      <c r="X28" s="23">
        <f t="shared" si="11"/>
        <v>6.2274585344841912E-3</v>
      </c>
      <c r="Y28" s="4"/>
      <c r="Z28" s="40"/>
      <c r="AD28" s="32"/>
      <c r="AE28" s="32"/>
      <c r="AF28" s="32"/>
      <c r="AG28" s="32"/>
    </row>
    <row r="29" spans="1:33" x14ac:dyDescent="0.35">
      <c r="L29" s="41"/>
      <c r="Q29" s="71"/>
      <c r="R29" s="4"/>
      <c r="S29" s="74"/>
      <c r="U29" s="22">
        <v>2.2999999999999998</v>
      </c>
      <c r="V29" s="23">
        <f t="shared" si="9"/>
        <v>27212.454212454213</v>
      </c>
      <c r="W29" s="23">
        <f t="shared" si="10"/>
        <v>2.2734788775872317E-2</v>
      </c>
      <c r="X29" s="23">
        <f t="shared" si="11"/>
        <v>6.1586362745599324E-3</v>
      </c>
      <c r="Y29" s="4"/>
      <c r="Z29" s="40"/>
      <c r="AD29" s="32"/>
      <c r="AE29" s="32"/>
      <c r="AF29" s="32"/>
      <c r="AG29" s="32"/>
    </row>
    <row r="30" spans="1:33" x14ac:dyDescent="0.35">
      <c r="Q30" s="71"/>
      <c r="R30" s="4"/>
      <c r="S30" s="74"/>
      <c r="U30" s="22">
        <v>2.4</v>
      </c>
      <c r="V30" s="23">
        <f t="shared" si="9"/>
        <v>28395.604395604394</v>
      </c>
      <c r="W30" s="23">
        <f t="shared" si="10"/>
        <v>2.2494175137717544E-2</v>
      </c>
      <c r="X30" s="23">
        <f t="shared" si="11"/>
        <v>6.0934563472378701E-3</v>
      </c>
      <c r="Y30" s="4"/>
      <c r="Z30" s="40"/>
      <c r="AD30" s="32"/>
      <c r="AE30" s="32"/>
      <c r="AF30" s="32"/>
      <c r="AG30" s="32"/>
    </row>
    <row r="31" spans="1:33" x14ac:dyDescent="0.35">
      <c r="F31" s="1"/>
      <c r="G31" s="1"/>
      <c r="Q31" s="71"/>
      <c r="R31" s="4"/>
      <c r="S31" s="74"/>
      <c r="U31" s="22">
        <v>2.5</v>
      </c>
      <c r="V31" s="23">
        <f t="shared" si="9"/>
        <v>29578.754578754582</v>
      </c>
      <c r="W31" s="23">
        <f t="shared" si="10"/>
        <v>2.2265778298313686E-2</v>
      </c>
      <c r="X31" s="23">
        <f t="shared" si="11"/>
        <v>6.031585833550044E-3</v>
      </c>
      <c r="Y31" s="4"/>
      <c r="Z31" s="40"/>
      <c r="AD31" s="32"/>
      <c r="AE31" s="32"/>
      <c r="AF31" s="32"/>
      <c r="AG31" s="32"/>
    </row>
    <row r="32" spans="1:33" x14ac:dyDescent="0.35">
      <c r="G32" s="19"/>
      <c r="Q32" s="71"/>
      <c r="R32" s="4"/>
      <c r="S32" s="74"/>
      <c r="Y32" s="4"/>
      <c r="Z32" s="40"/>
    </row>
    <row r="33" spans="7:27" x14ac:dyDescent="0.35">
      <c r="G33" s="19"/>
      <c r="Q33" s="71"/>
      <c r="R33" s="4"/>
      <c r="S33" s="74"/>
      <c r="Y33" s="4"/>
      <c r="Z33" s="40"/>
      <c r="AA33" s="1" t="s">
        <v>51</v>
      </c>
    </row>
    <row r="34" spans="7:27" x14ac:dyDescent="0.35">
      <c r="G34" s="19"/>
      <c r="Q34" s="71"/>
      <c r="R34" s="4"/>
      <c r="S34" s="74"/>
      <c r="Y34" s="4"/>
      <c r="Z34" s="40"/>
    </row>
    <row r="35" spans="7:27" x14ac:dyDescent="0.35">
      <c r="G35" s="19"/>
      <c r="Q35" s="71"/>
      <c r="R35" s="4"/>
      <c r="S35" s="74"/>
      <c r="Y35" s="4"/>
      <c r="Z35" s="40"/>
    </row>
    <row r="36" spans="7:27" x14ac:dyDescent="0.35">
      <c r="G36" s="19"/>
      <c r="Q36" s="71"/>
      <c r="R36" s="4"/>
      <c r="S36" s="74"/>
      <c r="Y36" s="4"/>
    </row>
    <row r="37" spans="7:27" x14ac:dyDescent="0.35">
      <c r="G37" s="19"/>
      <c r="Q37" s="71"/>
      <c r="R37" s="4"/>
      <c r="S37" s="74"/>
      <c r="Y37" s="4"/>
    </row>
    <row r="38" spans="7:27" x14ac:dyDescent="0.35">
      <c r="Q38" s="71"/>
      <c r="R38" s="4"/>
      <c r="S38" s="74"/>
      <c r="Y38" s="4"/>
    </row>
    <row r="39" spans="7:27" x14ac:dyDescent="0.35">
      <c r="Q39" s="71"/>
      <c r="R39" s="4"/>
      <c r="S39" s="74"/>
      <c r="U39" s="4"/>
      <c r="V39" s="16"/>
      <c r="W39" s="16"/>
      <c r="X39" s="4"/>
      <c r="Y39" s="4"/>
    </row>
    <row r="40" spans="7:27" x14ac:dyDescent="0.35">
      <c r="Q40" s="71"/>
      <c r="R40" s="4"/>
      <c r="S40" s="74"/>
      <c r="U40" s="4"/>
      <c r="V40" s="16"/>
      <c r="W40" s="16"/>
      <c r="X40" s="4"/>
      <c r="Y40" s="4"/>
    </row>
    <row r="41" spans="7:27" x14ac:dyDescent="0.35">
      <c r="Q41" s="71"/>
      <c r="R41" s="4"/>
      <c r="S41" s="74"/>
      <c r="U41" s="4"/>
      <c r="V41" s="16"/>
      <c r="W41" s="16"/>
      <c r="X41" s="4"/>
      <c r="Y41" s="4"/>
    </row>
    <row r="42" spans="7:27" x14ac:dyDescent="0.35">
      <c r="Q42" s="71"/>
      <c r="R42" s="4"/>
      <c r="S42" s="74"/>
      <c r="U42" s="4"/>
      <c r="V42" s="16"/>
      <c r="W42" s="16"/>
      <c r="X42" s="4"/>
      <c r="Y42" s="4"/>
    </row>
    <row r="43" spans="7:27" x14ac:dyDescent="0.35">
      <c r="Q43" s="71"/>
      <c r="R43" s="4"/>
      <c r="S43" s="74"/>
      <c r="U43" s="4"/>
      <c r="V43" s="16"/>
      <c r="W43" s="16"/>
      <c r="X43" s="4"/>
      <c r="Y43" s="4"/>
    </row>
    <row r="44" spans="7:27" x14ac:dyDescent="0.35">
      <c r="U44" s="4"/>
      <c r="V44" s="16"/>
      <c r="W44" s="16"/>
    </row>
    <row r="45" spans="7:27" x14ac:dyDescent="0.35">
      <c r="U45" s="4"/>
      <c r="V45" s="16"/>
      <c r="W45" s="16"/>
    </row>
    <row r="46" spans="7:27" x14ac:dyDescent="0.35">
      <c r="U46" s="4"/>
      <c r="V46" s="16"/>
      <c r="W46" s="16"/>
    </row>
    <row r="47" spans="7:27" x14ac:dyDescent="0.35">
      <c r="U47" s="4"/>
      <c r="V47" s="16"/>
      <c r="W47" s="16"/>
    </row>
    <row r="48" spans="7:27" x14ac:dyDescent="0.35">
      <c r="R48" s="40"/>
      <c r="S48" s="87"/>
      <c r="U48" s="4"/>
      <c r="V48" s="16"/>
      <c r="W48" s="16"/>
    </row>
    <row r="49" spans="18:23" x14ac:dyDescent="0.35">
      <c r="U49" s="4"/>
      <c r="V49" s="16"/>
      <c r="W49" s="16"/>
    </row>
    <row r="50" spans="18:23" x14ac:dyDescent="0.35">
      <c r="U50" s="4"/>
      <c r="V50" s="16"/>
      <c r="W50" s="16"/>
    </row>
    <row r="51" spans="18:23" x14ac:dyDescent="0.35">
      <c r="R51" s="68"/>
      <c r="S51" s="2"/>
      <c r="T51" s="72"/>
      <c r="U51" s="4"/>
      <c r="V51" s="16"/>
      <c r="W51" s="16"/>
    </row>
    <row r="52" spans="18:23" x14ac:dyDescent="0.35">
      <c r="R52" s="43"/>
      <c r="S52" s="88"/>
      <c r="U52" s="4"/>
      <c r="V52" s="16"/>
      <c r="W52" s="16"/>
    </row>
    <row r="53" spans="18:23" x14ac:dyDescent="0.35">
      <c r="R53" s="43"/>
      <c r="S53" s="88"/>
      <c r="U53" s="4"/>
      <c r="V53" s="16"/>
      <c r="W53" s="16"/>
    </row>
    <row r="54" spans="18:23" x14ac:dyDescent="0.35">
      <c r="R54" s="43"/>
      <c r="S54" s="88"/>
      <c r="U54" s="4"/>
    </row>
    <row r="67" spans="25:25" x14ac:dyDescent="0.35">
      <c r="Y67" s="40"/>
    </row>
    <row r="112" spans="17:17" x14ac:dyDescent="0.35">
      <c r="Q112" s="85"/>
    </row>
  </sheetData>
  <mergeCells count="3">
    <mergeCell ref="A3:N3"/>
    <mergeCell ref="Z5:AA5"/>
    <mergeCell ref="Q4:S4"/>
  </mergeCell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08936-AA53-4EF3-A380-21101ADEC5D6}">
  <dimension ref="A1:AG112"/>
  <sheetViews>
    <sheetView zoomScale="60" zoomScaleNormal="60" zoomScalePageLayoutView="90" workbookViewId="0">
      <selection activeCell="K1" sqref="A1:K1"/>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6.765625" style="4" customWidth="1"/>
    <col min="14" max="15" width="8.4609375" style="4" customWidth="1"/>
    <col min="16" max="16" width="27.23046875" style="4" customWidth="1"/>
    <col min="17" max="17" width="12.765625" style="68" customWidth="1"/>
    <col min="18" max="18" width="10" style="2" customWidth="1"/>
    <col min="19" max="19" width="13.3046875" style="72" bestFit="1" customWidth="1"/>
    <col min="20" max="20" width="8.4609375" style="5" customWidth="1"/>
    <col min="21" max="21" width="10.23046875" style="2" customWidth="1"/>
    <col min="22" max="22" width="13.84375" style="2" customWidth="1"/>
    <col min="23" max="25" width="10" style="2" customWidth="1"/>
    <col min="26" max="26" width="21" style="2" customWidth="1"/>
    <col min="27" max="27" width="8.69140625" style="2" customWidth="1"/>
    <col min="28" max="28" width="8.69140625" style="2"/>
    <col min="29" max="29" width="22" style="2" customWidth="1"/>
    <col min="30" max="30" width="35.84375" style="2" customWidth="1"/>
    <col min="31" max="31" width="16.84375" style="2" customWidth="1"/>
    <col min="32" max="16384" width="8.69140625" style="2"/>
  </cols>
  <sheetData>
    <row r="1" spans="1:31" x14ac:dyDescent="0.35">
      <c r="A1" s="1"/>
      <c r="I1" s="1"/>
      <c r="J1" s="1"/>
      <c r="Q1" s="69" t="s">
        <v>93</v>
      </c>
    </row>
    <row r="2" spans="1:31" x14ac:dyDescent="0.35">
      <c r="A2" s="1"/>
      <c r="I2" s="1"/>
      <c r="J2" s="1"/>
      <c r="Q2" s="69" t="s">
        <v>85</v>
      </c>
    </row>
    <row r="3" spans="1:31" x14ac:dyDescent="0.35">
      <c r="A3" s="150" t="s">
        <v>3</v>
      </c>
      <c r="B3" s="150"/>
      <c r="C3" s="150"/>
      <c r="D3" s="150"/>
      <c r="E3" s="150"/>
      <c r="F3" s="150"/>
      <c r="G3" s="150"/>
      <c r="H3" s="150"/>
      <c r="I3" s="150"/>
      <c r="J3" s="150"/>
      <c r="K3" s="150"/>
      <c r="L3" s="150"/>
      <c r="M3" s="150"/>
      <c r="N3" s="150"/>
      <c r="O3" s="46"/>
      <c r="P3" s="46"/>
      <c r="T3" s="7"/>
    </row>
    <row r="4" spans="1:31" x14ac:dyDescent="0.35">
      <c r="Q4" s="152" t="s">
        <v>81</v>
      </c>
      <c r="R4" s="153"/>
      <c r="S4" s="154"/>
    </row>
    <row r="5" spans="1:31"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T5" s="14"/>
      <c r="U5" s="15" t="s">
        <v>19</v>
      </c>
      <c r="V5" s="16" t="s">
        <v>14</v>
      </c>
      <c r="W5" s="15" t="s">
        <v>20</v>
      </c>
      <c r="X5" s="16" t="s">
        <v>21</v>
      </c>
      <c r="Y5" s="1"/>
      <c r="Z5" s="151" t="s">
        <v>22</v>
      </c>
      <c r="AA5" s="151"/>
    </row>
    <row r="6" spans="1:31" x14ac:dyDescent="0.35">
      <c r="A6" s="17" t="s">
        <v>23</v>
      </c>
      <c r="B6" s="18">
        <v>0</v>
      </c>
      <c r="C6" s="19">
        <f>B6*0.0166667</f>
        <v>0</v>
      </c>
      <c r="D6" s="19">
        <f>B6*0.000277778</f>
        <v>0</v>
      </c>
      <c r="E6" s="3">
        <f>0.001*D6</f>
        <v>0</v>
      </c>
      <c r="F6" s="19">
        <f t="shared" ref="F6:F12" si="0">E6/AA$7</f>
        <v>0</v>
      </c>
      <c r="G6" s="19">
        <f t="shared" ref="G6:G12" si="1">F6^(2)</f>
        <v>0</v>
      </c>
      <c r="H6" s="19">
        <f>F6*1.94384</f>
        <v>0</v>
      </c>
      <c r="I6" s="20">
        <v>0</v>
      </c>
      <c r="J6" s="20">
        <f t="shared" ref="J6:J12" si="2">I6 * 10</f>
        <v>0</v>
      </c>
      <c r="K6" s="21">
        <f>J6*100</f>
        <v>0</v>
      </c>
      <c r="L6" s="3">
        <f t="shared" ref="L6:L12" si="3">(F6*AA$11)/AA$12</f>
        <v>0</v>
      </c>
      <c r="U6" s="22">
        <v>0</v>
      </c>
      <c r="V6" s="23">
        <f t="shared" ref="V6:V31" si="4">(U6*AA$11)/AA$12</f>
        <v>0</v>
      </c>
      <c r="W6" s="23"/>
      <c r="X6" s="23"/>
    </row>
    <row r="7" spans="1:31" x14ac:dyDescent="0.35">
      <c r="A7" s="2">
        <v>25</v>
      </c>
      <c r="B7" s="2">
        <v>1650</v>
      </c>
      <c r="C7" s="19">
        <f t="shared" ref="C7:C12" si="5">B7*0.0166667</f>
        <v>27.500055</v>
      </c>
      <c r="D7" s="19">
        <f t="shared" ref="D7:D12" si="6">B7*0.000277778</f>
        <v>0.45833370000000001</v>
      </c>
      <c r="E7" s="3">
        <f t="shared" ref="E7:E12" si="7">0.001*D7</f>
        <v>4.5833370000000003E-4</v>
      </c>
      <c r="F7" s="19">
        <f t="shared" si="0"/>
        <v>1.0784322352941176</v>
      </c>
      <c r="G7" s="19">
        <f t="shared" si="1"/>
        <v>1.1630160861214669</v>
      </c>
      <c r="H7" s="19">
        <f t="shared" ref="H7:H12" si="8">F7*1.94384</f>
        <v>2.0962997162541175</v>
      </c>
      <c r="I7" s="2">
        <v>1.0588089247311834</v>
      </c>
      <c r="J7" s="20">
        <f t="shared" si="2"/>
        <v>10.588089247311833</v>
      </c>
      <c r="K7" s="21">
        <f t="shared" ref="K7:K12" si="9">J7*100</f>
        <v>1058.8089247311834</v>
      </c>
      <c r="L7" s="3">
        <f t="shared" si="3"/>
        <v>15296.444200244199</v>
      </c>
      <c r="M7" s="4">
        <f t="shared" ref="M7:M12" si="10">(AA$15*G7*N7)/8</f>
        <v>4.8076259937046251</v>
      </c>
      <c r="N7" s="4">
        <f t="shared" ref="N7:N12" si="11">(K7*2*AA$11)/(AA$13*AA$15*G7)</f>
        <v>3.2263469983589518E-2</v>
      </c>
      <c r="O7" s="4">
        <f t="shared" ref="O7:O12" si="12">N7/4</f>
        <v>8.0658674958973796E-3</v>
      </c>
      <c r="Q7" s="78">
        <v>1192160.8370000001</v>
      </c>
      <c r="R7" s="61">
        <v>21837.016333333333</v>
      </c>
      <c r="S7" s="79">
        <v>57.038666666666664</v>
      </c>
      <c r="U7" s="22">
        <v>0.1</v>
      </c>
      <c r="V7" s="23">
        <f t="shared" si="4"/>
        <v>1418.3964183964185</v>
      </c>
      <c r="W7" s="23">
        <f t="shared" ref="W7:W31" si="13">0.292/(V7^(0.25))</f>
        <v>4.7580986818461415E-2</v>
      </c>
      <c r="X7" s="23">
        <f>0.0791/(V7^0.25)</f>
        <v>1.2889233073083213E-2</v>
      </c>
      <c r="Y7" s="25"/>
      <c r="Z7" s="1" t="s">
        <v>24</v>
      </c>
      <c r="AA7" s="2">
        <f>AA$9*AA$10</f>
        <v>4.2500000000000003E-4</v>
      </c>
    </row>
    <row r="8" spans="1:31" x14ac:dyDescent="0.35">
      <c r="A8" s="2">
        <v>30</v>
      </c>
      <c r="B8" s="2">
        <v>2450</v>
      </c>
      <c r="C8" s="19">
        <f t="shared" si="5"/>
        <v>40.833415000000002</v>
      </c>
      <c r="D8" s="19">
        <f t="shared" si="6"/>
        <v>0.6805561</v>
      </c>
      <c r="E8" s="3">
        <f t="shared" si="7"/>
        <v>6.8055610000000006E-4</v>
      </c>
      <c r="F8" s="19">
        <f t="shared" si="0"/>
        <v>1.6013084705882352</v>
      </c>
      <c r="G8" s="19">
        <f t="shared" si="1"/>
        <v>2.5641888179776329</v>
      </c>
      <c r="H8" s="19">
        <f t="shared" si="8"/>
        <v>3.1126874574682351</v>
      </c>
      <c r="I8" s="42">
        <v>2.3326806451612905</v>
      </c>
      <c r="J8" s="20">
        <f t="shared" si="2"/>
        <v>23.326806451612903</v>
      </c>
      <c r="K8" s="21">
        <f t="shared" si="9"/>
        <v>2332.6806451612902</v>
      </c>
      <c r="L8" s="3">
        <f t="shared" si="3"/>
        <v>22712.901994301992</v>
      </c>
      <c r="M8" s="4">
        <f t="shared" si="10"/>
        <v>10.591765749931074</v>
      </c>
      <c r="N8" s="4">
        <f t="shared" si="11"/>
        <v>3.2239217104402466E-2</v>
      </c>
      <c r="O8" s="4">
        <f t="shared" si="12"/>
        <v>8.0598042761006166E-3</v>
      </c>
      <c r="P8" s="4">
        <f>3.7*(10^(-1/(2*SQRT(N8)))-2.51/(L8*SQRT(N8)))</f>
        <v>3.7971860996104914E-3</v>
      </c>
      <c r="Q8" s="78">
        <v>1184494.145</v>
      </c>
      <c r="R8" s="61">
        <v>21823.267333333337</v>
      </c>
      <c r="S8" s="79">
        <v>57.209666666666664</v>
      </c>
      <c r="U8" s="22">
        <v>0.2</v>
      </c>
      <c r="V8" s="23">
        <f t="shared" si="4"/>
        <v>2836.7928367928371</v>
      </c>
      <c r="W8" s="23">
        <f t="shared" si="13"/>
        <v>4.0010681249878444E-2</v>
      </c>
      <c r="X8" s="23">
        <f t="shared" ref="X8:X31" si="14">0.0791/(V8^0.25)</f>
        <v>1.0838509886525292E-2</v>
      </c>
      <c r="Y8" s="25"/>
      <c r="Z8" s="2" t="s">
        <v>25</v>
      </c>
    </row>
    <row r="9" spans="1:31" ht="19" x14ac:dyDescent="0.4">
      <c r="A9" s="2">
        <v>35</v>
      </c>
      <c r="B9" s="2">
        <v>3400</v>
      </c>
      <c r="C9" s="19">
        <f t="shared" si="5"/>
        <v>56.666779999999996</v>
      </c>
      <c r="D9" s="19">
        <f t="shared" si="6"/>
        <v>0.94444519999999998</v>
      </c>
      <c r="E9" s="3">
        <f t="shared" si="7"/>
        <v>9.4444519999999999E-4</v>
      </c>
      <c r="F9" s="19">
        <f t="shared" si="0"/>
        <v>2.2222239999999998</v>
      </c>
      <c r="G9" s="19">
        <f t="shared" si="1"/>
        <v>4.9382795061759985</v>
      </c>
      <c r="H9" s="19">
        <f t="shared" si="8"/>
        <v>4.3196479001599997</v>
      </c>
      <c r="I9" s="42">
        <v>4.3889032258064509</v>
      </c>
      <c r="J9" s="20">
        <f t="shared" si="2"/>
        <v>43.88903225806451</v>
      </c>
      <c r="K9" s="21">
        <f t="shared" si="9"/>
        <v>4388.9032258064508</v>
      </c>
      <c r="L9" s="3">
        <f t="shared" si="3"/>
        <v>31519.945624745618</v>
      </c>
      <c r="M9" s="4">
        <f t="shared" si="10"/>
        <v>19.928246484698089</v>
      </c>
      <c r="N9" s="4">
        <f t="shared" si="11"/>
        <v>3.1496300147568795E-2</v>
      </c>
      <c r="O9" s="4">
        <f t="shared" si="12"/>
        <v>7.8740750368921988E-3</v>
      </c>
      <c r="P9" s="4">
        <f>3.7*(10^(-1/(2*SQRT(N9)))-2.51/(L9*SQRT(N9)))</f>
        <v>3.9743011339157487E-3</v>
      </c>
      <c r="Q9" s="78">
        <v>1218142.1946666667</v>
      </c>
      <c r="R9" s="61">
        <v>21984.585000000003</v>
      </c>
      <c r="S9" s="79">
        <v>56.322000000000003</v>
      </c>
      <c r="U9" s="22">
        <v>0.3</v>
      </c>
      <c r="V9" s="23">
        <f t="shared" si="4"/>
        <v>4255.1892551892552</v>
      </c>
      <c r="W9" s="23">
        <f t="shared" si="13"/>
        <v>3.6153731743185008E-2</v>
      </c>
      <c r="X9" s="23">
        <f t="shared" si="14"/>
        <v>9.7936992496093656E-3</v>
      </c>
      <c r="Y9" s="25"/>
      <c r="Z9" s="1" t="s">
        <v>26</v>
      </c>
      <c r="AA9" s="19">
        <v>0.05</v>
      </c>
      <c r="AD9" s="27" t="s">
        <v>27</v>
      </c>
    </row>
    <row r="10" spans="1:31" ht="18.5" x14ac:dyDescent="0.35">
      <c r="A10" s="2">
        <v>40</v>
      </c>
      <c r="B10" s="2">
        <v>4100</v>
      </c>
      <c r="C10" s="19">
        <f t="shared" si="5"/>
        <v>68.333469999999991</v>
      </c>
      <c r="D10" s="19">
        <f t="shared" si="6"/>
        <v>1.1388898000000001</v>
      </c>
      <c r="E10" s="3">
        <f t="shared" si="7"/>
        <v>1.1388898000000002E-3</v>
      </c>
      <c r="F10" s="19">
        <f t="shared" si="0"/>
        <v>2.6797407058823532</v>
      </c>
      <c r="G10" s="19">
        <f t="shared" si="1"/>
        <v>7.1810102507628528</v>
      </c>
      <c r="H10" s="19">
        <f t="shared" si="8"/>
        <v>5.2089871737223534</v>
      </c>
      <c r="I10" s="42">
        <v>6.4233322580645167</v>
      </c>
      <c r="J10" s="20">
        <f t="shared" si="2"/>
        <v>64.233322580645165</v>
      </c>
      <c r="K10" s="21">
        <f t="shared" si="9"/>
        <v>6423.3322580645163</v>
      </c>
      <c r="L10" s="3">
        <f t="shared" si="3"/>
        <v>38009.346194546197</v>
      </c>
      <c r="M10" s="4">
        <f t="shared" si="10"/>
        <v>29.165771470912599</v>
      </c>
      <c r="N10" s="4">
        <f t="shared" si="11"/>
        <v>3.1699619075866353E-2</v>
      </c>
      <c r="O10" s="4">
        <f t="shared" si="12"/>
        <v>7.9249047689665883E-3</v>
      </c>
      <c r="P10" s="4">
        <f>3.7*(10^(-1/(2*SQRT(N10)))-2.51/(L10*SQRT(N10)))</f>
        <v>4.3808133662409706E-3</v>
      </c>
      <c r="Q10" s="2">
        <v>1282692.463</v>
      </c>
      <c r="R10" s="2">
        <v>21507.410666666667</v>
      </c>
      <c r="S10" s="2">
        <v>53.81933333333334</v>
      </c>
      <c r="U10" s="22">
        <v>0.4</v>
      </c>
      <c r="V10" s="23">
        <f t="shared" si="4"/>
        <v>5673.5856735856742</v>
      </c>
      <c r="W10" s="23">
        <f t="shared" si="13"/>
        <v>3.3644838434881801E-2</v>
      </c>
      <c r="X10" s="23">
        <f t="shared" si="14"/>
        <v>9.1140641102710647E-3</v>
      </c>
      <c r="Y10" s="25"/>
      <c r="Z10" s="1" t="s">
        <v>28</v>
      </c>
      <c r="AA10" s="19">
        <v>8.5000000000000006E-3</v>
      </c>
      <c r="AD10" s="28" t="s">
        <v>29</v>
      </c>
      <c r="AE10" s="2" t="s">
        <v>30</v>
      </c>
    </row>
    <row r="11" spans="1:31" ht="16.5" x14ac:dyDescent="0.4">
      <c r="A11" s="2">
        <v>45</v>
      </c>
      <c r="B11" s="2">
        <v>4650</v>
      </c>
      <c r="C11" s="19">
        <f t="shared" si="5"/>
        <v>77.500154999999992</v>
      </c>
      <c r="D11" s="19">
        <f t="shared" si="6"/>
        <v>1.2916677000000001</v>
      </c>
      <c r="E11" s="3">
        <f t="shared" si="7"/>
        <v>1.2916677000000001E-3</v>
      </c>
      <c r="F11" s="19">
        <f t="shared" si="0"/>
        <v>3.0392181176470587</v>
      </c>
      <c r="G11" s="19">
        <f t="shared" si="1"/>
        <v>9.2368467666341303</v>
      </c>
      <c r="H11" s="19">
        <f t="shared" si="8"/>
        <v>5.9077537458070584</v>
      </c>
      <c r="I11" s="42">
        <v>7.9930903225806453</v>
      </c>
      <c r="J11" s="20">
        <f t="shared" si="2"/>
        <v>79.930903225806446</v>
      </c>
      <c r="K11" s="21">
        <f t="shared" si="9"/>
        <v>7993.0903225806451</v>
      </c>
      <c r="L11" s="3">
        <f t="shared" si="3"/>
        <v>43108.160927960933</v>
      </c>
      <c r="M11" s="4">
        <f t="shared" si="10"/>
        <v>36.293412255307423</v>
      </c>
      <c r="N11" s="4">
        <f t="shared" si="11"/>
        <v>3.0666921708609275E-2</v>
      </c>
      <c r="O11" s="4">
        <f t="shared" si="12"/>
        <v>7.6667304271523188E-3</v>
      </c>
      <c r="P11" s="4">
        <f>3.7*(10^(-1/(2*SQRT(N11)))-2.51/(L11*SQRT(N11)))</f>
        <v>3.9340965147309833E-3</v>
      </c>
      <c r="Q11" s="78">
        <v>1313866.4013333332</v>
      </c>
      <c r="R11" s="61">
        <v>21864.311666666665</v>
      </c>
      <c r="S11" s="79">
        <v>52.865000000000002</v>
      </c>
      <c r="U11" s="22">
        <v>0.5</v>
      </c>
      <c r="V11" s="23">
        <f t="shared" si="4"/>
        <v>7091.9820919820922</v>
      </c>
      <c r="W11" s="23">
        <f t="shared" si="13"/>
        <v>3.1819323636057002E-2</v>
      </c>
      <c r="X11" s="23">
        <f t="shared" si="14"/>
        <v>8.6195496562058542E-3</v>
      </c>
      <c r="Y11" s="25"/>
      <c r="Z11" s="1" t="s">
        <v>31</v>
      </c>
      <c r="AA11" s="4">
        <f>2*(AA9*AA10)/(AA9+AA10)</f>
        <v>1.452991452991453E-2</v>
      </c>
      <c r="AB11" s="1">
        <f>10*AA11*100</f>
        <v>14.529914529914532</v>
      </c>
      <c r="AD11" s="27" t="s">
        <v>32</v>
      </c>
      <c r="AE11" s="2" t="s">
        <v>33</v>
      </c>
    </row>
    <row r="12" spans="1:31" ht="18.5" x14ac:dyDescent="0.35">
      <c r="A12" s="49" t="s">
        <v>68</v>
      </c>
      <c r="B12" s="29">
        <v>5450</v>
      </c>
      <c r="C12" s="19">
        <f t="shared" si="5"/>
        <v>90.833514999999991</v>
      </c>
      <c r="D12" s="19">
        <f t="shared" si="6"/>
        <v>1.5138901</v>
      </c>
      <c r="E12" s="3">
        <f t="shared" si="7"/>
        <v>1.5138901E-3</v>
      </c>
      <c r="F12" s="19">
        <f t="shared" si="0"/>
        <v>3.5620943529411759</v>
      </c>
      <c r="G12" s="19">
        <f t="shared" si="1"/>
        <v>12.688516179255416</v>
      </c>
      <c r="H12" s="19">
        <f t="shared" si="8"/>
        <v>6.924141487021175</v>
      </c>
      <c r="I12" s="30">
        <v>8.8593096774193558</v>
      </c>
      <c r="J12" s="20">
        <f t="shared" si="2"/>
        <v>88.593096774193555</v>
      </c>
      <c r="K12" s="21">
        <f t="shared" si="9"/>
        <v>8859.3096774193546</v>
      </c>
      <c r="L12" s="3">
        <f t="shared" si="3"/>
        <v>50524.618722018713</v>
      </c>
      <c r="M12" s="4">
        <f t="shared" si="10"/>
        <v>40.226566377171217</v>
      </c>
      <c r="N12" s="4">
        <f t="shared" si="11"/>
        <v>2.4743905470073553E-2</v>
      </c>
      <c r="O12" s="4">
        <f t="shared" si="12"/>
        <v>6.1859763675183883E-3</v>
      </c>
      <c r="P12" s="4">
        <f>3.7*(10^(-1/(2*SQRT(N12)))-2.51/(L12*SQRT(N12)))</f>
        <v>1.2839330435592249E-3</v>
      </c>
      <c r="Q12" s="78">
        <v>1387653.7039999999</v>
      </c>
      <c r="R12" s="61">
        <v>22509.167333333335</v>
      </c>
      <c r="S12" s="79">
        <v>49.789500000000004</v>
      </c>
      <c r="U12" s="22">
        <v>0.6</v>
      </c>
      <c r="V12" s="23">
        <f t="shared" si="4"/>
        <v>8510.3785103785103</v>
      </c>
      <c r="W12" s="23">
        <f t="shared" si="13"/>
        <v>3.0401543420888705E-2</v>
      </c>
      <c r="X12" s="23">
        <f t="shared" si="14"/>
        <v>8.2354865910695095E-3</v>
      </c>
      <c r="Y12" s="25"/>
      <c r="Z12" s="1" t="s">
        <v>34</v>
      </c>
      <c r="AA12" s="31">
        <f>AA$16/AA$15</f>
        <v>1.024390243902439E-6</v>
      </c>
    </row>
    <row r="13" spans="1:31" ht="16.5" x14ac:dyDescent="0.4">
      <c r="B13" s="29"/>
      <c r="C13" s="19"/>
      <c r="D13" s="19"/>
      <c r="E13" s="3"/>
      <c r="F13" s="19"/>
      <c r="G13" s="19"/>
      <c r="H13" s="19"/>
      <c r="I13" s="30"/>
      <c r="J13" s="20"/>
      <c r="K13" s="21"/>
      <c r="Q13" s="78"/>
      <c r="R13" s="61"/>
      <c r="S13" s="79"/>
      <c r="U13" s="22">
        <v>0.7</v>
      </c>
      <c r="V13" s="23">
        <f t="shared" si="4"/>
        <v>9928.7749287749284</v>
      </c>
      <c r="W13" s="23">
        <f t="shared" si="13"/>
        <v>2.9252227001720355E-2</v>
      </c>
      <c r="X13" s="23">
        <f t="shared" si="14"/>
        <v>7.9241477939591791E-3</v>
      </c>
      <c r="Y13" s="25"/>
      <c r="Z13" s="1" t="s">
        <v>35</v>
      </c>
      <c r="AA13" s="32">
        <v>0.8</v>
      </c>
      <c r="AD13" s="27" t="s">
        <v>36</v>
      </c>
      <c r="AE13" s="1" t="s">
        <v>37</v>
      </c>
    </row>
    <row r="14" spans="1:31" x14ac:dyDescent="0.35">
      <c r="A14" s="24"/>
      <c r="B14" s="18"/>
      <c r="C14" s="19"/>
      <c r="D14" s="19"/>
      <c r="E14" s="3"/>
      <c r="F14" s="19"/>
      <c r="G14" s="19"/>
      <c r="H14" s="19"/>
      <c r="I14" s="20"/>
      <c r="J14" s="20"/>
      <c r="K14" s="21"/>
      <c r="Q14" s="78"/>
      <c r="R14" s="61"/>
      <c r="S14" s="79"/>
      <c r="U14" s="22">
        <v>0.8</v>
      </c>
      <c r="V14" s="23">
        <f t="shared" si="4"/>
        <v>11347.171347171348</v>
      </c>
      <c r="W14" s="23">
        <f t="shared" si="13"/>
        <v>2.8291824031682501E-2</v>
      </c>
      <c r="X14" s="23">
        <f t="shared" si="14"/>
        <v>7.6639838387194724E-3</v>
      </c>
      <c r="Y14" s="25"/>
      <c r="AA14" s="32"/>
    </row>
    <row r="15" spans="1:31" x14ac:dyDescent="0.35">
      <c r="A15" s="24"/>
      <c r="B15" s="18"/>
      <c r="C15" s="19"/>
      <c r="D15" s="19"/>
      <c r="E15" s="43"/>
      <c r="F15" s="19"/>
      <c r="G15" s="19"/>
      <c r="H15" s="19"/>
      <c r="I15" s="20"/>
      <c r="J15" s="20"/>
      <c r="K15" s="21"/>
      <c r="Q15" s="78"/>
      <c r="R15" s="61"/>
      <c r="S15" s="79"/>
      <c r="T15" s="34"/>
      <c r="U15" s="22">
        <v>0.9</v>
      </c>
      <c r="V15" s="23">
        <f t="shared" si="4"/>
        <v>12765.567765567766</v>
      </c>
      <c r="W15" s="23">
        <f t="shared" si="13"/>
        <v>2.7470895547946735E-2</v>
      </c>
      <c r="X15" s="23">
        <f t="shared" si="14"/>
        <v>7.4416021843924209E-3</v>
      </c>
      <c r="Y15" s="25"/>
      <c r="Z15" s="2" t="s">
        <v>38</v>
      </c>
      <c r="AA15" s="32">
        <f>VLOOKUP(AA17, SW!$A$4:$F$34, 3, FALSE)</f>
        <v>1025</v>
      </c>
      <c r="AB15" s="32"/>
    </row>
    <row r="16" spans="1:31" x14ac:dyDescent="0.35">
      <c r="B16" s="35"/>
      <c r="C16" s="19"/>
      <c r="D16" s="19"/>
      <c r="E16" s="3"/>
      <c r="F16" s="19"/>
      <c r="G16" s="19"/>
      <c r="H16" s="19"/>
      <c r="I16" s="35"/>
      <c r="J16" s="20"/>
      <c r="K16" s="21"/>
      <c r="Q16" s="78"/>
      <c r="R16" s="61"/>
      <c r="S16" s="79"/>
      <c r="U16" s="22">
        <v>1</v>
      </c>
      <c r="V16" s="23">
        <f t="shared" si="4"/>
        <v>14183.964183964184</v>
      </c>
      <c r="W16" s="23">
        <f t="shared" si="13"/>
        <v>2.6756755181358123E-2</v>
      </c>
      <c r="X16" s="23">
        <f t="shared" si="14"/>
        <v>7.2481484070048893E-3</v>
      </c>
      <c r="Y16" s="25"/>
      <c r="Z16" s="2" t="s">
        <v>39</v>
      </c>
      <c r="AA16" s="32">
        <f>VLOOKUP(AA17, SW!$A$4:$F$34, 5, FALSE)</f>
        <v>1.0499999999999999E-3</v>
      </c>
    </row>
    <row r="17" spans="1:33" x14ac:dyDescent="0.35">
      <c r="B17" s="18"/>
      <c r="C17" s="19"/>
      <c r="D17" s="19"/>
      <c r="E17" s="3"/>
      <c r="F17" s="19"/>
      <c r="G17" s="19"/>
      <c r="H17" s="19"/>
      <c r="I17" s="20"/>
      <c r="J17" s="20"/>
      <c r="K17" s="21"/>
      <c r="Q17" s="78"/>
      <c r="R17" s="61"/>
      <c r="S17" s="79"/>
      <c r="T17" s="14"/>
      <c r="U17" s="22">
        <v>1.1000000000000001</v>
      </c>
      <c r="V17" s="23">
        <f t="shared" si="4"/>
        <v>15602.360602360604</v>
      </c>
      <c r="W17" s="23">
        <f t="shared" si="13"/>
        <v>2.6126743023304956E-2</v>
      </c>
      <c r="X17" s="23">
        <f t="shared" si="14"/>
        <v>7.0774841546007612E-3</v>
      </c>
      <c r="Y17" s="25"/>
      <c r="Z17" s="2" t="s">
        <v>161</v>
      </c>
      <c r="AA17" s="2">
        <v>21</v>
      </c>
    </row>
    <row r="18" spans="1:33" x14ac:dyDescent="0.35">
      <c r="B18" s="18"/>
      <c r="C18" s="19"/>
      <c r="D18" s="19"/>
      <c r="E18" s="3"/>
      <c r="F18" s="19"/>
      <c r="G18" s="19"/>
      <c r="H18" s="19"/>
      <c r="I18" s="20"/>
      <c r="J18" s="20"/>
      <c r="K18" s="21"/>
      <c r="Q18" s="78"/>
      <c r="R18" s="61"/>
      <c r="S18" s="79"/>
      <c r="U18" s="22">
        <v>1.2</v>
      </c>
      <c r="V18" s="23">
        <f t="shared" si="4"/>
        <v>17020.757020757021</v>
      </c>
      <c r="W18" s="23">
        <f t="shared" si="13"/>
        <v>2.5564548880805459E-2</v>
      </c>
      <c r="X18" s="23">
        <f t="shared" si="14"/>
        <v>6.9251911523003839E-3</v>
      </c>
      <c r="Y18" s="25"/>
      <c r="Z18" s="1"/>
      <c r="AA18" s="1"/>
      <c r="AD18" s="36" t="s">
        <v>40</v>
      </c>
      <c r="AE18" s="37"/>
      <c r="AF18" s="37"/>
      <c r="AG18" s="37"/>
    </row>
    <row r="19" spans="1:33" x14ac:dyDescent="0.35">
      <c r="A19" s="24"/>
      <c r="B19" s="18"/>
      <c r="C19" s="19"/>
      <c r="D19" s="19"/>
      <c r="E19" s="3"/>
      <c r="F19" s="19"/>
      <c r="G19" s="19"/>
      <c r="H19" s="19"/>
      <c r="I19" s="20"/>
      <c r="J19" s="20"/>
      <c r="K19" s="21"/>
      <c r="Q19" s="70"/>
      <c r="R19" s="25"/>
      <c r="S19" s="73"/>
      <c r="U19" s="22">
        <v>1.3</v>
      </c>
      <c r="V19" s="23">
        <f t="shared" si="4"/>
        <v>18439.153439153441</v>
      </c>
      <c r="W19" s="23">
        <f t="shared" si="13"/>
        <v>2.5058069352261597E-2</v>
      </c>
      <c r="X19" s="23">
        <f t="shared" si="14"/>
        <v>6.7879907046708649E-3</v>
      </c>
      <c r="Y19" s="25"/>
      <c r="AD19" s="38" t="s">
        <v>41</v>
      </c>
      <c r="AE19" s="37" t="s">
        <v>42</v>
      </c>
      <c r="AF19" s="37" t="s">
        <v>43</v>
      </c>
      <c r="AG19" s="37" t="s">
        <v>44</v>
      </c>
    </row>
    <row r="20" spans="1:33" x14ac:dyDescent="0.35">
      <c r="A20" s="24"/>
      <c r="B20" s="18"/>
      <c r="C20" s="19"/>
      <c r="D20" s="19"/>
      <c r="E20" s="3"/>
      <c r="F20" s="19"/>
      <c r="G20" s="19"/>
      <c r="H20" s="19"/>
      <c r="I20" s="20"/>
      <c r="J20" s="20"/>
      <c r="K20" s="21"/>
      <c r="Q20" s="70"/>
      <c r="R20" s="25"/>
      <c r="S20" s="73"/>
      <c r="U20" s="22">
        <v>1.4</v>
      </c>
      <c r="V20" s="23">
        <f t="shared" si="4"/>
        <v>19857.549857549857</v>
      </c>
      <c r="W20" s="23">
        <f t="shared" si="13"/>
        <v>2.4598092823934561E-2</v>
      </c>
      <c r="X20" s="23">
        <f t="shared" si="14"/>
        <v>6.6633874738809039E-3</v>
      </c>
      <c r="Y20" s="25"/>
      <c r="Z20" s="1" t="s">
        <v>45</v>
      </c>
      <c r="AA20" s="1">
        <f>4*10^(-6)</f>
        <v>3.9999999999999998E-6</v>
      </c>
      <c r="AD20" s="38" t="s">
        <v>46</v>
      </c>
      <c r="AE20" s="37" t="s">
        <v>47</v>
      </c>
      <c r="AF20" s="37" t="s">
        <v>48</v>
      </c>
      <c r="AG20" s="37" t="s">
        <v>49</v>
      </c>
    </row>
    <row r="21" spans="1:33" x14ac:dyDescent="0.35">
      <c r="A21" s="24"/>
      <c r="B21" s="18"/>
      <c r="C21" s="19"/>
      <c r="D21" s="19"/>
      <c r="E21" s="3"/>
      <c r="F21" s="19"/>
      <c r="G21" s="19"/>
      <c r="H21" s="19"/>
      <c r="I21" s="20"/>
      <c r="J21" s="20"/>
      <c r="K21" s="21"/>
      <c r="Q21" s="70"/>
      <c r="R21" s="25"/>
      <c r="S21" s="73"/>
      <c r="U21" s="22">
        <v>1.5</v>
      </c>
      <c r="V21" s="23">
        <f t="shared" si="4"/>
        <v>21275.946275946273</v>
      </c>
      <c r="W21" s="23">
        <f t="shared" si="13"/>
        <v>2.41774575919733E-2</v>
      </c>
      <c r="X21" s="23">
        <f t="shared" si="14"/>
        <v>6.5494414230311236E-3</v>
      </c>
      <c r="Y21" s="25"/>
      <c r="Z21" s="1" t="s">
        <v>50</v>
      </c>
      <c r="AA21" s="2">
        <f>AA20/AA11</f>
        <v>2.752941176470588E-4</v>
      </c>
      <c r="AD21" s="37">
        <v>0</v>
      </c>
      <c r="AE21" s="37">
        <v>1.792E-3</v>
      </c>
      <c r="AF21" s="37">
        <v>999.87</v>
      </c>
      <c r="AG21" s="39">
        <v>1.7922329902887374E-6</v>
      </c>
    </row>
    <row r="22" spans="1:33" x14ac:dyDescent="0.35">
      <c r="A22" s="24"/>
      <c r="B22" s="18"/>
      <c r="C22" s="19"/>
      <c r="D22" s="19"/>
      <c r="E22" s="3"/>
      <c r="F22" s="19"/>
      <c r="G22" s="19"/>
      <c r="H22" s="19"/>
      <c r="I22" s="20"/>
      <c r="J22" s="20"/>
      <c r="K22" s="21"/>
      <c r="Q22" s="70"/>
      <c r="R22" s="25"/>
      <c r="S22" s="73"/>
      <c r="U22" s="22">
        <v>1.6</v>
      </c>
      <c r="V22" s="23">
        <f t="shared" si="4"/>
        <v>22694.342694342697</v>
      </c>
      <c r="W22" s="23">
        <f t="shared" si="13"/>
        <v>2.3790493409230711E-2</v>
      </c>
      <c r="X22" s="23">
        <f t="shared" si="14"/>
        <v>6.4446165365416074E-3</v>
      </c>
      <c r="Y22" s="25"/>
      <c r="AD22" s="37">
        <v>5</v>
      </c>
      <c r="AE22" s="37">
        <v>1.519E-3</v>
      </c>
      <c r="AF22" s="37">
        <v>999.99</v>
      </c>
      <c r="AG22" s="39">
        <v>1.5190151901519014E-6</v>
      </c>
    </row>
    <row r="23" spans="1:33" x14ac:dyDescent="0.35">
      <c r="B23" s="18"/>
      <c r="C23" s="19"/>
      <c r="D23" s="19"/>
      <c r="E23" s="3"/>
      <c r="F23" s="3"/>
      <c r="G23" s="19"/>
      <c r="H23" s="19"/>
      <c r="I23" s="19"/>
      <c r="J23" s="20"/>
      <c r="K23" s="21"/>
      <c r="Q23" s="70"/>
      <c r="R23" s="25"/>
      <c r="S23" s="73"/>
      <c r="U23" s="22">
        <v>1.7</v>
      </c>
      <c r="V23" s="23">
        <f t="shared" si="4"/>
        <v>24112.739112739113</v>
      </c>
      <c r="W23" s="23">
        <f t="shared" si="13"/>
        <v>2.3432639686278189E-2</v>
      </c>
      <c r="X23" s="23">
        <f t="shared" si="14"/>
        <v>6.3476773944678251E-3</v>
      </c>
      <c r="Y23" s="25"/>
      <c r="Z23" s="40"/>
      <c r="AD23" s="37">
        <f>AD22+5</f>
        <v>10</v>
      </c>
      <c r="AE23" s="37">
        <v>1.3079999999999999E-3</v>
      </c>
      <c r="AF23" s="37">
        <v>999.73</v>
      </c>
      <c r="AG23" s="39">
        <v>1.3083532553789522E-6</v>
      </c>
    </row>
    <row r="24" spans="1:33" x14ac:dyDescent="0.35">
      <c r="B24" s="18"/>
      <c r="C24" s="19"/>
      <c r="D24" s="19"/>
      <c r="E24" s="3"/>
      <c r="F24" s="3"/>
      <c r="G24" s="19"/>
      <c r="H24" s="19"/>
      <c r="I24" s="19"/>
      <c r="J24" s="20"/>
      <c r="K24" s="21"/>
      <c r="Q24" s="71"/>
      <c r="R24" s="4"/>
      <c r="S24" s="74"/>
      <c r="U24" s="22">
        <v>1.8</v>
      </c>
      <c r="V24" s="23">
        <f t="shared" si="4"/>
        <v>25531.135531135533</v>
      </c>
      <c r="W24" s="23">
        <f t="shared" si="13"/>
        <v>2.3100177590077636E-2</v>
      </c>
      <c r="X24" s="23">
        <f t="shared" si="14"/>
        <v>6.2576166005997979E-3</v>
      </c>
      <c r="Y24" s="4"/>
      <c r="Z24" s="40"/>
      <c r="AD24" s="37" t="e">
        <f>#REF!+5</f>
        <v>#REF!</v>
      </c>
      <c r="AE24" s="37">
        <v>1.005E-3</v>
      </c>
      <c r="AF24" s="37">
        <v>998.23</v>
      </c>
      <c r="AG24" s="39">
        <v>1.0067820041473407E-6</v>
      </c>
    </row>
    <row r="25" spans="1:33" x14ac:dyDescent="0.35">
      <c r="B25" s="18"/>
      <c r="C25" s="19"/>
      <c r="D25" s="19"/>
      <c r="E25" s="3"/>
      <c r="F25" s="3"/>
      <c r="G25" s="19"/>
      <c r="H25" s="19"/>
      <c r="I25" s="19"/>
      <c r="J25" s="20"/>
      <c r="K25" s="21"/>
      <c r="Q25" s="71"/>
      <c r="R25" s="4"/>
      <c r="S25" s="74"/>
      <c r="U25" s="22">
        <v>1.9</v>
      </c>
      <c r="V25" s="23">
        <f t="shared" si="4"/>
        <v>26949.531949531949</v>
      </c>
      <c r="W25" s="23">
        <f t="shared" si="13"/>
        <v>2.2790037758621408E-2</v>
      </c>
      <c r="X25" s="23">
        <f t="shared" si="14"/>
        <v>6.1736026942018959E-3</v>
      </c>
      <c r="Y25" s="4"/>
      <c r="Z25" s="40"/>
      <c r="AD25" s="37">
        <v>25</v>
      </c>
      <c r="AE25" s="37">
        <v>8.9400000000000005E-4</v>
      </c>
      <c r="AF25" s="37">
        <v>997.07</v>
      </c>
      <c r="AG25" s="39">
        <v>8.9662711745414066E-7</v>
      </c>
    </row>
    <row r="26" spans="1:33" x14ac:dyDescent="0.35">
      <c r="N26" s="22"/>
      <c r="Q26" s="71"/>
      <c r="R26" s="4"/>
      <c r="S26" s="74"/>
      <c r="U26" s="22">
        <v>2</v>
      </c>
      <c r="V26" s="23">
        <f t="shared" si="4"/>
        <v>28367.928367928369</v>
      </c>
      <c r="W26" s="23">
        <f t="shared" si="13"/>
        <v>2.2499659515825297E-2</v>
      </c>
      <c r="X26" s="23">
        <f t="shared" si="14"/>
        <v>6.0949420126773322E-3</v>
      </c>
      <c r="Y26" s="4"/>
      <c r="Z26" s="40"/>
      <c r="AD26" s="32"/>
      <c r="AE26" s="32"/>
      <c r="AF26" s="32"/>
      <c r="AG26" s="32"/>
    </row>
    <row r="27" spans="1:33" x14ac:dyDescent="0.35">
      <c r="K27" s="1"/>
      <c r="L27" s="4"/>
      <c r="N27" s="22"/>
      <c r="Q27" s="71"/>
      <c r="R27" s="4"/>
      <c r="S27" s="74"/>
      <c r="U27" s="22">
        <v>2.1</v>
      </c>
      <c r="V27" s="23">
        <f t="shared" si="4"/>
        <v>29786.324786324789</v>
      </c>
      <c r="W27" s="23">
        <f t="shared" si="13"/>
        <v>2.2226885960688208E-2</v>
      </c>
      <c r="X27" s="23">
        <f t="shared" si="14"/>
        <v>6.0210502722275253E-3</v>
      </c>
      <c r="Y27" s="4"/>
      <c r="Z27" s="40"/>
      <c r="AD27" s="32"/>
      <c r="AE27" s="32"/>
      <c r="AF27" s="32"/>
      <c r="AG27" s="32"/>
    </row>
    <row r="28" spans="1:33" x14ac:dyDescent="0.35">
      <c r="Q28" s="71"/>
      <c r="R28" s="4"/>
      <c r="S28" s="74"/>
      <c r="U28" s="22">
        <v>2.2000000000000002</v>
      </c>
      <c r="V28" s="23">
        <f t="shared" si="4"/>
        <v>31204.721204721209</v>
      </c>
      <c r="W28" s="23">
        <f t="shared" si="13"/>
        <v>2.196988455055213E-2</v>
      </c>
      <c r="X28" s="23">
        <f t="shared" si="14"/>
        <v>5.9514310546187462E-3</v>
      </c>
      <c r="Y28" s="4"/>
      <c r="Z28" s="40"/>
      <c r="AD28" s="32"/>
      <c r="AE28" s="32"/>
      <c r="AF28" s="32"/>
      <c r="AG28" s="32"/>
    </row>
    <row r="29" spans="1:33" x14ac:dyDescent="0.35">
      <c r="L29" s="41"/>
      <c r="Q29" s="71"/>
      <c r="R29" s="4"/>
      <c r="S29" s="74"/>
      <c r="U29" s="22">
        <v>2.2999999999999998</v>
      </c>
      <c r="V29" s="23">
        <f t="shared" si="4"/>
        <v>32623.117623117625</v>
      </c>
      <c r="W29" s="23">
        <f t="shared" si="13"/>
        <v>2.1727086128584112E-2</v>
      </c>
      <c r="X29" s="23">
        <f t="shared" si="14"/>
        <v>5.8856592903116555E-3</v>
      </c>
      <c r="Y29" s="4"/>
      <c r="Z29" s="40"/>
      <c r="AD29" s="32"/>
      <c r="AE29" s="32"/>
      <c r="AF29" s="32"/>
      <c r="AG29" s="32"/>
    </row>
    <row r="30" spans="1:33" x14ac:dyDescent="0.35">
      <c r="Q30" s="71"/>
      <c r="R30" s="4"/>
      <c r="S30" s="74"/>
      <c r="U30" s="22">
        <v>2.4</v>
      </c>
      <c r="V30" s="23">
        <f t="shared" si="4"/>
        <v>34041.514041514041</v>
      </c>
      <c r="W30" s="23">
        <f t="shared" si="13"/>
        <v>2.1497137511447679E-2</v>
      </c>
      <c r="X30" s="23">
        <f t="shared" si="14"/>
        <v>5.8233684149161359E-3</v>
      </c>
      <c r="Y30" s="4"/>
      <c r="Z30" s="40"/>
      <c r="AD30" s="32"/>
      <c r="AE30" s="32"/>
      <c r="AF30" s="32"/>
      <c r="AG30" s="32"/>
    </row>
    <row r="31" spans="1:33" x14ac:dyDescent="0.35">
      <c r="F31" s="1"/>
      <c r="G31" s="1"/>
      <c r="Q31" s="71"/>
      <c r="R31" s="4"/>
      <c r="S31" s="74"/>
      <c r="U31" s="22">
        <v>2.5</v>
      </c>
      <c r="V31" s="23">
        <f t="shared" si="4"/>
        <v>35459.910459910461</v>
      </c>
      <c r="W31" s="23">
        <f t="shared" si="13"/>
        <v>2.1278864192520237E-2</v>
      </c>
      <c r="X31" s="23">
        <f t="shared" si="14"/>
        <v>5.7642402658505173E-3</v>
      </c>
      <c r="Y31" s="4"/>
      <c r="Z31" s="40"/>
      <c r="AD31" s="32"/>
      <c r="AE31" s="32"/>
      <c r="AF31" s="32"/>
      <c r="AG31" s="32"/>
    </row>
    <row r="32" spans="1:33" x14ac:dyDescent="0.35">
      <c r="G32" s="19"/>
      <c r="Q32" s="71"/>
      <c r="R32" s="4"/>
      <c r="S32" s="74"/>
      <c r="Y32" s="4"/>
      <c r="Z32" s="40"/>
    </row>
    <row r="33" spans="7:27" x14ac:dyDescent="0.35">
      <c r="G33" s="19"/>
      <c r="Q33" s="71"/>
      <c r="R33" s="4"/>
      <c r="S33" s="74"/>
      <c r="Y33" s="4"/>
      <c r="Z33" s="40"/>
      <c r="AA33" s="1" t="s">
        <v>51</v>
      </c>
    </row>
    <row r="34" spans="7:27" x14ac:dyDescent="0.35">
      <c r="G34" s="19"/>
      <c r="Q34" s="71"/>
      <c r="R34" s="4"/>
      <c r="S34" s="74"/>
      <c r="Y34" s="4"/>
      <c r="Z34" s="40"/>
    </row>
    <row r="35" spans="7:27" x14ac:dyDescent="0.35">
      <c r="G35" s="19"/>
      <c r="Q35" s="71"/>
      <c r="R35" s="4"/>
      <c r="S35" s="74"/>
      <c r="Y35" s="4"/>
      <c r="Z35" s="40"/>
    </row>
    <row r="36" spans="7:27" x14ac:dyDescent="0.35">
      <c r="G36" s="19"/>
      <c r="Q36" s="71"/>
      <c r="R36" s="4"/>
      <c r="S36" s="74"/>
      <c r="Y36" s="4"/>
    </row>
    <row r="37" spans="7:27" x14ac:dyDescent="0.35">
      <c r="G37" s="19"/>
      <c r="Q37" s="71"/>
      <c r="R37" s="4"/>
      <c r="S37" s="74"/>
      <c r="Y37" s="4"/>
    </row>
    <row r="38" spans="7:27" x14ac:dyDescent="0.35">
      <c r="R38" s="68"/>
      <c r="S38" s="2"/>
      <c r="T38" s="89"/>
      <c r="Y38" s="4"/>
    </row>
    <row r="39" spans="7:27" x14ac:dyDescent="0.35">
      <c r="R39" s="43"/>
      <c r="S39" s="88"/>
      <c r="U39" s="4"/>
      <c r="V39" s="16"/>
      <c r="W39" s="16"/>
      <c r="X39" s="4"/>
      <c r="Y39" s="4"/>
    </row>
    <row r="40" spans="7:27" x14ac:dyDescent="0.35">
      <c r="R40" s="43"/>
      <c r="S40" s="88"/>
      <c r="U40" s="4"/>
      <c r="V40" s="16"/>
      <c r="W40" s="16"/>
      <c r="X40" s="4"/>
      <c r="Y40" s="4"/>
    </row>
    <row r="41" spans="7:27" x14ac:dyDescent="0.35">
      <c r="R41" s="43"/>
      <c r="S41" s="88"/>
      <c r="U41" s="4"/>
      <c r="V41" s="16"/>
      <c r="W41" s="16"/>
      <c r="X41" s="4"/>
      <c r="Y41" s="4"/>
    </row>
    <row r="42" spans="7:27" x14ac:dyDescent="0.35">
      <c r="Q42" s="71"/>
      <c r="R42" s="4"/>
      <c r="S42" s="74"/>
      <c r="U42" s="4"/>
      <c r="V42" s="16"/>
      <c r="W42" s="16"/>
      <c r="X42" s="4"/>
      <c r="Y42" s="4"/>
    </row>
    <row r="43" spans="7:27" x14ac:dyDescent="0.35">
      <c r="Q43" s="71"/>
      <c r="R43" s="4"/>
      <c r="S43" s="74"/>
      <c r="U43" s="4"/>
      <c r="V43" s="16"/>
      <c r="W43" s="16"/>
      <c r="X43" s="4"/>
      <c r="Y43" s="4"/>
    </row>
    <row r="44" spans="7:27" x14ac:dyDescent="0.35">
      <c r="U44" s="4"/>
      <c r="V44" s="16"/>
      <c r="W44" s="16"/>
    </row>
    <row r="45" spans="7:27" x14ac:dyDescent="0.35">
      <c r="U45" s="4"/>
      <c r="V45" s="16"/>
      <c r="W45" s="16"/>
    </row>
    <row r="46" spans="7:27" x14ac:dyDescent="0.35">
      <c r="U46" s="4"/>
      <c r="V46" s="16"/>
      <c r="W46" s="16"/>
    </row>
    <row r="47" spans="7:27" x14ac:dyDescent="0.35">
      <c r="U47" s="4"/>
      <c r="V47" s="16"/>
      <c r="W47" s="16"/>
    </row>
    <row r="48" spans="7:27" x14ac:dyDescent="0.35">
      <c r="R48" s="40"/>
      <c r="S48" s="87"/>
      <c r="U48" s="4"/>
      <c r="V48" s="16"/>
      <c r="W48" s="16"/>
    </row>
    <row r="49" spans="21:23" x14ac:dyDescent="0.35">
      <c r="U49" s="4"/>
      <c r="V49" s="16"/>
      <c r="W49" s="16"/>
    </row>
    <row r="50" spans="21:23" x14ac:dyDescent="0.35">
      <c r="U50" s="4"/>
      <c r="V50" s="16"/>
      <c r="W50" s="16"/>
    </row>
    <row r="51" spans="21:23" x14ac:dyDescent="0.35">
      <c r="U51" s="4"/>
      <c r="V51" s="16"/>
      <c r="W51" s="16"/>
    </row>
    <row r="52" spans="21:23" x14ac:dyDescent="0.35">
      <c r="U52" s="4"/>
      <c r="V52" s="16"/>
      <c r="W52" s="16"/>
    </row>
    <row r="53" spans="21:23" x14ac:dyDescent="0.35">
      <c r="U53" s="4"/>
      <c r="V53" s="16"/>
      <c r="W53" s="16"/>
    </row>
    <row r="54" spans="21:23" x14ac:dyDescent="0.35">
      <c r="U54" s="4"/>
    </row>
    <row r="112" spans="17:17" x14ac:dyDescent="0.35">
      <c r="Q112" s="85"/>
    </row>
  </sheetData>
  <mergeCells count="3">
    <mergeCell ref="A3:N3"/>
    <mergeCell ref="Z5:AA5"/>
    <mergeCell ref="Q4:S4"/>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5FD51-71D6-4676-A926-065B9F0DB089}">
  <dimension ref="A1:AH112"/>
  <sheetViews>
    <sheetView zoomScale="50" zoomScaleNormal="50" zoomScalePageLayoutView="90" workbookViewId="0">
      <selection activeCell="R20" sqref="R20"/>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07421875" style="3" bestFit="1" customWidth="1"/>
    <col min="13" max="13" width="6.765625" style="4" customWidth="1"/>
    <col min="14" max="15" width="8.4609375" style="4" customWidth="1"/>
    <col min="16" max="16" width="27.23046875" style="4" customWidth="1"/>
    <col min="17" max="17" width="12.765625" style="68" customWidth="1"/>
    <col min="18" max="18" width="10" style="2" customWidth="1"/>
    <col min="19" max="19" width="13.3046875" style="72" bestFit="1" customWidth="1"/>
    <col min="20" max="21" width="8.4609375" style="5" customWidth="1"/>
    <col min="22" max="22" width="10.23046875" style="2" customWidth="1"/>
    <col min="23" max="23" width="13.84375" style="2" customWidth="1"/>
    <col min="24" max="26" width="10" style="2" customWidth="1"/>
    <col min="27" max="27" width="21" style="2" customWidth="1"/>
    <col min="28" max="28" width="8.69140625" style="2" customWidth="1"/>
    <col min="29" max="29" width="8.69140625" style="2"/>
    <col min="30" max="30" width="22" style="2" customWidth="1"/>
    <col min="31" max="31" width="35.84375" style="2" customWidth="1"/>
    <col min="32" max="32" width="16.84375" style="2" customWidth="1"/>
    <col min="33" max="16384" width="8.69140625" style="2"/>
  </cols>
  <sheetData>
    <row r="1" spans="1:32" x14ac:dyDescent="0.35">
      <c r="A1" s="1"/>
      <c r="I1" s="1"/>
      <c r="J1" s="1"/>
      <c r="Q1" s="69" t="s">
        <v>94</v>
      </c>
    </row>
    <row r="2" spans="1:32" x14ac:dyDescent="0.35">
      <c r="A2" s="1"/>
      <c r="I2" s="1"/>
      <c r="J2" s="1"/>
      <c r="Q2" s="69" t="s">
        <v>85</v>
      </c>
    </row>
    <row r="3" spans="1:32" x14ac:dyDescent="0.35">
      <c r="A3" s="150" t="s">
        <v>3</v>
      </c>
      <c r="B3" s="150"/>
      <c r="C3" s="150"/>
      <c r="D3" s="150"/>
      <c r="E3" s="150"/>
      <c r="F3" s="150"/>
      <c r="G3" s="150"/>
      <c r="H3" s="150"/>
      <c r="I3" s="150"/>
      <c r="J3" s="150"/>
      <c r="K3" s="150"/>
      <c r="L3" s="150"/>
      <c r="M3" s="150"/>
      <c r="N3" s="150"/>
      <c r="O3" s="47"/>
      <c r="P3" s="47"/>
      <c r="T3" s="7"/>
      <c r="U3" s="7"/>
    </row>
    <row r="4" spans="1:32" x14ac:dyDescent="0.35">
      <c r="Q4" s="152" t="s">
        <v>81</v>
      </c>
      <c r="R4" s="153"/>
      <c r="S4" s="154"/>
    </row>
    <row r="5" spans="1:32"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T5" s="14"/>
      <c r="U5" s="14"/>
      <c r="V5" s="15" t="s">
        <v>19</v>
      </c>
      <c r="W5" s="16" t="s">
        <v>14</v>
      </c>
      <c r="X5" s="15" t="s">
        <v>20</v>
      </c>
      <c r="Y5" s="16" t="s">
        <v>21</v>
      </c>
      <c r="Z5" s="1"/>
      <c r="AA5" s="151" t="s">
        <v>22</v>
      </c>
      <c r="AB5" s="151"/>
    </row>
    <row r="6" spans="1:32" x14ac:dyDescent="0.35">
      <c r="A6" s="17" t="s">
        <v>23</v>
      </c>
      <c r="B6" s="18">
        <v>0</v>
      </c>
      <c r="C6" s="19">
        <f>B6*0.0166667</f>
        <v>0</v>
      </c>
      <c r="D6" s="19">
        <f>B6*0.000277778</f>
        <v>0</v>
      </c>
      <c r="E6" s="3">
        <f>0.001*D6</f>
        <v>0</v>
      </c>
      <c r="F6" s="19">
        <f>E6/AB$7</f>
        <v>0</v>
      </c>
      <c r="G6" s="19">
        <f t="shared" ref="G6:G18" si="0">F6^(2)</f>
        <v>0</v>
      </c>
      <c r="H6" s="19">
        <f>F6*1.94384</f>
        <v>0</v>
      </c>
      <c r="I6" s="20">
        <v>0</v>
      </c>
      <c r="J6" s="20">
        <f t="shared" ref="J6:J18" si="1">I6 * 10</f>
        <v>0</v>
      </c>
      <c r="K6" s="21">
        <f>J6*100</f>
        <v>0</v>
      </c>
      <c r="L6" s="3">
        <f>(F6*AB$11)/AB$12</f>
        <v>0</v>
      </c>
      <c r="V6" s="22">
        <v>0</v>
      </c>
      <c r="W6" s="23">
        <f t="shared" ref="W6:W31" si="2">(V6*AB$11)/AB$12</f>
        <v>0</v>
      </c>
      <c r="X6" s="23"/>
      <c r="Y6" s="23"/>
    </row>
    <row r="7" spans="1:32" x14ac:dyDescent="0.35">
      <c r="A7" s="2">
        <v>25</v>
      </c>
      <c r="B7" s="2">
        <v>1850</v>
      </c>
      <c r="C7" s="19">
        <f t="shared" ref="C7:C18" si="3">B7*0.0166667</f>
        <v>30.833394999999999</v>
      </c>
      <c r="D7" s="19">
        <f t="shared" ref="D7:D18" si="4">B7*0.000277778</f>
        <v>0.51388929999999999</v>
      </c>
      <c r="E7" s="3">
        <f t="shared" ref="E7:E18" si="5">0.001*D7</f>
        <v>5.1388930000000001E-4</v>
      </c>
      <c r="F7" s="19">
        <f t="shared" ref="F7:F18" si="6">E7/AB$7</f>
        <v>1.1419762222222223</v>
      </c>
      <c r="G7" s="19">
        <f t="shared" si="0"/>
        <v>1.3041096921209383</v>
      </c>
      <c r="H7" s="19">
        <f t="shared" ref="H7:H18" si="7">F7*1.94384</f>
        <v>2.2198190598044447</v>
      </c>
      <c r="I7" s="2">
        <v>1.2195677419354838</v>
      </c>
      <c r="J7" s="20">
        <f t="shared" si="1"/>
        <v>12.195677419354837</v>
      </c>
      <c r="K7" s="21">
        <f t="shared" ref="K7:K18" si="8">J7*100</f>
        <v>1219.5677419354838</v>
      </c>
      <c r="L7" s="3">
        <f>(F7*AB$11)/AB$12</f>
        <v>17005.214931396287</v>
      </c>
      <c r="M7" s="4">
        <f>(AB$15*G7*N7)/8</f>
        <v>5.8136174138873695</v>
      </c>
      <c r="N7" s="4">
        <f>(K7*2*AB$11)/(AB$13*AB$15*G7)</f>
        <v>3.4793526351194121E-2</v>
      </c>
      <c r="O7" s="4">
        <f t="shared" ref="O7:O18" si="9">N7/4</f>
        <v>8.6983815877985302E-3</v>
      </c>
      <c r="Q7" s="78">
        <v>841629.19000000006</v>
      </c>
      <c r="R7" s="61">
        <v>21538.201333333334</v>
      </c>
      <c r="S7" s="79">
        <v>73.536666666666676</v>
      </c>
      <c r="V7" s="22">
        <v>0.1</v>
      </c>
      <c r="W7" s="23">
        <f>(V7*AB$11)/AB$12</f>
        <v>1489.1041162227602</v>
      </c>
      <c r="X7" s="23">
        <f t="shared" ref="X7:X31" si="10">0.292/(W7^(0.25))</f>
        <v>4.7005814828436833E-2</v>
      </c>
      <c r="Y7" s="23">
        <f>0.0791/(W7^0.25)</f>
        <v>1.2733424496333405E-2</v>
      </c>
      <c r="Z7" s="25"/>
      <c r="AA7" s="1" t="s">
        <v>24</v>
      </c>
      <c r="AB7" s="2">
        <f>AB$9*AB$10</f>
        <v>4.4999999999999999E-4</v>
      </c>
    </row>
    <row r="8" spans="1:32" x14ac:dyDescent="0.35">
      <c r="A8" s="2">
        <v>30</v>
      </c>
      <c r="B8" s="2">
        <v>2650</v>
      </c>
      <c r="C8" s="19">
        <f t="shared" si="3"/>
        <v>44.166755000000002</v>
      </c>
      <c r="D8" s="19">
        <f t="shared" si="4"/>
        <v>0.73611170000000004</v>
      </c>
      <c r="E8" s="3">
        <f t="shared" si="5"/>
        <v>7.3611170000000004E-4</v>
      </c>
      <c r="F8" s="19">
        <f>E8/AB$7</f>
        <v>1.6358037777777779</v>
      </c>
      <c r="G8" s="19">
        <f t="shared" si="0"/>
        <v>2.6758539993920496</v>
      </c>
      <c r="H8" s="19">
        <f t="shared" si="7"/>
        <v>3.1797408153955558</v>
      </c>
      <c r="I8" s="42">
        <v>2.4180193548387097</v>
      </c>
      <c r="J8" s="20">
        <f t="shared" si="1"/>
        <v>24.180193548387095</v>
      </c>
      <c r="K8" s="21">
        <f t="shared" si="8"/>
        <v>2418.0193548387097</v>
      </c>
      <c r="L8" s="3">
        <f>(F8*AB$11)/AB$12</f>
        <v>24358.821388216304</v>
      </c>
      <c r="M8" s="4">
        <f t="shared" ref="M8:M18" si="11">(AB$15*G8*N8)/8</f>
        <v>11.526575314379443</v>
      </c>
      <c r="N8" s="4">
        <f t="shared" ref="N8:N18" si="12">(K8*2*AB$11)/(AB$13*AB$15*G8)</f>
        <v>3.3620487018071521E-2</v>
      </c>
      <c r="O8" s="4">
        <f>N8/4</f>
        <v>8.4051217545178802E-3</v>
      </c>
      <c r="P8" s="4">
        <f>3.7*(10^(-1/(2*SQRT(N8)))-2.51/(L8*SQRT(N8)))</f>
        <v>4.8598983394223137E-3</v>
      </c>
      <c r="Q8" s="78">
        <v>812991.40733333339</v>
      </c>
      <c r="R8" s="61">
        <v>21054.857</v>
      </c>
      <c r="S8" s="79">
        <v>75.338999999999999</v>
      </c>
      <c r="V8" s="22">
        <v>0.2</v>
      </c>
      <c r="W8" s="23">
        <f t="shared" si="2"/>
        <v>2978.2082324455205</v>
      </c>
      <c r="X8" s="23">
        <f t="shared" si="10"/>
        <v>3.9527021185312435E-2</v>
      </c>
      <c r="Y8" s="23">
        <f t="shared" ref="Y8:Y31" si="13">0.0791/(W8^0.25)</f>
        <v>1.0707491012870595E-2</v>
      </c>
      <c r="Z8" s="25"/>
      <c r="AA8" s="2" t="s">
        <v>25</v>
      </c>
    </row>
    <row r="9" spans="1:32" ht="19" x14ac:dyDescent="0.4">
      <c r="A9" s="2">
        <v>35</v>
      </c>
      <c r="B9" s="50">
        <v>3450</v>
      </c>
      <c r="C9" s="19">
        <f t="shared" si="3"/>
        <v>57.500115000000001</v>
      </c>
      <c r="D9" s="19">
        <f t="shared" si="4"/>
        <v>0.95833410000000008</v>
      </c>
      <c r="E9" s="3">
        <f t="shared" si="5"/>
        <v>9.5833410000000006E-4</v>
      </c>
      <c r="F9" s="19">
        <f t="shared" si="6"/>
        <v>2.1296313333333337</v>
      </c>
      <c r="G9" s="19">
        <f t="shared" si="0"/>
        <v>4.5353296159151126</v>
      </c>
      <c r="H9" s="19">
        <f t="shared" si="7"/>
        <v>4.1396625709866672</v>
      </c>
      <c r="I9" s="42">
        <v>4.1875774193548381</v>
      </c>
      <c r="J9" s="20">
        <f t="shared" si="1"/>
        <v>41.875774193548381</v>
      </c>
      <c r="K9" s="21">
        <f t="shared" si="8"/>
        <v>4187.5774193548377</v>
      </c>
      <c r="L9" s="3">
        <f t="shared" ref="L9:L18" si="14">(F9*AB$11)/AB$12</f>
        <v>31712.42784503632</v>
      </c>
      <c r="M9" s="4">
        <f t="shared" si="11"/>
        <v>19.96196863039912</v>
      </c>
      <c r="N9" s="4">
        <f>(K9*2*AB$11)/(AB$13*AB$15*G9)</f>
        <v>3.4352680834292618E-2</v>
      </c>
      <c r="O9" s="4">
        <f t="shared" si="9"/>
        <v>8.5881702085731544E-3</v>
      </c>
      <c r="P9" s="4">
        <f>3.7*(10^(-1/(2*SQRT(N9)))-2.51/(L9*SQRT(N9)))</f>
        <v>5.8420612190411758E-3</v>
      </c>
      <c r="Q9" s="78">
        <v>757824.37400000019</v>
      </c>
      <c r="R9" s="61">
        <v>21308.598333333332</v>
      </c>
      <c r="S9" s="79">
        <v>78.443333333333328</v>
      </c>
      <c r="V9" s="22">
        <v>0.3</v>
      </c>
      <c r="W9" s="23">
        <f t="shared" si="2"/>
        <v>4467.3123486682807</v>
      </c>
      <c r="X9" s="23">
        <f t="shared" si="10"/>
        <v>3.5716695539777098E-2</v>
      </c>
      <c r="Y9" s="23">
        <f t="shared" si="13"/>
        <v>9.6753103328642773E-3</v>
      </c>
      <c r="Z9" s="25"/>
      <c r="AA9" s="1" t="s">
        <v>26</v>
      </c>
      <c r="AB9" s="19">
        <v>0.05</v>
      </c>
      <c r="AE9" s="27" t="s">
        <v>27</v>
      </c>
    </row>
    <row r="10" spans="1:32" ht="18.5" x14ac:dyDescent="0.35">
      <c r="A10" s="2">
        <v>40</v>
      </c>
      <c r="B10" s="50">
        <v>4250</v>
      </c>
      <c r="C10" s="19">
        <f t="shared" si="3"/>
        <v>70.833474999999993</v>
      </c>
      <c r="D10" s="19">
        <f t="shared" si="4"/>
        <v>1.1805565</v>
      </c>
      <c r="E10" s="3">
        <f t="shared" si="5"/>
        <v>1.1805565000000001E-3</v>
      </c>
      <c r="F10" s="19">
        <f t="shared" si="6"/>
        <v>2.623458888888889</v>
      </c>
      <c r="G10" s="19">
        <f t="shared" si="0"/>
        <v>6.8825365416901239</v>
      </c>
      <c r="H10" s="19">
        <f t="shared" si="7"/>
        <v>5.0995843265777783</v>
      </c>
      <c r="I10" s="42">
        <v>6.1356161290322584</v>
      </c>
      <c r="J10" s="20">
        <f t="shared" si="1"/>
        <v>61.356161290322582</v>
      </c>
      <c r="K10" s="21">
        <f t="shared" si="8"/>
        <v>6135.616129032258</v>
      </c>
      <c r="L10" s="3">
        <f t="shared" si="14"/>
        <v>39066.034301856336</v>
      </c>
      <c r="M10" s="4">
        <f t="shared" si="11"/>
        <v>29.248170106615639</v>
      </c>
      <c r="N10" s="4">
        <f t="shared" si="12"/>
        <v>3.3167771714592946E-2</v>
      </c>
      <c r="O10" s="4">
        <f t="shared" si="9"/>
        <v>8.2919429286482365E-3</v>
      </c>
      <c r="P10" s="4">
        <f>3.7*(10^(-1/(2*SQRT(N10)))-2.51/(L10*SQRT(N10)))</f>
        <v>5.3437693114041299E-3</v>
      </c>
      <c r="Q10" s="2">
        <v>797606.79666666652</v>
      </c>
      <c r="R10" s="2">
        <v>21556.062333333331</v>
      </c>
      <c r="S10" s="2">
        <v>75.935666666666663</v>
      </c>
      <c r="V10" s="22">
        <v>0.4</v>
      </c>
      <c r="W10" s="23">
        <f t="shared" si="2"/>
        <v>5956.416464891041</v>
      </c>
      <c r="X10" s="23">
        <f t="shared" si="10"/>
        <v>3.3238130420386855E-2</v>
      </c>
      <c r="Y10" s="23">
        <f t="shared" si="13"/>
        <v>9.003890809084248E-3</v>
      </c>
      <c r="Z10" s="25"/>
      <c r="AA10" s="1" t="s">
        <v>28</v>
      </c>
      <c r="AB10" s="19">
        <v>8.9999999999999993E-3</v>
      </c>
      <c r="AE10" s="28" t="s">
        <v>29</v>
      </c>
      <c r="AF10" s="2" t="s">
        <v>30</v>
      </c>
    </row>
    <row r="11" spans="1:32" ht="16.5" x14ac:dyDescent="0.4">
      <c r="A11" s="2">
        <v>45</v>
      </c>
      <c r="B11" s="50">
        <v>5050</v>
      </c>
      <c r="C11" s="19">
        <f t="shared" si="3"/>
        <v>84.166834999999992</v>
      </c>
      <c r="D11" s="19">
        <f t="shared" si="4"/>
        <v>1.4027788999999999</v>
      </c>
      <c r="E11" s="3">
        <f t="shared" si="5"/>
        <v>1.4027789E-3</v>
      </c>
      <c r="F11" s="19">
        <f t="shared" si="6"/>
        <v>3.1172864444444444</v>
      </c>
      <c r="G11" s="19">
        <f t="shared" si="0"/>
        <v>9.7174747767170864</v>
      </c>
      <c r="H11" s="19">
        <f t="shared" si="7"/>
        <v>6.0595060821688884</v>
      </c>
      <c r="I11" s="42">
        <v>7.8242354838709689</v>
      </c>
      <c r="J11" s="20">
        <f t="shared" si="1"/>
        <v>78.242354838709687</v>
      </c>
      <c r="K11" s="21">
        <f t="shared" si="8"/>
        <v>7824.2354838709689</v>
      </c>
      <c r="L11" s="3">
        <f t="shared" si="14"/>
        <v>46419.640758676345</v>
      </c>
      <c r="M11" s="4">
        <f t="shared" si="11"/>
        <v>37.297732709130671</v>
      </c>
      <c r="N11" s="4">
        <f>(K11*2*AB$11)/(AB$13*AB$15*G11)</f>
        <v>2.9956780128542974E-2</v>
      </c>
      <c r="O11" s="4">
        <f t="shared" si="9"/>
        <v>7.4891950321357434E-3</v>
      </c>
      <c r="P11" s="4">
        <f>3.7*(10^(-1/(2*SQRT(N11)))-2.51/(L11*SQRT(N11)))</f>
        <v>3.6234330872070807E-3</v>
      </c>
      <c r="Q11" s="78">
        <v>774147.91333333345</v>
      </c>
      <c r="R11" s="61">
        <v>21409.348333333335</v>
      </c>
      <c r="S11" s="79">
        <v>77.448666666666668</v>
      </c>
      <c r="V11" s="22">
        <v>0.5</v>
      </c>
      <c r="W11" s="23">
        <f t="shared" si="2"/>
        <v>7445.5205811138012</v>
      </c>
      <c r="X11" s="23">
        <f t="shared" si="10"/>
        <v>3.1434682944034072E-2</v>
      </c>
      <c r="Y11" s="23">
        <f t="shared" si="13"/>
        <v>8.515354181072245E-3</v>
      </c>
      <c r="Z11" s="25"/>
      <c r="AA11" s="1" t="s">
        <v>31</v>
      </c>
      <c r="AB11" s="4">
        <f>2*(AB9*AB10)/(AB9+AB10)</f>
        <v>1.5254237288135592E-2</v>
      </c>
      <c r="AC11" s="1">
        <f>10*AB11*100</f>
        <v>15.254237288135592</v>
      </c>
      <c r="AE11" s="27" t="s">
        <v>32</v>
      </c>
      <c r="AF11" s="2" t="s">
        <v>33</v>
      </c>
    </row>
    <row r="12" spans="1:32" ht="18.5" x14ac:dyDescent="0.35">
      <c r="A12" s="49" t="s">
        <v>68</v>
      </c>
      <c r="B12" s="29">
        <v>5750</v>
      </c>
      <c r="C12" s="19">
        <f t="shared" si="3"/>
        <v>95.833524999999995</v>
      </c>
      <c r="D12" s="19">
        <f t="shared" si="4"/>
        <v>1.5972235000000001</v>
      </c>
      <c r="E12" s="3">
        <f t="shared" si="5"/>
        <v>1.5972235000000002E-3</v>
      </c>
      <c r="F12" s="19">
        <f t="shared" si="6"/>
        <v>3.5493855555555562</v>
      </c>
      <c r="G12" s="19">
        <f t="shared" si="0"/>
        <v>12.598137821986425</v>
      </c>
      <c r="H12" s="19">
        <f t="shared" si="7"/>
        <v>6.8994376183111124</v>
      </c>
      <c r="I12" s="30">
        <v>8.6513677419354842</v>
      </c>
      <c r="J12" s="20">
        <f t="shared" si="1"/>
        <v>86.513677419354849</v>
      </c>
      <c r="K12" s="21">
        <f t="shared" si="8"/>
        <v>8651.3677419354844</v>
      </c>
      <c r="L12" s="3">
        <f t="shared" si="14"/>
        <v>52854.046408393871</v>
      </c>
      <c r="M12" s="4">
        <f t="shared" si="11"/>
        <v>41.240630125751778</v>
      </c>
      <c r="N12" s="4">
        <f t="shared" si="12"/>
        <v>2.554965609477694E-2</v>
      </c>
      <c r="O12" s="4">
        <f t="shared" si="9"/>
        <v>6.3874140236942351E-3</v>
      </c>
      <c r="P12" s="4">
        <f>3.7*(10^(-1/(2*SQRT(N12)))-2.51/(L12*SQRT(N12)))</f>
        <v>1.6557472174496767E-3</v>
      </c>
      <c r="Q12" s="78">
        <v>744933.92</v>
      </c>
      <c r="R12" s="61">
        <v>21259.666333333334</v>
      </c>
      <c r="S12" s="79">
        <v>78.897333333333336</v>
      </c>
      <c r="V12" s="22">
        <v>0.6</v>
      </c>
      <c r="W12" s="23">
        <f t="shared" si="2"/>
        <v>8934.6246973365614</v>
      </c>
      <c r="X12" s="23">
        <f t="shared" si="10"/>
        <v>3.0034041244106899E-2</v>
      </c>
      <c r="Y12" s="23">
        <f t="shared" si="13"/>
        <v>8.1359337753727952E-3</v>
      </c>
      <c r="Z12" s="25"/>
      <c r="AA12" s="1" t="s">
        <v>34</v>
      </c>
      <c r="AB12" s="31">
        <f>AB$16/AB$15</f>
        <v>1.024390243902439E-6</v>
      </c>
    </row>
    <row r="13" spans="1:32" ht="16.5" x14ac:dyDescent="0.4">
      <c r="A13" s="2">
        <v>50</v>
      </c>
      <c r="B13" s="29">
        <v>5750</v>
      </c>
      <c r="C13" s="19">
        <f t="shared" si="3"/>
        <v>95.833524999999995</v>
      </c>
      <c r="D13" s="19">
        <f t="shared" si="4"/>
        <v>1.5972235000000001</v>
      </c>
      <c r="E13" s="3">
        <f t="shared" si="5"/>
        <v>1.5972235000000002E-3</v>
      </c>
      <c r="F13" s="19">
        <f t="shared" si="6"/>
        <v>3.5493855555555562</v>
      </c>
      <c r="G13" s="19">
        <f t="shared" si="0"/>
        <v>12.598137821986425</v>
      </c>
      <c r="H13" s="19">
        <f t="shared" si="7"/>
        <v>6.8994376183111124</v>
      </c>
      <c r="I13" s="30">
        <v>8.6513677419354842</v>
      </c>
      <c r="J13" s="20">
        <f t="shared" si="1"/>
        <v>86.513677419354849</v>
      </c>
      <c r="K13" s="21">
        <f t="shared" si="8"/>
        <v>8651.3677419354844</v>
      </c>
      <c r="L13" s="3">
        <f t="shared" si="14"/>
        <v>52854.046408393871</v>
      </c>
      <c r="M13" s="4">
        <f t="shared" si="11"/>
        <v>41.240630125751778</v>
      </c>
      <c r="N13" s="4">
        <f t="shared" si="12"/>
        <v>2.554965609477694E-2</v>
      </c>
      <c r="O13" s="4">
        <f t="shared" si="9"/>
        <v>6.3874140236942351E-3</v>
      </c>
      <c r="P13" s="4">
        <f t="shared" ref="P13:P18" si="15">3.7*(10^(-1/(2*SQRT(N13)))-2.51/(L13*SQRT(N13)))</f>
        <v>1.6557472174496767E-3</v>
      </c>
      <c r="Q13" s="78">
        <v>744933.92</v>
      </c>
      <c r="R13" s="61">
        <v>21259.666333333334</v>
      </c>
      <c r="S13" s="79">
        <v>78.897333333333336</v>
      </c>
      <c r="V13" s="22">
        <v>0.7</v>
      </c>
      <c r="W13" s="23">
        <f t="shared" si="2"/>
        <v>10423.728813559321</v>
      </c>
      <c r="X13" s="23">
        <f t="shared" si="10"/>
        <v>2.8898618076343835E-2</v>
      </c>
      <c r="Y13" s="23">
        <f t="shared" si="13"/>
        <v>7.8283585268451965E-3</v>
      </c>
      <c r="Z13" s="25"/>
      <c r="AA13" s="1" t="s">
        <v>35</v>
      </c>
      <c r="AB13" s="32">
        <v>0.8</v>
      </c>
      <c r="AE13" s="27" t="s">
        <v>36</v>
      </c>
      <c r="AF13" s="1" t="s">
        <v>37</v>
      </c>
    </row>
    <row r="14" spans="1:32" x14ac:dyDescent="0.35">
      <c r="A14" s="2">
        <v>45</v>
      </c>
      <c r="B14" s="33">
        <v>5050</v>
      </c>
      <c r="C14" s="19">
        <f t="shared" si="3"/>
        <v>84.166834999999992</v>
      </c>
      <c r="D14" s="19">
        <f t="shared" si="4"/>
        <v>1.4027788999999999</v>
      </c>
      <c r="E14" s="3">
        <f t="shared" si="5"/>
        <v>1.4027789E-3</v>
      </c>
      <c r="F14" s="19">
        <f t="shared" si="6"/>
        <v>3.1172864444444444</v>
      </c>
      <c r="G14" s="19">
        <f t="shared" si="0"/>
        <v>9.7174747767170864</v>
      </c>
      <c r="H14" s="19">
        <f t="shared" si="7"/>
        <v>6.0595060821688884</v>
      </c>
      <c r="I14" s="30">
        <v>7.9439483870967704</v>
      </c>
      <c r="J14" s="20">
        <f t="shared" si="1"/>
        <v>79.439483870967706</v>
      </c>
      <c r="K14" s="21">
        <f t="shared" si="8"/>
        <v>7943.9483870967706</v>
      </c>
      <c r="L14" s="3">
        <f t="shared" si="14"/>
        <v>46419.640758676345</v>
      </c>
      <c r="M14" s="4">
        <f t="shared" si="11"/>
        <v>37.868398031711301</v>
      </c>
      <c r="N14" s="4">
        <f t="shared" si="12"/>
        <v>3.0415126906049555E-2</v>
      </c>
      <c r="O14" s="4">
        <f t="shared" si="9"/>
        <v>7.6037817265123889E-3</v>
      </c>
      <c r="P14" s="4">
        <f t="shared" si="15"/>
        <v>3.8787782930597039E-3</v>
      </c>
      <c r="Q14" s="78">
        <v>756366.82466666668</v>
      </c>
      <c r="R14" s="61">
        <v>21126.169666666668</v>
      </c>
      <c r="S14" s="79">
        <v>78.011333333333326</v>
      </c>
      <c r="V14" s="22">
        <v>0.8</v>
      </c>
      <c r="W14" s="23">
        <f t="shared" si="2"/>
        <v>11912.832929782082</v>
      </c>
      <c r="X14" s="23">
        <f t="shared" si="10"/>
        <v>2.7949824720238742E-2</v>
      </c>
      <c r="Y14" s="23">
        <f t="shared" si="13"/>
        <v>7.571339504694811E-3</v>
      </c>
      <c r="Z14" s="25"/>
      <c r="AB14" s="32"/>
    </row>
    <row r="15" spans="1:32" x14ac:dyDescent="0.35">
      <c r="A15" s="2">
        <v>40</v>
      </c>
      <c r="B15" s="33">
        <v>4200</v>
      </c>
      <c r="C15" s="19">
        <f t="shared" si="3"/>
        <v>70.000140000000002</v>
      </c>
      <c r="D15" s="19">
        <f t="shared" si="4"/>
        <v>1.1666676</v>
      </c>
      <c r="E15" s="3">
        <f t="shared" si="5"/>
        <v>1.1666676000000001E-3</v>
      </c>
      <c r="F15" s="19">
        <f t="shared" si="6"/>
        <v>2.5925946666666668</v>
      </c>
      <c r="G15" s="19">
        <f t="shared" si="0"/>
        <v>6.7215471056284457</v>
      </c>
      <c r="H15" s="19">
        <f t="shared" si="7"/>
        <v>5.0395892168533338</v>
      </c>
      <c r="I15" s="30">
        <v>6.301787096774194</v>
      </c>
      <c r="J15" s="20">
        <f t="shared" si="1"/>
        <v>63.017870967741942</v>
      </c>
      <c r="K15" s="21">
        <f t="shared" si="8"/>
        <v>6301.7870967741947</v>
      </c>
      <c r="L15" s="3">
        <f t="shared" si="14"/>
        <v>38606.433898305084</v>
      </c>
      <c r="M15" s="4">
        <f t="shared" si="11"/>
        <v>30.040298660470206</v>
      </c>
      <c r="N15" s="4">
        <f t="shared" si="12"/>
        <v>3.4881979387986803E-2</v>
      </c>
      <c r="O15" s="4">
        <f t="shared" si="9"/>
        <v>8.7204948469967007E-3</v>
      </c>
      <c r="P15" s="4">
        <f t="shared" si="15"/>
        <v>6.4936544047406505E-3</v>
      </c>
      <c r="Q15" s="78">
        <v>775995.54300000006</v>
      </c>
      <c r="R15" s="61">
        <v>21388.217666666667</v>
      </c>
      <c r="S15" s="79">
        <v>76.655999999999992</v>
      </c>
      <c r="T15" s="34"/>
      <c r="U15" s="34"/>
      <c r="V15" s="22">
        <v>0.9</v>
      </c>
      <c r="W15" s="23">
        <f t="shared" si="2"/>
        <v>13401.937046004841</v>
      </c>
      <c r="X15" s="23">
        <f t="shared" si="10"/>
        <v>2.7138819844675702E-2</v>
      </c>
      <c r="Y15" s="23">
        <f t="shared" si="13"/>
        <v>7.3516460606638644E-3</v>
      </c>
      <c r="Z15" s="25"/>
      <c r="AA15" s="2" t="s">
        <v>38</v>
      </c>
      <c r="AB15" s="32">
        <f>VLOOKUP(AB17, SW!$A$4:$F$34, 3, FALSE)</f>
        <v>1025</v>
      </c>
      <c r="AC15" s="32"/>
    </row>
    <row r="16" spans="1:32" x14ac:dyDescent="0.35">
      <c r="A16" s="2">
        <v>35</v>
      </c>
      <c r="B16" s="35">
        <v>3450</v>
      </c>
      <c r="C16" s="19">
        <f t="shared" si="3"/>
        <v>57.500115000000001</v>
      </c>
      <c r="D16" s="19">
        <f t="shared" si="4"/>
        <v>0.95833410000000008</v>
      </c>
      <c r="E16" s="3">
        <f t="shared" si="5"/>
        <v>9.5833410000000006E-4</v>
      </c>
      <c r="F16" s="19">
        <f t="shared" si="6"/>
        <v>2.1296313333333337</v>
      </c>
      <c r="G16" s="19">
        <f t="shared" si="0"/>
        <v>4.5353296159151126</v>
      </c>
      <c r="H16" s="19">
        <f t="shared" si="7"/>
        <v>4.1396625709866672</v>
      </c>
      <c r="I16" s="30">
        <v>4.2487193548387099</v>
      </c>
      <c r="J16" s="20">
        <f t="shared" si="1"/>
        <v>42.487193548387097</v>
      </c>
      <c r="K16" s="21">
        <f t="shared" si="8"/>
        <v>4248.7193548387095</v>
      </c>
      <c r="L16" s="3">
        <f t="shared" si="14"/>
        <v>31712.42784503632</v>
      </c>
      <c r="M16" s="4">
        <f t="shared" si="11"/>
        <v>20.253429127938762</v>
      </c>
      <c r="N16" s="4">
        <f t="shared" si="12"/>
        <v>3.4854257088276705E-2</v>
      </c>
      <c r="O16" s="4">
        <f t="shared" si="9"/>
        <v>8.7135642720691762E-3</v>
      </c>
      <c r="P16" s="4">
        <f t="shared" si="15"/>
        <v>6.1939819544772718E-3</v>
      </c>
      <c r="Q16" s="78">
        <v>823925.09866666666</v>
      </c>
      <c r="R16" s="61">
        <v>21419.17866666667</v>
      </c>
      <c r="S16" s="79">
        <v>73.647333333333336</v>
      </c>
      <c r="V16" s="22">
        <v>1</v>
      </c>
      <c r="W16" s="23">
        <f t="shared" si="2"/>
        <v>14891.041162227602</v>
      </c>
      <c r="X16" s="23">
        <f t="shared" si="10"/>
        <v>2.6433312202275332E-2</v>
      </c>
      <c r="Y16" s="23">
        <f t="shared" si="13"/>
        <v>7.1605308054793803E-3</v>
      </c>
      <c r="Z16" s="25"/>
      <c r="AA16" s="2" t="s">
        <v>39</v>
      </c>
      <c r="AB16" s="32">
        <f>VLOOKUP(AB17, SW!$A$4:$F$34, 5, FALSE)</f>
        <v>1.0499999999999999E-3</v>
      </c>
    </row>
    <row r="17" spans="1:34" x14ac:dyDescent="0.35">
      <c r="A17" s="2">
        <v>30</v>
      </c>
      <c r="B17" s="18">
        <v>2700</v>
      </c>
      <c r="C17" s="19">
        <f t="shared" si="3"/>
        <v>45.00009</v>
      </c>
      <c r="D17" s="19">
        <f t="shared" si="4"/>
        <v>0.75000060000000002</v>
      </c>
      <c r="E17" s="3">
        <f t="shared" si="5"/>
        <v>7.500006E-4</v>
      </c>
      <c r="F17" s="19">
        <f t="shared" si="6"/>
        <v>1.666668</v>
      </c>
      <c r="G17" s="19">
        <f t="shared" si="0"/>
        <v>2.7777822222240003</v>
      </c>
      <c r="H17" s="19">
        <f t="shared" si="7"/>
        <v>3.2397359251200002</v>
      </c>
      <c r="I17" s="30">
        <v>2.6268838709677422</v>
      </c>
      <c r="J17" s="20">
        <f t="shared" si="1"/>
        <v>26.268838709677421</v>
      </c>
      <c r="K17" s="21">
        <f t="shared" si="8"/>
        <v>2626.883870967742</v>
      </c>
      <c r="L17" s="3">
        <f t="shared" si="14"/>
        <v>24818.421791767552</v>
      </c>
      <c r="M17" s="4">
        <f t="shared" si="11"/>
        <v>12.522221842536904</v>
      </c>
      <c r="N17" s="4">
        <f t="shared" si="12"/>
        <v>3.5184332882124171E-2</v>
      </c>
      <c r="O17" s="4">
        <f t="shared" si="9"/>
        <v>8.7960832205310428E-3</v>
      </c>
      <c r="P17" s="4">
        <f t="shared" si="15"/>
        <v>5.9960445598192282E-3</v>
      </c>
      <c r="Q17" s="78">
        <v>844911.7790000001</v>
      </c>
      <c r="R17" s="61">
        <v>21427.405666666669</v>
      </c>
      <c r="S17" s="79">
        <v>73.077333333333343</v>
      </c>
      <c r="T17" s="14"/>
      <c r="U17" s="14"/>
      <c r="V17" s="22">
        <v>1.1000000000000001</v>
      </c>
      <c r="W17" s="23">
        <f t="shared" si="2"/>
        <v>16380.145278450362</v>
      </c>
      <c r="X17" s="23">
        <f t="shared" si="10"/>
        <v>2.5810915803602466E-2</v>
      </c>
      <c r="Y17" s="23">
        <f t="shared" si="13"/>
        <v>6.991929589263546E-3</v>
      </c>
      <c r="Z17" s="25"/>
      <c r="AA17" s="2" t="s">
        <v>161</v>
      </c>
      <c r="AB17" s="2">
        <v>21</v>
      </c>
    </row>
    <row r="18" spans="1:34" x14ac:dyDescent="0.35">
      <c r="A18" s="2">
        <v>25</v>
      </c>
      <c r="B18" s="18">
        <v>1900</v>
      </c>
      <c r="C18" s="19">
        <f t="shared" si="3"/>
        <v>31.666729999999998</v>
      </c>
      <c r="D18" s="19">
        <f t="shared" si="4"/>
        <v>0.52777819999999998</v>
      </c>
      <c r="E18" s="3">
        <f t="shared" si="5"/>
        <v>5.2777819999999997E-4</v>
      </c>
      <c r="F18" s="19">
        <f t="shared" si="6"/>
        <v>1.1728404444444445</v>
      </c>
      <c r="G18" s="19">
        <f t="shared" si="0"/>
        <v>1.375554708124642</v>
      </c>
      <c r="H18" s="19">
        <f t="shared" si="7"/>
        <v>2.2798141695288892</v>
      </c>
      <c r="I18" s="30">
        <v>1.3073064516129036</v>
      </c>
      <c r="J18" s="20">
        <f t="shared" si="1"/>
        <v>13.073064516129037</v>
      </c>
      <c r="K18" s="21">
        <f t="shared" si="8"/>
        <v>1307.3064516129036</v>
      </c>
      <c r="L18" s="3">
        <f t="shared" si="14"/>
        <v>17464.815334947536</v>
      </c>
      <c r="M18" s="4">
        <f t="shared" si="11"/>
        <v>6.2318633816293065</v>
      </c>
      <c r="N18" s="4">
        <f t="shared" si="12"/>
        <v>3.5359505094922215E-2</v>
      </c>
      <c r="O18" s="4">
        <f t="shared" si="9"/>
        <v>8.8398762737305538E-3</v>
      </c>
      <c r="P18" s="4">
        <f t="shared" si="15"/>
        <v>5.2856779460812029E-3</v>
      </c>
      <c r="Q18" s="78">
        <v>852618.24300000013</v>
      </c>
      <c r="R18" s="61">
        <v>21643.098999999998</v>
      </c>
      <c r="S18" s="79">
        <v>72.974000000000004</v>
      </c>
      <c r="V18" s="22">
        <v>1.2</v>
      </c>
      <c r="W18" s="23">
        <f t="shared" si="2"/>
        <v>17869.249394673123</v>
      </c>
      <c r="X18" s="23">
        <f t="shared" si="10"/>
        <v>2.5255517617751706E-2</v>
      </c>
      <c r="Y18" s="23">
        <f t="shared" si="13"/>
        <v>6.8414775464526031E-3</v>
      </c>
      <c r="Z18" s="25"/>
      <c r="AA18" s="1"/>
      <c r="AB18" s="1"/>
      <c r="AE18" s="36" t="s">
        <v>40</v>
      </c>
      <c r="AF18" s="37"/>
      <c r="AG18" s="37"/>
      <c r="AH18" s="37"/>
    </row>
    <row r="19" spans="1:34" x14ac:dyDescent="0.35">
      <c r="A19" s="24"/>
      <c r="B19" s="18"/>
      <c r="C19" s="19"/>
      <c r="D19" s="19"/>
      <c r="E19" s="3"/>
      <c r="F19" s="19"/>
      <c r="G19" s="19"/>
      <c r="H19" s="19"/>
      <c r="I19" s="20"/>
      <c r="J19" s="20"/>
      <c r="K19" s="21"/>
      <c r="Q19" s="70"/>
      <c r="R19" s="25"/>
      <c r="S19" s="73"/>
      <c r="V19" s="22">
        <v>1.3</v>
      </c>
      <c r="W19" s="23">
        <f t="shared" si="2"/>
        <v>19358.353510895882</v>
      </c>
      <c r="X19" s="23">
        <f t="shared" si="10"/>
        <v>2.4755160552355795E-2</v>
      </c>
      <c r="Y19" s="23">
        <f t="shared" si="13"/>
        <v>6.7059356153813142E-3</v>
      </c>
      <c r="Z19" s="25"/>
      <c r="AE19" s="38" t="s">
        <v>41</v>
      </c>
      <c r="AF19" s="37" t="s">
        <v>42</v>
      </c>
      <c r="AG19" s="37" t="s">
        <v>43</v>
      </c>
      <c r="AH19" s="37" t="s">
        <v>44</v>
      </c>
    </row>
    <row r="20" spans="1:34" x14ac:dyDescent="0.35">
      <c r="A20" s="24"/>
      <c r="B20" s="18"/>
      <c r="C20" s="19"/>
      <c r="D20" s="19"/>
      <c r="E20" s="3"/>
      <c r="F20" s="19"/>
      <c r="G20" s="19"/>
      <c r="H20" s="19"/>
      <c r="I20" s="20"/>
      <c r="J20" s="20"/>
      <c r="K20" s="21"/>
      <c r="Q20" s="70"/>
      <c r="R20" s="25"/>
      <c r="S20" s="73"/>
      <c r="V20" s="22">
        <v>1.4</v>
      </c>
      <c r="W20" s="23">
        <f t="shared" si="2"/>
        <v>20847.457627118642</v>
      </c>
      <c r="X20" s="23">
        <f t="shared" si="10"/>
        <v>2.4300744346183723E-2</v>
      </c>
      <c r="Y20" s="23">
        <f t="shared" si="13"/>
        <v>6.5828386225449754E-3</v>
      </c>
      <c r="Z20" s="25"/>
      <c r="AA20" s="1" t="s">
        <v>45</v>
      </c>
      <c r="AB20" s="1">
        <f>4*10^(-6)</f>
        <v>3.9999999999999998E-6</v>
      </c>
      <c r="AE20" s="38" t="s">
        <v>46</v>
      </c>
      <c r="AF20" s="37" t="s">
        <v>47</v>
      </c>
      <c r="AG20" s="37" t="s">
        <v>48</v>
      </c>
      <c r="AH20" s="37" t="s">
        <v>49</v>
      </c>
    </row>
    <row r="21" spans="1:34" x14ac:dyDescent="0.35">
      <c r="A21" s="24"/>
      <c r="B21" s="18"/>
      <c r="C21" s="19"/>
      <c r="D21" s="19"/>
      <c r="E21" s="3"/>
      <c r="F21" s="19"/>
      <c r="G21" s="19"/>
      <c r="H21" s="19"/>
      <c r="I21" s="20"/>
      <c r="J21" s="20"/>
      <c r="K21" s="21"/>
      <c r="Q21" s="70"/>
      <c r="R21" s="25"/>
      <c r="S21" s="73"/>
      <c r="V21" s="22">
        <v>1.5</v>
      </c>
      <c r="W21" s="23">
        <f t="shared" si="2"/>
        <v>22336.561743341405</v>
      </c>
      <c r="X21" s="23">
        <f t="shared" si="10"/>
        <v>2.3885193868020543E-2</v>
      </c>
      <c r="Y21" s="23">
        <f t="shared" si="13"/>
        <v>6.4702699827411825E-3</v>
      </c>
      <c r="Z21" s="25"/>
      <c r="AA21" s="1" t="s">
        <v>50</v>
      </c>
      <c r="AB21" s="2">
        <f>AB20/AB11</f>
        <v>2.6222222222222223E-4</v>
      </c>
      <c r="AE21" s="37">
        <v>0</v>
      </c>
      <c r="AF21" s="37">
        <v>1.792E-3</v>
      </c>
      <c r="AG21" s="37">
        <v>999.87</v>
      </c>
      <c r="AH21" s="39">
        <v>1.7922329902887374E-6</v>
      </c>
    </row>
    <row r="22" spans="1:34" x14ac:dyDescent="0.35">
      <c r="A22" s="24"/>
      <c r="B22" s="18"/>
      <c r="C22" s="19"/>
      <c r="D22" s="19"/>
      <c r="E22" s="3"/>
      <c r="F22" s="19"/>
      <c r="G22" s="19"/>
      <c r="H22" s="19"/>
      <c r="I22" s="20"/>
      <c r="J22" s="20"/>
      <c r="K22" s="21"/>
      <c r="Q22" s="70"/>
      <c r="R22" s="25"/>
      <c r="S22" s="73"/>
      <c r="V22" s="22">
        <v>1.6</v>
      </c>
      <c r="W22" s="23">
        <f t="shared" si="2"/>
        <v>23825.665859564164</v>
      </c>
      <c r="X22" s="23">
        <f t="shared" si="10"/>
        <v>2.3502907414218413E-2</v>
      </c>
      <c r="Y22" s="23">
        <f t="shared" si="13"/>
        <v>6.3667122481667008E-3</v>
      </c>
      <c r="Z22" s="25"/>
      <c r="AE22" s="37">
        <v>5</v>
      </c>
      <c r="AF22" s="37">
        <v>1.519E-3</v>
      </c>
      <c r="AG22" s="37">
        <v>999.99</v>
      </c>
      <c r="AH22" s="39">
        <v>1.5190151901519014E-6</v>
      </c>
    </row>
    <row r="23" spans="1:34" x14ac:dyDescent="0.35">
      <c r="B23" s="18"/>
      <c r="C23" s="19"/>
      <c r="D23" s="19"/>
      <c r="E23" s="3"/>
      <c r="F23" s="3"/>
      <c r="G23" s="19"/>
      <c r="H23" s="19"/>
      <c r="I23" s="19"/>
      <c r="J23" s="20"/>
      <c r="K23" s="21"/>
      <c r="Q23" s="70"/>
      <c r="R23" s="25"/>
      <c r="S23" s="73"/>
      <c r="V23" s="22">
        <v>1.7</v>
      </c>
      <c r="W23" s="23">
        <f t="shared" si="2"/>
        <v>25314.769975786923</v>
      </c>
      <c r="X23" s="23">
        <f t="shared" si="10"/>
        <v>2.3149379525001835E-2</v>
      </c>
      <c r="Y23" s="23">
        <f t="shared" si="13"/>
        <v>6.2709449329713882E-3</v>
      </c>
      <c r="Z23" s="25"/>
      <c r="AA23" s="40"/>
      <c r="AE23" s="37">
        <f>AE22+5</f>
        <v>10</v>
      </c>
      <c r="AF23" s="37">
        <v>1.3079999999999999E-3</v>
      </c>
      <c r="AG23" s="37">
        <v>999.73</v>
      </c>
      <c r="AH23" s="39">
        <v>1.3083532553789522E-6</v>
      </c>
    </row>
    <row r="24" spans="1:34" x14ac:dyDescent="0.35">
      <c r="B24" s="18"/>
      <c r="C24" s="19"/>
      <c r="D24" s="19"/>
      <c r="E24" s="3">
        <f>H15</f>
        <v>5.0395892168533338</v>
      </c>
      <c r="F24" s="3"/>
      <c r="G24" s="19"/>
      <c r="H24" s="19"/>
      <c r="I24" s="19"/>
      <c r="J24" s="20"/>
      <c r="K24" s="21"/>
      <c r="Q24" s="71"/>
      <c r="R24" s="4"/>
      <c r="S24" s="74"/>
      <c r="V24" s="22">
        <v>1.8</v>
      </c>
      <c r="W24" s="23">
        <f t="shared" si="2"/>
        <v>26803.874092009682</v>
      </c>
      <c r="X24" s="23">
        <f t="shared" si="10"/>
        <v>2.282093632160417E-2</v>
      </c>
      <c r="Y24" s="23">
        <f t="shared" si="13"/>
        <v>6.1819728186263351E-3</v>
      </c>
      <c r="Z24" s="4"/>
      <c r="AA24" s="40"/>
      <c r="AE24" s="37" t="e">
        <f>#REF!+5</f>
        <v>#REF!</v>
      </c>
      <c r="AF24" s="37">
        <v>1.005E-3</v>
      </c>
      <c r="AG24" s="37">
        <v>998.23</v>
      </c>
      <c r="AH24" s="39">
        <v>1.0067820041473407E-6</v>
      </c>
    </row>
    <row r="25" spans="1:34" x14ac:dyDescent="0.35">
      <c r="B25" s="18"/>
      <c r="C25" s="19"/>
      <c r="D25" s="19"/>
      <c r="E25" s="3">
        <f>H13</f>
        <v>6.8994376183111124</v>
      </c>
      <c r="F25" s="3"/>
      <c r="G25" s="19"/>
      <c r="H25" s="19"/>
      <c r="I25" s="19"/>
      <c r="J25" s="20"/>
      <c r="K25" s="21"/>
      <c r="Q25" s="71"/>
      <c r="R25" s="4"/>
      <c r="S25" s="74"/>
      <c r="V25" s="22">
        <v>1.9</v>
      </c>
      <c r="W25" s="23">
        <f t="shared" si="2"/>
        <v>28292.978208232442</v>
      </c>
      <c r="X25" s="23">
        <f t="shared" si="10"/>
        <v>2.2514545545305735E-2</v>
      </c>
      <c r="Y25" s="23">
        <f t="shared" si="13"/>
        <v>6.0989744953208348E-3</v>
      </c>
      <c r="Z25" s="4"/>
      <c r="AA25" s="40"/>
      <c r="AE25" s="37">
        <v>25</v>
      </c>
      <c r="AF25" s="37">
        <v>8.9400000000000005E-4</v>
      </c>
      <c r="AG25" s="37">
        <v>997.07</v>
      </c>
      <c r="AH25" s="39">
        <v>8.9662711745414066E-7</v>
      </c>
    </row>
    <row r="26" spans="1:34" x14ac:dyDescent="0.35">
      <c r="N26" s="22"/>
      <c r="Q26" s="71"/>
      <c r="R26" s="4"/>
      <c r="S26" s="74"/>
      <c r="V26" s="22">
        <v>2</v>
      </c>
      <c r="W26" s="23">
        <f t="shared" si="2"/>
        <v>29782.082324455205</v>
      </c>
      <c r="X26" s="23">
        <f t="shared" si="10"/>
        <v>2.2227677474175599E-2</v>
      </c>
      <c r="Y26" s="23">
        <f t="shared" si="13"/>
        <v>6.021264685641404E-3</v>
      </c>
      <c r="Z26" s="4"/>
      <c r="AA26" s="40"/>
      <c r="AE26" s="32"/>
      <c r="AF26" s="32"/>
      <c r="AG26" s="32"/>
      <c r="AH26" s="32"/>
    </row>
    <row r="27" spans="1:34" x14ac:dyDescent="0.35">
      <c r="K27" s="1"/>
      <c r="L27" s="4"/>
      <c r="N27" s="22"/>
      <c r="Q27" s="71"/>
      <c r="R27" s="4"/>
      <c r="S27" s="74"/>
      <c r="V27" s="22">
        <v>2.1</v>
      </c>
      <c r="W27" s="23">
        <f t="shared" si="2"/>
        <v>31271.186440677968</v>
      </c>
      <c r="X27" s="23">
        <f t="shared" si="10"/>
        <v>2.1958201280422227E-2</v>
      </c>
      <c r="Y27" s="23">
        <f t="shared" si="13"/>
        <v>5.948266168771912E-3</v>
      </c>
      <c r="Z27" s="4"/>
      <c r="AA27" s="40"/>
      <c r="AE27" s="32"/>
      <c r="AF27" s="32"/>
      <c r="AG27" s="32"/>
      <c r="AH27" s="32"/>
    </row>
    <row r="28" spans="1:34" x14ac:dyDescent="0.35">
      <c r="Q28" s="71"/>
      <c r="R28" s="4"/>
      <c r="S28" s="74"/>
      <c r="V28" s="22">
        <v>2.2000000000000002</v>
      </c>
      <c r="W28" s="23">
        <f t="shared" si="2"/>
        <v>32760.290556900723</v>
      </c>
      <c r="X28" s="23">
        <f t="shared" si="10"/>
        <v>2.1704306573664765E-2</v>
      </c>
      <c r="Y28" s="23">
        <f t="shared" si="13"/>
        <v>5.8794885273180924E-3</v>
      </c>
      <c r="Z28" s="4"/>
      <c r="AA28" s="40"/>
      <c r="AE28" s="32"/>
      <c r="AF28" s="32"/>
      <c r="AG28" s="32"/>
      <c r="AH28" s="32"/>
    </row>
    <row r="29" spans="1:34" x14ac:dyDescent="0.35">
      <c r="L29" s="41"/>
      <c r="Q29" s="71"/>
      <c r="R29" s="4"/>
      <c r="S29" s="74"/>
      <c r="V29" s="22">
        <v>2.2999999999999998</v>
      </c>
      <c r="W29" s="23">
        <f t="shared" si="2"/>
        <v>34249.394673123483</v>
      </c>
      <c r="X29" s="23">
        <f t="shared" si="10"/>
        <v>2.1464443165467494E-2</v>
      </c>
      <c r="Y29" s="23">
        <f t="shared" si="13"/>
        <v>5.8145118300975303E-3</v>
      </c>
      <c r="Z29" s="4"/>
      <c r="AA29" s="40"/>
      <c r="AE29" s="32"/>
      <c r="AF29" s="32"/>
      <c r="AG29" s="32"/>
      <c r="AH29" s="32"/>
    </row>
    <row r="30" spans="1:34" x14ac:dyDescent="0.35">
      <c r="Q30" s="71"/>
      <c r="R30" s="4"/>
      <c r="S30" s="74"/>
      <c r="V30" s="22">
        <v>2.4</v>
      </c>
      <c r="W30" s="23">
        <f t="shared" si="2"/>
        <v>35738.498789346246</v>
      </c>
      <c r="X30" s="23">
        <f t="shared" si="10"/>
        <v>2.1237274230144439E-2</v>
      </c>
      <c r="Y30" s="23">
        <f t="shared" si="13"/>
        <v>5.7529739438507716E-3</v>
      </c>
      <c r="Z30" s="4"/>
      <c r="AA30" s="40"/>
      <c r="AE30" s="32"/>
      <c r="AF30" s="32"/>
      <c r="AG30" s="32"/>
      <c r="AH30" s="32"/>
    </row>
    <row r="31" spans="1:34" x14ac:dyDescent="0.35">
      <c r="F31" s="1"/>
      <c r="G31" s="1"/>
      <c r="Q31" s="71"/>
      <c r="R31" s="4"/>
      <c r="S31" s="74"/>
      <c r="V31" s="22">
        <v>2.5</v>
      </c>
      <c r="W31" s="23">
        <f t="shared" si="2"/>
        <v>37227.602905569001</v>
      </c>
      <c r="X31" s="23">
        <f t="shared" si="10"/>
        <v>2.1021639458830475E-2</v>
      </c>
      <c r="Y31" s="23">
        <f t="shared" si="13"/>
        <v>5.6945605520325026E-3</v>
      </c>
      <c r="Z31" s="4"/>
      <c r="AA31" s="40"/>
      <c r="AE31" s="32"/>
      <c r="AF31" s="32"/>
      <c r="AG31" s="32"/>
      <c r="AH31" s="32"/>
    </row>
    <row r="32" spans="1:34" x14ac:dyDescent="0.35">
      <c r="G32" s="19"/>
      <c r="Q32" s="71"/>
      <c r="R32" s="4"/>
      <c r="S32" s="74"/>
      <c r="Z32" s="4"/>
      <c r="AA32" s="40"/>
    </row>
    <row r="33" spans="7:28" x14ac:dyDescent="0.35">
      <c r="G33" s="19"/>
      <c r="Q33" s="71"/>
      <c r="R33" s="4"/>
      <c r="S33" s="74"/>
      <c r="Z33" s="4"/>
      <c r="AA33" s="40"/>
      <c r="AB33" s="1" t="s">
        <v>51</v>
      </c>
    </row>
    <row r="34" spans="7:28" x14ac:dyDescent="0.35">
      <c r="G34" s="19"/>
      <c r="Q34" s="71"/>
      <c r="R34" s="4"/>
      <c r="S34" s="74"/>
      <c r="Z34" s="4"/>
      <c r="AA34" s="40"/>
    </row>
    <row r="35" spans="7:28" x14ac:dyDescent="0.35">
      <c r="G35" s="19"/>
      <c r="Q35" s="71"/>
      <c r="R35" s="4"/>
      <c r="S35" s="74"/>
      <c r="Z35" s="4"/>
      <c r="AA35" s="40"/>
    </row>
    <row r="36" spans="7:28" x14ac:dyDescent="0.35">
      <c r="G36" s="19"/>
      <c r="Q36" s="71"/>
      <c r="R36" s="4"/>
      <c r="S36" s="74"/>
      <c r="Z36" s="4"/>
    </row>
    <row r="37" spans="7:28" x14ac:dyDescent="0.35">
      <c r="G37" s="19"/>
      <c r="Q37" s="71"/>
      <c r="R37" s="4"/>
      <c r="S37" s="74"/>
      <c r="Z37" s="4"/>
    </row>
    <row r="38" spans="7:28" x14ac:dyDescent="0.35">
      <c r="R38" s="68" t="s">
        <v>83</v>
      </c>
      <c r="S38" s="2" t="s">
        <v>82</v>
      </c>
      <c r="T38" s="89" t="s">
        <v>84</v>
      </c>
      <c r="Z38" s="4"/>
    </row>
    <row r="39" spans="7:28" x14ac:dyDescent="0.35">
      <c r="Q39" s="68">
        <v>15000</v>
      </c>
      <c r="R39" s="43">
        <f>((0.00007)*(Q39)^2) - (6.6536*Q39)+912717</f>
        <v>828663</v>
      </c>
      <c r="S39" s="88">
        <f>((0.00000009)*(Q39)^2)-(0.0051*(Q39))+21421</f>
        <v>21364.75</v>
      </c>
      <c r="T39" s="5">
        <f>((-0.000000005)*(Q39)^2)+(0.0004*Q39)+69.278</f>
        <v>74.153000000000006</v>
      </c>
      <c r="V39" s="4"/>
      <c r="W39" s="16"/>
      <c r="X39" s="16"/>
      <c r="Y39" s="4"/>
      <c r="Z39" s="4"/>
    </row>
    <row r="40" spans="7:28" x14ac:dyDescent="0.35">
      <c r="Q40" s="68">
        <v>22000</v>
      </c>
      <c r="R40" s="43">
        <f>((0.00007)*(Q40)^2) - (6.6536*Q40)+912717</f>
        <v>800217.8</v>
      </c>
      <c r="S40" s="88">
        <f>((0.00000009)*(Q40)^2)-(0.0051*(Q40))+21421</f>
        <v>21352.36</v>
      </c>
      <c r="T40" s="5">
        <f>((-0.000000005)*(Q40)^2)+(0.0004*Q40)+69.278</f>
        <v>75.658000000000001</v>
      </c>
      <c r="V40" s="4"/>
      <c r="W40" s="16"/>
      <c r="X40" s="16"/>
      <c r="Y40" s="4"/>
      <c r="Z40" s="4"/>
    </row>
    <row r="41" spans="7:28" x14ac:dyDescent="0.35">
      <c r="Q41" s="68">
        <v>40000</v>
      </c>
      <c r="R41" s="43">
        <f>((0.00007)*(Q41)^2) - (6.6536*Q41)+912717</f>
        <v>758573</v>
      </c>
      <c r="S41" s="88">
        <f>((0.00000009)*(Q41)^2)-(0.0051*(Q41))+21421</f>
        <v>21361</v>
      </c>
      <c r="T41" s="5">
        <f>((-0.000000005)*(Q41)^2)+(0.0004*Q41)+69.278</f>
        <v>77.278000000000006</v>
      </c>
      <c r="V41" s="4"/>
      <c r="W41" s="16"/>
      <c r="X41" s="16"/>
      <c r="Y41" s="4"/>
      <c r="Z41" s="4"/>
    </row>
    <row r="42" spans="7:28" x14ac:dyDescent="0.35">
      <c r="Q42" s="71"/>
      <c r="R42" s="4"/>
      <c r="S42" s="74"/>
      <c r="V42" s="4"/>
      <c r="W42" s="16"/>
      <c r="X42" s="16"/>
      <c r="Y42" s="4"/>
      <c r="Z42" s="4"/>
    </row>
    <row r="43" spans="7:28" x14ac:dyDescent="0.35">
      <c r="Q43" s="71"/>
      <c r="R43" s="4"/>
      <c r="S43" s="74"/>
      <c r="V43" s="4"/>
      <c r="W43" s="16"/>
      <c r="X43" s="16"/>
      <c r="Y43" s="4"/>
      <c r="Z43" s="4"/>
    </row>
    <row r="44" spans="7:28" x14ac:dyDescent="0.35">
      <c r="V44" s="4"/>
      <c r="W44" s="16"/>
      <c r="X44" s="16"/>
    </row>
    <row r="45" spans="7:28" x14ac:dyDescent="0.35">
      <c r="V45" s="4"/>
      <c r="W45" s="16"/>
      <c r="X45" s="16"/>
    </row>
    <row r="46" spans="7:28" x14ac:dyDescent="0.35">
      <c r="V46" s="4"/>
      <c r="W46" s="16"/>
      <c r="X46" s="16"/>
    </row>
    <row r="47" spans="7:28" x14ac:dyDescent="0.35">
      <c r="V47" s="4"/>
      <c r="W47" s="16"/>
      <c r="X47" s="16"/>
    </row>
    <row r="48" spans="7:28" x14ac:dyDescent="0.35">
      <c r="R48" s="40"/>
      <c r="S48" s="87"/>
      <c r="V48" s="4"/>
      <c r="W48" s="16"/>
      <c r="X48" s="16"/>
    </row>
    <row r="49" spans="22:24" x14ac:dyDescent="0.35">
      <c r="V49" s="4"/>
      <c r="W49" s="16"/>
      <c r="X49" s="16"/>
    </row>
    <row r="50" spans="22:24" x14ac:dyDescent="0.35">
      <c r="V50" s="4"/>
      <c r="W50" s="16"/>
      <c r="X50" s="16"/>
    </row>
    <row r="51" spans="22:24" x14ac:dyDescent="0.35">
      <c r="V51" s="4"/>
      <c r="W51" s="16"/>
      <c r="X51" s="16"/>
    </row>
    <row r="52" spans="22:24" x14ac:dyDescent="0.35">
      <c r="V52" s="4"/>
      <c r="W52" s="16"/>
      <c r="X52" s="16"/>
    </row>
    <row r="53" spans="22:24" x14ac:dyDescent="0.35">
      <c r="V53" s="4"/>
      <c r="W53" s="16"/>
      <c r="X53" s="16"/>
    </row>
    <row r="54" spans="22:24" x14ac:dyDescent="0.35">
      <c r="V54" s="4"/>
    </row>
    <row r="112" spans="17:17" x14ac:dyDescent="0.35">
      <c r="Q112" s="85"/>
    </row>
  </sheetData>
  <mergeCells count="3">
    <mergeCell ref="A3:N3"/>
    <mergeCell ref="AA5:AB5"/>
    <mergeCell ref="Q4:S4"/>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617B2-2C0C-48DD-A47E-EC41E19BE4F9}">
  <dimension ref="A1:AH112"/>
  <sheetViews>
    <sheetView zoomScale="60" zoomScaleNormal="60" zoomScalePageLayoutView="90" workbookViewId="0">
      <selection activeCell="W47" sqref="W47"/>
    </sheetView>
  </sheetViews>
  <sheetFormatPr defaultColWidth="8.69140625" defaultRowHeight="15.5" x14ac:dyDescent="0.35"/>
  <cols>
    <col min="1" max="4" width="8.69140625" style="2"/>
    <col min="5" max="5" width="13.5351562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6.765625" style="4" customWidth="1"/>
    <col min="14" max="14" width="8.4609375" style="4" customWidth="1"/>
    <col min="15" max="16" width="9.07421875" style="4" customWidth="1"/>
    <col min="17" max="17" width="27.23046875" style="4" customWidth="1"/>
    <col min="18" max="18" width="12.765625" style="68" customWidth="1"/>
    <col min="19" max="19" width="10" style="2" customWidth="1"/>
    <col min="20" max="20" width="13.3046875" style="72" bestFit="1" customWidth="1"/>
    <col min="21" max="21" width="8.4609375" style="5" customWidth="1"/>
    <col min="22" max="22" width="10.23046875" style="2" customWidth="1"/>
    <col min="23" max="23" width="13.84375" style="2" customWidth="1"/>
    <col min="24" max="26" width="10" style="2" customWidth="1"/>
    <col min="27" max="27" width="21" style="2" customWidth="1"/>
    <col min="28" max="28" width="8.69140625" style="2" customWidth="1"/>
    <col min="29" max="29" width="8.69140625" style="2"/>
    <col min="30" max="30" width="22" style="2" customWidth="1"/>
    <col min="31" max="31" width="35.84375" style="2" customWidth="1"/>
    <col min="32" max="32" width="16.84375" style="2" customWidth="1"/>
    <col min="33" max="16384" width="8.69140625" style="2"/>
  </cols>
  <sheetData>
    <row r="1" spans="1:32" x14ac:dyDescent="0.35">
      <c r="A1" s="1"/>
      <c r="I1" s="1"/>
      <c r="J1" s="1"/>
      <c r="R1" s="69" t="s">
        <v>95</v>
      </c>
    </row>
    <row r="2" spans="1:32" x14ac:dyDescent="0.35">
      <c r="A2" s="1"/>
      <c r="I2" s="1"/>
      <c r="J2" s="1"/>
      <c r="R2" s="69" t="s">
        <v>85</v>
      </c>
    </row>
    <row r="3" spans="1:32" x14ac:dyDescent="0.35">
      <c r="A3" s="150" t="s">
        <v>3</v>
      </c>
      <c r="B3" s="150"/>
      <c r="C3" s="150"/>
      <c r="D3" s="150"/>
      <c r="E3" s="150"/>
      <c r="F3" s="150"/>
      <c r="G3" s="150"/>
      <c r="H3" s="150"/>
      <c r="I3" s="150"/>
      <c r="J3" s="150"/>
      <c r="K3" s="150"/>
      <c r="L3" s="150"/>
      <c r="M3" s="150"/>
      <c r="N3" s="150"/>
      <c r="O3" s="47"/>
      <c r="P3" s="47"/>
      <c r="Q3" s="47"/>
      <c r="U3" s="7"/>
    </row>
    <row r="4" spans="1:32" x14ac:dyDescent="0.35">
      <c r="R4" s="152" t="s">
        <v>81</v>
      </c>
      <c r="S4" s="153"/>
      <c r="T4" s="154"/>
    </row>
    <row r="5" spans="1:32"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64</v>
      </c>
      <c r="Q5" s="14" t="s">
        <v>18</v>
      </c>
      <c r="R5" s="75" t="s">
        <v>83</v>
      </c>
      <c r="S5" s="67" t="s">
        <v>82</v>
      </c>
      <c r="T5" s="76" t="s">
        <v>84</v>
      </c>
      <c r="U5" s="14"/>
      <c r="V5" s="15" t="s">
        <v>19</v>
      </c>
      <c r="W5" s="16" t="s">
        <v>14</v>
      </c>
      <c r="X5" s="15" t="s">
        <v>20</v>
      </c>
      <c r="Y5" s="16" t="s">
        <v>21</v>
      </c>
      <c r="Z5" s="1"/>
      <c r="AA5" s="151" t="s">
        <v>22</v>
      </c>
      <c r="AB5" s="151"/>
    </row>
    <row r="6" spans="1:32" x14ac:dyDescent="0.35">
      <c r="A6" s="17" t="s">
        <v>23</v>
      </c>
      <c r="B6" s="18">
        <v>0</v>
      </c>
      <c r="C6" s="19">
        <f t="shared" ref="C6:C12" si="0">B6*0.0166667</f>
        <v>0</v>
      </c>
      <c r="D6" s="19">
        <f t="shared" ref="D6:D12" si="1">B6*0.000277778</f>
        <v>0</v>
      </c>
      <c r="E6" s="3">
        <f t="shared" ref="E6:E12" si="2">0.001*D6</f>
        <v>0</v>
      </c>
      <c r="F6" s="19">
        <f t="shared" ref="F6:F12" si="3">E6/AB$7</f>
        <v>0</v>
      </c>
      <c r="G6" s="19">
        <f t="shared" ref="G6:G12" si="4">F6^(2)</f>
        <v>0</v>
      </c>
      <c r="H6" s="19">
        <f t="shared" ref="H6:H12" si="5">F6*1.94384</f>
        <v>0</v>
      </c>
      <c r="I6" s="20">
        <v>0</v>
      </c>
      <c r="J6" s="20">
        <f t="shared" ref="J6:J12" si="6">I6 * 10</f>
        <v>0</v>
      </c>
      <c r="K6" s="21">
        <f t="shared" ref="K6:K12" si="7">J6*100</f>
        <v>0</v>
      </c>
      <c r="L6" s="3">
        <f t="shared" ref="L6:L12" si="8">(F6*AB$11)/AB$12</f>
        <v>0</v>
      </c>
      <c r="V6" s="22">
        <v>0</v>
      </c>
      <c r="W6" s="23">
        <f t="shared" ref="W6:W31" si="9">(V6*AB$11)/AB$12</f>
        <v>0</v>
      </c>
      <c r="X6" s="23"/>
      <c r="Y6" s="23"/>
    </row>
    <row r="7" spans="1:32" x14ac:dyDescent="0.35">
      <c r="A7" s="2" t="s">
        <v>52</v>
      </c>
      <c r="B7" s="2">
        <f>AVERAGEA('1 EF25 P240'!B7, '2 EF25 P240'!B7, '3 EF25 P240'!B7)</f>
        <v>1866.6666666666667</v>
      </c>
      <c r="C7" s="19">
        <f t="shared" si="0"/>
        <v>31.111173333333333</v>
      </c>
      <c r="D7" s="19">
        <f t="shared" si="1"/>
        <v>0.51851893333333332</v>
      </c>
      <c r="E7" s="3">
        <f t="shared" si="2"/>
        <v>5.1851893333333329E-4</v>
      </c>
      <c r="F7" s="19">
        <f t="shared" si="3"/>
        <v>1.1965821538461534</v>
      </c>
      <c r="G7" s="19">
        <f t="shared" si="4"/>
        <v>1.4318088509030995</v>
      </c>
      <c r="H7" s="19">
        <f t="shared" si="5"/>
        <v>2.3259642539323067</v>
      </c>
      <c r="I7" s="2">
        <f>AVERAGEA('1 EF25 P240'!I7, '2 EF25 P240'!I7, '3 EF25 P240'!I7)</f>
        <v>1.1391883333333337</v>
      </c>
      <c r="J7" s="20">
        <f t="shared" si="6"/>
        <v>11.391883333333336</v>
      </c>
      <c r="K7" s="21">
        <f t="shared" si="7"/>
        <v>1139.1883333333335</v>
      </c>
      <c r="L7" s="3">
        <f t="shared" si="8"/>
        <v>17255.906060606056</v>
      </c>
      <c r="M7" s="4">
        <f t="shared" ref="M7:M12" si="10">(AB$15*G7*N7)/8</f>
        <v>5.2590370501893959</v>
      </c>
      <c r="N7" s="4">
        <f t="shared" ref="N7:N12" si="11">(K7*2*AB$11)/(AB$13*AB$15*G7)</f>
        <v>2.8667334193986194E-2</v>
      </c>
      <c r="O7" s="4">
        <f t="shared" ref="O7:O12" si="12">N7/4</f>
        <v>7.1668335484965486E-3</v>
      </c>
      <c r="Q7" s="4">
        <f t="shared" ref="Q7:Q12" si="13">3.7*(10^(-1/(2*SQRT(N7)))-2.51/(L7*SQRT(N7)))</f>
        <v>9.4339736897554034E-4</v>
      </c>
      <c r="R7" s="78">
        <f>AVERAGEA('1 EF25 P240'!Q7,'2 EF25 P240'!Q7,'3 EF25 P240'!Q7)</f>
        <v>1016895.0135000001</v>
      </c>
      <c r="S7" s="78">
        <f>AVERAGEA('1 EF25 P240'!R7,'2 EF25 P240'!R7,'3 EF25 P240'!R7)</f>
        <v>21687.608833333332</v>
      </c>
      <c r="T7" s="78">
        <f>AVERAGEA('1 EF25 P240'!S7,'2 EF25 P240'!S7,'3 EF25 P240'!S7)</f>
        <v>65.287666666666667</v>
      </c>
      <c r="V7" s="22">
        <v>0.1</v>
      </c>
      <c r="W7" s="23">
        <f>(V7*AB$11)/AB$12</f>
        <v>1442.0995670995674</v>
      </c>
      <c r="X7" s="23">
        <f t="shared" ref="X7:X31" si="14">0.292/(W7^(0.25))</f>
        <v>4.7384253147256146E-2</v>
      </c>
      <c r="Y7" s="23">
        <f>0.0791/(W7^0.25)</f>
        <v>1.2835939808040963E-2</v>
      </c>
      <c r="Z7" s="25"/>
      <c r="AA7" s="1" t="s">
        <v>24</v>
      </c>
      <c r="AB7" s="2">
        <f>AB$9*AB$10</f>
        <v>4.3333333333333342E-4</v>
      </c>
    </row>
    <row r="8" spans="1:32" x14ac:dyDescent="0.35">
      <c r="A8" s="2" t="s">
        <v>53</v>
      </c>
      <c r="B8" s="2">
        <f>AVERAGEA('1 EF25 P240'!B8, '2 EF25 P240'!B8, '3 EF25 P240'!B8)</f>
        <v>2700</v>
      </c>
      <c r="C8" s="19">
        <f t="shared" si="0"/>
        <v>45.00009</v>
      </c>
      <c r="D8" s="19">
        <f t="shared" si="1"/>
        <v>0.75000060000000002</v>
      </c>
      <c r="E8" s="3">
        <f t="shared" si="2"/>
        <v>7.500006E-4</v>
      </c>
      <c r="F8" s="19">
        <f t="shared" si="3"/>
        <v>1.730770615384615</v>
      </c>
      <c r="G8" s="19">
        <f t="shared" si="4"/>
        <v>2.9955669230788389</v>
      </c>
      <c r="H8" s="19">
        <f t="shared" si="5"/>
        <v>3.3643411530092298</v>
      </c>
      <c r="I8" s="2">
        <f>AVERAGEA('1 EF25 P240'!I8, '2 EF25 P240'!I8, '3 EF25 P240'!I8)</f>
        <v>2.7574733333333334</v>
      </c>
      <c r="J8" s="20">
        <f t="shared" si="6"/>
        <v>27.574733333333334</v>
      </c>
      <c r="K8" s="21">
        <f t="shared" si="7"/>
        <v>2757.4733333333334</v>
      </c>
      <c r="L8" s="3">
        <f t="shared" si="8"/>
        <v>24959.435551948049</v>
      </c>
      <c r="M8" s="4">
        <f t="shared" si="10"/>
        <v>12.729812973484851</v>
      </c>
      <c r="N8" s="4">
        <f t="shared" si="11"/>
        <v>3.3167223565052736E-2</v>
      </c>
      <c r="O8" s="4">
        <f t="shared" si="12"/>
        <v>8.2918058912631841E-3</v>
      </c>
      <c r="Q8" s="4">
        <f t="shared" si="13"/>
        <v>4.6056613780227655E-3</v>
      </c>
      <c r="R8" s="78">
        <f>AVERAGEA('1 EF25 P240'!Q8,'2 EF25 P240'!Q8,'3 EF25 P240'!Q8)</f>
        <v>1044996.4274444445</v>
      </c>
      <c r="S8" s="78">
        <f>AVERAGEA('1 EF25 P240'!R8,'2 EF25 P240'!R8,'3 EF25 P240'!R8)</f>
        <v>21655.727555555557</v>
      </c>
      <c r="T8" s="78">
        <f>AVERAGEA('1 EF25 P240'!S8,'2 EF25 P240'!S8,'3 EF25 P240'!S8)</f>
        <v>64.590333333333334</v>
      </c>
      <c r="V8" s="22">
        <v>0.2</v>
      </c>
      <c r="W8" s="23">
        <f t="shared" si="9"/>
        <v>2884.1991341991347</v>
      </c>
      <c r="X8" s="23">
        <f t="shared" si="14"/>
        <v>3.9845248611002228E-2</v>
      </c>
      <c r="Y8" s="23">
        <f t="shared" ref="Y8:Y31" si="15">0.0791/(W8^0.25)</f>
        <v>1.0793695770994099E-2</v>
      </c>
      <c r="Z8" s="25"/>
      <c r="AA8" s="2" t="s">
        <v>25</v>
      </c>
    </row>
    <row r="9" spans="1:32" ht="19" x14ac:dyDescent="0.4">
      <c r="A9" s="2" t="s">
        <v>54</v>
      </c>
      <c r="B9" s="2">
        <f>AVERAGEA('1 EF25 P240'!B9, '2 EF25 P240'!B9, '3 EF25 P240'!B9)</f>
        <v>3566.6666666666665</v>
      </c>
      <c r="C9" s="19">
        <f t="shared" si="0"/>
        <v>59.444563333333328</v>
      </c>
      <c r="D9" s="19">
        <f t="shared" si="1"/>
        <v>0.99074153333333337</v>
      </c>
      <c r="E9" s="3">
        <f t="shared" si="2"/>
        <v>9.9074153333333329E-4</v>
      </c>
      <c r="F9" s="19">
        <f t="shared" si="3"/>
        <v>2.2863266153846147</v>
      </c>
      <c r="G9" s="19">
        <f t="shared" si="4"/>
        <v>5.2272893922160675</v>
      </c>
      <c r="H9" s="19">
        <f t="shared" si="5"/>
        <v>4.4442531280492297</v>
      </c>
      <c r="I9" s="2">
        <f>AVERAGEA('1 EF25 P240'!I9, '2 EF25 P240'!I9, '3 EF25 P240'!I9)</f>
        <v>4.6484752150537636</v>
      </c>
      <c r="J9" s="20">
        <f t="shared" si="6"/>
        <v>46.484752150537638</v>
      </c>
      <c r="K9" s="21">
        <f t="shared" si="7"/>
        <v>4648.4752150537633</v>
      </c>
      <c r="L9" s="3">
        <f t="shared" si="8"/>
        <v>32971.106222943716</v>
      </c>
      <c r="M9" s="4">
        <f t="shared" si="10"/>
        <v>21.45958018313172</v>
      </c>
      <c r="N9" s="4">
        <f t="shared" si="11"/>
        <v>3.2041349491148743E-2</v>
      </c>
      <c r="O9" s="4">
        <f t="shared" si="12"/>
        <v>8.0103373727871859E-3</v>
      </c>
      <c r="Q9" s="4">
        <f t="shared" si="13"/>
        <v>4.381964530468227E-3</v>
      </c>
      <c r="R9" s="78">
        <f>AVERAGEA('1 EF25 P240'!Q9,'2 EF25 P240'!Q9,'3 EF25 P240'!Q9)</f>
        <v>1037823.4328888889</v>
      </c>
      <c r="S9" s="78">
        <f>AVERAGEA('1 EF25 P240'!R9,'2 EF25 P240'!R9,'3 EF25 P240'!R9)</f>
        <v>21794.080555555556</v>
      </c>
      <c r="T9" s="78">
        <f>AVERAGEA('1 EF25 P240'!S9,'2 EF25 P240'!S9,'3 EF25 P240'!S9)</f>
        <v>65.329222222222214</v>
      </c>
      <c r="V9" s="22">
        <v>0.3</v>
      </c>
      <c r="W9" s="23">
        <f t="shared" si="9"/>
        <v>4326.2987012987014</v>
      </c>
      <c r="X9" s="23">
        <f t="shared" si="14"/>
        <v>3.6004246479234003E-2</v>
      </c>
      <c r="Y9" s="23">
        <f t="shared" si="15"/>
        <v>9.7532051250253764E-3</v>
      </c>
      <c r="Z9" s="25"/>
      <c r="AA9" s="1" t="s">
        <v>26</v>
      </c>
      <c r="AB9" s="19">
        <v>0.05</v>
      </c>
      <c r="AE9" s="27" t="s">
        <v>27</v>
      </c>
    </row>
    <row r="10" spans="1:32" ht="18.5" x14ac:dyDescent="0.35">
      <c r="A10" s="2" t="s">
        <v>55</v>
      </c>
      <c r="B10" s="2">
        <f>AVERAGEA('1 EF25 P240'!B10, '2 EF25 P240'!B10, '3 EF25 P240'!B10)</f>
        <v>4350</v>
      </c>
      <c r="C10" s="19">
        <f t="shared" si="0"/>
        <v>72.500145000000003</v>
      </c>
      <c r="D10" s="19">
        <f t="shared" si="1"/>
        <v>1.2083343</v>
      </c>
      <c r="E10" s="3">
        <f t="shared" si="2"/>
        <v>1.2083343E-3</v>
      </c>
      <c r="F10" s="19">
        <f t="shared" si="3"/>
        <v>2.7884637692307686</v>
      </c>
      <c r="G10" s="19">
        <f t="shared" si="4"/>
        <v>7.7755301923126652</v>
      </c>
      <c r="H10" s="19">
        <f t="shared" si="5"/>
        <v>5.4203274131815373</v>
      </c>
      <c r="I10" s="2">
        <f>AVERAGEA('1 EF25 P240'!I10, '2 EF25 P240'!I10, '3 EF25 P240'!I10)</f>
        <v>6.8188644623655916</v>
      </c>
      <c r="J10" s="20">
        <f t="shared" si="6"/>
        <v>68.188644623655918</v>
      </c>
      <c r="K10" s="21">
        <f t="shared" si="7"/>
        <v>6818.8644623655919</v>
      </c>
      <c r="L10" s="3">
        <f t="shared" si="8"/>
        <v>40212.423944805189</v>
      </c>
      <c r="M10" s="4">
        <f t="shared" si="10"/>
        <v>31.479132816318426</v>
      </c>
      <c r="N10" s="4">
        <f t="shared" si="11"/>
        <v>3.1597947231384066E-2</v>
      </c>
      <c r="O10" s="4">
        <f t="shared" si="12"/>
        <v>7.8994868078460165E-3</v>
      </c>
      <c r="Q10" s="4">
        <f t="shared" si="13"/>
        <v>4.3944187721008977E-3</v>
      </c>
      <c r="R10" s="78">
        <f>AVERAGEA('1 EF25 P240'!Q10,'2 EF25 P240'!Q10,'3 EF25 P240'!Q10)</f>
        <v>1049610.6315555556</v>
      </c>
      <c r="S10" s="78">
        <f>AVERAGEA('1 EF25 P240'!R10,'2 EF25 P240'!R10,'3 EF25 P240'!R10)</f>
        <v>21916.073</v>
      </c>
      <c r="T10" s="78">
        <f>AVERAGEA('1 EF25 P240'!S10,'2 EF25 P240'!S10,'3 EF25 P240'!S10)</f>
        <v>64.043166666666664</v>
      </c>
      <c r="V10" s="22">
        <v>0.4</v>
      </c>
      <c r="W10" s="23">
        <f t="shared" si="9"/>
        <v>5768.3982683982695</v>
      </c>
      <c r="X10" s="23">
        <f t="shared" si="14"/>
        <v>3.3505726721884836E-2</v>
      </c>
      <c r="Y10" s="23">
        <f t="shared" si="15"/>
        <v>9.0763800811681193E-3</v>
      </c>
      <c r="Z10" s="25"/>
      <c r="AA10" s="1" t="s">
        <v>28</v>
      </c>
      <c r="AB10" s="19">
        <f>AVERAGE('1 EF25 P240'!AA10,'2 EF25 P240'!AA10,'3 EF25 P240'!AB10)</f>
        <v>8.666666666666668E-3</v>
      </c>
      <c r="AE10" s="28" t="s">
        <v>29</v>
      </c>
      <c r="AF10" s="2" t="s">
        <v>30</v>
      </c>
    </row>
    <row r="11" spans="1:32" ht="16.5" x14ac:dyDescent="0.4">
      <c r="A11" s="2" t="s">
        <v>56</v>
      </c>
      <c r="B11" s="2">
        <f>AVERAGEA('1 EF25 P240'!B11, '2 EF25 P240'!B11, '3 EF25 P240'!B11)</f>
        <v>5066.666666666667</v>
      </c>
      <c r="C11" s="19">
        <f t="shared" si="0"/>
        <v>84.444613333333336</v>
      </c>
      <c r="D11" s="19">
        <f t="shared" si="1"/>
        <v>1.4074085333333335</v>
      </c>
      <c r="E11" s="3">
        <f t="shared" si="2"/>
        <v>1.4074085333333336E-3</v>
      </c>
      <c r="F11" s="19">
        <f t="shared" si="3"/>
        <v>3.2478658461538461</v>
      </c>
      <c r="G11" s="19">
        <f t="shared" si="4"/>
        <v>10.548632554612638</v>
      </c>
      <c r="H11" s="19">
        <f t="shared" si="5"/>
        <v>6.3133315463876922</v>
      </c>
      <c r="I11" s="2">
        <f>AVERAGEA('1 EF25 P240'!I11, '2 EF25 P240'!I11, '3 EF25 P240'!I11)</f>
        <v>8.3778086021505391</v>
      </c>
      <c r="J11" s="20">
        <f t="shared" si="6"/>
        <v>83.778086021505388</v>
      </c>
      <c r="K11" s="21">
        <f t="shared" si="7"/>
        <v>8377.8086021505387</v>
      </c>
      <c r="L11" s="3">
        <f t="shared" si="8"/>
        <v>46837.459307359313</v>
      </c>
      <c r="M11" s="4">
        <f t="shared" si="10"/>
        <v>38.675963007087013</v>
      </c>
      <c r="N11" s="4">
        <f t="shared" si="11"/>
        <v>2.8616142720552313E-2</v>
      </c>
      <c r="O11" s="4">
        <f t="shared" si="12"/>
        <v>7.1540356801380782E-3</v>
      </c>
      <c r="Q11" s="4">
        <f t="shared" si="13"/>
        <v>2.9249415912005637E-3</v>
      </c>
      <c r="R11" s="78">
        <f>AVERAGEA('1 EF25 P240'!Q11,'2 EF25 P240'!Q11,'3 EF25 P240'!Q11)</f>
        <v>1043511.9251111111</v>
      </c>
      <c r="S11" s="78">
        <f>AVERAGEA('1 EF25 P240'!R11,'2 EF25 P240'!R11,'3 EF25 P240'!R11)</f>
        <v>22066.766333333333</v>
      </c>
      <c r="T11" s="78">
        <f>AVERAGEA('1 EF25 P240'!S11,'2 EF25 P240'!S11,'3 EF25 P240'!S11)</f>
        <v>64.469333333333338</v>
      </c>
      <c r="V11" s="22">
        <v>0.5</v>
      </c>
      <c r="W11" s="23">
        <f t="shared" si="9"/>
        <v>7210.4978354978366</v>
      </c>
      <c r="X11" s="23">
        <f t="shared" si="14"/>
        <v>3.1687759900776061E-2</v>
      </c>
      <c r="Y11" s="23">
        <f t="shared" si="15"/>
        <v>8.5839103018883114E-3</v>
      </c>
      <c r="Z11" s="25"/>
      <c r="AA11" s="1" t="s">
        <v>31</v>
      </c>
      <c r="AB11" s="4">
        <f>2*(AB9*AB10)/(AB9+AB10)</f>
        <v>1.4772727272727274E-2</v>
      </c>
      <c r="AC11" s="1">
        <f>10*AB11*100</f>
        <v>14.772727272727273</v>
      </c>
      <c r="AE11" s="27" t="s">
        <v>32</v>
      </c>
      <c r="AF11" s="2" t="s">
        <v>33</v>
      </c>
    </row>
    <row r="12" spans="1:32" ht="18.5" x14ac:dyDescent="0.35">
      <c r="A12" s="2" t="s">
        <v>63</v>
      </c>
      <c r="B12" s="2">
        <f>AVERAGEA( '2 EF25 P240'!B12, '3 EF25 P240'!B12)</f>
        <v>5600</v>
      </c>
      <c r="C12" s="19">
        <f t="shared" si="0"/>
        <v>93.333519999999993</v>
      </c>
      <c r="D12" s="19">
        <f t="shared" si="1"/>
        <v>1.5555568</v>
      </c>
      <c r="E12" s="3">
        <f t="shared" si="2"/>
        <v>1.5555568000000001E-3</v>
      </c>
      <c r="F12" s="19">
        <f t="shared" si="3"/>
        <v>3.5897464615384611</v>
      </c>
      <c r="G12" s="19">
        <f t="shared" si="4"/>
        <v>12.886279658127902</v>
      </c>
      <c r="H12" s="19">
        <f t="shared" si="5"/>
        <v>6.9778927617969222</v>
      </c>
      <c r="I12" s="19">
        <f>AVERAGE('2 EF25 P240'!I12, '3 EF25 P240'!I12)</f>
        <v>8.7553387096774209</v>
      </c>
      <c r="J12" s="20">
        <f t="shared" si="6"/>
        <v>87.553387096774202</v>
      </c>
      <c r="K12" s="21">
        <f t="shared" si="7"/>
        <v>8755.3387096774204</v>
      </c>
      <c r="L12" s="3">
        <f t="shared" si="8"/>
        <v>51767.718181818185</v>
      </c>
      <c r="M12" s="4">
        <f t="shared" si="10"/>
        <v>40.41882216825514</v>
      </c>
      <c r="N12" s="4">
        <f t="shared" si="11"/>
        <v>2.4480609319975508E-2</v>
      </c>
      <c r="O12" s="4">
        <f t="shared" si="12"/>
        <v>6.1201523299938771E-3</v>
      </c>
      <c r="Q12" s="4">
        <f t="shared" si="13"/>
        <v>1.2114730933223191E-3</v>
      </c>
      <c r="R12" s="78">
        <f>AVERAGEA('1 EF25 P240'!Q12,'2 EF25 P240'!Q12,'3 EF25 P240'!Q12)</f>
        <v>1066293.8119999999</v>
      </c>
      <c r="S12" s="78">
        <f>AVERAGEA('1 EF25 P240'!R12,'2 EF25 P240'!R12,'3 EF25 P240'!R12)</f>
        <v>21884.416833333336</v>
      </c>
      <c r="T12" s="78">
        <f>AVERAGEA('1 EF25 P240'!S12,'2 EF25 P240'!S12,'3 EF25 P240'!S12)</f>
        <v>64.34341666666667</v>
      </c>
      <c r="V12" s="22">
        <v>0.6</v>
      </c>
      <c r="W12" s="23">
        <f t="shared" si="9"/>
        <v>8652.5974025974028</v>
      </c>
      <c r="X12" s="23">
        <f t="shared" si="14"/>
        <v>3.0275841798299057E-2</v>
      </c>
      <c r="Y12" s="23">
        <f t="shared" si="15"/>
        <v>8.2014352268679983E-3</v>
      </c>
      <c r="Z12" s="25"/>
      <c r="AA12" s="1" t="s">
        <v>34</v>
      </c>
      <c r="AB12" s="31">
        <f>AB$16/AB$15</f>
        <v>1.024390243902439E-6</v>
      </c>
    </row>
    <row r="13" spans="1:32" ht="16.5" x14ac:dyDescent="0.4">
      <c r="C13" s="19"/>
      <c r="D13" s="19"/>
      <c r="E13" s="3"/>
      <c r="F13" s="19"/>
      <c r="G13" s="19"/>
      <c r="H13" s="19"/>
      <c r="J13" s="20"/>
      <c r="K13" s="21"/>
      <c r="R13" s="78"/>
      <c r="S13" s="61"/>
      <c r="T13" s="79"/>
      <c r="V13" s="22">
        <v>0.7</v>
      </c>
      <c r="W13" s="23">
        <f t="shared" si="9"/>
        <v>10094.69696969697</v>
      </c>
      <c r="X13" s="23">
        <f t="shared" si="14"/>
        <v>2.9131277471376744E-2</v>
      </c>
      <c r="Y13" s="23">
        <f t="shared" si="15"/>
        <v>7.891383725979112E-3</v>
      </c>
      <c r="Z13" s="25"/>
      <c r="AA13" s="1" t="s">
        <v>35</v>
      </c>
      <c r="AB13" s="32">
        <v>0.8</v>
      </c>
      <c r="AE13" s="27" t="s">
        <v>36</v>
      </c>
      <c r="AF13" s="1" t="s">
        <v>37</v>
      </c>
    </row>
    <row r="14" spans="1:32" x14ac:dyDescent="0.35">
      <c r="A14" s="32"/>
      <c r="B14" s="32"/>
      <c r="C14" s="132"/>
      <c r="D14" s="132"/>
      <c r="E14" s="130"/>
      <c r="F14" s="132"/>
      <c r="G14" s="132"/>
      <c r="H14" s="132"/>
      <c r="I14" s="32"/>
      <c r="J14" s="34"/>
      <c r="K14" s="133"/>
      <c r="L14" s="130"/>
      <c r="M14" s="5"/>
      <c r="N14" s="5"/>
      <c r="O14" s="5"/>
      <c r="P14" s="5"/>
      <c r="Q14" s="5"/>
      <c r="R14" s="78"/>
      <c r="S14" s="61"/>
      <c r="T14" s="79"/>
      <c r="V14" s="22">
        <v>0.8</v>
      </c>
      <c r="W14" s="23">
        <f t="shared" si="9"/>
        <v>11536.796536796539</v>
      </c>
      <c r="X14" s="23">
        <f t="shared" si="14"/>
        <v>2.8174845490903547E-2</v>
      </c>
      <c r="Y14" s="23">
        <f t="shared" si="15"/>
        <v>7.632295473734489E-3</v>
      </c>
      <c r="Z14" s="25"/>
      <c r="AB14" s="32"/>
    </row>
    <row r="15" spans="1:32" x14ac:dyDescent="0.35">
      <c r="A15" s="32"/>
      <c r="B15" s="32"/>
      <c r="C15" s="132"/>
      <c r="D15" s="132"/>
      <c r="E15" s="130"/>
      <c r="F15" s="132"/>
      <c r="G15" s="132"/>
      <c r="H15" s="132"/>
      <c r="I15" s="32"/>
      <c r="J15" s="34"/>
      <c r="K15" s="133"/>
      <c r="L15" s="130"/>
      <c r="M15" s="5"/>
      <c r="N15" s="5"/>
      <c r="O15" s="5"/>
      <c r="P15" s="5"/>
      <c r="Q15" s="5"/>
      <c r="R15" s="78"/>
      <c r="S15" s="61"/>
      <c r="T15" s="79"/>
      <c r="U15" s="34"/>
      <c r="V15" s="22">
        <v>0.9</v>
      </c>
      <c r="W15" s="23">
        <f t="shared" si="9"/>
        <v>12978.896103896106</v>
      </c>
      <c r="X15" s="23">
        <f t="shared" si="14"/>
        <v>2.7357311309917705E-2</v>
      </c>
      <c r="Y15" s="23">
        <f t="shared" si="15"/>
        <v>7.4108333034742834E-3</v>
      </c>
      <c r="Z15" s="25"/>
      <c r="AA15" s="2" t="s">
        <v>38</v>
      </c>
      <c r="AB15" s="32">
        <v>1025</v>
      </c>
      <c r="AC15" s="32"/>
    </row>
    <row r="16" spans="1:32" x14ac:dyDescent="0.35">
      <c r="A16" s="32"/>
      <c r="B16" s="136"/>
      <c r="C16" s="132"/>
      <c r="D16" s="132"/>
      <c r="E16" s="130"/>
      <c r="F16" s="132"/>
      <c r="G16" s="132"/>
      <c r="H16" s="132"/>
      <c r="I16" s="32"/>
      <c r="J16" s="34"/>
      <c r="K16" s="133"/>
      <c r="L16" s="130"/>
      <c r="M16" s="5"/>
      <c r="N16" s="5"/>
      <c r="O16" s="5"/>
      <c r="P16" s="5"/>
      <c r="Q16" s="5"/>
      <c r="R16" s="78"/>
      <c r="S16" s="61"/>
      <c r="T16" s="79"/>
      <c r="V16" s="22">
        <v>1</v>
      </c>
      <c r="W16" s="23">
        <f t="shared" si="9"/>
        <v>14420.995670995673</v>
      </c>
      <c r="X16" s="23">
        <f t="shared" si="14"/>
        <v>2.6646123707982989E-2</v>
      </c>
      <c r="Y16" s="23">
        <f t="shared" si="15"/>
        <v>7.2181794017173104E-3</v>
      </c>
      <c r="Z16" s="25"/>
      <c r="AA16" s="2" t="s">
        <v>39</v>
      </c>
      <c r="AB16" s="32">
        <v>1.0499999999999999E-3</v>
      </c>
    </row>
    <row r="17" spans="1:34" x14ac:dyDescent="0.35">
      <c r="A17" s="32"/>
      <c r="B17" s="32"/>
      <c r="C17" s="132"/>
      <c r="D17" s="132"/>
      <c r="E17" s="130"/>
      <c r="F17" s="132"/>
      <c r="G17" s="132"/>
      <c r="H17" s="132"/>
      <c r="I17" s="32"/>
      <c r="J17" s="34"/>
      <c r="K17" s="133"/>
      <c r="L17" s="130"/>
      <c r="M17" s="5"/>
      <c r="N17" s="5"/>
      <c r="O17" s="5"/>
      <c r="P17" s="5"/>
      <c r="Q17" s="5"/>
      <c r="R17" s="78"/>
      <c r="S17" s="61"/>
      <c r="T17" s="79"/>
      <c r="U17" s="14"/>
      <c r="V17" s="22">
        <v>1.1000000000000001</v>
      </c>
      <c r="W17" s="23">
        <f t="shared" si="9"/>
        <v>15863.095238095242</v>
      </c>
      <c r="X17" s="23">
        <f t="shared" si="14"/>
        <v>2.601871646868089E-2</v>
      </c>
      <c r="Y17" s="23">
        <f t="shared" si="15"/>
        <v>7.0482207968241735E-3</v>
      </c>
      <c r="Z17" s="25"/>
      <c r="AA17" s="2" t="s">
        <v>161</v>
      </c>
      <c r="AB17" s="2">
        <v>19</v>
      </c>
    </row>
    <row r="18" spans="1:34" x14ac:dyDescent="0.35">
      <c r="A18" s="32"/>
      <c r="B18" s="32"/>
      <c r="C18" s="132"/>
      <c r="D18" s="132"/>
      <c r="E18" s="130"/>
      <c r="F18" s="132"/>
      <c r="G18" s="132"/>
      <c r="H18" s="132"/>
      <c r="I18" s="32"/>
      <c r="J18" s="34"/>
      <c r="K18" s="133"/>
      <c r="L18" s="130"/>
      <c r="M18" s="5"/>
      <c r="N18" s="5"/>
      <c r="O18" s="5"/>
      <c r="P18" s="5"/>
      <c r="Q18" s="5"/>
      <c r="R18" s="78"/>
      <c r="S18" s="61"/>
      <c r="T18" s="79"/>
      <c r="V18" s="22">
        <v>1.2</v>
      </c>
      <c r="W18" s="23">
        <f t="shared" si="9"/>
        <v>17305.194805194806</v>
      </c>
      <c r="X18" s="23">
        <f t="shared" si="14"/>
        <v>2.5458846836978251E-2</v>
      </c>
      <c r="Y18" s="23">
        <f t="shared" si="15"/>
        <v>6.8965574822088347E-3</v>
      </c>
      <c r="Z18" s="25"/>
      <c r="AA18" s="1"/>
      <c r="AB18" s="1">
        <f>AVERAGE('1 EF25 P240'!AA17,'2 EF25 P240'!AA17,'3 EF25 P240'!AB17)</f>
        <v>18.666666666666668</v>
      </c>
      <c r="AE18" s="119" t="s">
        <v>40</v>
      </c>
      <c r="AF18" s="119"/>
      <c r="AG18" s="119"/>
      <c r="AH18" s="119"/>
    </row>
    <row r="19" spans="1:34" x14ac:dyDescent="0.35">
      <c r="A19" s="24"/>
      <c r="B19" s="131"/>
      <c r="C19" s="132"/>
      <c r="D19" s="132"/>
      <c r="E19" s="130"/>
      <c r="F19" s="132"/>
      <c r="G19" s="132"/>
      <c r="H19" s="132"/>
      <c r="I19" s="34"/>
      <c r="J19" s="34"/>
      <c r="K19" s="133"/>
      <c r="L19" s="130"/>
      <c r="M19" s="5"/>
      <c r="N19" s="5"/>
      <c r="O19" s="5"/>
      <c r="P19" s="5"/>
      <c r="Q19" s="5"/>
      <c r="R19" s="70"/>
      <c r="S19" s="25"/>
      <c r="T19" s="73"/>
      <c r="V19" s="22">
        <v>1.3</v>
      </c>
      <c r="W19" s="23">
        <f t="shared" si="9"/>
        <v>18747.294372294375</v>
      </c>
      <c r="X19" s="23">
        <f t="shared" si="14"/>
        <v>2.495446145535531E-2</v>
      </c>
      <c r="Y19" s="23">
        <f t="shared" si="15"/>
        <v>6.7599243188993328E-3</v>
      </c>
      <c r="Z19" s="25"/>
      <c r="AE19" s="120" t="s">
        <v>41</v>
      </c>
      <c r="AF19" s="119" t="s">
        <v>42</v>
      </c>
      <c r="AG19" s="119" t="s">
        <v>43</v>
      </c>
      <c r="AH19" s="119" t="s">
        <v>44</v>
      </c>
    </row>
    <row r="20" spans="1:34" x14ac:dyDescent="0.35">
      <c r="A20" s="24"/>
      <c r="B20" s="18"/>
      <c r="C20" s="19"/>
      <c r="D20" s="19"/>
      <c r="E20" s="3"/>
      <c r="F20" s="19"/>
      <c r="G20" s="19"/>
      <c r="H20" s="19"/>
      <c r="I20" s="20"/>
      <c r="J20" s="20"/>
      <c r="K20" s="21"/>
      <c r="R20" s="70"/>
      <c r="S20" s="25"/>
      <c r="T20" s="73"/>
      <c r="V20" s="22">
        <v>1.4</v>
      </c>
      <c r="W20" s="23">
        <f t="shared" si="9"/>
        <v>20189.39393939394</v>
      </c>
      <c r="X20" s="23">
        <f t="shared" si="14"/>
        <v>2.4496386797442E-2</v>
      </c>
      <c r="Y20" s="23">
        <f t="shared" si="15"/>
        <v>6.6358362865673376E-3</v>
      </c>
      <c r="Z20" s="25"/>
      <c r="AA20" s="1" t="s">
        <v>45</v>
      </c>
      <c r="AB20" s="1">
        <f>4*10^(-6)</f>
        <v>3.9999999999999998E-6</v>
      </c>
      <c r="AE20" s="120" t="s">
        <v>46</v>
      </c>
      <c r="AF20" s="119" t="s">
        <v>47</v>
      </c>
      <c r="AG20" s="119" t="s">
        <v>48</v>
      </c>
      <c r="AH20" s="119" t="s">
        <v>49</v>
      </c>
    </row>
    <row r="21" spans="1:34" x14ac:dyDescent="0.35">
      <c r="A21" s="24"/>
      <c r="B21" s="18"/>
      <c r="C21" s="19"/>
      <c r="D21" s="19"/>
      <c r="E21" s="43"/>
      <c r="F21" s="19"/>
      <c r="G21" s="19"/>
      <c r="H21" s="19"/>
      <c r="I21" s="20"/>
      <c r="J21" s="20"/>
      <c r="K21" s="21"/>
      <c r="R21" s="70"/>
      <c r="S21" s="25"/>
      <c r="T21" s="73"/>
      <c r="V21" s="22">
        <v>1.5</v>
      </c>
      <c r="W21" s="23">
        <f t="shared" si="9"/>
        <v>21631.493506493509</v>
      </c>
      <c r="X21" s="23">
        <f t="shared" si="14"/>
        <v>2.4077490770969222E-2</v>
      </c>
      <c r="Y21" s="23">
        <f t="shared" si="15"/>
        <v>6.5223613698070738E-3</v>
      </c>
      <c r="Z21" s="25"/>
      <c r="AA21" s="1" t="s">
        <v>50</v>
      </c>
      <c r="AB21" s="2">
        <f>AB20/AB11</f>
        <v>2.7076923076923073E-4</v>
      </c>
      <c r="AE21" s="119">
        <v>0</v>
      </c>
      <c r="AF21" s="119">
        <v>1.792E-3</v>
      </c>
      <c r="AG21" s="119">
        <v>999.87</v>
      </c>
      <c r="AH21" s="121">
        <v>1.7922329902887374E-6</v>
      </c>
    </row>
    <row r="22" spans="1:34" x14ac:dyDescent="0.35">
      <c r="A22" s="24"/>
      <c r="B22" s="18"/>
      <c r="C22" s="19"/>
      <c r="D22" s="19"/>
      <c r="E22" s="3"/>
      <c r="F22" s="19"/>
      <c r="G22" s="19"/>
      <c r="H22" s="19"/>
      <c r="I22" s="20"/>
      <c r="J22" s="20"/>
      <c r="K22" s="21"/>
      <c r="Q22" s="43"/>
      <c r="R22" s="70"/>
      <c r="S22" s="25"/>
      <c r="T22" s="73"/>
      <c r="V22" s="22">
        <v>1.6</v>
      </c>
      <c r="W22" s="23">
        <f t="shared" si="9"/>
        <v>23073.593073593078</v>
      </c>
      <c r="X22" s="23">
        <f t="shared" si="14"/>
        <v>2.3692126573628076E-2</v>
      </c>
      <c r="Y22" s="23">
        <f t="shared" si="15"/>
        <v>6.4179699040204825E-3</v>
      </c>
      <c r="Z22" s="25"/>
      <c r="AE22" s="119">
        <v>5</v>
      </c>
      <c r="AF22" s="119">
        <v>1.519E-3</v>
      </c>
      <c r="AG22" s="119">
        <v>999.99</v>
      </c>
      <c r="AH22" s="121">
        <v>1.5190151901519014E-6</v>
      </c>
    </row>
    <row r="23" spans="1:34" x14ac:dyDescent="0.35">
      <c r="B23" s="18"/>
      <c r="C23" s="19"/>
      <c r="D23" s="19"/>
      <c r="E23" s="3"/>
      <c r="F23" s="3"/>
      <c r="G23" s="19"/>
      <c r="H23" s="19"/>
      <c r="I23" s="19"/>
      <c r="J23" s="20"/>
      <c r="K23" s="21"/>
      <c r="R23" s="70"/>
      <c r="S23" s="25"/>
      <c r="T23" s="73"/>
      <c r="V23" s="22">
        <v>1.7</v>
      </c>
      <c r="W23" s="23">
        <f t="shared" si="9"/>
        <v>24515.692640692643</v>
      </c>
      <c r="X23" s="23">
        <f t="shared" si="14"/>
        <v>2.3335752472713227E-2</v>
      </c>
      <c r="Y23" s="23">
        <f t="shared" si="15"/>
        <v>6.3214315773685494E-3</v>
      </c>
      <c r="Z23" s="25"/>
      <c r="AA23" s="40"/>
      <c r="AE23" s="119">
        <f>AE22+5</f>
        <v>10</v>
      </c>
      <c r="AF23" s="119">
        <v>1.3079999999999999E-3</v>
      </c>
      <c r="AG23" s="119">
        <v>999.73</v>
      </c>
      <c r="AH23" s="121">
        <v>1.3083532553789522E-6</v>
      </c>
    </row>
    <row r="24" spans="1:34" x14ac:dyDescent="0.35">
      <c r="B24" s="18"/>
      <c r="C24" s="19"/>
      <c r="D24" s="19"/>
      <c r="E24" s="3"/>
      <c r="F24" s="3"/>
      <c r="G24" s="19"/>
      <c r="H24" s="19"/>
      <c r="I24" s="19"/>
      <c r="J24" s="20"/>
      <c r="K24" s="21"/>
      <c r="R24" s="71"/>
      <c r="S24" s="4"/>
      <c r="T24" s="74"/>
      <c r="V24" s="22">
        <v>1.8</v>
      </c>
      <c r="W24" s="23">
        <f t="shared" si="9"/>
        <v>25957.792207792212</v>
      </c>
      <c r="X24" s="23">
        <f t="shared" si="14"/>
        <v>2.3004665011489702E-2</v>
      </c>
      <c r="Y24" s="23">
        <f t="shared" si="15"/>
        <v>6.2317431589343688E-3</v>
      </c>
      <c r="Z24" s="4"/>
      <c r="AA24" s="40"/>
      <c r="AE24" s="119" t="e">
        <f>#REF!+5</f>
        <v>#REF!</v>
      </c>
      <c r="AF24" s="119">
        <v>1.005E-3</v>
      </c>
      <c r="AG24" s="119">
        <v>998.23</v>
      </c>
      <c r="AH24" s="121">
        <v>1.0067820041473407E-6</v>
      </c>
    </row>
    <row r="25" spans="1:34" x14ac:dyDescent="0.35">
      <c r="B25" s="18"/>
      <c r="C25" s="19"/>
      <c r="D25" s="19"/>
      <c r="E25" s="3"/>
      <c r="F25" s="3"/>
      <c r="G25" s="19"/>
      <c r="H25" s="19"/>
      <c r="I25" s="19"/>
      <c r="J25" s="20"/>
      <c r="K25" s="21"/>
      <c r="R25" s="71"/>
      <c r="S25" s="4"/>
      <c r="T25" s="74"/>
      <c r="V25" s="22">
        <v>1.9</v>
      </c>
      <c r="W25" s="23">
        <f t="shared" si="9"/>
        <v>27399.891774891774</v>
      </c>
      <c r="X25" s="23">
        <f t="shared" si="14"/>
        <v>2.2695807518877394E-2</v>
      </c>
      <c r="Y25" s="23">
        <f t="shared" si="15"/>
        <v>6.1480766258328844E-3</v>
      </c>
      <c r="Z25" s="4"/>
      <c r="AA25" s="40"/>
      <c r="AE25" s="119">
        <v>25</v>
      </c>
      <c r="AF25" s="119">
        <v>8.9400000000000005E-4</v>
      </c>
      <c r="AG25" s="119">
        <v>997.07</v>
      </c>
      <c r="AH25" s="121">
        <v>8.9662711745414066E-7</v>
      </c>
    </row>
    <row r="26" spans="1:34" x14ac:dyDescent="0.35">
      <c r="N26" s="22"/>
      <c r="R26" s="71"/>
      <c r="S26" s="4"/>
      <c r="T26" s="74"/>
      <c r="V26" s="22">
        <v>2</v>
      </c>
      <c r="W26" s="23">
        <f t="shared" si="9"/>
        <v>28841.991341991346</v>
      </c>
      <c r="X26" s="23">
        <f t="shared" si="14"/>
        <v>2.2406629906449912E-2</v>
      </c>
      <c r="Y26" s="23">
        <f t="shared" si="15"/>
        <v>6.0697411835622887E-3</v>
      </c>
      <c r="Z26" s="4"/>
      <c r="AA26" s="40"/>
      <c r="AE26" s="32"/>
      <c r="AF26" s="32"/>
      <c r="AG26" s="32"/>
      <c r="AH26" s="32"/>
    </row>
    <row r="27" spans="1:34" x14ac:dyDescent="0.35">
      <c r="K27" s="1"/>
      <c r="L27" s="4"/>
      <c r="N27" s="22"/>
      <c r="R27" s="71"/>
      <c r="S27" s="4"/>
      <c r="T27" s="74"/>
      <c r="V27" s="22">
        <v>2.1</v>
      </c>
      <c r="W27" s="23">
        <f t="shared" si="9"/>
        <v>30284.090909090915</v>
      </c>
      <c r="X27" s="23">
        <f t="shared" si="14"/>
        <v>2.2134984191370333E-2</v>
      </c>
      <c r="Y27" s="23">
        <f t="shared" si="15"/>
        <v>5.996154964169156E-3</v>
      </c>
      <c r="Z27" s="4"/>
      <c r="AA27" s="40"/>
      <c r="AE27" s="32"/>
      <c r="AF27" s="32"/>
      <c r="AG27" s="32"/>
      <c r="AH27" s="32"/>
    </row>
    <row r="28" spans="1:34" x14ac:dyDescent="0.35">
      <c r="R28" s="71"/>
      <c r="S28" s="4"/>
      <c r="T28" s="74"/>
      <c r="V28" s="22">
        <v>2.2000000000000002</v>
      </c>
      <c r="W28" s="23">
        <f t="shared" si="9"/>
        <v>31726.190476190484</v>
      </c>
      <c r="X28" s="23">
        <f t="shared" si="14"/>
        <v>2.1879045408016547E-2</v>
      </c>
      <c r="Y28" s="23">
        <f t="shared" si="15"/>
        <v>5.9268236019661266E-3</v>
      </c>
      <c r="Z28" s="4"/>
      <c r="AA28" s="40"/>
      <c r="AE28" s="32"/>
      <c r="AF28" s="32"/>
      <c r="AG28" s="32"/>
      <c r="AH28" s="32"/>
    </row>
    <row r="29" spans="1:34" x14ac:dyDescent="0.35">
      <c r="L29" s="41"/>
      <c r="R29" s="71"/>
      <c r="S29" s="4"/>
      <c r="T29" s="74"/>
      <c r="V29" s="22">
        <v>2.2999999999999998</v>
      </c>
      <c r="W29" s="23">
        <f t="shared" si="9"/>
        <v>33168.29004329005</v>
      </c>
      <c r="X29" s="23">
        <f t="shared" si="14"/>
        <v>2.1637250887566978E-2</v>
      </c>
      <c r="Y29" s="23">
        <f t="shared" si="15"/>
        <v>5.8613237849539325E-3</v>
      </c>
      <c r="Z29" s="4"/>
      <c r="AA29" s="40"/>
      <c r="AE29" s="32"/>
      <c r="AF29" s="32"/>
      <c r="AG29" s="32"/>
      <c r="AH29" s="32"/>
    </row>
    <row r="30" spans="1:34" x14ac:dyDescent="0.35">
      <c r="R30" s="71"/>
      <c r="S30" s="4"/>
      <c r="T30" s="74"/>
      <c r="V30" s="22">
        <v>2.4</v>
      </c>
      <c r="W30" s="23">
        <f t="shared" si="9"/>
        <v>34610.389610389611</v>
      </c>
      <c r="X30" s="23">
        <f t="shared" si="14"/>
        <v>2.1408253041708382E-2</v>
      </c>
      <c r="Y30" s="23">
        <f t="shared" si="15"/>
        <v>5.7992904643805925E-3</v>
      </c>
      <c r="Z30" s="4"/>
      <c r="AA30" s="40"/>
      <c r="AE30" s="32"/>
      <c r="AF30" s="32"/>
      <c r="AG30" s="32"/>
      <c r="AH30" s="32"/>
    </row>
    <row r="31" spans="1:34" x14ac:dyDescent="0.35">
      <c r="F31" s="1"/>
      <c r="G31" s="1"/>
      <c r="R31" s="71"/>
      <c r="S31" s="4"/>
      <c r="T31" s="74"/>
      <c r="V31" s="22">
        <v>2.5</v>
      </c>
      <c r="W31" s="23">
        <f t="shared" si="9"/>
        <v>36052.48917748918</v>
      </c>
      <c r="X31" s="23">
        <f t="shared" si="14"/>
        <v>2.119088222006462E-2</v>
      </c>
      <c r="Y31" s="23">
        <f t="shared" si="15"/>
        <v>5.7404067931750404E-3</v>
      </c>
      <c r="Z31" s="4"/>
      <c r="AA31" s="40"/>
      <c r="AE31" s="32"/>
      <c r="AF31" s="32"/>
      <c r="AG31" s="32"/>
      <c r="AH31" s="32"/>
    </row>
    <row r="32" spans="1:34" x14ac:dyDescent="0.35">
      <c r="G32" s="19"/>
      <c r="R32" s="71"/>
      <c r="S32" s="4"/>
      <c r="T32" s="74"/>
      <c r="Z32" s="4"/>
      <c r="AA32" s="40"/>
    </row>
    <row r="33" spans="7:28" x14ac:dyDescent="0.35">
      <c r="G33" s="19"/>
      <c r="R33" s="71"/>
      <c r="S33" s="4"/>
      <c r="T33" s="74"/>
      <c r="Z33" s="4"/>
      <c r="AA33" s="40"/>
      <c r="AB33" s="1" t="s">
        <v>51</v>
      </c>
    </row>
    <row r="34" spans="7:28" x14ac:dyDescent="0.35">
      <c r="G34" s="19"/>
      <c r="R34" s="71"/>
      <c r="S34" s="4"/>
      <c r="T34" s="74"/>
      <c r="Z34" s="4"/>
      <c r="AA34" s="40"/>
    </row>
    <row r="35" spans="7:28" x14ac:dyDescent="0.35">
      <c r="G35" s="19"/>
      <c r="R35" s="71"/>
      <c r="S35" s="4"/>
      <c r="T35" s="74"/>
      <c r="Z35" s="4"/>
      <c r="AA35" s="40"/>
    </row>
    <row r="36" spans="7:28" x14ac:dyDescent="0.35">
      <c r="G36" s="19"/>
      <c r="R36" s="71"/>
      <c r="S36" s="4"/>
      <c r="T36" s="74"/>
      <c r="Z36" s="4"/>
    </row>
    <row r="37" spans="7:28" x14ac:dyDescent="0.35">
      <c r="G37" s="19"/>
      <c r="R37" s="71"/>
      <c r="S37" s="4"/>
      <c r="T37" s="74"/>
      <c r="Z37" s="4"/>
    </row>
    <row r="38" spans="7:28" x14ac:dyDescent="0.35">
      <c r="S38" s="68"/>
      <c r="T38" s="2"/>
      <c r="Z38" s="4"/>
    </row>
    <row r="39" spans="7:28" x14ac:dyDescent="0.35">
      <c r="S39" s="43"/>
      <c r="T39" s="88"/>
      <c r="V39" s="4"/>
      <c r="W39" s="16"/>
      <c r="X39" s="16"/>
      <c r="Y39" s="4"/>
      <c r="Z39" s="4"/>
    </row>
    <row r="40" spans="7:28" x14ac:dyDescent="0.35">
      <c r="S40" s="43"/>
      <c r="T40" s="88"/>
      <c r="V40" s="4"/>
      <c r="W40" s="16"/>
      <c r="X40" s="16"/>
      <c r="Y40" s="4"/>
      <c r="Z40" s="4"/>
    </row>
    <row r="41" spans="7:28" x14ac:dyDescent="0.35">
      <c r="S41" s="43"/>
      <c r="T41" s="88"/>
      <c r="V41" s="4"/>
      <c r="W41" s="16"/>
      <c r="X41" s="16"/>
      <c r="Y41" s="4"/>
      <c r="Z41" s="4"/>
    </row>
    <row r="42" spans="7:28" x14ac:dyDescent="0.35">
      <c r="R42" s="71"/>
      <c r="S42" s="4"/>
      <c r="T42" s="74"/>
      <c r="V42" s="4"/>
      <c r="W42" s="16"/>
      <c r="X42" s="16"/>
      <c r="Y42" s="4"/>
      <c r="Z42" s="4"/>
    </row>
    <row r="43" spans="7:28" x14ac:dyDescent="0.35">
      <c r="R43" s="71"/>
      <c r="S43" s="4"/>
      <c r="T43" s="74"/>
      <c r="V43" s="4"/>
      <c r="W43" s="16"/>
      <c r="X43" s="16"/>
      <c r="Y43" s="4"/>
      <c r="Z43" s="4"/>
    </row>
    <row r="44" spans="7:28" x14ac:dyDescent="0.35">
      <c r="V44" s="4"/>
      <c r="W44" s="16"/>
      <c r="X44" s="16"/>
    </row>
    <row r="45" spans="7:28" x14ac:dyDescent="0.35">
      <c r="V45" s="4"/>
      <c r="W45" s="16"/>
      <c r="X45" s="16"/>
    </row>
    <row r="46" spans="7:28" x14ac:dyDescent="0.35">
      <c r="V46" s="4"/>
      <c r="W46" s="16"/>
      <c r="X46" s="16"/>
    </row>
    <row r="47" spans="7:28" x14ac:dyDescent="0.35">
      <c r="V47" s="4"/>
      <c r="W47" s="16"/>
      <c r="X47" s="16"/>
    </row>
    <row r="48" spans="7:28" x14ac:dyDescent="0.35">
      <c r="S48" s="40"/>
      <c r="T48" s="87"/>
      <c r="V48" s="4"/>
      <c r="W48" s="16"/>
      <c r="X48" s="16"/>
    </row>
    <row r="49" spans="22:24" x14ac:dyDescent="0.35">
      <c r="V49" s="4"/>
      <c r="W49" s="16"/>
      <c r="X49" s="16"/>
    </row>
    <row r="50" spans="22:24" x14ac:dyDescent="0.35">
      <c r="V50" s="4"/>
      <c r="W50" s="16"/>
      <c r="X50" s="16"/>
    </row>
    <row r="51" spans="22:24" x14ac:dyDescent="0.35">
      <c r="V51" s="4"/>
      <c r="W51" s="16"/>
      <c r="X51" s="16"/>
    </row>
    <row r="52" spans="22:24" x14ac:dyDescent="0.35">
      <c r="V52" s="4"/>
      <c r="W52" s="16"/>
      <c r="X52" s="16"/>
    </row>
    <row r="53" spans="22:24" x14ac:dyDescent="0.35">
      <c r="V53" s="4"/>
      <c r="W53" s="16"/>
      <c r="X53" s="16"/>
    </row>
    <row r="54" spans="22:24" x14ac:dyDescent="0.35">
      <c r="V54" s="4"/>
    </row>
    <row r="112" spans="18:18" x14ac:dyDescent="0.35">
      <c r="R112" s="85"/>
    </row>
  </sheetData>
  <mergeCells count="3">
    <mergeCell ref="A3:N3"/>
    <mergeCell ref="AA5:AB5"/>
    <mergeCell ref="R4:T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AA686-8B29-49BB-B4C3-8EFAB315B86B}">
  <dimension ref="C148"/>
  <sheetViews>
    <sheetView tabSelected="1" topLeftCell="G11" zoomScale="80" zoomScaleNormal="80" workbookViewId="0">
      <selection activeCell="Z29" sqref="Z29"/>
    </sheetView>
  </sheetViews>
  <sheetFormatPr defaultRowHeight="15.5" x14ac:dyDescent="0.35"/>
  <sheetData>
    <row r="148" spans="3:3" x14ac:dyDescent="0.35">
      <c r="C148" t="s">
        <v>139</v>
      </c>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A4EB0-EE1F-4973-87F5-1309B12015B2}">
  <dimension ref="A1:J30"/>
  <sheetViews>
    <sheetView zoomScale="50" zoomScaleNormal="50" workbookViewId="0">
      <selection activeCell="A33" sqref="A4:XFD33"/>
    </sheetView>
  </sheetViews>
  <sheetFormatPr defaultRowHeight="15.5" x14ac:dyDescent="0.35"/>
  <cols>
    <col min="1" max="1" width="28.3046875" customWidth="1"/>
    <col min="2" max="2" width="12.53515625" bestFit="1" customWidth="1"/>
  </cols>
  <sheetData>
    <row r="1" spans="1:2" x14ac:dyDescent="0.35">
      <c r="A1" t="s">
        <v>69</v>
      </c>
    </row>
    <row r="2" spans="1:2" x14ac:dyDescent="0.35">
      <c r="B2" s="9"/>
    </row>
    <row r="3" spans="1:2" x14ac:dyDescent="0.35">
      <c r="A3" s="17"/>
      <c r="B3" s="18"/>
    </row>
    <row r="23" spans="1:10" x14ac:dyDescent="0.35">
      <c r="A23" s="105"/>
      <c r="B23" s="105"/>
      <c r="C23" s="105"/>
      <c r="D23" s="105"/>
      <c r="E23" s="105"/>
      <c r="F23" s="105"/>
      <c r="G23" s="105"/>
      <c r="H23" s="105"/>
      <c r="I23" s="105"/>
      <c r="J23" s="105"/>
    </row>
    <row r="24" spans="1:10" x14ac:dyDescent="0.35">
      <c r="A24" s="105" t="s">
        <v>121</v>
      </c>
      <c r="B24" s="105"/>
      <c r="C24" s="105"/>
      <c r="D24" s="105"/>
      <c r="E24" s="105"/>
      <c r="F24" s="105"/>
      <c r="G24" s="105"/>
      <c r="H24" s="105"/>
      <c r="I24" s="105"/>
      <c r="J24" s="105"/>
    </row>
    <row r="25" spans="1:10" x14ac:dyDescent="0.35">
      <c r="A25" s="105"/>
      <c r="B25" s="105" t="s">
        <v>65</v>
      </c>
      <c r="C25" s="105" t="s">
        <v>77</v>
      </c>
      <c r="D25" s="105"/>
      <c r="E25" s="105"/>
      <c r="F25" s="105" t="s">
        <v>66</v>
      </c>
      <c r="G25" s="105" t="s">
        <v>67</v>
      </c>
      <c r="H25" s="105"/>
      <c r="I25" s="105"/>
      <c r="J25" s="105"/>
    </row>
    <row r="26" spans="1:10" x14ac:dyDescent="0.35">
      <c r="A26" s="105">
        <v>1</v>
      </c>
      <c r="B26" s="105">
        <f>0.2369*(22000^-0.351)</f>
        <v>7.0855684804871028E-3</v>
      </c>
      <c r="C26" s="105"/>
      <c r="D26" s="105"/>
      <c r="E26" s="105"/>
      <c r="F26" s="105">
        <f>AVERAGEA(B26:B28)</f>
        <v>6.9681195081548073E-3</v>
      </c>
      <c r="G26" s="105">
        <f>_xlfn.STDEV.P(B26:B28)</f>
        <v>2.103548301509643E-4</v>
      </c>
      <c r="H26" s="105"/>
      <c r="I26" s="105"/>
      <c r="J26" s="105"/>
    </row>
    <row r="27" spans="1:10" x14ac:dyDescent="0.35">
      <c r="A27" s="105">
        <v>2</v>
      </c>
      <c r="B27" s="105">
        <f>0.0302*(22000^-0.151)</f>
        <v>6.6726926011617333E-3</v>
      </c>
      <c r="C27" s="105"/>
      <c r="D27" s="105"/>
      <c r="E27" s="105"/>
      <c r="F27" s="105"/>
      <c r="G27" s="105"/>
      <c r="H27" s="105"/>
      <c r="I27" s="105"/>
      <c r="J27" s="105"/>
    </row>
    <row r="28" spans="1:10" x14ac:dyDescent="0.35">
      <c r="A28" s="105">
        <v>3</v>
      </c>
      <c r="B28" s="105">
        <f>0.0632*(22000^-0.218)</f>
        <v>7.146097442815586E-3</v>
      </c>
      <c r="C28" s="105"/>
      <c r="D28" s="105"/>
      <c r="E28" s="105"/>
      <c r="F28" s="105"/>
      <c r="G28" s="105"/>
      <c r="H28" s="105"/>
      <c r="I28" s="105"/>
      <c r="J28" s="105"/>
    </row>
    <row r="29" spans="1:10" x14ac:dyDescent="0.35">
      <c r="A29" s="105"/>
      <c r="B29" s="105"/>
      <c r="C29" s="105"/>
      <c r="D29" s="105"/>
      <c r="E29" s="105"/>
      <c r="F29" s="105"/>
      <c r="G29" s="105"/>
      <c r="H29" s="105"/>
      <c r="I29" s="105"/>
      <c r="J29" s="105"/>
    </row>
    <row r="30" spans="1:10" x14ac:dyDescent="0.35">
      <c r="A30" s="105"/>
      <c r="B30" s="105"/>
      <c r="C30" s="105"/>
      <c r="D30" s="105"/>
      <c r="E30" s="105"/>
      <c r="F30" s="105"/>
      <c r="G30" s="105"/>
      <c r="H30" s="105"/>
      <c r="I30" s="105"/>
      <c r="J30" s="105"/>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98F87-81FD-4B49-A9AA-95DC028FE2F8}">
  <dimension ref="A1:AH112"/>
  <sheetViews>
    <sheetView zoomScale="70" zoomScaleNormal="70" zoomScalePageLayoutView="90" workbookViewId="0">
      <selection activeCell="K48" sqref="K48"/>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6.765625" style="4" customWidth="1"/>
    <col min="14" max="15" width="8.4609375" style="4" customWidth="1"/>
    <col min="16" max="16" width="27.23046875" style="4" customWidth="1"/>
    <col min="17" max="17" width="12.765625" style="68" customWidth="1"/>
    <col min="18" max="18" width="10" style="2" customWidth="1"/>
    <col min="19" max="19" width="13.3046875" style="72" bestFit="1" customWidth="1"/>
    <col min="20" max="21" width="8.4609375" style="5" customWidth="1"/>
    <col min="22" max="22" width="10.23046875" style="2" customWidth="1"/>
    <col min="23" max="23" width="13.84375" style="2" customWidth="1"/>
    <col min="24" max="26" width="10" style="2" customWidth="1"/>
    <col min="27" max="27" width="21" style="2" customWidth="1"/>
    <col min="28" max="28" width="8.69140625" style="2" customWidth="1"/>
    <col min="29" max="29" width="8.69140625" style="2"/>
    <col min="30" max="30" width="22" style="2" customWidth="1"/>
    <col min="31" max="31" width="35.84375" style="2" customWidth="1"/>
    <col min="32" max="32" width="16.84375" style="2" customWidth="1"/>
    <col min="33" max="16384" width="8.69140625" style="2"/>
  </cols>
  <sheetData>
    <row r="1" spans="1:32" x14ac:dyDescent="0.35">
      <c r="A1" s="1"/>
      <c r="I1" s="1"/>
      <c r="J1" s="1"/>
      <c r="Q1" s="69" t="s">
        <v>97</v>
      </c>
    </row>
    <row r="2" spans="1:32" x14ac:dyDescent="0.35">
      <c r="A2" s="1"/>
      <c r="I2" s="1"/>
      <c r="J2" s="1"/>
      <c r="Q2" s="69" t="s">
        <v>85</v>
      </c>
    </row>
    <row r="3" spans="1:32" x14ac:dyDescent="0.35">
      <c r="A3" s="150" t="s">
        <v>3</v>
      </c>
      <c r="B3" s="150"/>
      <c r="C3" s="150"/>
      <c r="D3" s="150"/>
      <c r="E3" s="150"/>
      <c r="F3" s="150"/>
      <c r="G3" s="150"/>
      <c r="H3" s="150"/>
      <c r="I3" s="150"/>
      <c r="J3" s="150"/>
      <c r="K3" s="150"/>
      <c r="L3" s="150"/>
      <c r="M3" s="150"/>
      <c r="N3" s="150"/>
      <c r="O3" s="58"/>
      <c r="P3" s="58"/>
      <c r="T3" s="7"/>
      <c r="U3" s="7"/>
    </row>
    <row r="4" spans="1:32" x14ac:dyDescent="0.35">
      <c r="Q4" s="152" t="s">
        <v>81</v>
      </c>
      <c r="R4" s="153"/>
      <c r="S4" s="154"/>
    </row>
    <row r="5" spans="1:32"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T5" s="14"/>
      <c r="U5" s="14"/>
      <c r="V5" s="15" t="s">
        <v>19</v>
      </c>
      <c r="W5" s="16" t="s">
        <v>14</v>
      </c>
      <c r="X5" s="15" t="s">
        <v>20</v>
      </c>
      <c r="Y5" s="16" t="s">
        <v>21</v>
      </c>
      <c r="Z5" s="1"/>
      <c r="AA5" s="151" t="s">
        <v>22</v>
      </c>
      <c r="AB5" s="151"/>
    </row>
    <row r="6" spans="1:32" x14ac:dyDescent="0.35">
      <c r="A6" s="17" t="s">
        <v>23</v>
      </c>
      <c r="B6" s="18">
        <v>0</v>
      </c>
      <c r="C6" s="19">
        <f>B6*0.0166667</f>
        <v>0</v>
      </c>
      <c r="D6" s="19">
        <f>B6*0.000277778</f>
        <v>0</v>
      </c>
      <c r="E6" s="3">
        <f>0.001*D6</f>
        <v>0</v>
      </c>
      <c r="F6" s="19">
        <f>E6/AB$7</f>
        <v>0</v>
      </c>
      <c r="G6" s="19">
        <f t="shared" ref="G6:G18" si="0">F6^(2)</f>
        <v>0</v>
      </c>
      <c r="H6" s="19">
        <f>F6*1.94384</f>
        <v>0</v>
      </c>
      <c r="I6" s="20">
        <v>0</v>
      </c>
      <c r="J6" s="20">
        <f t="shared" ref="J6:J18" si="1">I6 * 10</f>
        <v>0</v>
      </c>
      <c r="K6" s="21">
        <f>J6*100</f>
        <v>0</v>
      </c>
      <c r="L6" s="3">
        <f>(F6*AB$11)/AB$12</f>
        <v>0</v>
      </c>
      <c r="V6" s="22">
        <v>0</v>
      </c>
      <c r="W6" s="23">
        <f t="shared" ref="W6:W31" si="2">(V6*AB$11)/AB$12</f>
        <v>0</v>
      </c>
      <c r="X6" s="23"/>
      <c r="Y6" s="23"/>
    </row>
    <row r="7" spans="1:32" x14ac:dyDescent="0.35">
      <c r="A7" s="2">
        <v>25</v>
      </c>
      <c r="B7" s="2">
        <v>2000</v>
      </c>
      <c r="C7" s="19">
        <f t="shared" ref="C7:C18" si="3">B7*0.0166667</f>
        <v>33.333399999999997</v>
      </c>
      <c r="D7" s="19">
        <f t="shared" ref="D7:D18" si="4">B7*0.000277778</f>
        <v>0.55555600000000005</v>
      </c>
      <c r="E7" s="3">
        <f t="shared" ref="E7:E18" si="5">0.001*D7</f>
        <v>5.5555600000000002E-4</v>
      </c>
      <c r="F7" s="19">
        <f t="shared" ref="F7:F18" si="6">E7/AB$7</f>
        <v>1.0582019047619047</v>
      </c>
      <c r="G7" s="19">
        <f t="shared" si="0"/>
        <v>1.1197912712417233</v>
      </c>
      <c r="H7" s="19">
        <f t="shared" ref="H7:H18" si="7">F7*1.94384</f>
        <v>2.056975190552381</v>
      </c>
      <c r="I7" s="2">
        <v>0.90787838709677349</v>
      </c>
      <c r="J7" s="20">
        <f t="shared" si="1"/>
        <v>9.0787838709677349</v>
      </c>
      <c r="K7" s="21">
        <f t="shared" ref="K7:K18" si="8">J7*100</f>
        <v>907.87838709677351</v>
      </c>
      <c r="L7" s="3">
        <f>(F7*AB$11)/AB$12</f>
        <v>17430.20814202632</v>
      </c>
      <c r="M7" s="4">
        <f>(AB$15*G7*N7)/8</f>
        <v>4.9239272027459311</v>
      </c>
      <c r="N7" s="4">
        <f>(K7*2*AB$11)/(AB$13*AB$15*G7)</f>
        <v>3.4319477500382313E-2</v>
      </c>
      <c r="O7" s="4">
        <f t="shared" ref="O7:O18" si="9">N7/4</f>
        <v>8.5798693750955782E-3</v>
      </c>
      <c r="Q7" s="2">
        <v>935126.82233333343</v>
      </c>
      <c r="R7" s="2">
        <v>19465.756333333335</v>
      </c>
      <c r="S7" s="2">
        <v>80.63900000000001</v>
      </c>
      <c r="V7" s="22">
        <v>0.1</v>
      </c>
      <c r="W7" s="23">
        <f>(V7*AB$11)/AB$12</f>
        <v>1647.1533516988061</v>
      </c>
      <c r="X7" s="23">
        <f t="shared" ref="X7:X31" si="10">0.292/(W7^(0.25))</f>
        <v>4.5835222390367469E-2</v>
      </c>
      <c r="Y7" s="23">
        <f>0.0791/(W7^0.25)</f>
        <v>1.2416322229719407E-2</v>
      </c>
      <c r="Z7" s="25"/>
      <c r="AA7" s="1" t="s">
        <v>24</v>
      </c>
      <c r="AB7" s="2">
        <f>AB$9*AB$10</f>
        <v>5.2500000000000008E-4</v>
      </c>
    </row>
    <row r="8" spans="1:32" x14ac:dyDescent="0.35">
      <c r="A8" s="2">
        <v>30</v>
      </c>
      <c r="B8" s="2">
        <v>2750</v>
      </c>
      <c r="C8" s="19">
        <f t="shared" si="3"/>
        <v>45.833424999999998</v>
      </c>
      <c r="D8" s="19">
        <f t="shared" si="4"/>
        <v>0.7638895</v>
      </c>
      <c r="E8" s="3">
        <f t="shared" si="5"/>
        <v>7.6388949999999997E-4</v>
      </c>
      <c r="F8" s="19">
        <f t="shared" si="6"/>
        <v>1.4550276190476188</v>
      </c>
      <c r="G8" s="19">
        <f t="shared" si="0"/>
        <v>2.1171053721913826</v>
      </c>
      <c r="H8" s="19">
        <f t="shared" si="7"/>
        <v>2.8283408870095235</v>
      </c>
      <c r="I8" s="42">
        <v>1.5029654838709672</v>
      </c>
      <c r="J8" s="20">
        <f t="shared" si="1"/>
        <v>15.029654838709671</v>
      </c>
      <c r="K8" s="21">
        <f t="shared" si="8"/>
        <v>1502.9654838709671</v>
      </c>
      <c r="L8" s="3">
        <f t="shared" ref="L8:L18" si="11">(F8*AB$11)/AB$12</f>
        <v>23966.536195286189</v>
      </c>
      <c r="M8" s="4">
        <f t="shared" ref="M8:M18" si="12">(AB$15*G8*N8)/8</f>
        <v>8.1514140395894401</v>
      </c>
      <c r="N8" s="4">
        <f t="shared" ref="N8:N18" si="13">(K8*2*AB$11)/(AB$13*AB$15*G8)</f>
        <v>3.0050838914200958E-2</v>
      </c>
      <c r="O8" s="4">
        <f t="shared" si="9"/>
        <v>7.5127097285502395E-3</v>
      </c>
      <c r="P8" s="4">
        <f>3.7*(10^(-1/(2*SQRT(N8)))-2.51/(L8*SQRT(N8)))</f>
        <v>2.5940697688146956E-3</v>
      </c>
      <c r="Q8" s="2">
        <v>938850.71766666661</v>
      </c>
      <c r="R8" s="2">
        <v>19498.595000000001</v>
      </c>
      <c r="S8" s="2">
        <v>80.129333333333335</v>
      </c>
      <c r="V8" s="22">
        <v>0.2</v>
      </c>
      <c r="W8" s="23">
        <f t="shared" si="2"/>
        <v>3294.3067033976122</v>
      </c>
      <c r="X8" s="23">
        <f t="shared" si="10"/>
        <v>3.85426742004168E-2</v>
      </c>
      <c r="Y8" s="23">
        <f t="shared" ref="Y8:Y31" si="14">0.0791/(W8^0.25)</f>
        <v>1.0440840853606059E-2</v>
      </c>
      <c r="Z8" s="25"/>
      <c r="AA8" s="2" t="s">
        <v>25</v>
      </c>
    </row>
    <row r="9" spans="1:32" ht="19" x14ac:dyDescent="0.4">
      <c r="A9" s="2">
        <v>35</v>
      </c>
      <c r="B9" s="50">
        <v>3550</v>
      </c>
      <c r="C9" s="19">
        <f t="shared" si="3"/>
        <v>59.166784999999997</v>
      </c>
      <c r="D9" s="19">
        <f t="shared" si="4"/>
        <v>0.98611190000000004</v>
      </c>
      <c r="E9" s="3">
        <f t="shared" si="5"/>
        <v>9.8611190000000011E-4</v>
      </c>
      <c r="F9" s="19">
        <f t="shared" si="6"/>
        <v>1.8783083809523808</v>
      </c>
      <c r="G9" s="19">
        <f t="shared" si="0"/>
        <v>3.5280423739559543</v>
      </c>
      <c r="H9" s="19">
        <f t="shared" si="7"/>
        <v>3.651130963230476</v>
      </c>
      <c r="I9" s="42">
        <v>2.3164687096774186</v>
      </c>
      <c r="J9" s="20">
        <f t="shared" si="1"/>
        <v>23.164687096774188</v>
      </c>
      <c r="K9" s="21">
        <f t="shared" si="8"/>
        <v>2316.4687096774187</v>
      </c>
      <c r="L9" s="3">
        <f t="shared" si="11"/>
        <v>30938.619452096718</v>
      </c>
      <c r="M9" s="4">
        <f t="shared" si="12"/>
        <v>12.563492485337241</v>
      </c>
      <c r="N9" s="4">
        <f t="shared" si="13"/>
        <v>2.7793466268625781E-2</v>
      </c>
      <c r="O9" s="4">
        <f t="shared" si="9"/>
        <v>6.9483665671564452E-3</v>
      </c>
      <c r="P9" s="4">
        <f>3.7*(10^(-1/(2*SQRT(N9)))-2.51/(L9*SQRT(N9)))</f>
        <v>1.9066799811623064E-3</v>
      </c>
      <c r="Q9" s="2">
        <v>913483.43366666662</v>
      </c>
      <c r="R9" s="2">
        <v>19814.683999999997</v>
      </c>
      <c r="S9" s="2">
        <v>80.759666666666661</v>
      </c>
      <c r="V9" s="22">
        <v>0.3</v>
      </c>
      <c r="W9" s="23">
        <f t="shared" si="2"/>
        <v>4941.4600550964178</v>
      </c>
      <c r="X9" s="23">
        <f t="shared" si="10"/>
        <v>3.4827237631978099E-2</v>
      </c>
      <c r="Y9" s="23">
        <f t="shared" si="14"/>
        <v>9.4343647146899589E-3</v>
      </c>
      <c r="Z9" s="25"/>
      <c r="AA9" s="1" t="s">
        <v>26</v>
      </c>
      <c r="AB9" s="19">
        <v>0.05</v>
      </c>
      <c r="AE9" s="27" t="s">
        <v>27</v>
      </c>
    </row>
    <row r="10" spans="1:32" ht="18.5" x14ac:dyDescent="0.35">
      <c r="A10" s="2">
        <v>40</v>
      </c>
      <c r="B10" s="50">
        <v>4300</v>
      </c>
      <c r="C10" s="19">
        <f t="shared" si="3"/>
        <v>71.666809999999998</v>
      </c>
      <c r="D10" s="19">
        <f t="shared" si="4"/>
        <v>1.1944454</v>
      </c>
      <c r="E10" s="3">
        <f t="shared" si="5"/>
        <v>1.1944454000000001E-3</v>
      </c>
      <c r="F10" s="19">
        <f t="shared" si="6"/>
        <v>2.2751340952380952</v>
      </c>
      <c r="G10" s="19">
        <f t="shared" si="0"/>
        <v>5.1762351513148657</v>
      </c>
      <c r="H10" s="19">
        <f t="shared" si="7"/>
        <v>4.422496659687619</v>
      </c>
      <c r="I10" s="42">
        <v>3.2834106451612897</v>
      </c>
      <c r="J10" s="20">
        <f t="shared" si="1"/>
        <v>32.834106451612897</v>
      </c>
      <c r="K10" s="21">
        <f t="shared" si="8"/>
        <v>3283.4106451612897</v>
      </c>
      <c r="L10" s="3">
        <f t="shared" si="11"/>
        <v>37474.947505356591</v>
      </c>
      <c r="M10" s="4">
        <f t="shared" si="12"/>
        <v>17.80775401559584</v>
      </c>
      <c r="N10" s="4">
        <f t="shared" si="13"/>
        <v>2.6851049913970974E-2</v>
      </c>
      <c r="O10" s="4">
        <f t="shared" si="9"/>
        <v>6.7127624784927434E-3</v>
      </c>
      <c r="P10" s="4">
        <f>3.7*(10^(-1/(2*SQRT(N10)))-2.51/(L10*SQRT(N10)))</f>
        <v>1.7751799552854076E-3</v>
      </c>
      <c r="Q10" s="2">
        <v>907027.07066666661</v>
      </c>
      <c r="R10" s="2">
        <v>20227.324666666667</v>
      </c>
      <c r="S10" s="2">
        <v>80.221666666666664</v>
      </c>
      <c r="V10" s="22">
        <v>0.4</v>
      </c>
      <c r="W10" s="23">
        <f t="shared" si="2"/>
        <v>6588.6134067952244</v>
      </c>
      <c r="X10" s="23">
        <f t="shared" si="10"/>
        <v>3.2410396569422316E-2</v>
      </c>
      <c r="Y10" s="23">
        <f t="shared" si="14"/>
        <v>8.7796656460318676E-3</v>
      </c>
      <c r="Z10" s="25"/>
      <c r="AA10" s="1" t="s">
        <v>28</v>
      </c>
      <c r="AB10" s="19">
        <v>1.0500000000000001E-2</v>
      </c>
      <c r="AE10" s="28" t="s">
        <v>29</v>
      </c>
      <c r="AF10" s="2" t="s">
        <v>30</v>
      </c>
    </row>
    <row r="11" spans="1:32" ht="16.5" x14ac:dyDescent="0.4">
      <c r="A11" s="2">
        <v>45</v>
      </c>
      <c r="B11" s="50">
        <v>5100</v>
      </c>
      <c r="C11" s="19">
        <f t="shared" si="3"/>
        <v>85.000169999999997</v>
      </c>
      <c r="D11" s="19">
        <f t="shared" si="4"/>
        <v>1.4166678000000001</v>
      </c>
      <c r="E11" s="3">
        <f t="shared" si="5"/>
        <v>1.4166678000000002E-3</v>
      </c>
      <c r="F11" s="19">
        <f t="shared" si="6"/>
        <v>2.6984148571428572</v>
      </c>
      <c r="G11" s="19">
        <f t="shared" si="0"/>
        <v>7.2814427412493066</v>
      </c>
      <c r="H11" s="19">
        <f t="shared" si="7"/>
        <v>5.2452867359085715</v>
      </c>
      <c r="I11" s="42">
        <v>4.3751622580645142</v>
      </c>
      <c r="J11" s="20">
        <f t="shared" si="1"/>
        <v>43.75162258064514</v>
      </c>
      <c r="K11" s="21">
        <f t="shared" si="8"/>
        <v>4375.1622580645144</v>
      </c>
      <c r="L11" s="3">
        <f t="shared" si="11"/>
        <v>44447.030762167124</v>
      </c>
      <c r="M11" s="4">
        <f t="shared" si="12"/>
        <v>23.728927535990394</v>
      </c>
      <c r="N11" s="4">
        <f t="shared" si="13"/>
        <v>2.5434710156764694E-2</v>
      </c>
      <c r="O11" s="4">
        <f t="shared" si="9"/>
        <v>6.3586775391911736E-3</v>
      </c>
      <c r="P11" s="4">
        <f>3.7*(10^(-1/(2*SQRT(N11)))-2.51/(L11*SQRT(N11)))</f>
        <v>1.4004469741376792E-3</v>
      </c>
      <c r="Q11" s="2">
        <v>849594.64633333322</v>
      </c>
      <c r="R11" s="2">
        <v>20866.660333333333</v>
      </c>
      <c r="S11" s="2">
        <v>83.328999999999994</v>
      </c>
      <c r="V11" s="22">
        <v>0.5</v>
      </c>
      <c r="W11" s="23">
        <f t="shared" si="2"/>
        <v>8235.76675849403</v>
      </c>
      <c r="X11" s="23">
        <f t="shared" si="10"/>
        <v>3.0651860599996476E-2</v>
      </c>
      <c r="Y11" s="23">
        <f t="shared" si="14"/>
        <v>8.3032951145880877E-3</v>
      </c>
      <c r="Z11" s="25"/>
      <c r="AA11" s="1" t="s">
        <v>31</v>
      </c>
      <c r="AB11" s="4">
        <f>2*(AB9*AB10)/(AB9+AB10)</f>
        <v>1.7355371900826446E-2</v>
      </c>
      <c r="AC11" s="1">
        <f>10*AB11*100</f>
        <v>17.355371900826448</v>
      </c>
      <c r="AE11" s="27" t="s">
        <v>32</v>
      </c>
      <c r="AF11" s="2" t="s">
        <v>33</v>
      </c>
    </row>
    <row r="12" spans="1:32" ht="18.5" x14ac:dyDescent="0.35">
      <c r="A12" s="49" t="s">
        <v>68</v>
      </c>
      <c r="B12" s="29">
        <v>5850</v>
      </c>
      <c r="C12" s="19">
        <f t="shared" si="3"/>
        <v>97.500194999999991</v>
      </c>
      <c r="D12" s="19">
        <f t="shared" si="4"/>
        <v>1.6250013000000001</v>
      </c>
      <c r="E12" s="3">
        <f t="shared" si="5"/>
        <v>1.6250013000000002E-3</v>
      </c>
      <c r="F12" s="19">
        <f t="shared" si="6"/>
        <v>3.0952405714285711</v>
      </c>
      <c r="G12" s="19">
        <f t="shared" si="0"/>
        <v>9.5805141950174679</v>
      </c>
      <c r="H12" s="19">
        <f t="shared" si="7"/>
        <v>6.0166524323657136</v>
      </c>
      <c r="I12" s="30">
        <v>5.6202429032258054</v>
      </c>
      <c r="J12" s="20">
        <f t="shared" si="1"/>
        <v>56.202429032258053</v>
      </c>
      <c r="K12" s="21">
        <f t="shared" si="8"/>
        <v>5620.2429032258051</v>
      </c>
      <c r="L12" s="3">
        <f t="shared" si="11"/>
        <v>50983.358815426982</v>
      </c>
      <c r="M12" s="4">
        <f t="shared" si="12"/>
        <v>30.481689299520113</v>
      </c>
      <c r="N12" s="4">
        <f t="shared" si="13"/>
        <v>2.4832265039312733E-2</v>
      </c>
      <c r="O12" s="4">
        <f t="shared" si="9"/>
        <v>6.2080662598281832E-3</v>
      </c>
      <c r="P12" s="4">
        <f>3.7*(10^(-1/(2*SQRT(N12)))-2.51/(L12*SQRT(N12)))</f>
        <v>1.3286815225372749E-3</v>
      </c>
      <c r="Q12" s="2">
        <v>791825.27800000005</v>
      </c>
      <c r="R12" s="2">
        <v>21631.938333333335</v>
      </c>
      <c r="S12" s="2">
        <v>84.308333333333323</v>
      </c>
      <c r="V12" s="22">
        <v>0.6</v>
      </c>
      <c r="W12" s="23">
        <f t="shared" si="2"/>
        <v>9882.9201101928356</v>
      </c>
      <c r="X12" s="23">
        <f t="shared" si="10"/>
        <v>2.9286099277919649E-2</v>
      </c>
      <c r="Y12" s="23">
        <f t="shared" si="14"/>
        <v>7.9333234687789193E-3</v>
      </c>
      <c r="Z12" s="25"/>
      <c r="AA12" s="1" t="s">
        <v>34</v>
      </c>
      <c r="AB12" s="31">
        <f>AB$16/AB$15</f>
        <v>1.053658536585366E-6</v>
      </c>
    </row>
    <row r="13" spans="1:32" ht="16.5" x14ac:dyDescent="0.4">
      <c r="A13" s="2">
        <v>50</v>
      </c>
      <c r="B13" s="29">
        <v>5850</v>
      </c>
      <c r="C13" s="19">
        <f t="shared" si="3"/>
        <v>97.500194999999991</v>
      </c>
      <c r="D13" s="19">
        <f t="shared" si="4"/>
        <v>1.6250013000000001</v>
      </c>
      <c r="E13" s="3">
        <f t="shared" si="5"/>
        <v>1.6250013000000002E-3</v>
      </c>
      <c r="F13" s="19">
        <f t="shared" si="6"/>
        <v>3.0952405714285711</v>
      </c>
      <c r="G13" s="19">
        <f t="shared" si="0"/>
        <v>9.5805141950174679</v>
      </c>
      <c r="H13" s="19">
        <f t="shared" si="7"/>
        <v>6.0166524323657136</v>
      </c>
      <c r="I13" s="30">
        <v>5.6202429032258054</v>
      </c>
      <c r="J13" s="20">
        <f t="shared" si="1"/>
        <v>56.202429032258053</v>
      </c>
      <c r="K13" s="21">
        <f t="shared" si="8"/>
        <v>5620.2429032258051</v>
      </c>
      <c r="L13" s="3">
        <f t="shared" si="11"/>
        <v>50983.358815426982</v>
      </c>
      <c r="M13" s="4">
        <f t="shared" si="12"/>
        <v>30.481689299520113</v>
      </c>
      <c r="N13" s="4">
        <f t="shared" si="13"/>
        <v>2.4832265039312733E-2</v>
      </c>
      <c r="O13" s="4">
        <f t="shared" si="9"/>
        <v>6.2080662598281832E-3</v>
      </c>
      <c r="Q13" s="2">
        <v>791825.27800000005</v>
      </c>
      <c r="R13" s="2">
        <v>21631.938333333335</v>
      </c>
      <c r="S13" s="2">
        <v>84.308333333333323</v>
      </c>
      <c r="V13" s="22">
        <v>0.7</v>
      </c>
      <c r="W13" s="23">
        <f t="shared" si="2"/>
        <v>11530.073461891643</v>
      </c>
      <c r="X13" s="23">
        <f t="shared" si="10"/>
        <v>2.8178951713484453E-2</v>
      </c>
      <c r="Y13" s="23">
        <f t="shared" si="14"/>
        <v>7.63340781005692E-3</v>
      </c>
      <c r="Z13" s="25"/>
      <c r="AA13" s="1" t="s">
        <v>35</v>
      </c>
      <c r="AB13" s="32">
        <v>0.8</v>
      </c>
      <c r="AE13" s="27" t="s">
        <v>36</v>
      </c>
      <c r="AF13" s="1" t="s">
        <v>37</v>
      </c>
    </row>
    <row r="14" spans="1:32" x14ac:dyDescent="0.35">
      <c r="A14" s="2">
        <v>45</v>
      </c>
      <c r="B14" s="33">
        <v>5050</v>
      </c>
      <c r="C14" s="19">
        <f t="shared" si="3"/>
        <v>84.166834999999992</v>
      </c>
      <c r="D14" s="19">
        <f t="shared" si="4"/>
        <v>1.4027788999999999</v>
      </c>
      <c r="E14" s="3">
        <f t="shared" si="5"/>
        <v>1.4027789E-3</v>
      </c>
      <c r="F14" s="19">
        <f t="shared" si="6"/>
        <v>2.6719598095238091</v>
      </c>
      <c r="G14" s="19">
        <f t="shared" si="0"/>
        <v>7.13936922371051</v>
      </c>
      <c r="H14" s="19">
        <f t="shared" si="7"/>
        <v>5.193862356144761</v>
      </c>
      <c r="I14" s="30">
        <v>4.3525590322580623</v>
      </c>
      <c r="J14" s="20">
        <f t="shared" si="1"/>
        <v>43.525590322580626</v>
      </c>
      <c r="K14" s="21">
        <f t="shared" si="8"/>
        <v>4352.5590322580629</v>
      </c>
      <c r="L14" s="3">
        <f t="shared" si="11"/>
        <v>44011.275558616457</v>
      </c>
      <c r="M14" s="4">
        <f t="shared" si="12"/>
        <v>23.606337726606231</v>
      </c>
      <c r="N14" s="4">
        <f t="shared" si="13"/>
        <v>2.5806843904723993E-2</v>
      </c>
      <c r="O14" s="4">
        <f t="shared" si="9"/>
        <v>6.4517109761809983E-3</v>
      </c>
      <c r="Q14" s="2">
        <v>802030.67166666652</v>
      </c>
      <c r="R14" s="2">
        <v>21130.184999999998</v>
      </c>
      <c r="S14" s="2">
        <v>82.212666666666664</v>
      </c>
      <c r="V14" s="22">
        <v>0.8</v>
      </c>
      <c r="W14" s="23">
        <f t="shared" si="2"/>
        <v>13177.226813590449</v>
      </c>
      <c r="X14" s="23">
        <f t="shared" si="10"/>
        <v>2.7253786292178513E-2</v>
      </c>
      <c r="Y14" s="23">
        <f t="shared" si="14"/>
        <v>7.3827893688743849E-3</v>
      </c>
      <c r="Z14" s="25"/>
      <c r="AB14" s="32"/>
    </row>
    <row r="15" spans="1:32" x14ac:dyDescent="0.35">
      <c r="A15" s="2">
        <v>40</v>
      </c>
      <c r="B15" s="33">
        <v>4200</v>
      </c>
      <c r="C15" s="19">
        <f t="shared" si="3"/>
        <v>70.000140000000002</v>
      </c>
      <c r="D15" s="19">
        <f t="shared" si="4"/>
        <v>1.1666676</v>
      </c>
      <c r="E15" s="3">
        <f t="shared" si="5"/>
        <v>1.1666676000000001E-3</v>
      </c>
      <c r="F15" s="19">
        <f t="shared" si="6"/>
        <v>2.2222239999999998</v>
      </c>
      <c r="G15" s="19">
        <f t="shared" si="0"/>
        <v>4.9382795061759985</v>
      </c>
      <c r="H15" s="19">
        <f t="shared" si="7"/>
        <v>4.3196479001599997</v>
      </c>
      <c r="I15" s="30">
        <v>3.2421138709677404</v>
      </c>
      <c r="J15" s="20">
        <f t="shared" si="1"/>
        <v>32.421138709677408</v>
      </c>
      <c r="K15" s="21">
        <f t="shared" si="8"/>
        <v>3242.1138709677407</v>
      </c>
      <c r="L15" s="3">
        <f t="shared" si="11"/>
        <v>36603.437098255272</v>
      </c>
      <c r="M15" s="4">
        <f t="shared" si="12"/>
        <v>17.583778742335369</v>
      </c>
      <c r="N15" s="4">
        <f t="shared" si="13"/>
        <v>2.7790903400471707E-2</v>
      </c>
      <c r="O15" s="4">
        <f t="shared" si="9"/>
        <v>6.9477258501179267E-3</v>
      </c>
      <c r="Q15" s="2">
        <v>892920.87766666664</v>
      </c>
      <c r="R15" s="2">
        <v>20584.693666666666</v>
      </c>
      <c r="S15" s="2">
        <v>78.001666666666665</v>
      </c>
      <c r="T15" s="34"/>
      <c r="U15" s="34"/>
      <c r="V15" s="22">
        <v>0.9</v>
      </c>
      <c r="W15" s="23">
        <f t="shared" si="2"/>
        <v>14824.380165289254</v>
      </c>
      <c r="X15" s="23">
        <f t="shared" si="10"/>
        <v>2.6462977985445026E-2</v>
      </c>
      <c r="Y15" s="23">
        <f t="shared" si="14"/>
        <v>7.1685669816736368E-3</v>
      </c>
      <c r="Z15" s="25"/>
      <c r="AA15" s="2" t="s">
        <v>38</v>
      </c>
      <c r="AB15" s="32">
        <f>VLOOKUP(AB17, SW!$A$4:$F$34, 3, FALSE)</f>
        <v>1025</v>
      </c>
      <c r="AC15" s="32"/>
    </row>
    <row r="16" spans="1:32" x14ac:dyDescent="0.35">
      <c r="A16" s="2">
        <v>35</v>
      </c>
      <c r="B16" s="35">
        <v>3550</v>
      </c>
      <c r="C16" s="19">
        <f t="shared" si="3"/>
        <v>59.166784999999997</v>
      </c>
      <c r="D16" s="19">
        <f t="shared" si="4"/>
        <v>0.98611190000000004</v>
      </c>
      <c r="E16" s="3">
        <f t="shared" si="5"/>
        <v>9.8611190000000011E-4</v>
      </c>
      <c r="F16" s="19">
        <f t="shared" si="6"/>
        <v>1.8783083809523808</v>
      </c>
      <c r="G16" s="19">
        <f t="shared" si="0"/>
        <v>3.5280423739559543</v>
      </c>
      <c r="H16" s="19">
        <f t="shared" si="7"/>
        <v>3.651130963230476</v>
      </c>
      <c r="I16" s="30">
        <v>2.3627267741935478</v>
      </c>
      <c r="J16" s="20">
        <f t="shared" si="1"/>
        <v>23.627267741935476</v>
      </c>
      <c r="K16" s="21">
        <f t="shared" si="8"/>
        <v>2362.7267741935475</v>
      </c>
      <c r="L16" s="3">
        <f t="shared" si="11"/>
        <v>30938.619452096718</v>
      </c>
      <c r="M16" s="4">
        <f t="shared" si="12"/>
        <v>12.814375583177815</v>
      </c>
      <c r="N16" s="4">
        <f t="shared" si="13"/>
        <v>2.8348480005875865E-2</v>
      </c>
      <c r="O16" s="4">
        <f t="shared" si="9"/>
        <v>7.0871200014689661E-3</v>
      </c>
      <c r="Q16" s="2">
        <v>936369.28733333328</v>
      </c>
      <c r="R16" s="2">
        <v>19923.189000000002</v>
      </c>
      <c r="S16" s="2">
        <v>76.484333333333325</v>
      </c>
      <c r="V16" s="22">
        <v>1</v>
      </c>
      <c r="W16" s="23">
        <f t="shared" si="2"/>
        <v>16471.53351698806</v>
      </c>
      <c r="X16" s="23">
        <f t="shared" si="10"/>
        <v>2.5775039699393609E-2</v>
      </c>
      <c r="Y16" s="23">
        <f t="shared" si="14"/>
        <v>6.9822110966508031E-3</v>
      </c>
      <c r="Z16" s="25"/>
      <c r="AA16" s="2" t="s">
        <v>39</v>
      </c>
      <c r="AB16" s="32">
        <f>VLOOKUP(AB17, SW!$A$4:$F$34, 5, FALSE)</f>
        <v>1.08E-3</v>
      </c>
    </row>
    <row r="17" spans="1:34" x14ac:dyDescent="0.35">
      <c r="A17" s="2">
        <v>30</v>
      </c>
      <c r="B17" s="18">
        <v>2750</v>
      </c>
      <c r="C17" s="19">
        <f t="shared" si="3"/>
        <v>45.833424999999998</v>
      </c>
      <c r="D17" s="19">
        <f t="shared" si="4"/>
        <v>0.7638895</v>
      </c>
      <c r="E17" s="3">
        <f t="shared" si="5"/>
        <v>7.6388949999999997E-4</v>
      </c>
      <c r="F17" s="19">
        <f t="shared" si="6"/>
        <v>1.4550276190476188</v>
      </c>
      <c r="G17" s="19">
        <f t="shared" si="0"/>
        <v>2.1171053721913826</v>
      </c>
      <c r="H17" s="19">
        <f t="shared" si="7"/>
        <v>2.8283408870095235</v>
      </c>
      <c r="I17" s="30">
        <v>1.5567848387096761</v>
      </c>
      <c r="J17" s="20">
        <f t="shared" si="1"/>
        <v>15.567848387096761</v>
      </c>
      <c r="K17" s="21">
        <f t="shared" si="8"/>
        <v>1556.7848387096763</v>
      </c>
      <c r="L17" s="3">
        <f t="shared" si="11"/>
        <v>23966.536195286189</v>
      </c>
      <c r="M17" s="4">
        <f t="shared" si="12"/>
        <v>8.4433062016795457</v>
      </c>
      <c r="N17" s="4">
        <f t="shared" si="13"/>
        <v>3.1126922683309736E-2</v>
      </c>
      <c r="O17" s="4">
        <f t="shared" si="9"/>
        <v>7.7817306708274341E-3</v>
      </c>
      <c r="Q17" s="2">
        <v>943191.23133333342</v>
      </c>
      <c r="R17" s="2">
        <v>19776.835999999999</v>
      </c>
      <c r="S17" s="2">
        <v>76.49433333333333</v>
      </c>
      <c r="T17" s="14"/>
      <c r="U17" s="14"/>
      <c r="V17" s="22">
        <v>1.1000000000000001</v>
      </c>
      <c r="W17" s="23">
        <f t="shared" si="2"/>
        <v>18118.686868686869</v>
      </c>
      <c r="X17" s="23">
        <f t="shared" si="10"/>
        <v>2.5168142926042147E-2</v>
      </c>
      <c r="Y17" s="23">
        <f t="shared" si="14"/>
        <v>6.8178085803079925E-3</v>
      </c>
      <c r="Z17" s="25"/>
      <c r="AA17" s="2" t="s">
        <v>161</v>
      </c>
      <c r="AB17" s="2">
        <v>20</v>
      </c>
    </row>
    <row r="18" spans="1:34" x14ac:dyDescent="0.35">
      <c r="A18" s="2">
        <v>25</v>
      </c>
      <c r="B18" s="18">
        <v>1950</v>
      </c>
      <c r="C18" s="19">
        <f t="shared" si="3"/>
        <v>32.500064999999999</v>
      </c>
      <c r="D18" s="19">
        <f t="shared" si="4"/>
        <v>0.54166710000000007</v>
      </c>
      <c r="E18" s="3">
        <f t="shared" si="5"/>
        <v>5.4166710000000005E-4</v>
      </c>
      <c r="F18" s="19">
        <f t="shared" si="6"/>
        <v>1.0317468571428572</v>
      </c>
      <c r="G18" s="19">
        <f t="shared" si="0"/>
        <v>1.0645015772241633</v>
      </c>
      <c r="H18" s="19">
        <f t="shared" si="7"/>
        <v>2.0055508107885713</v>
      </c>
      <c r="I18" s="30">
        <v>0.83732999999999924</v>
      </c>
      <c r="J18" s="20">
        <f t="shared" si="1"/>
        <v>8.3732999999999933</v>
      </c>
      <c r="K18" s="21">
        <f t="shared" si="8"/>
        <v>837.32999999999936</v>
      </c>
      <c r="L18" s="3">
        <f t="shared" si="11"/>
        <v>16994.452938475664</v>
      </c>
      <c r="M18" s="4">
        <f t="shared" si="12"/>
        <v>4.5413042355371855</v>
      </c>
      <c r="N18" s="4">
        <f t="shared" si="13"/>
        <v>3.3296639947875017E-2</v>
      </c>
      <c r="O18" s="4">
        <f t="shared" si="9"/>
        <v>8.3241599869687544E-3</v>
      </c>
      <c r="Q18" s="2">
        <v>951769.80700000003</v>
      </c>
      <c r="R18" s="2">
        <v>19612.833000000002</v>
      </c>
      <c r="S18" s="2">
        <v>76.165666666666667</v>
      </c>
      <c r="V18" s="22">
        <v>1.2</v>
      </c>
      <c r="W18" s="23">
        <f t="shared" si="2"/>
        <v>19765.840220385671</v>
      </c>
      <c r="X18" s="23">
        <f t="shared" si="10"/>
        <v>2.462657589956703E-2</v>
      </c>
      <c r="Y18" s="23">
        <f t="shared" si="14"/>
        <v>6.6711032659443571E-3</v>
      </c>
      <c r="Z18" s="25"/>
      <c r="AA18" s="1"/>
      <c r="AB18" s="1"/>
      <c r="AE18" s="36" t="s">
        <v>40</v>
      </c>
      <c r="AF18" s="37"/>
      <c r="AG18" s="37"/>
      <c r="AH18" s="37"/>
    </row>
    <row r="19" spans="1:34" x14ac:dyDescent="0.35">
      <c r="A19" s="24"/>
      <c r="B19" s="18"/>
      <c r="C19" s="19"/>
      <c r="D19" s="19"/>
      <c r="E19" s="3"/>
      <c r="F19" s="19"/>
      <c r="G19" s="19"/>
      <c r="H19" s="19"/>
      <c r="I19" s="20"/>
      <c r="J19" s="20"/>
      <c r="K19" s="21"/>
      <c r="Q19" s="70"/>
      <c r="R19" s="25"/>
      <c r="S19" s="73"/>
      <c r="V19" s="22">
        <v>1.3</v>
      </c>
      <c r="W19" s="23">
        <f t="shared" si="2"/>
        <v>21412.993572084481</v>
      </c>
      <c r="X19" s="23">
        <f t="shared" si="10"/>
        <v>2.4138679296759096E-2</v>
      </c>
      <c r="Y19" s="23">
        <f t="shared" si="14"/>
        <v>6.538936754704263E-3</v>
      </c>
      <c r="Z19" s="25"/>
      <c r="AE19" s="38" t="s">
        <v>41</v>
      </c>
      <c r="AF19" s="37" t="s">
        <v>42</v>
      </c>
      <c r="AG19" s="37" t="s">
        <v>43</v>
      </c>
      <c r="AH19" s="37" t="s">
        <v>44</v>
      </c>
    </row>
    <row r="20" spans="1:34" x14ac:dyDescent="0.35">
      <c r="A20" s="24"/>
      <c r="B20" s="18"/>
      <c r="C20" s="19"/>
      <c r="D20" s="19"/>
      <c r="E20" s="3"/>
      <c r="F20" s="19"/>
      <c r="G20" s="19"/>
      <c r="H20" s="19"/>
      <c r="I20" s="20"/>
      <c r="J20" s="20"/>
      <c r="K20" s="21"/>
      <c r="Q20" s="70"/>
      <c r="R20" s="25"/>
      <c r="S20" s="73"/>
      <c r="V20" s="22">
        <v>1.4</v>
      </c>
      <c r="W20" s="23">
        <f t="shared" si="2"/>
        <v>23060.146923783286</v>
      </c>
      <c r="X20" s="23">
        <f t="shared" si="10"/>
        <v>2.3695579481476593E-2</v>
      </c>
      <c r="Y20" s="23">
        <f t="shared" si="14"/>
        <v>6.4189052636465715E-3</v>
      </c>
      <c r="Z20" s="25"/>
      <c r="AA20" s="1" t="s">
        <v>45</v>
      </c>
      <c r="AB20" s="1">
        <f>4*10^(-6)</f>
        <v>3.9999999999999998E-6</v>
      </c>
      <c r="AE20" s="38" t="s">
        <v>46</v>
      </c>
      <c r="AF20" s="37" t="s">
        <v>47</v>
      </c>
      <c r="AG20" s="37" t="s">
        <v>48</v>
      </c>
      <c r="AH20" s="37" t="s">
        <v>49</v>
      </c>
    </row>
    <row r="21" spans="1:34" x14ac:dyDescent="0.35">
      <c r="A21" s="24"/>
      <c r="B21" s="18"/>
      <c r="C21" s="19"/>
      <c r="D21" s="19"/>
      <c r="E21" s="3"/>
      <c r="F21" s="19"/>
      <c r="G21" s="19"/>
      <c r="H21" s="19"/>
      <c r="I21" s="20"/>
      <c r="J21" s="20"/>
      <c r="K21" s="21"/>
      <c r="Q21" s="70"/>
      <c r="R21" s="25"/>
      <c r="S21" s="73"/>
      <c r="V21" s="22">
        <v>1.5</v>
      </c>
      <c r="W21" s="23">
        <f t="shared" si="2"/>
        <v>24707.300275482088</v>
      </c>
      <c r="X21" s="23">
        <f t="shared" si="10"/>
        <v>2.3290377515495352E-2</v>
      </c>
      <c r="Y21" s="23">
        <f t="shared" si="14"/>
        <v>6.3091399365605566E-3</v>
      </c>
      <c r="Z21" s="25"/>
      <c r="AA21" s="1" t="s">
        <v>50</v>
      </c>
      <c r="AB21" s="2">
        <f>AB20/AB11</f>
        <v>2.3047619047619048E-4</v>
      </c>
      <c r="AE21" s="37">
        <v>0</v>
      </c>
      <c r="AF21" s="37">
        <v>1.792E-3</v>
      </c>
      <c r="AG21" s="37">
        <v>999.87</v>
      </c>
      <c r="AH21" s="39">
        <v>1.7922329902887374E-6</v>
      </c>
    </row>
    <row r="22" spans="1:34" x14ac:dyDescent="0.35">
      <c r="A22" s="24"/>
      <c r="B22" s="18"/>
      <c r="C22" s="19"/>
      <c r="D22" s="19"/>
      <c r="E22" s="3"/>
      <c r="F22" s="19"/>
      <c r="G22" s="19"/>
      <c r="H22" s="19"/>
      <c r="I22" s="20"/>
      <c r="J22" s="20"/>
      <c r="K22" s="21"/>
      <c r="Q22" s="70"/>
      <c r="R22" s="25"/>
      <c r="S22" s="73"/>
      <c r="V22" s="22">
        <v>1.6</v>
      </c>
      <c r="W22" s="23">
        <f t="shared" si="2"/>
        <v>26354.453627180897</v>
      </c>
      <c r="X22" s="23">
        <f t="shared" si="10"/>
        <v>2.2917611195183735E-2</v>
      </c>
      <c r="Y22" s="23">
        <f t="shared" si="14"/>
        <v>6.2081611148597036E-3</v>
      </c>
      <c r="Z22" s="25"/>
      <c r="AE22" s="37">
        <v>5</v>
      </c>
      <c r="AF22" s="37">
        <v>1.519E-3</v>
      </c>
      <c r="AG22" s="37">
        <v>999.99</v>
      </c>
      <c r="AH22" s="39">
        <v>1.5190151901519014E-6</v>
      </c>
    </row>
    <row r="23" spans="1:34" x14ac:dyDescent="0.35">
      <c r="B23" s="18"/>
      <c r="C23" s="19"/>
      <c r="D23" s="19"/>
      <c r="E23" s="3"/>
      <c r="F23" s="3"/>
      <c r="G23" s="19"/>
      <c r="H23" s="19"/>
      <c r="I23" s="19"/>
      <c r="J23" s="20"/>
      <c r="K23" s="21"/>
      <c r="Q23" s="70"/>
      <c r="R23" s="25"/>
      <c r="S23" s="73"/>
      <c r="V23" s="22">
        <v>1.7</v>
      </c>
      <c r="W23" s="23">
        <f t="shared" si="2"/>
        <v>28001.606978879703</v>
      </c>
      <c r="X23" s="23">
        <f t="shared" si="10"/>
        <v>2.2572887260866651E-2</v>
      </c>
      <c r="Y23" s="23">
        <f t="shared" si="14"/>
        <v>6.1147787066251789E-3</v>
      </c>
      <c r="Z23" s="25"/>
      <c r="AA23" s="40"/>
      <c r="AE23" s="37">
        <f>AE22+5</f>
        <v>10</v>
      </c>
      <c r="AF23" s="37">
        <v>1.3079999999999999E-3</v>
      </c>
      <c r="AG23" s="37">
        <v>999.73</v>
      </c>
      <c r="AH23" s="39">
        <v>1.3083532553789522E-6</v>
      </c>
    </row>
    <row r="24" spans="1:34" x14ac:dyDescent="0.35">
      <c r="B24" s="18"/>
      <c r="C24" s="19"/>
      <c r="D24" s="19"/>
      <c r="E24" s="3"/>
      <c r="F24" s="3"/>
      <c r="G24" s="19"/>
      <c r="H24" s="19"/>
      <c r="I24" s="19"/>
      <c r="J24" s="20"/>
      <c r="K24" s="21"/>
      <c r="Q24" s="71"/>
      <c r="R24" s="4"/>
      <c r="S24" s="74"/>
      <c r="V24" s="22">
        <v>1.8</v>
      </c>
      <c r="W24" s="23">
        <f t="shared" si="2"/>
        <v>29648.760330578509</v>
      </c>
      <c r="X24" s="23">
        <f t="shared" si="10"/>
        <v>2.2252623324898687E-2</v>
      </c>
      <c r="Y24" s="23">
        <f t="shared" si="14"/>
        <v>6.0280222773955016E-3</v>
      </c>
      <c r="Z24" s="4"/>
      <c r="AA24" s="40"/>
      <c r="AE24" s="37" t="e">
        <f>#REF!+5</f>
        <v>#REF!</v>
      </c>
      <c r="AF24" s="37">
        <v>1.005E-3</v>
      </c>
      <c r="AG24" s="37">
        <v>998.23</v>
      </c>
      <c r="AH24" s="39">
        <v>1.0067820041473407E-6</v>
      </c>
    </row>
    <row r="25" spans="1:34" x14ac:dyDescent="0.35">
      <c r="B25" s="18"/>
      <c r="C25" s="19"/>
      <c r="D25" s="19"/>
      <c r="E25" s="3"/>
      <c r="F25" s="3"/>
      <c r="G25" s="19"/>
      <c r="H25" s="19"/>
      <c r="I25" s="19"/>
      <c r="J25" s="20"/>
      <c r="K25" s="21"/>
      <c r="Q25" s="71"/>
      <c r="R25" s="4"/>
      <c r="S25" s="74"/>
      <c r="V25" s="22">
        <v>1.9</v>
      </c>
      <c r="W25" s="23">
        <f t="shared" si="2"/>
        <v>31295.913682277314</v>
      </c>
      <c r="X25" s="23">
        <f t="shared" si="10"/>
        <v>2.1953862641326816E-2</v>
      </c>
      <c r="Y25" s="23">
        <f t="shared" si="14"/>
        <v>5.9470908730443542E-3</v>
      </c>
      <c r="Z25" s="4"/>
      <c r="AA25" s="40"/>
      <c r="AE25" s="37">
        <v>25</v>
      </c>
      <c r="AF25" s="37">
        <v>8.9400000000000005E-4</v>
      </c>
      <c r="AG25" s="37">
        <v>997.07</v>
      </c>
      <c r="AH25" s="39">
        <v>8.9662711745414066E-7</v>
      </c>
    </row>
    <row r="26" spans="1:34" x14ac:dyDescent="0.35">
      <c r="N26" s="22"/>
      <c r="Q26" s="71"/>
      <c r="R26" s="4"/>
      <c r="S26" s="74"/>
      <c r="V26" s="22">
        <v>2</v>
      </c>
      <c r="W26" s="23">
        <f t="shared" si="2"/>
        <v>32943.06703397612</v>
      </c>
      <c r="X26" s="23">
        <f t="shared" si="10"/>
        <v>2.1674138486242264E-2</v>
      </c>
      <c r="Y26" s="23">
        <f t="shared" si="14"/>
        <v>5.8713162817183671E-3</v>
      </c>
      <c r="Z26" s="4"/>
      <c r="AA26" s="40"/>
      <c r="AE26" s="32"/>
      <c r="AF26" s="32"/>
      <c r="AG26" s="32"/>
      <c r="AH26" s="32"/>
    </row>
    <row r="27" spans="1:34" x14ac:dyDescent="0.35">
      <c r="K27" s="1"/>
      <c r="L27" s="4"/>
      <c r="N27" s="22"/>
      <c r="Q27" s="71"/>
      <c r="R27" s="4"/>
      <c r="S27" s="74"/>
      <c r="V27" s="22">
        <v>2.1</v>
      </c>
      <c r="W27" s="23">
        <f t="shared" si="2"/>
        <v>34590.220385674926</v>
      </c>
      <c r="X27" s="23">
        <f t="shared" si="10"/>
        <v>2.1411373096158582E-2</v>
      </c>
      <c r="Y27" s="23">
        <f t="shared" si="14"/>
        <v>5.8001356572128212E-3</v>
      </c>
      <c r="Z27" s="4"/>
      <c r="AA27" s="40"/>
      <c r="AE27" s="32"/>
      <c r="AF27" s="32"/>
      <c r="AG27" s="32"/>
      <c r="AH27" s="32"/>
    </row>
    <row r="28" spans="1:34" x14ac:dyDescent="0.35">
      <c r="Q28" s="71"/>
      <c r="R28" s="4"/>
      <c r="S28" s="74"/>
      <c r="V28" s="22">
        <v>2.2000000000000002</v>
      </c>
      <c r="W28" s="23">
        <f t="shared" si="2"/>
        <v>36237.373737373739</v>
      </c>
      <c r="X28" s="23">
        <f t="shared" si="10"/>
        <v>2.1163801165101973E-2</v>
      </c>
      <c r="Y28" s="23">
        <f t="shared" si="14"/>
        <v>5.7330707950670077E-3</v>
      </c>
      <c r="Z28" s="4"/>
      <c r="AA28" s="40"/>
      <c r="AE28" s="32"/>
      <c r="AF28" s="32"/>
      <c r="AG28" s="32"/>
      <c r="AH28" s="32"/>
    </row>
    <row r="29" spans="1:34" x14ac:dyDescent="0.35">
      <c r="L29" s="41"/>
      <c r="Q29" s="71"/>
      <c r="R29" s="4"/>
      <c r="S29" s="74"/>
      <c r="V29" s="22">
        <v>2.2999999999999998</v>
      </c>
      <c r="W29" s="23">
        <f t="shared" si="2"/>
        <v>37884.527089072537</v>
      </c>
      <c r="X29" s="23">
        <f t="shared" si="10"/>
        <v>2.0929911109198032E-2</v>
      </c>
      <c r="Y29" s="23">
        <f t="shared" si="14"/>
        <v>5.669712221703988E-3</v>
      </c>
      <c r="Z29" s="4"/>
      <c r="AA29" s="40"/>
      <c r="AE29" s="32"/>
      <c r="AF29" s="32"/>
      <c r="AG29" s="32"/>
      <c r="AH29" s="32"/>
    </row>
    <row r="30" spans="1:34" x14ac:dyDescent="0.35">
      <c r="Q30" s="71"/>
      <c r="R30" s="4"/>
      <c r="S30" s="74"/>
      <c r="V30" s="22">
        <v>2.4</v>
      </c>
      <c r="W30" s="23">
        <f t="shared" si="2"/>
        <v>39531.680440771343</v>
      </c>
      <c r="X30" s="23">
        <f t="shared" si="10"/>
        <v>2.0708399393919434E-2</v>
      </c>
      <c r="Y30" s="23">
        <f t="shared" si="14"/>
        <v>5.6097068221199571E-3</v>
      </c>
      <c r="Z30" s="4"/>
      <c r="AA30" s="40"/>
      <c r="AE30" s="32"/>
      <c r="AF30" s="32"/>
      <c r="AG30" s="32"/>
      <c r="AH30" s="32"/>
    </row>
    <row r="31" spans="1:34" x14ac:dyDescent="0.35">
      <c r="F31" s="1"/>
      <c r="G31" s="1"/>
      <c r="Q31" s="71"/>
      <c r="R31" s="4"/>
      <c r="S31" s="74"/>
      <c r="V31" s="22">
        <v>2.5</v>
      </c>
      <c r="W31" s="23">
        <f t="shared" si="2"/>
        <v>41178.833792470155</v>
      </c>
      <c r="X31" s="23">
        <f t="shared" si="10"/>
        <v>2.0498134605736414E-2</v>
      </c>
      <c r="Y31" s="23">
        <f t="shared" si="14"/>
        <v>5.5527481072388711E-3</v>
      </c>
      <c r="Z31" s="4"/>
      <c r="AA31" s="40"/>
      <c r="AE31" s="32"/>
      <c r="AF31" s="32"/>
      <c r="AG31" s="32"/>
      <c r="AH31" s="32"/>
    </row>
    <row r="32" spans="1:34" x14ac:dyDescent="0.35">
      <c r="G32" s="19"/>
      <c r="Q32" s="71"/>
      <c r="R32" s="4"/>
      <c r="S32" s="74"/>
      <c r="Z32" s="4"/>
      <c r="AA32" s="40"/>
    </row>
    <row r="33" spans="7:28" x14ac:dyDescent="0.35">
      <c r="G33" s="19"/>
      <c r="Q33" s="71"/>
      <c r="R33" s="4"/>
      <c r="S33" s="74"/>
      <c r="Z33" s="4"/>
      <c r="AA33" s="40"/>
      <c r="AB33" s="1" t="s">
        <v>51</v>
      </c>
    </row>
    <row r="34" spans="7:28" x14ac:dyDescent="0.35">
      <c r="G34" s="19"/>
      <c r="Q34" s="71"/>
      <c r="R34" s="4"/>
      <c r="S34" s="74"/>
      <c r="Z34" s="4"/>
      <c r="AA34" s="40"/>
    </row>
    <row r="35" spans="7:28" x14ac:dyDescent="0.35">
      <c r="G35" s="19"/>
      <c r="Q35" s="71"/>
      <c r="R35" s="4"/>
      <c r="S35" s="74"/>
      <c r="Z35" s="4"/>
      <c r="AA35" s="40"/>
    </row>
    <row r="36" spans="7:28" x14ac:dyDescent="0.35">
      <c r="G36" s="19"/>
      <c r="Q36" s="71"/>
      <c r="R36" s="4"/>
      <c r="S36" s="74"/>
      <c r="Z36" s="4"/>
    </row>
    <row r="37" spans="7:28" x14ac:dyDescent="0.35">
      <c r="G37" s="19"/>
      <c r="Q37" s="71"/>
      <c r="R37" s="4"/>
      <c r="S37" s="74"/>
      <c r="Z37" s="4"/>
    </row>
    <row r="38" spans="7:28" x14ac:dyDescent="0.35">
      <c r="R38" s="68"/>
      <c r="S38" s="2"/>
      <c r="T38" s="89"/>
      <c r="Z38" s="4"/>
    </row>
    <row r="39" spans="7:28" x14ac:dyDescent="0.35">
      <c r="R39" s="43"/>
      <c r="S39" s="88"/>
      <c r="V39" s="4"/>
      <c r="W39" s="16"/>
      <c r="X39" s="16"/>
      <c r="Y39" s="4"/>
      <c r="Z39" s="4"/>
    </row>
    <row r="40" spans="7:28" x14ac:dyDescent="0.35">
      <c r="R40" s="43"/>
      <c r="S40" s="88"/>
      <c r="V40" s="4"/>
      <c r="W40" s="16"/>
      <c r="X40" s="16"/>
      <c r="Y40" s="4"/>
      <c r="Z40" s="4"/>
    </row>
    <row r="41" spans="7:28" x14ac:dyDescent="0.35">
      <c r="R41" s="43"/>
      <c r="S41" s="88"/>
      <c r="V41" s="4"/>
      <c r="W41" s="16"/>
      <c r="X41" s="16"/>
      <c r="Y41" s="4"/>
      <c r="Z41" s="4"/>
    </row>
    <row r="42" spans="7:28" x14ac:dyDescent="0.35">
      <c r="Q42" s="71"/>
      <c r="R42" s="4"/>
      <c r="S42" s="74"/>
      <c r="V42" s="4"/>
      <c r="W42" s="16"/>
      <c r="X42" s="16"/>
      <c r="Y42" s="4"/>
      <c r="Z42" s="4"/>
    </row>
    <row r="43" spans="7:28" x14ac:dyDescent="0.35">
      <c r="Q43" s="71"/>
      <c r="R43" s="4"/>
      <c r="S43" s="74"/>
      <c r="V43" s="4"/>
      <c r="W43" s="16"/>
      <c r="X43" s="16"/>
      <c r="Y43" s="4"/>
      <c r="Z43" s="4"/>
    </row>
    <row r="44" spans="7:28" x14ac:dyDescent="0.35">
      <c r="V44" s="4"/>
      <c r="W44" s="16"/>
      <c r="X44" s="16"/>
    </row>
    <row r="45" spans="7:28" x14ac:dyDescent="0.35">
      <c r="V45" s="4"/>
      <c r="W45" s="16"/>
      <c r="X45" s="16"/>
    </row>
    <row r="46" spans="7:28" x14ac:dyDescent="0.35">
      <c r="V46" s="4"/>
      <c r="W46" s="16"/>
      <c r="X46" s="16"/>
    </row>
    <row r="47" spans="7:28" x14ac:dyDescent="0.35">
      <c r="V47" s="4"/>
      <c r="W47" s="16"/>
      <c r="X47" s="16"/>
    </row>
    <row r="48" spans="7:28" x14ac:dyDescent="0.35">
      <c r="R48" s="40"/>
      <c r="S48" s="87"/>
      <c r="V48" s="4"/>
      <c r="W48" s="16"/>
      <c r="X48" s="16"/>
    </row>
    <row r="49" spans="22:24" x14ac:dyDescent="0.35">
      <c r="V49" s="4"/>
      <c r="W49" s="16"/>
      <c r="X49" s="16"/>
    </row>
    <row r="50" spans="22:24" x14ac:dyDescent="0.35">
      <c r="V50" s="4"/>
      <c r="W50" s="16"/>
      <c r="X50" s="16"/>
    </row>
    <row r="51" spans="22:24" x14ac:dyDescent="0.35">
      <c r="V51" s="4"/>
      <c r="W51" s="16"/>
      <c r="X51" s="16"/>
    </row>
    <row r="52" spans="22:24" x14ac:dyDescent="0.35">
      <c r="V52" s="4"/>
      <c r="W52" s="16"/>
      <c r="X52" s="16"/>
    </row>
    <row r="53" spans="22:24" x14ac:dyDescent="0.35">
      <c r="V53" s="4"/>
      <c r="W53" s="16"/>
      <c r="X53" s="16"/>
    </row>
    <row r="54" spans="22:24" x14ac:dyDescent="0.35">
      <c r="V54" s="4"/>
    </row>
    <row r="112" spans="17:17" x14ac:dyDescent="0.35">
      <c r="Q112" s="85"/>
    </row>
  </sheetData>
  <mergeCells count="3">
    <mergeCell ref="A3:N3"/>
    <mergeCell ref="AA5:AB5"/>
    <mergeCell ref="Q4:S4"/>
  </mergeCell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BB624-EE60-4A13-9772-36A7D013B6F0}">
  <dimension ref="A1:AG112"/>
  <sheetViews>
    <sheetView zoomScale="50" zoomScaleNormal="50" zoomScalePageLayoutView="90" workbookViewId="0">
      <selection activeCell="AA11" sqref="AA11"/>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6.765625" style="4" customWidth="1"/>
    <col min="14" max="15" width="8.4609375" style="4" customWidth="1"/>
    <col min="16" max="16" width="27.23046875" style="4" customWidth="1"/>
    <col min="17" max="17" width="12.765625" style="68" customWidth="1"/>
    <col min="18" max="18" width="10" style="2" customWidth="1"/>
    <col min="19" max="19" width="13.3046875" style="72" bestFit="1" customWidth="1"/>
    <col min="20" max="20" width="8.4609375" style="5" customWidth="1"/>
    <col min="21" max="21" width="10.23046875" style="2" customWidth="1"/>
    <col min="22" max="22" width="13.84375" style="2" customWidth="1"/>
    <col min="23" max="25" width="10" style="2" customWidth="1"/>
    <col min="26" max="26" width="21" style="2" customWidth="1"/>
    <col min="27" max="27" width="8.69140625" style="2" customWidth="1"/>
    <col min="28" max="28" width="8.69140625" style="2"/>
    <col min="29" max="29" width="22" style="2" customWidth="1"/>
    <col min="30" max="30" width="35.84375" style="2" customWidth="1"/>
    <col min="31" max="31" width="16.84375" style="2" customWidth="1"/>
    <col min="32" max="16384" width="8.69140625" style="2"/>
  </cols>
  <sheetData>
    <row r="1" spans="1:31" x14ac:dyDescent="0.35">
      <c r="A1" s="1"/>
      <c r="I1" s="1"/>
      <c r="J1" s="1"/>
      <c r="Q1" s="69" t="s">
        <v>98</v>
      </c>
    </row>
    <row r="2" spans="1:31" x14ac:dyDescent="0.35">
      <c r="A2" s="1"/>
      <c r="I2" s="1"/>
      <c r="J2" s="1"/>
      <c r="Q2" s="69" t="s">
        <v>85</v>
      </c>
    </row>
    <row r="3" spans="1:31" x14ac:dyDescent="0.35">
      <c r="A3" s="150" t="s">
        <v>3</v>
      </c>
      <c r="B3" s="150"/>
      <c r="C3" s="150"/>
      <c r="D3" s="150"/>
      <c r="E3" s="150"/>
      <c r="F3" s="150"/>
      <c r="G3" s="150"/>
      <c r="H3" s="150"/>
      <c r="I3" s="150"/>
      <c r="J3" s="150"/>
      <c r="K3" s="150"/>
      <c r="L3" s="150"/>
      <c r="M3" s="150"/>
      <c r="N3" s="150"/>
      <c r="O3" s="58"/>
      <c r="P3" s="58"/>
      <c r="T3" s="7"/>
    </row>
    <row r="4" spans="1:31" x14ac:dyDescent="0.35">
      <c r="Q4" s="152" t="s">
        <v>81</v>
      </c>
      <c r="R4" s="153"/>
      <c r="S4" s="154"/>
    </row>
    <row r="5" spans="1:31"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T5" s="14"/>
      <c r="U5" s="15" t="s">
        <v>19</v>
      </c>
      <c r="V5" s="16" t="s">
        <v>14</v>
      </c>
      <c r="W5" s="15" t="s">
        <v>20</v>
      </c>
      <c r="X5" s="16" t="s">
        <v>21</v>
      </c>
      <c r="Y5" s="1"/>
      <c r="Z5" s="151" t="s">
        <v>22</v>
      </c>
      <c r="AA5" s="151"/>
    </row>
    <row r="6" spans="1:31" x14ac:dyDescent="0.35">
      <c r="A6" s="17" t="s">
        <v>23</v>
      </c>
      <c r="B6" s="18">
        <v>0</v>
      </c>
      <c r="C6" s="19">
        <f>B6*0.0166667</f>
        <v>0</v>
      </c>
      <c r="D6" s="19">
        <f>B6*0.000277778</f>
        <v>0</v>
      </c>
      <c r="E6" s="3">
        <f>0.001*D6</f>
        <v>0</v>
      </c>
      <c r="F6" s="19">
        <f>E6/AA$7</f>
        <v>0</v>
      </c>
      <c r="G6" s="19">
        <f t="shared" ref="G6:G18" si="0">F6^(2)</f>
        <v>0</v>
      </c>
      <c r="H6" s="19">
        <f>F6*1.94384</f>
        <v>0</v>
      </c>
      <c r="I6" s="20">
        <v>0</v>
      </c>
      <c r="J6" s="20">
        <f t="shared" ref="J6:J18" si="1">I6 * 10</f>
        <v>0</v>
      </c>
      <c r="K6" s="21">
        <f>J6*100</f>
        <v>0</v>
      </c>
      <c r="L6" s="3">
        <f>(F6*AA$11)/AA$12</f>
        <v>0</v>
      </c>
      <c r="U6" s="22">
        <v>0</v>
      </c>
      <c r="V6" s="23">
        <f t="shared" ref="V6:V31" si="2">(U6*AA$11)/AA$12</f>
        <v>0</v>
      </c>
      <c r="W6" s="23"/>
      <c r="X6" s="23"/>
    </row>
    <row r="7" spans="1:31" x14ac:dyDescent="0.35">
      <c r="A7" s="2">
        <v>25</v>
      </c>
      <c r="B7" s="2">
        <v>1800</v>
      </c>
      <c r="C7" s="19">
        <f t="shared" ref="C7:C18" si="3">B7*0.0166667</f>
        <v>30.000059999999998</v>
      </c>
      <c r="D7" s="19">
        <f t="shared" ref="D7:D18" si="4">B7*0.000277778</f>
        <v>0.50000040000000001</v>
      </c>
      <c r="E7" s="3">
        <f t="shared" ref="E7:E18" si="5">0.001*D7</f>
        <v>5.0000040000000004E-4</v>
      </c>
      <c r="F7" s="19">
        <f t="shared" ref="F7:F18" si="6">E7/AA$7</f>
        <v>0.95238171428571428</v>
      </c>
      <c r="G7" s="19">
        <f t="shared" si="0"/>
        <v>0.90703092970579591</v>
      </c>
      <c r="H7" s="19">
        <f t="shared" ref="H7:H18" si="7">F7*1.94384</f>
        <v>1.8512776714971428</v>
      </c>
      <c r="I7" s="2">
        <v>0.68143225806451602</v>
      </c>
      <c r="J7" s="20">
        <f t="shared" si="1"/>
        <v>6.8143225806451602</v>
      </c>
      <c r="K7" s="21">
        <f t="shared" ref="K7:K18" si="8">J7*100</f>
        <v>681.43225806451596</v>
      </c>
      <c r="L7" s="3">
        <f>(F7*AA$11)/AA$12</f>
        <v>16432.653762336515</v>
      </c>
      <c r="M7" s="4">
        <f>(AA$15*G7*N7)/8</f>
        <v>3.6957844574780037</v>
      </c>
      <c r="N7" s="4">
        <f>(K7*2*AA$11)/(AA$13*AA$15*G7)</f>
        <v>3.1832780039168278E-2</v>
      </c>
      <c r="O7" s="4">
        <f t="shared" ref="O7:O18" si="9">N7/4</f>
        <v>7.9581950097920694E-3</v>
      </c>
      <c r="Q7" s="2">
        <v>939371.56633333338</v>
      </c>
      <c r="R7" s="2">
        <v>19050.242666666669</v>
      </c>
      <c r="S7" s="2">
        <v>81.692333333333337</v>
      </c>
      <c r="U7" s="22">
        <v>0.1</v>
      </c>
      <c r="V7" s="23">
        <f>(U7*AA$11)/AA$12</f>
        <v>1725.4272647035223</v>
      </c>
      <c r="W7" s="23">
        <f t="shared" ref="W7:W31" si="10">0.292/(V7^(0.25))</f>
        <v>4.5306309490841024E-2</v>
      </c>
      <c r="X7" s="23">
        <f>0.0791/(V7^0.25)</f>
        <v>1.2273044797005223E-2</v>
      </c>
      <c r="Y7" s="25"/>
      <c r="Z7" s="1" t="s">
        <v>24</v>
      </c>
      <c r="AA7" s="2">
        <f>AA$9*AA$10</f>
        <v>5.2500000000000008E-4</v>
      </c>
    </row>
    <row r="8" spans="1:31" x14ac:dyDescent="0.35">
      <c r="A8" s="2">
        <v>30</v>
      </c>
      <c r="B8" s="2">
        <v>2650</v>
      </c>
      <c r="C8" s="19">
        <f t="shared" si="3"/>
        <v>44.166755000000002</v>
      </c>
      <c r="D8" s="19">
        <f t="shared" si="4"/>
        <v>0.73611170000000004</v>
      </c>
      <c r="E8" s="3">
        <f t="shared" si="5"/>
        <v>7.3611170000000004E-4</v>
      </c>
      <c r="F8" s="19">
        <f t="shared" si="6"/>
        <v>1.4021175238095236</v>
      </c>
      <c r="G8" s="19">
        <f t="shared" si="0"/>
        <v>1.9659335505737499</v>
      </c>
      <c r="H8" s="19">
        <f t="shared" si="7"/>
        <v>2.7254921274819042</v>
      </c>
      <c r="I8" s="42">
        <v>1.3811354838709675</v>
      </c>
      <c r="J8" s="20">
        <f t="shared" si="1"/>
        <v>13.811354838709676</v>
      </c>
      <c r="K8" s="21">
        <f t="shared" si="8"/>
        <v>1381.1354838709676</v>
      </c>
      <c r="L8" s="3">
        <f t="shared" ref="L8:L18" si="11">(F8*AA$11)/AA$12</f>
        <v>24192.518038995422</v>
      </c>
      <c r="M8" s="4">
        <f t="shared" ref="M8:M18" si="12">(AA$15*G8*N8)/8</f>
        <v>7.4906624900026646</v>
      </c>
      <c r="N8" s="4">
        <f t="shared" ref="N8:N18" si="13">(K8*2*AA$11)/(AA$13*AA$15*G8)</f>
        <v>2.9767435774249215E-2</v>
      </c>
      <c r="O8" s="4">
        <f t="shared" si="9"/>
        <v>7.4418589435623038E-3</v>
      </c>
      <c r="P8" s="4">
        <f>3.7*(10^(-1/(2*SQRT(N8)))-2.51/(L8*SQRT(N8)))</f>
        <v>2.4544915789894064E-3</v>
      </c>
      <c r="Q8" s="2">
        <v>862844.15899999999</v>
      </c>
      <c r="R8" s="2">
        <v>18788.596333333335</v>
      </c>
      <c r="S8" s="2">
        <v>91.206999999999994</v>
      </c>
      <c r="U8" s="22">
        <v>0.2</v>
      </c>
      <c r="V8" s="23">
        <f t="shared" si="2"/>
        <v>3450.8545294070445</v>
      </c>
      <c r="W8" s="23">
        <f t="shared" si="10"/>
        <v>3.8097913239223562E-2</v>
      </c>
      <c r="X8" s="23">
        <f t="shared" ref="X8:X31" si="14">0.0791/(V8^0.25)</f>
        <v>1.0320359374049945E-2</v>
      </c>
      <c r="Y8" s="25"/>
      <c r="Z8" s="2" t="s">
        <v>25</v>
      </c>
    </row>
    <row r="9" spans="1:31" ht="19" x14ac:dyDescent="0.4">
      <c r="A9" s="2">
        <v>35</v>
      </c>
      <c r="B9" s="50">
        <v>3300</v>
      </c>
      <c r="C9" s="19">
        <f t="shared" si="3"/>
        <v>55.000109999999999</v>
      </c>
      <c r="D9" s="19">
        <f t="shared" si="4"/>
        <v>0.91666740000000002</v>
      </c>
      <c r="E9" s="3">
        <f t="shared" si="5"/>
        <v>9.1666740000000005E-4</v>
      </c>
      <c r="F9" s="19">
        <f t="shared" si="6"/>
        <v>1.7460331428571427</v>
      </c>
      <c r="G9" s="19">
        <f t="shared" si="0"/>
        <v>3.0486317359555914</v>
      </c>
      <c r="H9" s="19">
        <f t="shared" si="7"/>
        <v>3.3940090644114282</v>
      </c>
      <c r="I9" s="42">
        <v>2.1819838709677413</v>
      </c>
      <c r="J9" s="20">
        <f t="shared" si="1"/>
        <v>21.819838709677413</v>
      </c>
      <c r="K9" s="21">
        <f t="shared" si="8"/>
        <v>2181.9838709677415</v>
      </c>
      <c r="L9" s="3">
        <f t="shared" si="11"/>
        <v>30126.53189761694</v>
      </c>
      <c r="M9" s="4">
        <f t="shared" si="12"/>
        <v>11.834106738203143</v>
      </c>
      <c r="N9" s="4">
        <f t="shared" si="13"/>
        <v>3.0326378159030883E-2</v>
      </c>
      <c r="O9" s="4">
        <f t="shared" si="9"/>
        <v>7.5815945397577208E-3</v>
      </c>
      <c r="P9" s="4">
        <f>3.7*(10^(-1/(2*SQRT(N9)))-2.51/(L9*SQRT(N9)))</f>
        <v>3.2074977234793174E-3</v>
      </c>
      <c r="Q9" s="2">
        <v>881325.06866666663</v>
      </c>
      <c r="R9" s="2">
        <v>18846.520333333334</v>
      </c>
      <c r="S9" s="2">
        <v>88.99366666666667</v>
      </c>
      <c r="U9" s="22">
        <v>0.3</v>
      </c>
      <c r="V9" s="23">
        <f t="shared" si="2"/>
        <v>5176.2817941105668</v>
      </c>
      <c r="W9" s="23">
        <f t="shared" si="10"/>
        <v>3.4425350736316446E-2</v>
      </c>
      <c r="X9" s="23">
        <f t="shared" si="14"/>
        <v>9.3254974083651753E-3</v>
      </c>
      <c r="Y9" s="25"/>
      <c r="Z9" s="1" t="s">
        <v>26</v>
      </c>
      <c r="AA9" s="19">
        <v>0.05</v>
      </c>
      <c r="AD9" s="27" t="s">
        <v>27</v>
      </c>
    </row>
    <row r="10" spans="1:31" ht="18.5" x14ac:dyDescent="0.35">
      <c r="A10" s="2">
        <v>40</v>
      </c>
      <c r="B10" s="50">
        <v>4200</v>
      </c>
      <c r="C10" s="19">
        <f t="shared" si="3"/>
        <v>70.000140000000002</v>
      </c>
      <c r="D10" s="19">
        <f t="shared" si="4"/>
        <v>1.1666676</v>
      </c>
      <c r="E10" s="3">
        <f t="shared" si="5"/>
        <v>1.1666676000000001E-3</v>
      </c>
      <c r="F10" s="19">
        <f t="shared" si="6"/>
        <v>2.2222239999999998</v>
      </c>
      <c r="G10" s="19">
        <f t="shared" si="0"/>
        <v>4.9382795061759985</v>
      </c>
      <c r="H10" s="19">
        <f t="shared" si="7"/>
        <v>4.3196479001599997</v>
      </c>
      <c r="I10" s="42">
        <v>3.3865870967741936</v>
      </c>
      <c r="J10" s="20">
        <f t="shared" si="1"/>
        <v>33.865870967741934</v>
      </c>
      <c r="K10" s="21">
        <f t="shared" si="8"/>
        <v>3386.5870967741935</v>
      </c>
      <c r="L10" s="3">
        <f t="shared" si="11"/>
        <v>38342.858778785194</v>
      </c>
      <c r="M10" s="4">
        <f t="shared" si="12"/>
        <v>18.36733704345508</v>
      </c>
      <c r="N10" s="4">
        <f t="shared" si="13"/>
        <v>2.9057654689762451E-2</v>
      </c>
      <c r="O10" s="4">
        <f t="shared" si="9"/>
        <v>7.2644136724406127E-3</v>
      </c>
      <c r="P10" s="4">
        <f>3.7*(10^(-1/(2*SQRT(N10)))-2.51/(L10*SQRT(N10)))</f>
        <v>2.8944481282667648E-3</v>
      </c>
      <c r="Q10" s="2">
        <v>852301.34266666661</v>
      </c>
      <c r="R10" s="2">
        <v>18721.457666666669</v>
      </c>
      <c r="S10" s="2">
        <v>90.690999999999988</v>
      </c>
      <c r="U10" s="22">
        <v>0.4</v>
      </c>
      <c r="V10" s="23">
        <f t="shared" si="2"/>
        <v>6901.7090588140891</v>
      </c>
      <c r="W10" s="23">
        <f t="shared" si="10"/>
        <v>3.2036398671510126E-2</v>
      </c>
      <c r="X10" s="23">
        <f t="shared" si="14"/>
        <v>8.6783532017686675E-3</v>
      </c>
      <c r="Y10" s="25"/>
      <c r="Z10" s="1" t="s">
        <v>28</v>
      </c>
      <c r="AA10" s="19">
        <v>1.0500000000000001E-2</v>
      </c>
      <c r="AD10" s="28" t="s">
        <v>29</v>
      </c>
      <c r="AE10" s="2" t="s">
        <v>30</v>
      </c>
    </row>
    <row r="11" spans="1:31" ht="16.5" x14ac:dyDescent="0.4">
      <c r="A11" s="2">
        <v>45</v>
      </c>
      <c r="B11" s="50">
        <v>5000</v>
      </c>
      <c r="C11" s="19">
        <f t="shared" si="3"/>
        <v>83.333500000000001</v>
      </c>
      <c r="D11" s="19">
        <f t="shared" si="4"/>
        <v>1.38889</v>
      </c>
      <c r="E11" s="3">
        <f t="shared" si="5"/>
        <v>1.38889E-3</v>
      </c>
      <c r="F11" s="19">
        <f t="shared" si="6"/>
        <v>2.6455047619047618</v>
      </c>
      <c r="G11" s="19">
        <f t="shared" si="0"/>
        <v>6.9986954452607701</v>
      </c>
      <c r="H11" s="19">
        <f t="shared" si="7"/>
        <v>5.1424379763809522</v>
      </c>
      <c r="I11" s="42">
        <v>4.6710451612903219</v>
      </c>
      <c r="J11" s="20">
        <f t="shared" si="1"/>
        <v>46.710451612903221</v>
      </c>
      <c r="K11" s="21">
        <f t="shared" si="8"/>
        <v>4671.0451612903216</v>
      </c>
      <c r="L11" s="3">
        <f t="shared" si="11"/>
        <v>45646.260450934758</v>
      </c>
      <c r="M11" s="4">
        <f t="shared" si="12"/>
        <v>25.333664356171681</v>
      </c>
      <c r="N11" s="4">
        <f t="shared" si="13"/>
        <v>2.8279449267450844E-2</v>
      </c>
      <c r="O11" s="4">
        <f t="shared" si="9"/>
        <v>7.0698623168627111E-3</v>
      </c>
      <c r="P11" s="4">
        <f>3.7*(10^(-1/(2*SQRT(N11)))-2.51/(L11*SQRT(N11)))</f>
        <v>2.7250118039913178E-3</v>
      </c>
      <c r="Q11" s="2">
        <v>790825.57866666664</v>
      </c>
      <c r="R11" s="2">
        <v>18780.294666666665</v>
      </c>
      <c r="S11" s="2">
        <v>94.72166666666665</v>
      </c>
      <c r="U11" s="22">
        <v>0.5</v>
      </c>
      <c r="V11" s="23">
        <f t="shared" si="2"/>
        <v>8627.1363235176104</v>
      </c>
      <c r="W11" s="23">
        <f t="shared" si="10"/>
        <v>3.0298155226261194E-2</v>
      </c>
      <c r="X11" s="23">
        <f t="shared" si="14"/>
        <v>8.2074797205385647E-3</v>
      </c>
      <c r="Y11" s="25"/>
      <c r="Z11" s="1" t="s">
        <v>31</v>
      </c>
      <c r="AA11" s="4">
        <f>2*(AA9*AA10)/(AA9+AA10)</f>
        <v>1.7355371900826446E-2</v>
      </c>
      <c r="AB11" s="1">
        <f>10*AA11*100</f>
        <v>17.355371900826448</v>
      </c>
      <c r="AD11" s="27" t="s">
        <v>32</v>
      </c>
      <c r="AE11" s="2" t="s">
        <v>33</v>
      </c>
    </row>
    <row r="12" spans="1:31" ht="18.5" x14ac:dyDescent="0.35">
      <c r="A12" s="49" t="s">
        <v>68</v>
      </c>
      <c r="B12" s="29">
        <v>5750</v>
      </c>
      <c r="C12" s="19">
        <f t="shared" si="3"/>
        <v>95.833524999999995</v>
      </c>
      <c r="D12" s="19">
        <f t="shared" si="4"/>
        <v>1.5972235000000001</v>
      </c>
      <c r="E12" s="3">
        <f t="shared" si="5"/>
        <v>1.5972235000000002E-3</v>
      </c>
      <c r="F12" s="19">
        <f t="shared" si="6"/>
        <v>3.0423304761904761</v>
      </c>
      <c r="G12" s="19">
        <f t="shared" si="0"/>
        <v>9.2557747263573695</v>
      </c>
      <c r="H12" s="19">
        <f t="shared" si="7"/>
        <v>5.9138036728380952</v>
      </c>
      <c r="I12" s="30">
        <v>5.9343161290322586</v>
      </c>
      <c r="J12" s="20">
        <f t="shared" si="1"/>
        <v>59.343161290322584</v>
      </c>
      <c r="K12" s="21">
        <f t="shared" si="8"/>
        <v>5934.3161290322587</v>
      </c>
      <c r="L12" s="3">
        <f t="shared" si="11"/>
        <v>52493.199518574977</v>
      </c>
      <c r="M12" s="4">
        <f t="shared" si="12"/>
        <v>32.185082311383638</v>
      </c>
      <c r="N12" s="4">
        <f t="shared" si="13"/>
        <v>2.7166386714409779E-2</v>
      </c>
      <c r="O12" s="4">
        <f t="shared" si="9"/>
        <v>6.7915966786024446E-3</v>
      </c>
      <c r="P12" s="4">
        <f>3.7*(10^(-1/(2*SQRT(N12)))-2.51/(L12*SQRT(N12)))</f>
        <v>2.3513827120354362E-3</v>
      </c>
      <c r="Q12" s="2">
        <v>733153.25266666664</v>
      </c>
      <c r="R12" s="2">
        <v>18834.210000000003</v>
      </c>
      <c r="S12" s="2">
        <v>97.674666666666667</v>
      </c>
      <c r="U12" s="22">
        <v>0.6</v>
      </c>
      <c r="V12" s="23">
        <f t="shared" si="2"/>
        <v>10352.563588221134</v>
      </c>
      <c r="W12" s="23">
        <f t="shared" si="10"/>
        <v>2.8948154028020322E-2</v>
      </c>
      <c r="X12" s="23">
        <f t="shared" si="14"/>
        <v>7.8417773411520817E-3</v>
      </c>
      <c r="Y12" s="25"/>
      <c r="Z12" s="1" t="s">
        <v>34</v>
      </c>
      <c r="AA12" s="31">
        <f>AA$16/AA$15</f>
        <v>1.0058593750000001E-6</v>
      </c>
    </row>
    <row r="13" spans="1:31" ht="16.5" x14ac:dyDescent="0.4">
      <c r="A13" s="2">
        <v>50</v>
      </c>
      <c r="B13" s="29">
        <v>5750</v>
      </c>
      <c r="C13" s="19">
        <f t="shared" si="3"/>
        <v>95.833524999999995</v>
      </c>
      <c r="D13" s="19">
        <f t="shared" si="4"/>
        <v>1.5972235000000001</v>
      </c>
      <c r="E13" s="3">
        <f t="shared" si="5"/>
        <v>1.5972235000000002E-3</v>
      </c>
      <c r="F13" s="19">
        <f t="shared" si="6"/>
        <v>3.0423304761904761</v>
      </c>
      <c r="G13" s="19">
        <f t="shared" si="0"/>
        <v>9.2557747263573695</v>
      </c>
      <c r="H13" s="19">
        <f t="shared" si="7"/>
        <v>5.9138036728380952</v>
      </c>
      <c r="I13" s="30">
        <v>5.9343161290322586</v>
      </c>
      <c r="J13" s="20">
        <f t="shared" si="1"/>
        <v>59.343161290322584</v>
      </c>
      <c r="K13" s="21">
        <f t="shared" si="8"/>
        <v>5934.3161290322587</v>
      </c>
      <c r="L13" s="3">
        <f t="shared" si="11"/>
        <v>52493.199518574977</v>
      </c>
      <c r="M13" s="4">
        <f t="shared" si="12"/>
        <v>32.185082311383638</v>
      </c>
      <c r="N13" s="4">
        <f t="shared" si="13"/>
        <v>2.7166386714409779E-2</v>
      </c>
      <c r="O13" s="4">
        <f t="shared" si="9"/>
        <v>6.7915966786024446E-3</v>
      </c>
      <c r="Q13" s="2">
        <v>733153.25266666664</v>
      </c>
      <c r="R13" s="2">
        <v>18834.210000000003</v>
      </c>
      <c r="S13" s="2">
        <v>97.674666666666667</v>
      </c>
      <c r="U13" s="22">
        <v>0.7</v>
      </c>
      <c r="V13" s="23">
        <f t="shared" si="2"/>
        <v>12077.990852924655</v>
      </c>
      <c r="W13" s="23">
        <f t="shared" si="10"/>
        <v>2.7853782328912488E-2</v>
      </c>
      <c r="X13" s="23">
        <f t="shared" si="14"/>
        <v>7.5453225418389662E-3</v>
      </c>
      <c r="Y13" s="25"/>
      <c r="Z13" s="1" t="s">
        <v>35</v>
      </c>
      <c r="AA13" s="32">
        <v>0.8</v>
      </c>
      <c r="AD13" s="27" t="s">
        <v>36</v>
      </c>
      <c r="AE13" s="1" t="s">
        <v>37</v>
      </c>
    </row>
    <row r="14" spans="1:31" x14ac:dyDescent="0.35">
      <c r="A14" s="2">
        <v>45</v>
      </c>
      <c r="B14" s="33">
        <v>4900</v>
      </c>
      <c r="C14" s="19">
        <f t="shared" si="3"/>
        <v>81.666830000000004</v>
      </c>
      <c r="D14" s="19">
        <f t="shared" si="4"/>
        <v>1.3611122</v>
      </c>
      <c r="E14" s="3">
        <f t="shared" si="5"/>
        <v>1.3611122000000001E-3</v>
      </c>
      <c r="F14" s="19">
        <f t="shared" si="6"/>
        <v>2.5925946666666664</v>
      </c>
      <c r="G14" s="19">
        <f t="shared" si="0"/>
        <v>6.721547105628443</v>
      </c>
      <c r="H14" s="19">
        <f t="shared" si="7"/>
        <v>5.0395892168533329</v>
      </c>
      <c r="I14" s="30">
        <v>4.3985935483870957</v>
      </c>
      <c r="J14" s="20">
        <f t="shared" si="1"/>
        <v>43.985935483870961</v>
      </c>
      <c r="K14" s="21">
        <f t="shared" si="8"/>
        <v>4398.5935483870962</v>
      </c>
      <c r="L14" s="3">
        <f t="shared" si="11"/>
        <v>44733.335241916058</v>
      </c>
      <c r="M14" s="4">
        <f t="shared" si="12"/>
        <v>23.85600839776059</v>
      </c>
      <c r="N14" s="4">
        <f t="shared" si="13"/>
        <v>2.7728001110256171E-2</v>
      </c>
      <c r="O14" s="4">
        <f t="shared" si="9"/>
        <v>6.9320002775640427E-3</v>
      </c>
      <c r="Q14" s="2">
        <v>726659.02700000012</v>
      </c>
      <c r="R14" s="2">
        <v>18807.019333333334</v>
      </c>
      <c r="S14" s="2">
        <v>97.885666666666665</v>
      </c>
      <c r="U14" s="22">
        <v>0.8</v>
      </c>
      <c r="V14" s="23">
        <f t="shared" si="2"/>
        <v>13803.418117628178</v>
      </c>
      <c r="W14" s="23">
        <f t="shared" si="10"/>
        <v>2.6939292800511723E-2</v>
      </c>
      <c r="X14" s="23">
        <f t="shared" si="14"/>
        <v>7.297596097672868E-3</v>
      </c>
      <c r="Y14" s="25"/>
      <c r="AA14" s="32"/>
    </row>
    <row r="15" spans="1:31" x14ac:dyDescent="0.35">
      <c r="A15" s="2">
        <v>40</v>
      </c>
      <c r="B15" s="33">
        <v>4200</v>
      </c>
      <c r="C15" s="19">
        <f t="shared" si="3"/>
        <v>70.000140000000002</v>
      </c>
      <c r="D15" s="19">
        <f t="shared" si="4"/>
        <v>1.1666676</v>
      </c>
      <c r="E15" s="3">
        <f t="shared" si="5"/>
        <v>1.1666676000000001E-3</v>
      </c>
      <c r="F15" s="19">
        <f t="shared" si="6"/>
        <v>2.2222239999999998</v>
      </c>
      <c r="G15" s="19">
        <f t="shared" si="0"/>
        <v>4.9382795061759985</v>
      </c>
      <c r="H15" s="19">
        <f t="shared" si="7"/>
        <v>4.3196479001599997</v>
      </c>
      <c r="I15" s="30">
        <v>3.2195935483870972</v>
      </c>
      <c r="J15" s="20">
        <f t="shared" si="1"/>
        <v>32.195935483870969</v>
      </c>
      <c r="K15" s="21">
        <f t="shared" si="8"/>
        <v>3219.5935483870967</v>
      </c>
      <c r="L15" s="3">
        <f t="shared" si="11"/>
        <v>38342.858778785194</v>
      </c>
      <c r="M15" s="4">
        <f t="shared" si="12"/>
        <v>17.461638563049853</v>
      </c>
      <c r="N15" s="4">
        <f t="shared" si="13"/>
        <v>2.7624813683230397E-2</v>
      </c>
      <c r="O15" s="4">
        <f t="shared" si="9"/>
        <v>6.9062034208075994E-3</v>
      </c>
      <c r="Q15" s="2">
        <v>736481.97699999996</v>
      </c>
      <c r="R15" s="2">
        <v>18764.755000000001</v>
      </c>
      <c r="S15" s="2">
        <v>99.619666666666674</v>
      </c>
      <c r="T15" s="34"/>
      <c r="U15" s="22">
        <v>0.9</v>
      </c>
      <c r="V15" s="23">
        <f t="shared" si="2"/>
        <v>15528.8453823317</v>
      </c>
      <c r="W15" s="23">
        <f t="shared" si="10"/>
        <v>2.6157609980525558E-2</v>
      </c>
      <c r="X15" s="23">
        <f t="shared" si="14"/>
        <v>7.0858457173273003E-3</v>
      </c>
      <c r="Y15" s="25"/>
      <c r="Z15" s="2" t="s">
        <v>38</v>
      </c>
      <c r="AA15" s="32">
        <f>VLOOKUP(AA17, SW!$A$4:$F$34, 3, FALSE)</f>
        <v>1024</v>
      </c>
      <c r="AB15" s="32"/>
    </row>
    <row r="16" spans="1:31" x14ac:dyDescent="0.35">
      <c r="A16" s="2">
        <v>35</v>
      </c>
      <c r="B16" s="35">
        <v>3250</v>
      </c>
      <c r="C16" s="19">
        <f t="shared" si="3"/>
        <v>54.166775000000001</v>
      </c>
      <c r="D16" s="19">
        <f t="shared" si="4"/>
        <v>0.90277850000000004</v>
      </c>
      <c r="E16" s="3">
        <f t="shared" si="5"/>
        <v>9.0277850000000008E-4</v>
      </c>
      <c r="F16" s="19">
        <f t="shared" si="6"/>
        <v>1.7195780952380952</v>
      </c>
      <c r="G16" s="19">
        <f t="shared" si="0"/>
        <v>2.9569488256226757</v>
      </c>
      <c r="H16" s="19">
        <f t="shared" si="7"/>
        <v>3.342584684647619</v>
      </c>
      <c r="I16" s="30">
        <v>1.9465903225806447</v>
      </c>
      <c r="J16" s="20">
        <f t="shared" si="1"/>
        <v>19.465903225806446</v>
      </c>
      <c r="K16" s="21">
        <f t="shared" si="8"/>
        <v>1946.5903225806446</v>
      </c>
      <c r="L16" s="3">
        <f t="shared" si="11"/>
        <v>29670.069293107594</v>
      </c>
      <c r="M16" s="4">
        <f t="shared" si="12"/>
        <v>10.557437183417752</v>
      </c>
      <c r="N16" s="4">
        <f t="shared" si="13"/>
        <v>2.7893610224411822E-2</v>
      </c>
      <c r="O16" s="4">
        <f t="shared" si="9"/>
        <v>6.9734025561029554E-3</v>
      </c>
      <c r="Q16" s="2">
        <v>785713.8139999999</v>
      </c>
      <c r="R16" s="2">
        <v>18764.709333333332</v>
      </c>
      <c r="S16" s="2">
        <v>94.275333333333336</v>
      </c>
      <c r="U16" s="22">
        <v>1</v>
      </c>
      <c r="V16" s="23">
        <f t="shared" si="2"/>
        <v>17254.272647035221</v>
      </c>
      <c r="W16" s="23">
        <f t="shared" si="10"/>
        <v>2.5477610118563632E-2</v>
      </c>
      <c r="X16" s="23">
        <f t="shared" si="14"/>
        <v>6.9016402752684371E-3</v>
      </c>
      <c r="Y16" s="25"/>
      <c r="Z16" s="2" t="s">
        <v>39</v>
      </c>
      <c r="AA16" s="32">
        <f>VLOOKUP(AA17, SW!$A$4:$F$34, 5, FALSE)</f>
        <v>1.0300000000000001E-3</v>
      </c>
    </row>
    <row r="17" spans="1:33" x14ac:dyDescent="0.35">
      <c r="A17" s="2">
        <v>30</v>
      </c>
      <c r="B17" s="18">
        <v>2550</v>
      </c>
      <c r="C17" s="19">
        <f t="shared" si="3"/>
        <v>42.500084999999999</v>
      </c>
      <c r="D17" s="19">
        <f t="shared" si="4"/>
        <v>0.70833390000000007</v>
      </c>
      <c r="E17" s="3">
        <f t="shared" si="5"/>
        <v>7.083339000000001E-4</v>
      </c>
      <c r="F17" s="19">
        <f t="shared" si="6"/>
        <v>1.3492074285714286</v>
      </c>
      <c r="G17" s="19">
        <f t="shared" si="0"/>
        <v>1.8203606853123266</v>
      </c>
      <c r="H17" s="19">
        <f t="shared" si="7"/>
        <v>2.6226433679542858</v>
      </c>
      <c r="I17" s="30">
        <v>1.1895612903225807</v>
      </c>
      <c r="J17" s="20">
        <f t="shared" si="1"/>
        <v>11.895612903225807</v>
      </c>
      <c r="K17" s="21">
        <f t="shared" si="8"/>
        <v>1189.5612903225806</v>
      </c>
      <c r="L17" s="3">
        <f t="shared" si="11"/>
        <v>23279.592829976729</v>
      </c>
      <c r="M17" s="4">
        <f t="shared" si="12"/>
        <v>6.4516495601173016</v>
      </c>
      <c r="N17" s="4">
        <f t="shared" si="13"/>
        <v>2.7688750144462985E-2</v>
      </c>
      <c r="O17" s="4">
        <f t="shared" si="9"/>
        <v>6.9221875361157462E-3</v>
      </c>
      <c r="Q17" s="2">
        <v>817281.96833333327</v>
      </c>
      <c r="R17" s="2">
        <v>18761.179333333333</v>
      </c>
      <c r="S17" s="2">
        <v>91.50200000000001</v>
      </c>
      <c r="T17" s="14"/>
      <c r="U17" s="22">
        <v>1.1000000000000001</v>
      </c>
      <c r="V17" s="23">
        <f t="shared" si="2"/>
        <v>18979.699911738746</v>
      </c>
      <c r="W17" s="23">
        <f t="shared" si="10"/>
        <v>2.4877716595450006E-2</v>
      </c>
      <c r="X17" s="23">
        <f t="shared" si="14"/>
        <v>6.7391348722606022E-3</v>
      </c>
      <c r="Y17" s="25"/>
      <c r="Z17" s="2" t="s">
        <v>161</v>
      </c>
      <c r="AA17" s="2">
        <v>22</v>
      </c>
    </row>
    <row r="18" spans="1:33" x14ac:dyDescent="0.35">
      <c r="A18" s="2">
        <v>25</v>
      </c>
      <c r="B18" s="18">
        <v>1850</v>
      </c>
      <c r="C18" s="19">
        <f t="shared" si="3"/>
        <v>30.833394999999999</v>
      </c>
      <c r="D18" s="19">
        <f t="shared" si="4"/>
        <v>0.51388929999999999</v>
      </c>
      <c r="E18" s="3">
        <f t="shared" si="5"/>
        <v>5.1388930000000001E-4</v>
      </c>
      <c r="F18" s="19">
        <f t="shared" si="6"/>
        <v>0.97883676190476177</v>
      </c>
      <c r="G18" s="19">
        <f t="shared" si="0"/>
        <v>0.95812140645619925</v>
      </c>
      <c r="H18" s="19">
        <f t="shared" si="7"/>
        <v>1.902702051260952</v>
      </c>
      <c r="I18" s="30">
        <v>0.49679677419354817</v>
      </c>
      <c r="J18" s="20">
        <f t="shared" si="1"/>
        <v>4.9679677419354817</v>
      </c>
      <c r="K18" s="21">
        <f t="shared" si="8"/>
        <v>496.79677419354817</v>
      </c>
      <c r="L18" s="3">
        <f t="shared" si="11"/>
        <v>16889.116366845861</v>
      </c>
      <c r="M18" s="4">
        <f t="shared" si="12"/>
        <v>2.6944039922687271</v>
      </c>
      <c r="N18" s="4">
        <f t="shared" si="13"/>
        <v>2.1970108430681156E-2</v>
      </c>
      <c r="O18" s="4">
        <f t="shared" si="9"/>
        <v>5.492527107670289E-3</v>
      </c>
      <c r="Q18" s="2">
        <v>825646.09533333324</v>
      </c>
      <c r="R18" s="2">
        <v>18801.206333333335</v>
      </c>
      <c r="S18" s="2">
        <v>90.637</v>
      </c>
      <c r="U18" s="22">
        <v>1.2</v>
      </c>
      <c r="V18" s="23">
        <f t="shared" si="2"/>
        <v>20705.127176442267</v>
      </c>
      <c r="W18" s="23">
        <f t="shared" si="10"/>
        <v>2.4342398950374662E-2</v>
      </c>
      <c r="X18" s="23">
        <f t="shared" si="14"/>
        <v>6.5941224553925891E-3</v>
      </c>
      <c r="Y18" s="25"/>
      <c r="Z18" s="1"/>
      <c r="AA18" s="1"/>
      <c r="AD18" s="36" t="s">
        <v>40</v>
      </c>
      <c r="AE18" s="37"/>
      <c r="AF18" s="37"/>
      <c r="AG18" s="37"/>
    </row>
    <row r="19" spans="1:33" x14ac:dyDescent="0.35">
      <c r="A19" s="24"/>
      <c r="B19" s="18"/>
      <c r="C19" s="19"/>
      <c r="D19" s="19"/>
      <c r="E19" s="3"/>
      <c r="F19" s="19"/>
      <c r="G19" s="19"/>
      <c r="H19" s="19"/>
      <c r="I19" s="20"/>
      <c r="J19" s="20"/>
      <c r="K19" s="21"/>
      <c r="Q19" s="70"/>
      <c r="R19" s="25"/>
      <c r="S19" s="73"/>
      <c r="U19" s="22">
        <v>1.3</v>
      </c>
      <c r="V19" s="23">
        <f t="shared" si="2"/>
        <v>22430.554441145792</v>
      </c>
      <c r="W19" s="23">
        <f t="shared" si="10"/>
        <v>2.3860132402214716E-2</v>
      </c>
      <c r="X19" s="23">
        <f t="shared" si="14"/>
        <v>6.4634810719698087E-3</v>
      </c>
      <c r="Y19" s="25"/>
      <c r="AD19" s="38" t="s">
        <v>41</v>
      </c>
      <c r="AE19" s="37" t="s">
        <v>42</v>
      </c>
      <c r="AF19" s="37" t="s">
        <v>43</v>
      </c>
      <c r="AG19" s="37" t="s">
        <v>44</v>
      </c>
    </row>
    <row r="20" spans="1:33" x14ac:dyDescent="0.35">
      <c r="A20" s="24"/>
      <c r="B20" s="18"/>
      <c r="C20" s="19"/>
      <c r="D20" s="19"/>
      <c r="E20" s="3"/>
      <c r="F20" s="19"/>
      <c r="G20" s="19"/>
      <c r="H20" s="19"/>
      <c r="I20" s="20"/>
      <c r="J20" s="20"/>
      <c r="K20" s="21"/>
      <c r="Q20" s="70"/>
      <c r="R20" s="25"/>
      <c r="S20" s="73"/>
      <c r="U20" s="22">
        <v>1.4</v>
      </c>
      <c r="V20" s="23">
        <f t="shared" si="2"/>
        <v>24155.98170584931</v>
      </c>
      <c r="W20" s="23">
        <f t="shared" si="10"/>
        <v>2.3422145711639773E-2</v>
      </c>
      <c r="X20" s="23">
        <f t="shared" si="14"/>
        <v>6.3448346773654326E-3</v>
      </c>
      <c r="Y20" s="25"/>
      <c r="Z20" s="1" t="s">
        <v>45</v>
      </c>
      <c r="AA20" s="1">
        <f>4*10^(-6)</f>
        <v>3.9999999999999998E-6</v>
      </c>
      <c r="AD20" s="38" t="s">
        <v>46</v>
      </c>
      <c r="AE20" s="37" t="s">
        <v>47</v>
      </c>
      <c r="AF20" s="37" t="s">
        <v>48</v>
      </c>
      <c r="AG20" s="37" t="s">
        <v>49</v>
      </c>
    </row>
    <row r="21" spans="1:33" x14ac:dyDescent="0.35">
      <c r="A21" s="24"/>
      <c r="B21" s="18"/>
      <c r="C21" s="19"/>
      <c r="D21" s="19"/>
      <c r="E21" s="3"/>
      <c r="F21" s="19"/>
      <c r="G21" s="19"/>
      <c r="H21" s="19"/>
      <c r="I21" s="20"/>
      <c r="J21" s="20"/>
      <c r="K21" s="21"/>
      <c r="Q21" s="70"/>
      <c r="R21" s="25"/>
      <c r="S21" s="73"/>
      <c r="U21" s="22">
        <v>1.5</v>
      </c>
      <c r="V21" s="23">
        <f t="shared" si="2"/>
        <v>25881.408970552831</v>
      </c>
      <c r="W21" s="23">
        <f t="shared" si="10"/>
        <v>2.3021619550324546E-2</v>
      </c>
      <c r="X21" s="23">
        <f t="shared" si="14"/>
        <v>6.2363359809269586E-3</v>
      </c>
      <c r="Y21" s="25"/>
      <c r="Z21" s="1" t="s">
        <v>50</v>
      </c>
      <c r="AA21" s="2">
        <f>AA20/AA11</f>
        <v>2.3047619047619048E-4</v>
      </c>
      <c r="AD21" s="37">
        <v>0</v>
      </c>
      <c r="AE21" s="37">
        <v>1.792E-3</v>
      </c>
      <c r="AF21" s="37">
        <v>999.87</v>
      </c>
      <c r="AG21" s="39">
        <v>1.7922329902887374E-6</v>
      </c>
    </row>
    <row r="22" spans="1:33" x14ac:dyDescent="0.35">
      <c r="A22" s="24"/>
      <c r="B22" s="18"/>
      <c r="C22" s="19"/>
      <c r="D22" s="19"/>
      <c r="E22" s="3"/>
      <c r="F22" s="19"/>
      <c r="G22" s="19"/>
      <c r="H22" s="19"/>
      <c r="I22" s="20"/>
      <c r="J22" s="20"/>
      <c r="K22" s="21"/>
      <c r="Q22" s="70"/>
      <c r="R22" s="25"/>
      <c r="S22" s="73"/>
      <c r="U22" s="22">
        <v>1.6</v>
      </c>
      <c r="V22" s="23">
        <f t="shared" si="2"/>
        <v>27606.836235256356</v>
      </c>
      <c r="W22" s="23">
        <f t="shared" si="10"/>
        <v>2.2653154745420508E-2</v>
      </c>
      <c r="X22" s="23">
        <f t="shared" si="14"/>
        <v>6.1365223985026104E-3</v>
      </c>
      <c r="Y22" s="25"/>
      <c r="AD22" s="37">
        <v>5</v>
      </c>
      <c r="AE22" s="37">
        <v>1.519E-3</v>
      </c>
      <c r="AF22" s="37">
        <v>999.99</v>
      </c>
      <c r="AG22" s="39">
        <v>1.5190151901519014E-6</v>
      </c>
    </row>
    <row r="23" spans="1:33" x14ac:dyDescent="0.35">
      <c r="B23" s="18"/>
      <c r="C23" s="19"/>
      <c r="D23" s="19"/>
      <c r="E23" s="3"/>
      <c r="F23" s="3"/>
      <c r="G23" s="19"/>
      <c r="H23" s="19"/>
      <c r="I23" s="19"/>
      <c r="J23" s="20"/>
      <c r="K23" s="21"/>
      <c r="Q23" s="70"/>
      <c r="R23" s="25"/>
      <c r="S23" s="73"/>
      <c r="U23" s="22">
        <v>1.7</v>
      </c>
      <c r="V23" s="23">
        <f t="shared" si="2"/>
        <v>29332.263499959878</v>
      </c>
      <c r="W23" s="23">
        <f t="shared" si="10"/>
        <v>2.2312408733018648E-2</v>
      </c>
      <c r="X23" s="23">
        <f t="shared" si="14"/>
        <v>6.0442175711704635E-3</v>
      </c>
      <c r="Y23" s="25"/>
      <c r="Z23" s="40"/>
      <c r="AD23" s="37">
        <f>AD22+5</f>
        <v>10</v>
      </c>
      <c r="AE23" s="37">
        <v>1.3079999999999999E-3</v>
      </c>
      <c r="AF23" s="37">
        <v>999.73</v>
      </c>
      <c r="AG23" s="39">
        <v>1.3083532553789522E-6</v>
      </c>
    </row>
    <row r="24" spans="1:33" x14ac:dyDescent="0.35">
      <c r="B24" s="18"/>
      <c r="C24" s="19"/>
      <c r="D24" s="19"/>
      <c r="E24" s="3"/>
      <c r="F24" s="3"/>
      <c r="G24" s="19"/>
      <c r="H24" s="19"/>
      <c r="I24" s="19"/>
      <c r="J24" s="20"/>
      <c r="K24" s="21"/>
      <c r="Q24" s="71"/>
      <c r="R24" s="4"/>
      <c r="S24" s="74"/>
      <c r="U24" s="22">
        <v>1.8</v>
      </c>
      <c r="V24" s="23">
        <f t="shared" si="2"/>
        <v>31057.690764663399</v>
      </c>
      <c r="W24" s="23">
        <f t="shared" si="10"/>
        <v>2.1995840464228724E-2</v>
      </c>
      <c r="X24" s="23">
        <f t="shared" si="14"/>
        <v>5.9584622627414123E-3</v>
      </c>
      <c r="Y24" s="4"/>
      <c r="Z24" s="40"/>
      <c r="AD24" s="37" t="e">
        <f>#REF!+5</f>
        <v>#REF!</v>
      </c>
      <c r="AE24" s="37">
        <v>1.005E-3</v>
      </c>
      <c r="AF24" s="37">
        <v>998.23</v>
      </c>
      <c r="AG24" s="39">
        <v>1.0067820041473407E-6</v>
      </c>
    </row>
    <row r="25" spans="1:33" x14ac:dyDescent="0.35">
      <c r="B25" s="18"/>
      <c r="C25" s="19"/>
      <c r="D25" s="19"/>
      <c r="E25" s="3"/>
      <c r="F25" s="3"/>
      <c r="G25" s="19"/>
      <c r="H25" s="19"/>
      <c r="I25" s="19"/>
      <c r="J25" s="20"/>
      <c r="K25" s="21"/>
      <c r="Q25" s="71"/>
      <c r="R25" s="4"/>
      <c r="S25" s="74"/>
      <c r="U25" s="22">
        <v>1.9</v>
      </c>
      <c r="V25" s="23">
        <f t="shared" si="2"/>
        <v>32783.118029366924</v>
      </c>
      <c r="W25" s="23">
        <f t="shared" si="10"/>
        <v>2.1700527312296759E-2</v>
      </c>
      <c r="X25" s="23">
        <f t="shared" si="14"/>
        <v>5.8784647616529932E-3</v>
      </c>
      <c r="Y25" s="4"/>
      <c r="Z25" s="40"/>
      <c r="AD25" s="37">
        <v>25</v>
      </c>
      <c r="AE25" s="37">
        <v>8.9400000000000005E-4</v>
      </c>
      <c r="AF25" s="37">
        <v>997.07</v>
      </c>
      <c r="AG25" s="39">
        <v>8.9662711745414066E-7</v>
      </c>
    </row>
    <row r="26" spans="1:33" x14ac:dyDescent="0.35">
      <c r="N26" s="22"/>
      <c r="Q26" s="71"/>
      <c r="R26" s="4"/>
      <c r="S26" s="74"/>
      <c r="U26" s="22">
        <v>2</v>
      </c>
      <c r="V26" s="23">
        <f t="shared" si="2"/>
        <v>34508.545294070442</v>
      </c>
      <c r="W26" s="23">
        <f t="shared" si="10"/>
        <v>2.1424031017931923E-2</v>
      </c>
      <c r="X26" s="23">
        <f t="shared" si="14"/>
        <v>5.8035645668438884E-3</v>
      </c>
      <c r="Y26" s="4"/>
      <c r="Z26" s="40"/>
      <c r="AD26" s="32"/>
      <c r="AE26" s="32"/>
      <c r="AF26" s="32"/>
      <c r="AG26" s="32"/>
    </row>
    <row r="27" spans="1:33" x14ac:dyDescent="0.35">
      <c r="K27" s="1"/>
      <c r="L27" s="4"/>
      <c r="N27" s="22"/>
      <c r="Q27" s="71"/>
      <c r="R27" s="4"/>
      <c r="S27" s="74"/>
      <c r="U27" s="22">
        <v>2.1</v>
      </c>
      <c r="V27" s="23">
        <f t="shared" si="2"/>
        <v>36233.972558773967</v>
      </c>
      <c r="W27" s="23">
        <f t="shared" si="10"/>
        <v>2.1164297793879436E-2</v>
      </c>
      <c r="X27" s="23">
        <f t="shared" si="14"/>
        <v>5.7332053270406289E-3</v>
      </c>
      <c r="Y27" s="4"/>
      <c r="Z27" s="40"/>
      <c r="AD27" s="32"/>
      <c r="AE27" s="32"/>
      <c r="AF27" s="32"/>
      <c r="AG27" s="32"/>
    </row>
    <row r="28" spans="1:33" x14ac:dyDescent="0.35">
      <c r="Q28" s="71"/>
      <c r="R28" s="4"/>
      <c r="S28" s="74"/>
      <c r="U28" s="22">
        <v>2.2000000000000002</v>
      </c>
      <c r="V28" s="23">
        <f t="shared" si="2"/>
        <v>37959.399823477492</v>
      </c>
      <c r="W28" s="23">
        <f t="shared" si="10"/>
        <v>2.0919582704811753E-2</v>
      </c>
      <c r="X28" s="23">
        <f t="shared" si="14"/>
        <v>5.6669143559952388E-3</v>
      </c>
      <c r="Y28" s="4"/>
      <c r="Z28" s="40"/>
      <c r="AD28" s="32"/>
      <c r="AE28" s="32"/>
      <c r="AF28" s="32"/>
      <c r="AG28" s="32"/>
    </row>
    <row r="29" spans="1:33" x14ac:dyDescent="0.35">
      <c r="L29" s="41"/>
      <c r="Q29" s="71"/>
      <c r="R29" s="4"/>
      <c r="S29" s="74"/>
      <c r="U29" s="22">
        <v>2.2999999999999998</v>
      </c>
      <c r="V29" s="23">
        <f t="shared" si="2"/>
        <v>39684.827088181009</v>
      </c>
      <c r="W29" s="23">
        <f t="shared" si="10"/>
        <v>2.0688391609689216E-2</v>
      </c>
      <c r="X29" s="23">
        <f t="shared" si="14"/>
        <v>5.6042869052274564E-3</v>
      </c>
      <c r="Y29" s="4"/>
      <c r="Z29" s="40"/>
      <c r="AD29" s="32"/>
      <c r="AE29" s="32"/>
      <c r="AF29" s="32"/>
      <c r="AG29" s="32"/>
    </row>
    <row r="30" spans="1:33" x14ac:dyDescent="0.35">
      <c r="Q30" s="71"/>
      <c r="R30" s="4"/>
      <c r="S30" s="74"/>
      <c r="U30" s="22">
        <v>2.4</v>
      </c>
      <c r="V30" s="23">
        <f t="shared" si="2"/>
        <v>41410.254352884534</v>
      </c>
      <c r="W30" s="23">
        <f t="shared" si="10"/>
        <v>2.0469436016045839E-2</v>
      </c>
      <c r="X30" s="23">
        <f t="shared" si="14"/>
        <v>5.544973934483651E-3</v>
      </c>
      <c r="Y30" s="4"/>
      <c r="Z30" s="40"/>
      <c r="AD30" s="32"/>
      <c r="AE30" s="32"/>
      <c r="AF30" s="32"/>
      <c r="AG30" s="32"/>
    </row>
    <row r="31" spans="1:33" x14ac:dyDescent="0.35">
      <c r="F31" s="1"/>
      <c r="G31" s="1"/>
      <c r="Q31" s="71"/>
      <c r="R31" s="4"/>
      <c r="S31" s="74"/>
      <c r="U31" s="22">
        <v>2.5</v>
      </c>
      <c r="V31" s="23">
        <f t="shared" si="2"/>
        <v>43135.681617588059</v>
      </c>
      <c r="W31" s="23">
        <f t="shared" si="10"/>
        <v>2.0261597566232879E-2</v>
      </c>
      <c r="X31" s="23">
        <f t="shared" si="14"/>
        <v>5.4886724914007569E-3</v>
      </c>
      <c r="Y31" s="4"/>
      <c r="Z31" s="40"/>
      <c r="AD31" s="32"/>
      <c r="AE31" s="32"/>
      <c r="AF31" s="32"/>
      <c r="AG31" s="32"/>
    </row>
    <row r="32" spans="1:33" x14ac:dyDescent="0.35">
      <c r="G32" s="19"/>
      <c r="Q32" s="71"/>
      <c r="R32" s="4"/>
      <c r="S32" s="74"/>
      <c r="Y32" s="4"/>
      <c r="Z32" s="40"/>
    </row>
    <row r="33" spans="7:27" x14ac:dyDescent="0.35">
      <c r="G33" s="19"/>
      <c r="Q33" s="71"/>
      <c r="R33" s="4"/>
      <c r="S33" s="74"/>
      <c r="Y33" s="4"/>
      <c r="Z33" s="40"/>
      <c r="AA33" s="1" t="s">
        <v>51</v>
      </c>
    </row>
    <row r="34" spans="7:27" x14ac:dyDescent="0.35">
      <c r="G34" s="19"/>
      <c r="Q34" s="71"/>
      <c r="R34" s="4"/>
      <c r="S34" s="74"/>
      <c r="Y34" s="4"/>
      <c r="Z34" s="40"/>
    </row>
    <row r="35" spans="7:27" x14ac:dyDescent="0.35">
      <c r="G35" s="19"/>
      <c r="Q35" s="71"/>
      <c r="R35" s="4"/>
      <c r="S35" s="74"/>
      <c r="Y35" s="4"/>
      <c r="Z35" s="40"/>
    </row>
    <row r="36" spans="7:27" x14ac:dyDescent="0.35">
      <c r="G36" s="19"/>
      <c r="Q36" s="71"/>
      <c r="R36" s="4"/>
      <c r="S36" s="74"/>
      <c r="Y36" s="4"/>
    </row>
    <row r="37" spans="7:27" x14ac:dyDescent="0.35">
      <c r="G37" s="19"/>
      <c r="Q37" s="71"/>
      <c r="R37" s="4"/>
      <c r="S37" s="74"/>
      <c r="Y37" s="4"/>
    </row>
    <row r="38" spans="7:27" x14ac:dyDescent="0.35">
      <c r="R38" s="68"/>
      <c r="S38" s="2"/>
      <c r="T38" s="89"/>
      <c r="Y38" s="4"/>
    </row>
    <row r="39" spans="7:27" x14ac:dyDescent="0.35">
      <c r="R39" s="43"/>
      <c r="S39" s="88"/>
      <c r="U39" s="4"/>
      <c r="V39" s="16"/>
      <c r="W39" s="16"/>
      <c r="X39" s="4"/>
      <c r="Y39" s="4"/>
    </row>
    <row r="40" spans="7:27" x14ac:dyDescent="0.35">
      <c r="R40" s="43"/>
      <c r="S40" s="88"/>
      <c r="U40" s="4"/>
      <c r="V40" s="16"/>
      <c r="W40" s="16"/>
      <c r="X40" s="4"/>
      <c r="Y40" s="4"/>
    </row>
    <row r="41" spans="7:27" x14ac:dyDescent="0.35">
      <c r="R41" s="43"/>
      <c r="S41" s="88"/>
      <c r="U41" s="4"/>
      <c r="V41" s="16"/>
      <c r="W41" s="16"/>
      <c r="X41" s="4"/>
      <c r="Y41" s="4"/>
    </row>
    <row r="42" spans="7:27" x14ac:dyDescent="0.35">
      <c r="Q42" s="71"/>
      <c r="R42" s="4"/>
      <c r="S42" s="74"/>
      <c r="U42" s="4"/>
      <c r="V42" s="16"/>
      <c r="W42" s="16"/>
      <c r="X42" s="4"/>
      <c r="Y42" s="4"/>
    </row>
    <row r="43" spans="7:27" x14ac:dyDescent="0.35">
      <c r="Q43" s="71"/>
      <c r="R43" s="4"/>
      <c r="S43" s="74"/>
      <c r="U43" s="4"/>
      <c r="V43" s="16"/>
      <c r="W43" s="16"/>
      <c r="X43" s="4"/>
      <c r="Y43" s="4"/>
    </row>
    <row r="44" spans="7:27" x14ac:dyDescent="0.35">
      <c r="U44" s="4"/>
      <c r="V44" s="16"/>
      <c r="W44" s="16"/>
    </row>
    <row r="45" spans="7:27" x14ac:dyDescent="0.35">
      <c r="U45" s="4"/>
      <c r="V45" s="16"/>
      <c r="W45" s="16"/>
    </row>
    <row r="46" spans="7:27" x14ac:dyDescent="0.35">
      <c r="U46" s="4"/>
      <c r="V46" s="16"/>
      <c r="W46" s="16"/>
    </row>
    <row r="47" spans="7:27" x14ac:dyDescent="0.35">
      <c r="U47" s="4"/>
      <c r="V47" s="16"/>
      <c r="W47" s="16"/>
    </row>
    <row r="48" spans="7:27" x14ac:dyDescent="0.35">
      <c r="R48" s="40"/>
      <c r="S48" s="87"/>
      <c r="U48" s="4"/>
      <c r="V48" s="16"/>
      <c r="W48" s="16"/>
    </row>
    <row r="49" spans="21:23" x14ac:dyDescent="0.35">
      <c r="U49" s="4"/>
      <c r="V49" s="16"/>
      <c r="W49" s="16"/>
    </row>
    <row r="50" spans="21:23" x14ac:dyDescent="0.35">
      <c r="U50" s="4"/>
      <c r="V50" s="16"/>
      <c r="W50" s="16"/>
    </row>
    <row r="51" spans="21:23" x14ac:dyDescent="0.35">
      <c r="U51" s="4"/>
      <c r="V51" s="16"/>
      <c r="W51" s="16"/>
    </row>
    <row r="52" spans="21:23" x14ac:dyDescent="0.35">
      <c r="U52" s="4"/>
      <c r="V52" s="16"/>
      <c r="W52" s="16"/>
    </row>
    <row r="53" spans="21:23" x14ac:dyDescent="0.35">
      <c r="U53" s="4"/>
      <c r="V53" s="16"/>
      <c r="W53" s="16"/>
    </row>
    <row r="54" spans="21:23" x14ac:dyDescent="0.35">
      <c r="U54" s="4"/>
    </row>
    <row r="112" spans="17:17" x14ac:dyDescent="0.35">
      <c r="Q112" s="85"/>
    </row>
  </sheetData>
  <mergeCells count="3">
    <mergeCell ref="A3:N3"/>
    <mergeCell ref="Z5:AA5"/>
    <mergeCell ref="Q4:S4"/>
  </mergeCell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A9CD3-F912-415C-9356-B40D58332137}">
  <dimension ref="A1:AH112"/>
  <sheetViews>
    <sheetView topLeftCell="A5" zoomScale="60" zoomScaleNormal="60" zoomScalePageLayoutView="90" workbookViewId="0">
      <selection activeCell="A18" sqref="A18"/>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6.765625" style="4" customWidth="1"/>
    <col min="14" max="14" width="8.4609375" style="4" customWidth="1"/>
    <col min="15" max="16" width="9.07421875" style="4" customWidth="1"/>
    <col min="17" max="17" width="27.23046875" style="4" customWidth="1"/>
    <col min="18" max="18" width="12.765625" style="68" customWidth="1"/>
    <col min="19" max="19" width="10" style="2" customWidth="1"/>
    <col min="20" max="20" width="13.3046875" style="72" bestFit="1" customWidth="1"/>
    <col min="21" max="21" width="8.4609375" style="5" customWidth="1"/>
    <col min="22" max="22" width="10.23046875" style="2" customWidth="1"/>
    <col min="23" max="23" width="13.84375" style="2" customWidth="1"/>
    <col min="24" max="26" width="10" style="2" customWidth="1"/>
    <col min="27" max="27" width="21" style="2" customWidth="1"/>
    <col min="28" max="28" width="8.69140625" style="2" customWidth="1"/>
    <col min="29" max="29" width="8.69140625" style="2"/>
    <col min="30" max="30" width="22" style="2" customWidth="1"/>
    <col min="31" max="31" width="35.84375" style="2" customWidth="1"/>
    <col min="32" max="32" width="16.84375" style="2" customWidth="1"/>
    <col min="33" max="16384" width="8.69140625" style="2"/>
  </cols>
  <sheetData>
    <row r="1" spans="1:32" x14ac:dyDescent="0.35">
      <c r="A1" s="1" t="s">
        <v>0</v>
      </c>
      <c r="I1" s="1" t="s">
        <v>1</v>
      </c>
      <c r="J1" s="1" t="s">
        <v>2</v>
      </c>
      <c r="R1" s="69" t="s">
        <v>99</v>
      </c>
    </row>
    <row r="2" spans="1:32" x14ac:dyDescent="0.35">
      <c r="A2" s="1"/>
      <c r="I2" s="1"/>
      <c r="J2" s="1"/>
      <c r="R2" s="69" t="s">
        <v>85</v>
      </c>
    </row>
    <row r="3" spans="1:32" x14ac:dyDescent="0.35">
      <c r="A3" s="150" t="s">
        <v>3</v>
      </c>
      <c r="B3" s="150"/>
      <c r="C3" s="150"/>
      <c r="D3" s="150"/>
      <c r="E3" s="150"/>
      <c r="F3" s="150"/>
      <c r="G3" s="150"/>
      <c r="H3" s="150"/>
      <c r="I3" s="150"/>
      <c r="J3" s="150"/>
      <c r="K3" s="150"/>
      <c r="L3" s="150"/>
      <c r="M3" s="150"/>
      <c r="N3" s="150"/>
      <c r="O3" s="58"/>
      <c r="P3" s="58"/>
      <c r="Q3" s="58"/>
      <c r="U3" s="7"/>
    </row>
    <row r="4" spans="1:32" x14ac:dyDescent="0.35">
      <c r="R4" s="152" t="s">
        <v>81</v>
      </c>
      <c r="S4" s="153"/>
      <c r="T4" s="154"/>
    </row>
    <row r="5" spans="1:32"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64</v>
      </c>
      <c r="Q5" s="14" t="s">
        <v>18</v>
      </c>
      <c r="R5" s="75" t="s">
        <v>83</v>
      </c>
      <c r="S5" s="67" t="s">
        <v>82</v>
      </c>
      <c r="T5" s="76" t="s">
        <v>84</v>
      </c>
      <c r="U5" s="14"/>
      <c r="V5" s="15" t="s">
        <v>19</v>
      </c>
      <c r="W5" s="16" t="s">
        <v>14</v>
      </c>
      <c r="X5" s="15" t="s">
        <v>20</v>
      </c>
      <c r="Y5" s="16" t="s">
        <v>21</v>
      </c>
      <c r="Z5" s="1"/>
      <c r="AA5" s="151" t="s">
        <v>22</v>
      </c>
      <c r="AB5" s="151"/>
    </row>
    <row r="6" spans="1:32" x14ac:dyDescent="0.35">
      <c r="A6" s="17" t="s">
        <v>23</v>
      </c>
      <c r="B6" s="18">
        <v>0</v>
      </c>
      <c r="C6" s="19">
        <f t="shared" ref="C6:C18" si="0">B6*0.0166667</f>
        <v>0</v>
      </c>
      <c r="D6" s="19">
        <f t="shared" ref="D6:D18" si="1">B6*0.000277778</f>
        <v>0</v>
      </c>
      <c r="E6" s="3">
        <f t="shared" ref="E6:E18" si="2">0.001*D6</f>
        <v>0</v>
      </c>
      <c r="F6" s="19">
        <f t="shared" ref="F6:F18" si="3">E6/AB$7</f>
        <v>0</v>
      </c>
      <c r="G6" s="19">
        <f t="shared" ref="G6:G18" si="4">F6^(2)</f>
        <v>0</v>
      </c>
      <c r="H6" s="19">
        <f t="shared" ref="H6:H18" si="5">F6*1.94384</f>
        <v>0</v>
      </c>
      <c r="I6" s="20">
        <v>0</v>
      </c>
      <c r="J6" s="20">
        <f t="shared" ref="J6:J18" si="6">I6 * 10</f>
        <v>0</v>
      </c>
      <c r="K6" s="21">
        <f t="shared" ref="K6:K18" si="7">J6*100</f>
        <v>0</v>
      </c>
      <c r="L6" s="3">
        <f t="shared" ref="L6:L18" si="8">(F6*AB$11)/AB$12</f>
        <v>0</v>
      </c>
      <c r="V6" s="22">
        <v>0</v>
      </c>
      <c r="W6" s="23">
        <f t="shared" ref="W6:W31" si="9">(V6*AB$11)/AB$12</f>
        <v>0</v>
      </c>
      <c r="X6" s="23"/>
      <c r="Y6" s="23"/>
    </row>
    <row r="7" spans="1:32" x14ac:dyDescent="0.35">
      <c r="A7" s="2" t="s">
        <v>52</v>
      </c>
      <c r="B7" s="2">
        <f>AVERAGEA('1 EF25 flat'!B7, '2 EF25 flat'!B7)</f>
        <v>1900</v>
      </c>
      <c r="C7" s="19">
        <f t="shared" si="0"/>
        <v>31.666729999999998</v>
      </c>
      <c r="D7" s="19">
        <f t="shared" si="1"/>
        <v>0.52777819999999998</v>
      </c>
      <c r="E7" s="3">
        <f t="shared" si="2"/>
        <v>5.2777819999999997E-4</v>
      </c>
      <c r="F7" s="19">
        <f t="shared" si="3"/>
        <v>1.0052918095238093</v>
      </c>
      <c r="G7" s="19">
        <f t="shared" si="4"/>
        <v>1.0106116222956547</v>
      </c>
      <c r="H7" s="19">
        <f t="shared" si="5"/>
        <v>1.9541264310247615</v>
      </c>
      <c r="I7" s="2">
        <f>AVERAGEA('1 EF25 flat'!I7, '2 EF25 flat'!I7)</f>
        <v>0.79465532258064475</v>
      </c>
      <c r="J7" s="20">
        <f t="shared" si="6"/>
        <v>7.9465532258064471</v>
      </c>
      <c r="K7" s="21">
        <f t="shared" si="7"/>
        <v>794.65532258064468</v>
      </c>
      <c r="L7" s="3">
        <f t="shared" si="8"/>
        <v>17031.803384494291</v>
      </c>
      <c r="M7" s="4">
        <f>(AB$15*G7*N7)/8</f>
        <v>4.3098558301119683</v>
      </c>
      <c r="N7" s="4">
        <f t="shared" ref="N7:N18" si="10">(K7*2*AB$11)/(AB$13*AB$15*G7)</f>
        <v>3.3284694555005552E-2</v>
      </c>
      <c r="O7" s="4">
        <f t="shared" ref="O7:O18" si="11">N7/4</f>
        <v>8.321173638751388E-3</v>
      </c>
      <c r="Q7" s="4">
        <f t="shared" ref="Q7:Q18" si="12">3.7*(10^(-1/(2*SQRT(N7)))-2.51/(L7*SQRT(N7)))</f>
        <v>3.7346260307493627E-3</v>
      </c>
      <c r="R7" s="2">
        <f>AVERAGEA('1 EF25 flat'!Q7, '2 EF25 flat'!Q7)</f>
        <v>937249.19433333341</v>
      </c>
      <c r="S7" s="2">
        <f>AVERAGEA('1 EF25 flat'!R7, '2 EF25 flat'!R7)</f>
        <v>19257.999500000002</v>
      </c>
      <c r="T7" s="2">
        <f>AVERAGEA('1 EF25 flat'!S7, '2 EF25 flat'!S7)</f>
        <v>81.165666666666681</v>
      </c>
      <c r="V7" s="22">
        <v>0.1</v>
      </c>
      <c r="W7" s="23">
        <f>(V7*AB$11)/AB$12</f>
        <v>1694.2148760330579</v>
      </c>
      <c r="X7" s="23">
        <f t="shared" ref="X7:X31" si="13">0.292/(W7^(0.25))</f>
        <v>4.5513551834965124E-2</v>
      </c>
      <c r="Y7" s="23">
        <f>0.0791/(W7^0.25)</f>
        <v>1.2329184760773089E-2</v>
      </c>
      <c r="Z7" s="25"/>
      <c r="AA7" s="1" t="s">
        <v>24</v>
      </c>
      <c r="AB7" s="2">
        <f>AB$9*AB$10</f>
        <v>5.2500000000000008E-4</v>
      </c>
    </row>
    <row r="8" spans="1:32" x14ac:dyDescent="0.35">
      <c r="A8" s="2" t="s">
        <v>53</v>
      </c>
      <c r="B8" s="2">
        <f>AVERAGEA('1 EF25 flat'!B8, '2 EF25 flat'!B8)</f>
        <v>2700</v>
      </c>
      <c r="C8" s="19">
        <f t="shared" si="0"/>
        <v>45.00009</v>
      </c>
      <c r="D8" s="19">
        <f t="shared" si="1"/>
        <v>0.75000060000000002</v>
      </c>
      <c r="E8" s="3">
        <f t="shared" si="2"/>
        <v>7.500006E-4</v>
      </c>
      <c r="F8" s="19">
        <f t="shared" si="3"/>
        <v>1.4285725714285713</v>
      </c>
      <c r="G8" s="19">
        <f t="shared" si="4"/>
        <v>2.0408195918380403</v>
      </c>
      <c r="H8" s="19">
        <f t="shared" si="5"/>
        <v>2.7769165072457143</v>
      </c>
      <c r="I8" s="2">
        <f>AVERAGEA('1 EF25 flat'!I8, '2 EF25 flat'!I8)</f>
        <v>1.4420504838709673</v>
      </c>
      <c r="J8" s="20">
        <f t="shared" si="6"/>
        <v>14.420504838709673</v>
      </c>
      <c r="K8" s="21">
        <f t="shared" si="7"/>
        <v>1442.0504838709674</v>
      </c>
      <c r="L8" s="3">
        <f t="shared" si="8"/>
        <v>24203.089020070838</v>
      </c>
      <c r="M8" s="4">
        <f t="shared" ref="M8:M18" si="14">(AB$15*G8*N8)/8</f>
        <v>7.8210382647960515</v>
      </c>
      <c r="N8" s="4">
        <f t="shared" si="10"/>
        <v>2.9910654580007218E-2</v>
      </c>
      <c r="O8" s="4">
        <f t="shared" si="11"/>
        <v>7.4776636450018044E-3</v>
      </c>
      <c r="Q8" s="4">
        <f t="shared" si="12"/>
        <v>2.5362432305427074E-3</v>
      </c>
      <c r="R8" s="2">
        <f>AVERAGEA('1 EF25 flat'!Q8, '2 EF25 flat'!Q8)</f>
        <v>900847.43833333324</v>
      </c>
      <c r="S8" s="2">
        <f>AVERAGEA('1 EF25 flat'!R8, '2 EF25 flat'!R8)</f>
        <v>19143.595666666668</v>
      </c>
      <c r="T8" s="2">
        <f>AVERAGEA('1 EF25 flat'!S8, '2 EF25 flat'!S8)</f>
        <v>85.668166666666664</v>
      </c>
      <c r="V8" s="22">
        <v>0.2</v>
      </c>
      <c r="W8" s="23">
        <f t="shared" si="9"/>
        <v>3388.4297520661157</v>
      </c>
      <c r="X8" s="23">
        <f t="shared" si="13"/>
        <v>3.8272182583486296E-2</v>
      </c>
      <c r="Y8" s="23">
        <f t="shared" ref="Y8:Y31" si="15">0.0791/(W8^0.25)</f>
        <v>1.0367567268334816E-2</v>
      </c>
      <c r="Z8" s="25"/>
      <c r="AA8" s="2" t="s">
        <v>25</v>
      </c>
    </row>
    <row r="9" spans="1:32" ht="19" x14ac:dyDescent="0.4">
      <c r="A9" s="2" t="s">
        <v>54</v>
      </c>
      <c r="B9" s="2">
        <f>AVERAGEA('1 EF25 flat'!B9, '2 EF25 flat'!B9)</f>
        <v>3425</v>
      </c>
      <c r="C9" s="19">
        <f t="shared" si="0"/>
        <v>57.083447499999998</v>
      </c>
      <c r="D9" s="19">
        <f t="shared" si="1"/>
        <v>0.95138965000000009</v>
      </c>
      <c r="E9" s="3">
        <f t="shared" si="2"/>
        <v>9.5138965000000008E-4</v>
      </c>
      <c r="F9" s="19">
        <f t="shared" si="3"/>
        <v>1.8121707619047618</v>
      </c>
      <c r="G9" s="19">
        <f t="shared" si="4"/>
        <v>3.283962870302485</v>
      </c>
      <c r="H9" s="19">
        <f t="shared" si="5"/>
        <v>3.5225700138209524</v>
      </c>
      <c r="I9" s="2">
        <f>AVERAGEA('1 EF25 flat'!I9, '2 EF25 flat'!I9)</f>
        <v>2.2492262903225799</v>
      </c>
      <c r="J9" s="20">
        <f t="shared" si="6"/>
        <v>22.4922629032258</v>
      </c>
      <c r="K9" s="21">
        <f t="shared" si="7"/>
        <v>2249.2262903225801</v>
      </c>
      <c r="L9" s="3">
        <f t="shared" si="8"/>
        <v>30702.066627312077</v>
      </c>
      <c r="M9" s="4">
        <f t="shared" si="14"/>
        <v>12.198799611770193</v>
      </c>
      <c r="N9" s="4">
        <f t="shared" si="10"/>
        <v>2.8992454260789901E-2</v>
      </c>
      <c r="O9" s="4">
        <f t="shared" si="11"/>
        <v>7.2481135651974752E-3</v>
      </c>
      <c r="Q9" s="4">
        <f t="shared" si="12"/>
        <v>2.5062084748759873E-3</v>
      </c>
      <c r="R9" s="2">
        <f>AVERAGEA('1 EF25 flat'!Q9, '2 EF25 flat'!Q9)</f>
        <v>897404.25116666663</v>
      </c>
      <c r="S9" s="2">
        <f>AVERAGEA('1 EF25 flat'!R9, '2 EF25 flat'!R9)</f>
        <v>19330.602166666664</v>
      </c>
      <c r="T9" s="2">
        <f>AVERAGEA('1 EF25 flat'!S9, '2 EF25 flat'!S9)</f>
        <v>84.876666666666665</v>
      </c>
      <c r="V9" s="22">
        <v>0.3</v>
      </c>
      <c r="W9" s="23">
        <f t="shared" si="9"/>
        <v>5082.6446280991731</v>
      </c>
      <c r="X9" s="23">
        <f t="shared" si="13"/>
        <v>3.4582820864960034E-2</v>
      </c>
      <c r="Y9" s="23">
        <f t="shared" si="15"/>
        <v>9.3681545562271876E-3</v>
      </c>
      <c r="Z9" s="25"/>
      <c r="AA9" s="1" t="s">
        <v>26</v>
      </c>
      <c r="AB9" s="19">
        <v>0.05</v>
      </c>
      <c r="AE9" s="27" t="s">
        <v>27</v>
      </c>
    </row>
    <row r="10" spans="1:32" ht="18.5" x14ac:dyDescent="0.35">
      <c r="A10" s="2" t="s">
        <v>55</v>
      </c>
      <c r="B10" s="2">
        <f>AVERAGEA('1 EF25 flat'!B10, '2 EF25 flat'!B10)</f>
        <v>4250</v>
      </c>
      <c r="C10" s="19">
        <f t="shared" si="0"/>
        <v>70.833474999999993</v>
      </c>
      <c r="D10" s="19">
        <f t="shared" si="1"/>
        <v>1.1805565</v>
      </c>
      <c r="E10" s="3">
        <f t="shared" si="2"/>
        <v>1.1805565000000001E-3</v>
      </c>
      <c r="F10" s="19">
        <f t="shared" si="3"/>
        <v>2.2486790476190475</v>
      </c>
      <c r="G10" s="19">
        <f t="shared" si="4"/>
        <v>5.0565574592009064</v>
      </c>
      <c r="H10" s="19">
        <f t="shared" si="5"/>
        <v>4.3710722799238093</v>
      </c>
      <c r="I10" s="2">
        <f>AVERAGEA('1 EF25 flat'!I10, '2 EF25 flat'!I10)</f>
        <v>3.3349988709677416</v>
      </c>
      <c r="J10" s="20">
        <f t="shared" si="6"/>
        <v>33.349988709677419</v>
      </c>
      <c r="K10" s="21">
        <f t="shared" si="7"/>
        <v>3334.9988709677418</v>
      </c>
      <c r="L10" s="3">
        <f t="shared" si="8"/>
        <v>38097.454939000396</v>
      </c>
      <c r="M10" s="4">
        <f t="shared" si="14"/>
        <v>18.08754552952546</v>
      </c>
      <c r="N10" s="4">
        <f t="shared" si="10"/>
        <v>2.7918418449460344E-2</v>
      </c>
      <c r="O10" s="4">
        <f t="shared" si="11"/>
        <v>6.9796046123650861E-3</v>
      </c>
      <c r="Q10" s="4">
        <f t="shared" si="12"/>
        <v>2.3060940054099666E-3</v>
      </c>
      <c r="R10" s="2">
        <f>AVERAGEA('1 EF25 flat'!Q10, '2 EF25 flat'!Q10)</f>
        <v>879664.20666666655</v>
      </c>
      <c r="S10" s="2">
        <f>AVERAGEA('1 EF25 flat'!R10, '2 EF25 flat'!R10)</f>
        <v>19474.391166666668</v>
      </c>
      <c r="T10" s="2">
        <f>AVERAGEA('1 EF25 flat'!S10, '2 EF25 flat'!S10)</f>
        <v>85.456333333333333</v>
      </c>
      <c r="V10" s="22">
        <v>0.4</v>
      </c>
      <c r="W10" s="23">
        <f t="shared" si="9"/>
        <v>6776.8595041322315</v>
      </c>
      <c r="X10" s="23">
        <f t="shared" si="13"/>
        <v>3.2182941138389272E-2</v>
      </c>
      <c r="Y10" s="23">
        <f t="shared" si="15"/>
        <v>8.7180501508444929E-3</v>
      </c>
      <c r="Z10" s="25"/>
      <c r="AA10" s="1" t="s">
        <v>28</v>
      </c>
      <c r="AB10" s="19">
        <f>AVERAGE('1 EF25 flat'!AB10,'2 EF25 flat'!AA10)</f>
        <v>1.0500000000000001E-2</v>
      </c>
      <c r="AE10" s="28" t="s">
        <v>29</v>
      </c>
      <c r="AF10" s="2" t="s">
        <v>30</v>
      </c>
    </row>
    <row r="11" spans="1:32" ht="16.5" x14ac:dyDescent="0.4">
      <c r="A11" s="2" t="s">
        <v>56</v>
      </c>
      <c r="B11" s="2">
        <f>AVERAGEA('1 EF25 flat'!B11, '2 EF25 flat'!B11)</f>
        <v>5050</v>
      </c>
      <c r="C11" s="19">
        <f t="shared" si="0"/>
        <v>84.166834999999992</v>
      </c>
      <c r="D11" s="19">
        <f t="shared" si="1"/>
        <v>1.4027788999999999</v>
      </c>
      <c r="E11" s="3">
        <f t="shared" si="2"/>
        <v>1.4027789E-3</v>
      </c>
      <c r="F11" s="19">
        <f t="shared" si="3"/>
        <v>2.6719598095238091</v>
      </c>
      <c r="G11" s="19">
        <f t="shared" si="4"/>
        <v>7.13936922371051</v>
      </c>
      <c r="H11" s="19">
        <f t="shared" si="5"/>
        <v>5.193862356144761</v>
      </c>
      <c r="I11" s="2">
        <f>AVERAGEA('1 EF25 flat'!I11, '2 EF25 flat'!I11)</f>
        <v>4.523103709677418</v>
      </c>
      <c r="J11" s="20">
        <f t="shared" si="6"/>
        <v>45.23103709677418</v>
      </c>
      <c r="K11" s="21">
        <f t="shared" si="7"/>
        <v>4523.103709677418</v>
      </c>
      <c r="L11" s="3">
        <f t="shared" si="8"/>
        <v>45268.740574576928</v>
      </c>
      <c r="M11" s="4">
        <f t="shared" si="14"/>
        <v>24.531295946081038</v>
      </c>
      <c r="N11" s="4">
        <f t="shared" si="10"/>
        <v>2.6818023727059336E-2</v>
      </c>
      <c r="O11" s="4">
        <f t="shared" si="11"/>
        <v>6.7045059317648341E-3</v>
      </c>
      <c r="Q11" s="4">
        <f t="shared" si="12"/>
        <v>2.0205998005599544E-3</v>
      </c>
      <c r="R11" s="2">
        <f>AVERAGEA('1 EF25 flat'!Q11, '2 EF25 flat'!Q11)</f>
        <v>820210.11249999993</v>
      </c>
      <c r="S11" s="2">
        <f>AVERAGEA('1 EF25 flat'!R11, '2 EF25 flat'!R11)</f>
        <v>19823.477500000001</v>
      </c>
      <c r="T11" s="2">
        <f>AVERAGEA('1 EF25 flat'!S11, '2 EF25 flat'!S11)</f>
        <v>89.025333333333322</v>
      </c>
      <c r="V11" s="22">
        <v>0.5</v>
      </c>
      <c r="W11" s="23">
        <f t="shared" si="9"/>
        <v>8471.0743801652898</v>
      </c>
      <c r="X11" s="23">
        <f t="shared" si="13"/>
        <v>3.0436746534674763E-2</v>
      </c>
      <c r="Y11" s="23">
        <f t="shared" si="15"/>
        <v>8.2450227770300491E-3</v>
      </c>
      <c r="Z11" s="25"/>
      <c r="AA11" s="1" t="s">
        <v>31</v>
      </c>
      <c r="AB11" s="4">
        <f>2*(AB9*AB10)/(AB9+AB10)</f>
        <v>1.7355371900826446E-2</v>
      </c>
      <c r="AC11" s="1">
        <f>10*AB11*100</f>
        <v>17.355371900826448</v>
      </c>
      <c r="AE11" s="27" t="s">
        <v>32</v>
      </c>
      <c r="AF11" s="2" t="s">
        <v>33</v>
      </c>
    </row>
    <row r="12" spans="1:32" ht="18.5" x14ac:dyDescent="0.35">
      <c r="A12" s="2" t="s">
        <v>63</v>
      </c>
      <c r="B12" s="2">
        <f>AVERAGEA('1 EF25 flat'!B12, '2 EF25 flat'!B12)</f>
        <v>5800</v>
      </c>
      <c r="C12" s="19">
        <f t="shared" si="0"/>
        <v>96.66686</v>
      </c>
      <c r="D12" s="19">
        <f t="shared" si="1"/>
        <v>1.6111124000000001</v>
      </c>
      <c r="E12" s="3">
        <f t="shared" si="2"/>
        <v>1.6111124000000002E-3</v>
      </c>
      <c r="F12" s="19">
        <f t="shared" si="3"/>
        <v>3.0687855238095239</v>
      </c>
      <c r="G12" s="19">
        <f t="shared" si="4"/>
        <v>9.4174445911428943</v>
      </c>
      <c r="H12" s="19">
        <f t="shared" si="5"/>
        <v>5.9652280526019048</v>
      </c>
      <c r="I12" s="2">
        <f>AVERAGEA('1 EF25 flat'!I12, '2 EF25 flat'!I12)</f>
        <v>5.777279516129032</v>
      </c>
      <c r="J12" s="20">
        <f t="shared" si="6"/>
        <v>57.772795161290318</v>
      </c>
      <c r="K12" s="21">
        <f t="shared" si="7"/>
        <v>5777.2795161290314</v>
      </c>
      <c r="L12" s="3">
        <f t="shared" si="8"/>
        <v>51991.820857929946</v>
      </c>
      <c r="M12" s="4">
        <f t="shared" si="14"/>
        <v>31.333385805451876</v>
      </c>
      <c r="N12" s="4">
        <f t="shared" si="10"/>
        <v>2.5968111911902701E-2</v>
      </c>
      <c r="O12" s="4">
        <f t="shared" si="11"/>
        <v>6.4920279779756753E-3</v>
      </c>
      <c r="Q12" s="4">
        <f t="shared" si="12"/>
        <v>1.8118568706611143E-3</v>
      </c>
      <c r="R12" s="2">
        <f>AVERAGEA('1 EF25 flat'!Q12, '2 EF25 flat'!Q12)</f>
        <v>762489.26533333329</v>
      </c>
      <c r="S12" s="2">
        <f>AVERAGEA('1 EF25 flat'!R12, '2 EF25 flat'!R12)</f>
        <v>20233.074166666669</v>
      </c>
      <c r="T12" s="2">
        <f>AVERAGEA('1 EF25 flat'!S12, '2 EF25 flat'!S12)</f>
        <v>90.991500000000002</v>
      </c>
      <c r="V12" s="22">
        <v>0.6</v>
      </c>
      <c r="W12" s="23">
        <f t="shared" si="9"/>
        <v>10165.289256198346</v>
      </c>
      <c r="X12" s="23">
        <f t="shared" si="13"/>
        <v>2.9080570094706253E-2</v>
      </c>
      <c r="Y12" s="23">
        <f t="shared" si="15"/>
        <v>7.8776475838741953E-3</v>
      </c>
      <c r="Z12" s="25"/>
      <c r="AA12" s="1" t="s">
        <v>34</v>
      </c>
      <c r="AB12" s="31">
        <f>AB$16/AB$15</f>
        <v>1.024390243902439E-6</v>
      </c>
    </row>
    <row r="13" spans="1:32" ht="16.5" x14ac:dyDescent="0.4">
      <c r="A13" s="2" t="s">
        <v>180</v>
      </c>
      <c r="B13" s="2">
        <f>AVERAGEA('1 EF25 flat'!B13, '2 EF25 flat'!B13)</f>
        <v>5800</v>
      </c>
      <c r="C13" s="19">
        <f t="shared" si="0"/>
        <v>96.66686</v>
      </c>
      <c r="D13" s="19">
        <f t="shared" si="1"/>
        <v>1.6111124000000001</v>
      </c>
      <c r="E13" s="3">
        <f t="shared" si="2"/>
        <v>1.6111124000000002E-3</v>
      </c>
      <c r="F13" s="19">
        <f t="shared" si="3"/>
        <v>3.0687855238095239</v>
      </c>
      <c r="G13" s="19">
        <f t="shared" si="4"/>
        <v>9.4174445911428943</v>
      </c>
      <c r="H13" s="19">
        <f t="shared" si="5"/>
        <v>5.9652280526019048</v>
      </c>
      <c r="I13" s="2">
        <f>AVERAGEA('1 EF25 flat'!I13, '2 EF25 flat'!I13)</f>
        <v>5.777279516129032</v>
      </c>
      <c r="J13" s="20">
        <f t="shared" si="6"/>
        <v>57.772795161290318</v>
      </c>
      <c r="K13" s="21">
        <f t="shared" si="7"/>
        <v>5777.2795161290314</v>
      </c>
      <c r="L13" s="3">
        <f t="shared" si="8"/>
        <v>51991.820857929946</v>
      </c>
      <c r="M13" s="4">
        <f t="shared" si="14"/>
        <v>31.333385805451876</v>
      </c>
      <c r="N13" s="4">
        <f t="shared" si="10"/>
        <v>2.5968111911902701E-2</v>
      </c>
      <c r="O13" s="4">
        <f t="shared" si="11"/>
        <v>6.4920279779756753E-3</v>
      </c>
      <c r="Q13" s="4">
        <f t="shared" si="12"/>
        <v>1.8118568706611143E-3</v>
      </c>
      <c r="R13" s="2"/>
      <c r="T13" s="2"/>
      <c r="V13" s="22">
        <v>0.7</v>
      </c>
      <c r="W13" s="23">
        <f t="shared" si="9"/>
        <v>11859.504132231405</v>
      </c>
      <c r="X13" s="23">
        <f t="shared" si="13"/>
        <v>2.798119246686984E-2</v>
      </c>
      <c r="Y13" s="23">
        <f t="shared" si="15"/>
        <v>7.5798367264705629E-3</v>
      </c>
      <c r="Z13" s="25"/>
      <c r="AA13" s="1" t="s">
        <v>35</v>
      </c>
      <c r="AB13" s="32">
        <v>0.8</v>
      </c>
      <c r="AE13" s="27" t="s">
        <v>36</v>
      </c>
      <c r="AF13" s="1" t="s">
        <v>37</v>
      </c>
    </row>
    <row r="14" spans="1:32" x14ac:dyDescent="0.35">
      <c r="A14" s="2" t="s">
        <v>181</v>
      </c>
      <c r="B14" s="2">
        <f>AVERAGEA('1 EF25 flat'!B14, '2 EF25 flat'!B14)</f>
        <v>4975</v>
      </c>
      <c r="C14" s="19">
        <f t="shared" si="0"/>
        <v>82.916832499999998</v>
      </c>
      <c r="D14" s="19">
        <f t="shared" si="1"/>
        <v>1.38194555</v>
      </c>
      <c r="E14" s="3">
        <f t="shared" si="2"/>
        <v>1.3819455500000001E-3</v>
      </c>
      <c r="F14" s="19">
        <f t="shared" si="3"/>
        <v>2.6322772380952379</v>
      </c>
      <c r="G14" s="19">
        <f t="shared" si="4"/>
        <v>6.928883458194294</v>
      </c>
      <c r="H14" s="19">
        <f t="shared" si="5"/>
        <v>5.116725786499047</v>
      </c>
      <c r="I14" s="2">
        <f>AVERAGEA('1 EF25 flat'!I14, '2 EF25 flat'!I14)</f>
        <v>4.375576290322579</v>
      </c>
      <c r="J14" s="20">
        <f t="shared" si="6"/>
        <v>43.755762903225786</v>
      </c>
      <c r="K14" s="21">
        <f t="shared" si="7"/>
        <v>4375.5762903225786</v>
      </c>
      <c r="L14" s="3">
        <f t="shared" si="8"/>
        <v>44596.432546241631</v>
      </c>
      <c r="M14" s="4">
        <f t="shared" si="14"/>
        <v>23.731173062183402</v>
      </c>
      <c r="N14" s="4">
        <f t="shared" si="10"/>
        <v>2.673142257657703E-2</v>
      </c>
      <c r="O14" s="4">
        <f t="shared" si="11"/>
        <v>6.6828556441442576E-3</v>
      </c>
      <c r="Q14" s="4">
        <f t="shared" si="12"/>
        <v>1.9626206522424159E-3</v>
      </c>
      <c r="R14" s="2"/>
      <c r="T14" s="2"/>
      <c r="V14" s="22">
        <v>0.8</v>
      </c>
      <c r="W14" s="23">
        <f t="shared" si="9"/>
        <v>13553.719008264463</v>
      </c>
      <c r="X14" s="23">
        <f t="shared" si="13"/>
        <v>2.7062519835592835E-2</v>
      </c>
      <c r="Y14" s="23">
        <f t="shared" si="15"/>
        <v>7.3309771198472387E-3</v>
      </c>
      <c r="Z14" s="25"/>
      <c r="AB14" s="32"/>
    </row>
    <row r="15" spans="1:32" x14ac:dyDescent="0.35">
      <c r="A15" s="2" t="s">
        <v>182</v>
      </c>
      <c r="B15" s="2">
        <f>AVERAGEA('1 EF25 flat'!B15, '2 EF25 flat'!B15)</f>
        <v>4200</v>
      </c>
      <c r="C15" s="19">
        <f t="shared" si="0"/>
        <v>70.000140000000002</v>
      </c>
      <c r="D15" s="19">
        <f t="shared" si="1"/>
        <v>1.1666676</v>
      </c>
      <c r="E15" s="3">
        <f t="shared" si="2"/>
        <v>1.1666676000000001E-3</v>
      </c>
      <c r="F15" s="19">
        <f t="shared" si="3"/>
        <v>2.2222239999999998</v>
      </c>
      <c r="G15" s="19">
        <f t="shared" si="4"/>
        <v>4.9382795061759985</v>
      </c>
      <c r="H15" s="19">
        <f t="shared" si="5"/>
        <v>4.3196479001599997</v>
      </c>
      <c r="I15" s="2">
        <f>AVERAGEA('1 EF25 flat'!I15, '2 EF25 flat'!I15)</f>
        <v>3.2308537096774188</v>
      </c>
      <c r="J15" s="20">
        <f t="shared" si="6"/>
        <v>32.308537096774188</v>
      </c>
      <c r="K15" s="21">
        <f t="shared" si="7"/>
        <v>3230.8537096774189</v>
      </c>
      <c r="L15" s="3">
        <f t="shared" si="8"/>
        <v>37649.249586776852</v>
      </c>
      <c r="M15" s="4">
        <f t="shared" si="14"/>
        <v>17.522708652692614</v>
      </c>
      <c r="N15" s="4">
        <f t="shared" si="10"/>
        <v>2.7694383022981189E-2</v>
      </c>
      <c r="O15" s="4">
        <f t="shared" si="11"/>
        <v>6.9235957557452973E-3</v>
      </c>
      <c r="Q15" s="4">
        <f t="shared" si="12"/>
        <v>2.1794900257852546E-3</v>
      </c>
      <c r="R15" s="2"/>
      <c r="T15" s="2"/>
      <c r="U15" s="34"/>
      <c r="V15" s="22">
        <v>0.9</v>
      </c>
      <c r="W15" s="23">
        <f t="shared" si="9"/>
        <v>15247.933884297521</v>
      </c>
      <c r="X15" s="23">
        <f t="shared" si="13"/>
        <v>2.6277261403693099E-2</v>
      </c>
      <c r="Y15" s="23">
        <f t="shared" si="15"/>
        <v>7.1182581405209739E-3</v>
      </c>
      <c r="Z15" s="25"/>
      <c r="AA15" s="2" t="s">
        <v>38</v>
      </c>
      <c r="AB15" s="32">
        <f>VLOOKUP(AB17, SW!$A$4:$F$34, 3, FALSE)</f>
        <v>1025</v>
      </c>
      <c r="AC15" s="32"/>
    </row>
    <row r="16" spans="1:32" x14ac:dyDescent="0.35">
      <c r="A16" s="2" t="s">
        <v>183</v>
      </c>
      <c r="B16" s="2">
        <f>AVERAGEA('1 EF25 flat'!B16, '2 EF25 flat'!B16)</f>
        <v>3400</v>
      </c>
      <c r="C16" s="19">
        <f t="shared" si="0"/>
        <v>56.666779999999996</v>
      </c>
      <c r="D16" s="19">
        <f t="shared" si="1"/>
        <v>0.94444519999999998</v>
      </c>
      <c r="E16" s="3">
        <f t="shared" si="2"/>
        <v>9.4444519999999999E-4</v>
      </c>
      <c r="F16" s="19">
        <f t="shared" si="3"/>
        <v>1.7989432380952377</v>
      </c>
      <c r="G16" s="19">
        <f t="shared" si="4"/>
        <v>3.2361967738885791</v>
      </c>
      <c r="H16" s="19">
        <f t="shared" si="5"/>
        <v>3.4968578239390471</v>
      </c>
      <c r="I16" s="2">
        <f>AVERAGEA('1 EF25 flat'!I16, '2 EF25 flat'!I16)</f>
        <v>2.1546585483870961</v>
      </c>
      <c r="J16" s="20">
        <f t="shared" si="6"/>
        <v>21.546585483870963</v>
      </c>
      <c r="K16" s="21">
        <f t="shared" si="7"/>
        <v>2154.6585483870963</v>
      </c>
      <c r="L16" s="3">
        <f t="shared" si="8"/>
        <v>30477.963951200309</v>
      </c>
      <c r="M16" s="4">
        <f t="shared" si="14"/>
        <v>11.685906383297784</v>
      </c>
      <c r="N16" s="4">
        <f t="shared" si="10"/>
        <v>2.8183414230869286E-2</v>
      </c>
      <c r="O16" s="4">
        <f t="shared" si="11"/>
        <v>7.0458535577173215E-3</v>
      </c>
      <c r="Q16" s="4">
        <f t="shared" si="12"/>
        <v>2.0742116502273956E-3</v>
      </c>
      <c r="R16" s="2"/>
      <c r="T16" s="2"/>
      <c r="V16" s="22">
        <v>1</v>
      </c>
      <c r="W16" s="23">
        <f t="shared" si="9"/>
        <v>16942.14876033058</v>
      </c>
      <c r="X16" s="23">
        <f t="shared" si="13"/>
        <v>2.5594151052993924E-2</v>
      </c>
      <c r="Y16" s="23">
        <f t="shared" si="15"/>
        <v>6.9332100968897935E-3</v>
      </c>
      <c r="Z16" s="25"/>
      <c r="AA16" s="2" t="s">
        <v>39</v>
      </c>
      <c r="AB16" s="32">
        <f>VLOOKUP(AB17, SW!$A$4:$F$34, 5, FALSE)</f>
        <v>1.0499999999999999E-3</v>
      </c>
    </row>
    <row r="17" spans="1:34" x14ac:dyDescent="0.35">
      <c r="A17" s="2" t="s">
        <v>184</v>
      </c>
      <c r="B17" s="2">
        <f>AVERAGEA('1 EF25 flat'!B17, '2 EF25 flat'!B17)</f>
        <v>2650</v>
      </c>
      <c r="C17" s="19">
        <f t="shared" si="0"/>
        <v>44.166755000000002</v>
      </c>
      <c r="D17" s="19">
        <f t="shared" si="1"/>
        <v>0.73611170000000004</v>
      </c>
      <c r="E17" s="3">
        <f t="shared" si="2"/>
        <v>7.3611170000000004E-4</v>
      </c>
      <c r="F17" s="19">
        <f t="shared" si="3"/>
        <v>1.4021175238095236</v>
      </c>
      <c r="G17" s="19">
        <f t="shared" si="4"/>
        <v>1.9659335505737499</v>
      </c>
      <c r="H17" s="19">
        <f t="shared" si="5"/>
        <v>2.7254921274819042</v>
      </c>
      <c r="I17" s="2">
        <f>AVERAGEA('1 EF25 flat'!I17, '2 EF25 flat'!I17)</f>
        <v>1.3731730645161284</v>
      </c>
      <c r="J17" s="20">
        <f t="shared" si="6"/>
        <v>13.731730645161285</v>
      </c>
      <c r="K17" s="21">
        <f t="shared" si="7"/>
        <v>1373.1730645161285</v>
      </c>
      <c r="L17" s="3">
        <f t="shared" si="8"/>
        <v>23754.883667847302</v>
      </c>
      <c r="M17" s="4">
        <f t="shared" si="14"/>
        <v>7.4474778808984246</v>
      </c>
      <c r="N17" s="4">
        <f t="shared" si="10"/>
        <v>2.9566948798670386E-2</v>
      </c>
      <c r="O17" s="4">
        <f t="shared" si="11"/>
        <v>7.3917371996675965E-3</v>
      </c>
      <c r="Q17" s="4">
        <f t="shared" si="12"/>
        <v>2.3013281882299608E-3</v>
      </c>
      <c r="R17" s="2"/>
      <c r="T17" s="2"/>
      <c r="U17" s="14"/>
      <c r="V17" s="22">
        <v>1.1000000000000001</v>
      </c>
      <c r="W17" s="23">
        <f t="shared" si="9"/>
        <v>18636.363636363636</v>
      </c>
      <c r="X17" s="23">
        <f t="shared" si="13"/>
        <v>2.4991513467489172E-2</v>
      </c>
      <c r="Y17" s="23">
        <f t="shared" si="15"/>
        <v>6.76996135369313E-3</v>
      </c>
      <c r="Z17" s="25"/>
      <c r="AA17" s="2" t="s">
        <v>161</v>
      </c>
      <c r="AB17" s="2">
        <v>21</v>
      </c>
    </row>
    <row r="18" spans="1:34" x14ac:dyDescent="0.35">
      <c r="A18" s="2" t="s">
        <v>185</v>
      </c>
      <c r="B18" s="2">
        <f>AVERAGEA('1 EF25 flat'!B18, '2 EF25 flat'!B18)</f>
        <v>1900</v>
      </c>
      <c r="C18" s="19">
        <f t="shared" si="0"/>
        <v>31.666729999999998</v>
      </c>
      <c r="D18" s="19">
        <f t="shared" si="1"/>
        <v>0.52777819999999998</v>
      </c>
      <c r="E18" s="3">
        <f t="shared" si="2"/>
        <v>5.2777819999999997E-4</v>
      </c>
      <c r="F18" s="19">
        <f t="shared" si="3"/>
        <v>1.0052918095238093</v>
      </c>
      <c r="G18" s="19">
        <f t="shared" si="4"/>
        <v>1.0106116222956547</v>
      </c>
      <c r="H18" s="19">
        <f t="shared" si="5"/>
        <v>1.9541264310247615</v>
      </c>
      <c r="I18" s="2">
        <f>AVERAGEA('1 EF25 flat'!I18, '2 EF25 flat'!I18)</f>
        <v>0.66706338709677371</v>
      </c>
      <c r="J18" s="20">
        <f t="shared" si="6"/>
        <v>6.6706338709677375</v>
      </c>
      <c r="K18" s="21">
        <f t="shared" si="7"/>
        <v>667.06338709677379</v>
      </c>
      <c r="L18" s="3">
        <f t="shared" si="8"/>
        <v>17031.803384494291</v>
      </c>
      <c r="M18" s="4">
        <f t="shared" si="14"/>
        <v>3.6178541139029572</v>
      </c>
      <c r="N18" s="4">
        <f t="shared" si="10"/>
        <v>2.7940417005248585E-2</v>
      </c>
      <c r="O18" s="4">
        <f t="shared" si="11"/>
        <v>6.9851042513121462E-3</v>
      </c>
      <c r="Q18" s="4">
        <f t="shared" si="12"/>
        <v>5.1314302643785308E-4</v>
      </c>
      <c r="R18" s="2"/>
      <c r="T18" s="2"/>
      <c r="V18" s="22">
        <v>1.2</v>
      </c>
      <c r="W18" s="23">
        <f t="shared" si="9"/>
        <v>20330.578512396693</v>
      </c>
      <c r="X18" s="23">
        <f t="shared" si="13"/>
        <v>2.445374714617286E-2</v>
      </c>
      <c r="Y18" s="23">
        <f t="shared" si="15"/>
        <v>6.6242856139118959E-3</v>
      </c>
      <c r="Z18" s="25"/>
      <c r="AA18" s="1"/>
      <c r="AB18" s="1">
        <f>AVERAGE('1 EF25 flat'!AB17,'2 EF25 flat'!AA17)</f>
        <v>21</v>
      </c>
      <c r="AE18" s="36" t="s">
        <v>40</v>
      </c>
      <c r="AF18" s="37"/>
      <c r="AG18" s="37"/>
      <c r="AH18" s="37"/>
    </row>
    <row r="19" spans="1:34" x14ac:dyDescent="0.35">
      <c r="A19" s="24"/>
      <c r="B19" s="32"/>
      <c r="C19" s="132"/>
      <c r="D19" s="132"/>
      <c r="E19" s="130"/>
      <c r="F19" s="132"/>
      <c r="G19" s="132"/>
      <c r="H19" s="132"/>
      <c r="I19" s="34"/>
      <c r="J19" s="34"/>
      <c r="K19" s="133"/>
      <c r="L19" s="130"/>
      <c r="M19" s="5"/>
      <c r="N19" s="5"/>
      <c r="O19" s="5"/>
      <c r="P19" s="5"/>
      <c r="R19" s="70"/>
      <c r="S19" s="25"/>
      <c r="T19" s="73"/>
      <c r="V19" s="22">
        <v>1.3</v>
      </c>
      <c r="W19" s="23">
        <f t="shared" si="9"/>
        <v>22024.793388429753</v>
      </c>
      <c r="X19" s="23">
        <f t="shared" si="13"/>
        <v>2.3969274590702749E-2</v>
      </c>
      <c r="Y19" s="23">
        <f t="shared" si="15"/>
        <v>6.4930466442622865E-3</v>
      </c>
      <c r="Z19" s="25"/>
      <c r="AE19" s="38" t="s">
        <v>41</v>
      </c>
      <c r="AF19" s="37" t="s">
        <v>42</v>
      </c>
      <c r="AG19" s="37" t="s">
        <v>43</v>
      </c>
      <c r="AH19" s="37" t="s">
        <v>44</v>
      </c>
    </row>
    <row r="20" spans="1:34" x14ac:dyDescent="0.35">
      <c r="A20" s="24"/>
      <c r="B20" s="32"/>
      <c r="C20" s="132"/>
      <c r="D20" s="132"/>
      <c r="E20" s="130"/>
      <c r="F20" s="132"/>
      <c r="G20" s="132"/>
      <c r="H20" s="132"/>
      <c r="I20" s="34"/>
      <c r="J20" s="34"/>
      <c r="K20" s="133"/>
      <c r="L20" s="130"/>
      <c r="M20" s="5"/>
      <c r="N20" s="5"/>
      <c r="O20" s="5"/>
      <c r="P20" s="5"/>
      <c r="R20" s="70"/>
      <c r="S20" s="25"/>
      <c r="T20" s="73"/>
      <c r="V20" s="22">
        <v>1.4</v>
      </c>
      <c r="W20" s="23">
        <f t="shared" si="9"/>
        <v>23719.008264462809</v>
      </c>
      <c r="X20" s="23">
        <f t="shared" si="13"/>
        <v>2.3529284439915088E-2</v>
      </c>
      <c r="Y20" s="23">
        <f t="shared" si="15"/>
        <v>6.3738575314975466E-3</v>
      </c>
      <c r="Z20" s="25"/>
      <c r="AA20" s="1" t="s">
        <v>45</v>
      </c>
      <c r="AB20" s="1">
        <f>4*10^(-6)</f>
        <v>3.9999999999999998E-6</v>
      </c>
      <c r="AE20" s="38" t="s">
        <v>46</v>
      </c>
      <c r="AF20" s="37" t="s">
        <v>47</v>
      </c>
      <c r="AG20" s="37" t="s">
        <v>48</v>
      </c>
      <c r="AH20" s="37" t="s">
        <v>49</v>
      </c>
    </row>
    <row r="21" spans="1:34" x14ac:dyDescent="0.35">
      <c r="A21" s="24"/>
      <c r="B21" s="32"/>
      <c r="C21" s="132"/>
      <c r="D21" s="132"/>
      <c r="E21" s="134"/>
      <c r="F21" s="132"/>
      <c r="G21" s="132"/>
      <c r="H21" s="132"/>
      <c r="I21" s="32"/>
      <c r="J21" s="34"/>
      <c r="K21" s="133"/>
      <c r="L21" s="130"/>
      <c r="M21" s="5"/>
      <c r="N21" s="5"/>
      <c r="O21" s="5"/>
      <c r="P21" s="5"/>
      <c r="R21" s="70"/>
      <c r="S21" s="25"/>
      <c r="T21" s="73"/>
      <c r="V21" s="22">
        <v>1.5</v>
      </c>
      <c r="W21" s="23">
        <f t="shared" si="9"/>
        <v>25413.223140495866</v>
      </c>
      <c r="X21" s="23">
        <f t="shared" si="13"/>
        <v>2.3126926172178337E-2</v>
      </c>
      <c r="Y21" s="23">
        <f t="shared" si="15"/>
        <v>6.2648625349976256E-3</v>
      </c>
      <c r="Z21" s="25"/>
      <c r="AA21" s="1" t="s">
        <v>50</v>
      </c>
      <c r="AB21" s="2">
        <f>AB20/AB11</f>
        <v>2.3047619047619048E-4</v>
      </c>
      <c r="AE21" s="37">
        <v>0</v>
      </c>
      <c r="AF21" s="37">
        <v>1.792E-3</v>
      </c>
      <c r="AG21" s="37">
        <v>999.87</v>
      </c>
      <c r="AH21" s="39">
        <v>1.7922329902887374E-6</v>
      </c>
    </row>
    <row r="22" spans="1:34" x14ac:dyDescent="0.35">
      <c r="A22" s="24"/>
      <c r="B22" s="131"/>
      <c r="C22" s="132"/>
      <c r="D22" s="132"/>
      <c r="E22" s="130"/>
      <c r="F22" s="132"/>
      <c r="G22" s="132"/>
      <c r="H22" s="132"/>
      <c r="I22" s="32"/>
      <c r="J22" s="34"/>
      <c r="K22" s="133"/>
      <c r="L22" s="130"/>
      <c r="M22" s="5"/>
      <c r="N22" s="5"/>
      <c r="O22" s="5"/>
      <c r="P22" s="5"/>
      <c r="Q22" s="43"/>
      <c r="R22" s="70"/>
      <c r="S22" s="25"/>
      <c r="T22" s="73"/>
      <c r="V22" s="22">
        <v>1.6</v>
      </c>
      <c r="W22" s="23">
        <f t="shared" si="9"/>
        <v>27107.438016528926</v>
      </c>
      <c r="X22" s="23">
        <f t="shared" si="13"/>
        <v>2.2756775917482562E-2</v>
      </c>
      <c r="Y22" s="23">
        <f t="shared" si="15"/>
        <v>6.1645923803865443E-3</v>
      </c>
      <c r="Z22" s="25"/>
      <c r="AE22" s="37">
        <v>5</v>
      </c>
      <c r="AF22" s="37">
        <v>1.519E-3</v>
      </c>
      <c r="AG22" s="37">
        <v>999.99</v>
      </c>
      <c r="AH22" s="39">
        <v>1.5190151901519014E-6</v>
      </c>
    </row>
    <row r="23" spans="1:34" x14ac:dyDescent="0.35">
      <c r="A23" s="32"/>
      <c r="B23" s="131"/>
      <c r="C23" s="132"/>
      <c r="D23" s="132"/>
      <c r="E23" s="136"/>
      <c r="F23" s="132"/>
      <c r="G23" s="132"/>
      <c r="H23" s="130"/>
      <c r="I23" s="132"/>
      <c r="J23" s="34"/>
      <c r="K23" s="133"/>
      <c r="L23" s="130"/>
      <c r="M23" s="5"/>
      <c r="N23" s="5"/>
      <c r="O23" s="5"/>
      <c r="P23" s="5"/>
      <c r="R23" s="70"/>
      <c r="S23" s="25"/>
      <c r="T23" s="73"/>
      <c r="V23" s="22">
        <v>1.7</v>
      </c>
      <c r="W23" s="23">
        <f t="shared" si="9"/>
        <v>28801.652892561982</v>
      </c>
      <c r="X23" s="23">
        <f t="shared" si="13"/>
        <v>2.2414471247949826E-2</v>
      </c>
      <c r="Y23" s="23">
        <f t="shared" si="15"/>
        <v>6.0718653277836692E-3</v>
      </c>
      <c r="Z23" s="25"/>
      <c r="AA23" s="40"/>
      <c r="AE23" s="37">
        <f>AE22+5</f>
        <v>10</v>
      </c>
      <c r="AF23" s="37">
        <v>1.3079999999999999E-3</v>
      </c>
      <c r="AG23" s="37">
        <v>999.73</v>
      </c>
      <c r="AH23" s="39">
        <v>1.3083532553789522E-6</v>
      </c>
    </row>
    <row r="24" spans="1:34" x14ac:dyDescent="0.35">
      <c r="A24" s="32"/>
      <c r="B24" s="131"/>
      <c r="C24" s="132"/>
      <c r="D24" s="132"/>
      <c r="E24" s="130"/>
      <c r="F24" s="130"/>
      <c r="G24" s="132"/>
      <c r="H24" s="132"/>
      <c r="I24" s="132"/>
      <c r="J24" s="34"/>
      <c r="K24" s="133"/>
      <c r="L24" s="130"/>
      <c r="M24" s="5"/>
      <c r="N24" s="5"/>
      <c r="O24" s="5"/>
      <c r="P24" s="5"/>
      <c r="R24" s="71"/>
      <c r="S24" s="4"/>
      <c r="T24" s="74"/>
      <c r="V24" s="22">
        <v>1.8</v>
      </c>
      <c r="W24" s="23">
        <f t="shared" si="9"/>
        <v>30495.867768595042</v>
      </c>
      <c r="X24" s="23">
        <f t="shared" si="13"/>
        <v>2.2096454917050316E-2</v>
      </c>
      <c r="Y24" s="23">
        <f t="shared" si="15"/>
        <v>5.985717753214658E-3</v>
      </c>
      <c r="Z24" s="4"/>
      <c r="AA24" s="40"/>
      <c r="AE24" s="37" t="e">
        <f>#REF!+5</f>
        <v>#REF!</v>
      </c>
      <c r="AF24" s="37">
        <v>1.005E-3</v>
      </c>
      <c r="AG24" s="37">
        <v>998.23</v>
      </c>
      <c r="AH24" s="39">
        <v>1.0067820041473407E-6</v>
      </c>
    </row>
    <row r="25" spans="1:34" x14ac:dyDescent="0.35">
      <c r="A25" s="32"/>
      <c r="B25" s="131"/>
      <c r="C25" s="132"/>
      <c r="D25" s="132"/>
      <c r="E25" s="130"/>
      <c r="F25" s="130"/>
      <c r="G25" s="132"/>
      <c r="H25" s="132"/>
      <c r="I25" s="132"/>
      <c r="J25" s="34"/>
      <c r="K25" s="133"/>
      <c r="L25" s="130"/>
      <c r="M25" s="5"/>
      <c r="N25" s="5"/>
      <c r="O25" s="5"/>
      <c r="P25" s="5"/>
      <c r="R25" s="71"/>
      <c r="S25" s="4"/>
      <c r="T25" s="74"/>
      <c r="V25" s="22">
        <v>1.9</v>
      </c>
      <c r="W25" s="23">
        <f t="shared" si="9"/>
        <v>32190.082644628095</v>
      </c>
      <c r="X25" s="23">
        <f t="shared" si="13"/>
        <v>2.1799790929207308E-2</v>
      </c>
      <c r="Y25" s="23">
        <f t="shared" si="15"/>
        <v>5.905354323631159E-3</v>
      </c>
      <c r="Z25" s="4"/>
      <c r="AA25" s="40"/>
      <c r="AE25" s="37">
        <v>25</v>
      </c>
      <c r="AF25" s="37">
        <v>8.9400000000000005E-4</v>
      </c>
      <c r="AG25" s="37">
        <v>997.07</v>
      </c>
      <c r="AH25" s="39">
        <v>8.9662711745414066E-7</v>
      </c>
    </row>
    <row r="26" spans="1:34" x14ac:dyDescent="0.35">
      <c r="A26" s="32"/>
      <c r="B26" s="32"/>
      <c r="C26" s="32"/>
      <c r="D26" s="32"/>
      <c r="E26" s="32"/>
      <c r="F26" s="32"/>
      <c r="G26" s="32"/>
      <c r="H26" s="32"/>
      <c r="I26" s="32"/>
      <c r="J26" s="32"/>
      <c r="K26" s="32"/>
      <c r="L26" s="130"/>
      <c r="M26" s="5"/>
      <c r="N26" s="89"/>
      <c r="O26" s="5"/>
      <c r="P26" s="5"/>
      <c r="R26" s="71"/>
      <c r="S26" s="4"/>
      <c r="T26" s="74"/>
      <c r="V26" s="22">
        <v>2</v>
      </c>
      <c r="W26" s="23">
        <f t="shared" si="9"/>
        <v>33884.297520661159</v>
      </c>
      <c r="X26" s="23">
        <f t="shared" si="13"/>
        <v>2.1522029871924683E-2</v>
      </c>
      <c r="Y26" s="23">
        <f t="shared" si="15"/>
        <v>5.8301115166754887E-3</v>
      </c>
      <c r="Z26" s="4"/>
      <c r="AA26" s="40"/>
      <c r="AE26" s="32"/>
      <c r="AF26" s="32"/>
      <c r="AG26" s="32"/>
      <c r="AH26" s="32"/>
    </row>
    <row r="27" spans="1:34" x14ac:dyDescent="0.35">
      <c r="A27" s="32"/>
      <c r="B27" s="32"/>
      <c r="C27" s="32"/>
      <c r="D27" s="32"/>
      <c r="E27" s="32"/>
      <c r="F27" s="32"/>
      <c r="G27" s="32"/>
      <c r="H27" s="32"/>
      <c r="I27" s="32"/>
      <c r="J27" s="32"/>
      <c r="K27" s="136"/>
      <c r="L27" s="5"/>
      <c r="M27" s="5"/>
      <c r="N27" s="89"/>
      <c r="O27" s="5"/>
      <c r="P27" s="5"/>
      <c r="R27" s="71"/>
      <c r="S27" s="4"/>
      <c r="T27" s="74"/>
      <c r="V27" s="22">
        <v>2.1</v>
      </c>
      <c r="W27" s="23">
        <f t="shared" si="9"/>
        <v>35578.512396694219</v>
      </c>
      <c r="X27" s="23">
        <f t="shared" si="13"/>
        <v>2.1261108563413223E-2</v>
      </c>
      <c r="Y27" s="23">
        <f t="shared" si="15"/>
        <v>5.7594304361848836E-3</v>
      </c>
      <c r="Z27" s="4"/>
      <c r="AA27" s="40"/>
      <c r="AE27" s="32"/>
      <c r="AF27" s="32"/>
      <c r="AG27" s="32"/>
      <c r="AH27" s="32"/>
    </row>
    <row r="28" spans="1:34" x14ac:dyDescent="0.35">
      <c r="A28" s="32"/>
      <c r="B28" s="32"/>
      <c r="C28" s="32"/>
      <c r="D28" s="32"/>
      <c r="E28" s="32"/>
      <c r="F28" s="32"/>
      <c r="G28" s="32"/>
      <c r="H28" s="32"/>
      <c r="I28" s="32"/>
      <c r="J28" s="32"/>
      <c r="K28" s="32"/>
      <c r="L28" s="130"/>
      <c r="M28" s="5"/>
      <c r="N28" s="5"/>
      <c r="O28" s="5"/>
      <c r="P28" s="5"/>
      <c r="R28" s="71"/>
      <c r="S28" s="4"/>
      <c r="T28" s="74"/>
      <c r="V28" s="22">
        <v>2.2000000000000002</v>
      </c>
      <c r="W28" s="23">
        <f t="shared" si="9"/>
        <v>37272.727272727272</v>
      </c>
      <c r="X28" s="23">
        <f t="shared" si="13"/>
        <v>2.1015274086576576E-2</v>
      </c>
      <c r="Y28" s="23">
        <f t="shared" si="15"/>
        <v>5.6928362337267373E-3</v>
      </c>
      <c r="Z28" s="4"/>
      <c r="AA28" s="40"/>
      <c r="AE28" s="32"/>
      <c r="AF28" s="32"/>
      <c r="AG28" s="32"/>
      <c r="AH28" s="32"/>
    </row>
    <row r="29" spans="1:34" x14ac:dyDescent="0.35">
      <c r="A29" s="32"/>
      <c r="B29" s="32"/>
      <c r="C29" s="32"/>
      <c r="D29" s="32"/>
      <c r="E29" s="32"/>
      <c r="F29" s="32"/>
      <c r="G29" s="32"/>
      <c r="H29" s="32"/>
      <c r="I29" s="32"/>
      <c r="J29" s="32"/>
      <c r="K29" s="32"/>
      <c r="L29" s="137"/>
      <c r="M29" s="5"/>
      <c r="N29" s="5"/>
      <c r="O29" s="5"/>
      <c r="P29" s="5"/>
      <c r="R29" s="71"/>
      <c r="S29" s="4"/>
      <c r="T29" s="74"/>
      <c r="V29" s="22">
        <v>2.2999999999999998</v>
      </c>
      <c r="W29" s="23">
        <f t="shared" si="9"/>
        <v>38966.942148760325</v>
      </c>
      <c r="X29" s="23">
        <f t="shared" si="13"/>
        <v>2.0783025465801824E-2</v>
      </c>
      <c r="Y29" s="23">
        <f t="shared" si="15"/>
        <v>5.6299223094004262E-3</v>
      </c>
      <c r="Z29" s="4"/>
      <c r="AA29" s="40"/>
      <c r="AE29" s="32"/>
      <c r="AF29" s="32"/>
      <c r="AG29" s="32"/>
      <c r="AH29" s="32"/>
    </row>
    <row r="30" spans="1:34" x14ac:dyDescent="0.35">
      <c r="A30" s="32"/>
      <c r="B30" s="32"/>
      <c r="C30" s="32"/>
      <c r="D30" s="32"/>
      <c r="E30" s="32"/>
      <c r="F30" s="32"/>
      <c r="G30" s="32"/>
      <c r="H30" s="32"/>
      <c r="I30" s="32"/>
      <c r="J30" s="32"/>
      <c r="K30" s="32"/>
      <c r="L30" s="130"/>
      <c r="M30" s="5"/>
      <c r="N30" s="5"/>
      <c r="O30" s="5"/>
      <c r="P30" s="5"/>
      <c r="R30" s="71"/>
      <c r="S30" s="4"/>
      <c r="T30" s="74"/>
      <c r="V30" s="22">
        <v>2.4</v>
      </c>
      <c r="W30" s="23">
        <f t="shared" si="9"/>
        <v>40661.157024793385</v>
      </c>
      <c r="X30" s="23">
        <f t="shared" si="13"/>
        <v>2.0563068314737511E-2</v>
      </c>
      <c r="Y30" s="23">
        <f t="shared" si="15"/>
        <v>5.5703380263552645E-3</v>
      </c>
      <c r="Z30" s="4"/>
      <c r="AA30" s="40"/>
      <c r="AE30" s="32"/>
      <c r="AF30" s="32"/>
      <c r="AG30" s="32"/>
      <c r="AH30" s="32"/>
    </row>
    <row r="31" spans="1:34" x14ac:dyDescent="0.35">
      <c r="F31" s="1"/>
      <c r="G31" s="1"/>
      <c r="R31" s="71"/>
      <c r="S31" s="4"/>
      <c r="T31" s="74"/>
      <c r="V31" s="22">
        <v>2.5</v>
      </c>
      <c r="W31" s="23">
        <f t="shared" si="9"/>
        <v>42355.371900826445</v>
      </c>
      <c r="X31" s="23">
        <f t="shared" si="13"/>
        <v>2.0354279160088459E-2</v>
      </c>
      <c r="Y31" s="23">
        <f t="shared" si="15"/>
        <v>5.5137790464486209E-3</v>
      </c>
      <c r="Z31" s="4"/>
      <c r="AA31" s="40"/>
      <c r="AE31" s="32"/>
      <c r="AF31" s="32"/>
      <c r="AG31" s="32"/>
      <c r="AH31" s="32"/>
    </row>
    <row r="32" spans="1:34" x14ac:dyDescent="0.35">
      <c r="G32" s="19"/>
      <c r="R32" s="71"/>
      <c r="S32" s="4"/>
      <c r="T32" s="74"/>
      <c r="Z32" s="4"/>
      <c r="AA32" s="40"/>
    </row>
    <row r="33" spans="7:28" x14ac:dyDescent="0.35">
      <c r="G33" s="19"/>
      <c r="R33" s="71"/>
      <c r="S33" s="4"/>
      <c r="T33" s="74"/>
      <c r="Z33" s="4"/>
      <c r="AA33" s="40"/>
      <c r="AB33" s="1" t="s">
        <v>51</v>
      </c>
    </row>
    <row r="34" spans="7:28" x14ac:dyDescent="0.35">
      <c r="G34" s="19"/>
      <c r="R34" s="71"/>
      <c r="S34" s="4"/>
      <c r="T34" s="74"/>
      <c r="Z34" s="4"/>
      <c r="AA34" s="40"/>
    </row>
    <row r="35" spans="7:28" x14ac:dyDescent="0.35">
      <c r="G35" s="19"/>
      <c r="R35" s="71"/>
      <c r="S35" s="4"/>
      <c r="T35" s="74"/>
      <c r="Z35" s="4"/>
      <c r="AA35" s="40"/>
    </row>
    <row r="36" spans="7:28" x14ac:dyDescent="0.35">
      <c r="G36" s="19"/>
      <c r="R36" s="71"/>
      <c r="S36" s="4"/>
      <c r="T36" s="74"/>
      <c r="Z36" s="4"/>
    </row>
    <row r="37" spans="7:28" x14ac:dyDescent="0.35">
      <c r="G37" s="19"/>
      <c r="R37" s="71"/>
      <c r="S37" s="4"/>
      <c r="T37" s="74"/>
      <c r="Z37" s="4"/>
    </row>
    <row r="38" spans="7:28" x14ac:dyDescent="0.35">
      <c r="S38" s="68"/>
      <c r="T38" s="2"/>
      <c r="Z38" s="4"/>
    </row>
    <row r="39" spans="7:28" x14ac:dyDescent="0.35">
      <c r="S39" s="43"/>
      <c r="T39" s="88"/>
      <c r="V39" s="4"/>
      <c r="W39" s="16"/>
      <c r="X39" s="16"/>
      <c r="Y39" s="4"/>
      <c r="Z39" s="4"/>
    </row>
    <row r="40" spans="7:28" x14ac:dyDescent="0.35">
      <c r="S40" s="43"/>
      <c r="T40" s="88"/>
      <c r="V40" s="4"/>
      <c r="W40" s="16"/>
      <c r="X40" s="16"/>
      <c r="Y40" s="4"/>
      <c r="Z40" s="4"/>
    </row>
    <row r="41" spans="7:28" x14ac:dyDescent="0.35">
      <c r="S41" s="43"/>
      <c r="T41" s="88"/>
      <c r="V41" s="4"/>
      <c r="W41" s="16"/>
      <c r="X41" s="16"/>
      <c r="Y41" s="4"/>
      <c r="Z41" s="4"/>
    </row>
    <row r="42" spans="7:28" x14ac:dyDescent="0.35">
      <c r="R42" s="71"/>
      <c r="S42" s="4"/>
      <c r="T42" s="74"/>
      <c r="V42" s="4"/>
      <c r="W42" s="16"/>
      <c r="X42" s="16"/>
      <c r="Y42" s="4"/>
      <c r="Z42" s="4"/>
    </row>
    <row r="43" spans="7:28" x14ac:dyDescent="0.35">
      <c r="R43" s="71"/>
      <c r="S43" s="4"/>
      <c r="T43" s="74"/>
      <c r="V43" s="4"/>
      <c r="W43" s="16"/>
      <c r="X43" s="16"/>
      <c r="Y43" s="4"/>
      <c r="Z43" s="4"/>
    </row>
    <row r="44" spans="7:28" x14ac:dyDescent="0.35">
      <c r="V44" s="4"/>
      <c r="W44" s="16"/>
      <c r="X44" s="16"/>
    </row>
    <row r="45" spans="7:28" x14ac:dyDescent="0.35">
      <c r="V45" s="4"/>
      <c r="W45" s="16"/>
      <c r="X45" s="16"/>
    </row>
    <row r="46" spans="7:28" x14ac:dyDescent="0.35">
      <c r="V46" s="4"/>
      <c r="W46" s="16"/>
      <c r="X46" s="16"/>
    </row>
    <row r="47" spans="7:28" x14ac:dyDescent="0.35">
      <c r="V47" s="4"/>
      <c r="W47" s="16"/>
      <c r="X47" s="16"/>
    </row>
    <row r="48" spans="7:28" x14ac:dyDescent="0.35">
      <c r="S48" s="40"/>
      <c r="T48" s="87"/>
      <c r="V48" s="4"/>
      <c r="W48" s="16"/>
      <c r="X48" s="16"/>
    </row>
    <row r="49" spans="22:24" x14ac:dyDescent="0.35">
      <c r="V49" s="4"/>
      <c r="W49" s="16"/>
      <c r="X49" s="16"/>
    </row>
    <row r="50" spans="22:24" x14ac:dyDescent="0.35">
      <c r="V50" s="4"/>
      <c r="W50" s="16"/>
      <c r="X50" s="16"/>
    </row>
    <row r="51" spans="22:24" x14ac:dyDescent="0.35">
      <c r="V51" s="4"/>
      <c r="W51" s="16"/>
      <c r="X51" s="16"/>
    </row>
    <row r="52" spans="22:24" x14ac:dyDescent="0.35">
      <c r="V52" s="4"/>
      <c r="W52" s="16"/>
      <c r="X52" s="16"/>
    </row>
    <row r="53" spans="22:24" x14ac:dyDescent="0.35">
      <c r="V53" s="4"/>
      <c r="W53" s="16"/>
      <c r="X53" s="16"/>
    </row>
    <row r="54" spans="22:24" x14ac:dyDescent="0.35">
      <c r="V54" s="4"/>
    </row>
    <row r="112" spans="18:18" x14ac:dyDescent="0.35">
      <c r="R112" s="85"/>
    </row>
  </sheetData>
  <mergeCells count="3">
    <mergeCell ref="A3:N3"/>
    <mergeCell ref="AA5:AB5"/>
    <mergeCell ref="R4:T4"/>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8A586-7F14-4F88-8A03-7F700B274D7A}">
  <dimension ref="A1:J30"/>
  <sheetViews>
    <sheetView topLeftCell="A11" zoomScale="40" zoomScaleNormal="40" workbookViewId="0">
      <selection activeCell="E43" sqref="E43"/>
    </sheetView>
  </sheetViews>
  <sheetFormatPr defaultRowHeight="15.5" x14ac:dyDescent="0.35"/>
  <cols>
    <col min="1" max="1" width="32.4609375" customWidth="1"/>
    <col min="2" max="3" width="12.4609375" bestFit="1" customWidth="1"/>
    <col min="4" max="5" width="12.4609375" customWidth="1"/>
    <col min="7" max="7" width="12.69140625" bestFit="1" customWidth="1"/>
  </cols>
  <sheetData>
    <row r="1" spans="1:2" x14ac:dyDescent="0.35">
      <c r="A1" t="s">
        <v>69</v>
      </c>
    </row>
    <row r="2" spans="1:2" x14ac:dyDescent="0.35">
      <c r="B2" s="9"/>
    </row>
    <row r="3" spans="1:2" x14ac:dyDescent="0.35">
      <c r="A3" s="17"/>
      <c r="B3" s="18"/>
    </row>
    <row r="4" spans="1:2" x14ac:dyDescent="0.35">
      <c r="A4" s="2"/>
      <c r="B4" s="2"/>
    </row>
    <row r="5" spans="1:2" x14ac:dyDescent="0.35">
      <c r="A5" s="2"/>
      <c r="B5" s="2"/>
    </row>
    <row r="6" spans="1:2" x14ac:dyDescent="0.35">
      <c r="A6" s="2"/>
      <c r="B6" s="2"/>
    </row>
    <row r="7" spans="1:2" x14ac:dyDescent="0.35">
      <c r="A7" s="2"/>
      <c r="B7" s="2"/>
    </row>
    <row r="8" spans="1:2" x14ac:dyDescent="0.35">
      <c r="A8" s="2"/>
      <c r="B8" s="2"/>
    </row>
    <row r="9" spans="1:2" x14ac:dyDescent="0.35">
      <c r="A9" s="2"/>
      <c r="B9" s="2"/>
    </row>
    <row r="10" spans="1:2" x14ac:dyDescent="0.35">
      <c r="A10" s="2"/>
      <c r="B10" s="2"/>
    </row>
    <row r="11" spans="1:2" x14ac:dyDescent="0.35">
      <c r="A11" s="2"/>
      <c r="B11" s="2"/>
    </row>
    <row r="12" spans="1:2" x14ac:dyDescent="0.35">
      <c r="A12" s="2"/>
      <c r="B12" s="2"/>
    </row>
    <row r="13" spans="1:2" x14ac:dyDescent="0.35">
      <c r="A13" s="2"/>
      <c r="B13" s="2"/>
    </row>
    <row r="14" spans="1:2" x14ac:dyDescent="0.35">
      <c r="A14" s="2"/>
      <c r="B14" s="2"/>
    </row>
    <row r="15" spans="1:2" x14ac:dyDescent="0.35">
      <c r="A15" s="2"/>
      <c r="B15" s="2"/>
    </row>
    <row r="23" spans="1:10" x14ac:dyDescent="0.35">
      <c r="A23" s="105"/>
      <c r="B23" s="105"/>
      <c r="C23" s="105"/>
      <c r="D23" s="105"/>
      <c r="E23" s="105"/>
      <c r="F23" s="105"/>
      <c r="G23" s="105"/>
      <c r="H23" s="105"/>
      <c r="I23" s="105"/>
      <c r="J23" s="105"/>
    </row>
    <row r="24" spans="1:10" x14ac:dyDescent="0.35">
      <c r="A24" s="105" t="s">
        <v>121</v>
      </c>
      <c r="B24" s="105"/>
      <c r="C24" s="105"/>
      <c r="D24" s="105"/>
      <c r="E24" s="105"/>
      <c r="F24" s="105"/>
      <c r="G24" s="105"/>
      <c r="H24" s="105"/>
      <c r="I24" s="105"/>
      <c r="J24" s="105"/>
    </row>
    <row r="25" spans="1:10" x14ac:dyDescent="0.35">
      <c r="A25" s="105"/>
      <c r="B25" s="105" t="s">
        <v>65</v>
      </c>
      <c r="C25" s="105" t="s">
        <v>77</v>
      </c>
      <c r="D25" s="105"/>
      <c r="E25" s="105"/>
      <c r="F25" s="105" t="s">
        <v>66</v>
      </c>
      <c r="G25" s="105" t="s">
        <v>67</v>
      </c>
      <c r="H25" s="105"/>
      <c r="I25" s="105"/>
      <c r="J25" s="105"/>
    </row>
    <row r="26" spans="1:10" x14ac:dyDescent="0.35">
      <c r="A26" s="105">
        <v>1</v>
      </c>
      <c r="B26" s="105">
        <f>0.1272*(22000^-0.296)</f>
        <v>6.5937123594014243E-3</v>
      </c>
      <c r="C26" s="105"/>
      <c r="D26" s="105"/>
      <c r="E26" s="105"/>
      <c r="F26" s="105">
        <f>AVERAGEA(B26:B27)</f>
        <v>6.6186827562736261E-3</v>
      </c>
      <c r="G26" s="105">
        <f>_xlfn.STDEV.P(B26:B27)</f>
        <v>2.4970396872201796E-5</v>
      </c>
      <c r="H26" s="105"/>
      <c r="I26" s="105"/>
      <c r="J26" s="105"/>
    </row>
    <row r="27" spans="1:10" x14ac:dyDescent="0.35">
      <c r="A27" s="105">
        <v>2</v>
      </c>
      <c r="B27" s="105">
        <f>0.0225*(22000^-0.122)</f>
        <v>6.6436531531458278E-3</v>
      </c>
      <c r="C27" s="105"/>
      <c r="D27" s="105"/>
      <c r="E27" s="105"/>
      <c r="F27" s="105"/>
      <c r="G27" s="105"/>
      <c r="H27" s="105"/>
      <c r="I27" s="105"/>
      <c r="J27" s="105"/>
    </row>
    <row r="28" spans="1:10" x14ac:dyDescent="0.35">
      <c r="A28" s="105">
        <v>3</v>
      </c>
      <c r="B28" s="105"/>
      <c r="C28" s="105"/>
      <c r="D28" s="105"/>
      <c r="E28" s="105"/>
      <c r="F28" s="105"/>
      <c r="G28" s="105"/>
      <c r="H28" s="105"/>
      <c r="I28" s="105"/>
      <c r="J28" s="105"/>
    </row>
    <row r="29" spans="1:10" x14ac:dyDescent="0.35">
      <c r="A29" s="105"/>
      <c r="B29" s="105"/>
      <c r="C29" s="105"/>
      <c r="D29" s="105"/>
      <c r="E29" s="105"/>
      <c r="F29" s="105"/>
      <c r="G29" s="105"/>
      <c r="H29" s="105"/>
      <c r="I29" s="105"/>
      <c r="J29" s="105"/>
    </row>
    <row r="30" spans="1:10" x14ac:dyDescent="0.35">
      <c r="A30" s="105"/>
      <c r="B30" s="105"/>
      <c r="C30" s="105"/>
      <c r="D30" s="105"/>
      <c r="E30" s="105"/>
      <c r="F30" s="105"/>
      <c r="G30" s="105"/>
      <c r="H30" s="105"/>
      <c r="I30" s="105"/>
      <c r="J30" s="105"/>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178CE-F74B-44B3-899C-585CDEF75D63}">
  <dimension ref="A1:AD55"/>
  <sheetViews>
    <sheetView zoomScale="60" zoomScaleNormal="60" zoomScalePageLayoutView="90" workbookViewId="0">
      <selection activeCell="A2" sqref="A2:K2"/>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7.69140625" style="4" bestFit="1" customWidth="1"/>
    <col min="14" max="14" width="8.4609375" style="4" customWidth="1"/>
    <col min="15" max="15" width="10.3046875" style="4" customWidth="1"/>
    <col min="16" max="16" width="27.23046875" style="4" customWidth="1"/>
    <col min="17" max="17" width="8.4609375" style="4" customWidth="1"/>
    <col min="18" max="18" width="10.23046875" style="2" customWidth="1"/>
    <col min="19" max="19" width="13.84375" style="2" customWidth="1"/>
    <col min="20" max="22" width="10" style="2" customWidth="1"/>
    <col min="23" max="23" width="21" style="2" customWidth="1"/>
    <col min="24" max="24" width="13.84375" style="2" bestFit="1" customWidth="1"/>
    <col min="25" max="25" width="8.69140625" style="2"/>
    <col min="26" max="26" width="22" style="2" customWidth="1"/>
    <col min="27" max="27" width="35.84375" style="2" customWidth="1"/>
    <col min="28" max="28" width="16.84375" style="2" customWidth="1"/>
    <col min="29" max="16384" width="8.69140625" style="2"/>
  </cols>
  <sheetData>
    <row r="1" spans="1:28" x14ac:dyDescent="0.35">
      <c r="A1" s="2" t="s">
        <v>128</v>
      </c>
    </row>
    <row r="2" spans="1:28" x14ac:dyDescent="0.35">
      <c r="A2" s="1"/>
      <c r="I2" s="1"/>
      <c r="J2" s="1"/>
    </row>
    <row r="3" spans="1:28" x14ac:dyDescent="0.35">
      <c r="A3" s="1"/>
      <c r="I3" s="1"/>
      <c r="J3" s="1"/>
    </row>
    <row r="4" spans="1:28" x14ac:dyDescent="0.35">
      <c r="A4" s="150" t="s">
        <v>3</v>
      </c>
      <c r="B4" s="150"/>
      <c r="C4" s="150"/>
      <c r="D4" s="150"/>
      <c r="E4" s="150"/>
      <c r="F4" s="150"/>
      <c r="G4" s="150"/>
      <c r="H4" s="150"/>
      <c r="I4" s="150"/>
      <c r="J4" s="150"/>
      <c r="K4" s="150"/>
      <c r="L4" s="150"/>
      <c r="M4" s="150"/>
      <c r="N4" s="150"/>
      <c r="O4" s="124"/>
      <c r="P4" s="124"/>
      <c r="Q4" s="125"/>
    </row>
    <row r="6" spans="1:28" ht="19" x14ac:dyDescent="0.4">
      <c r="A6" s="138"/>
      <c r="B6" s="139" t="s">
        <v>4</v>
      </c>
      <c r="C6" s="139" t="s">
        <v>5</v>
      </c>
      <c r="D6" s="140" t="s">
        <v>6</v>
      </c>
      <c r="E6" s="140" t="s">
        <v>7</v>
      </c>
      <c r="F6" s="140" t="s">
        <v>8</v>
      </c>
      <c r="G6" s="140" t="s">
        <v>9</v>
      </c>
      <c r="H6" s="140" t="s">
        <v>10</v>
      </c>
      <c r="I6" s="139" t="s">
        <v>11</v>
      </c>
      <c r="J6" s="139" t="s">
        <v>12</v>
      </c>
      <c r="K6" s="139" t="s">
        <v>13</v>
      </c>
      <c r="L6" s="141" t="s">
        <v>14</v>
      </c>
      <c r="M6" s="142" t="s">
        <v>15</v>
      </c>
      <c r="N6" s="143" t="s">
        <v>16</v>
      </c>
      <c r="O6" s="22" t="s">
        <v>17</v>
      </c>
      <c r="P6" s="22" t="s">
        <v>18</v>
      </c>
      <c r="Q6" s="22"/>
      <c r="R6" s="15" t="s">
        <v>19</v>
      </c>
      <c r="S6" s="16" t="s">
        <v>14</v>
      </c>
      <c r="T6" s="15" t="s">
        <v>20</v>
      </c>
      <c r="U6" s="16" t="s">
        <v>21</v>
      </c>
      <c r="V6" s="1"/>
      <c r="W6" s="151" t="s">
        <v>22</v>
      </c>
      <c r="X6" s="151"/>
    </row>
    <row r="7" spans="1:28" x14ac:dyDescent="0.35">
      <c r="A7" s="144" t="s">
        <v>23</v>
      </c>
      <c r="B7" s="18"/>
      <c r="C7" s="19">
        <f t="shared" ref="C7:C18" si="0">B7*0.0166667</f>
        <v>0</v>
      </c>
      <c r="D7" s="19">
        <f t="shared" ref="D7:D18" si="1">B7*0.000277778</f>
        <v>0</v>
      </c>
      <c r="E7" s="3">
        <f t="shared" ref="E7:E18" si="2">0.001*D7</f>
        <v>0</v>
      </c>
      <c r="F7" s="19">
        <f t="shared" ref="F7:F15" si="3">E7/X$8</f>
        <v>0</v>
      </c>
      <c r="G7" s="19">
        <f t="shared" ref="G7:G15" si="4">F7^(2)</f>
        <v>0</v>
      </c>
      <c r="H7" s="19">
        <f t="shared" ref="H7:H15" si="5">F7*1.94384</f>
        <v>0</v>
      </c>
      <c r="I7" s="20">
        <v>0</v>
      </c>
      <c r="J7" s="20">
        <f t="shared" ref="J7:J18" si="6">I7 * 10</f>
        <v>0</v>
      </c>
      <c r="K7" s="21">
        <f t="shared" ref="K7:K18" si="7">J7*100</f>
        <v>0</v>
      </c>
      <c r="L7" s="3">
        <f t="shared" ref="L7:L15" si="8">(F7*X$12)/X$13</f>
        <v>0</v>
      </c>
      <c r="R7" s="22">
        <v>0</v>
      </c>
      <c r="S7" s="23">
        <f t="shared" ref="S7:S32" si="9">(R7*X$12)/X$13</f>
        <v>0</v>
      </c>
      <c r="T7" s="23"/>
      <c r="U7" s="23"/>
    </row>
    <row r="8" spans="1:28" x14ac:dyDescent="0.35">
      <c r="A8" s="2">
        <v>25</v>
      </c>
      <c r="B8" s="2">
        <v>1650</v>
      </c>
      <c r="C8" s="19">
        <f t="shared" si="0"/>
        <v>27.500055</v>
      </c>
      <c r="D8" s="19">
        <f t="shared" si="1"/>
        <v>0.45833370000000001</v>
      </c>
      <c r="E8" s="3">
        <f t="shared" si="2"/>
        <v>4.5833370000000003E-4</v>
      </c>
      <c r="F8" s="19">
        <f t="shared" si="3"/>
        <v>0.964913052631579</v>
      </c>
      <c r="G8" s="19">
        <f t="shared" si="4"/>
        <v>0.93105719913879237</v>
      </c>
      <c r="H8" s="19">
        <f t="shared" si="5"/>
        <v>1.8756365882273685</v>
      </c>
      <c r="I8" s="2">
        <v>0.9073806451612898</v>
      </c>
      <c r="J8" s="20">
        <f t="shared" si="6"/>
        <v>9.0738064516128976</v>
      </c>
      <c r="K8" s="21">
        <f t="shared" si="7"/>
        <v>907.38064516128975</v>
      </c>
      <c r="L8" s="3">
        <f>(F8*X$12)/X$13</f>
        <v>14226.42266636384</v>
      </c>
      <c r="M8" s="4">
        <f>(X$16*G8*N8)/8</f>
        <v>4.5273719165085353</v>
      </c>
      <c r="N8" s="4">
        <f>(K8*2*X$12)/(X$14*X$16*G8)</f>
        <v>3.7952110485271327E-2</v>
      </c>
      <c r="O8" s="4">
        <f>N8/4</f>
        <v>9.4880276213178318E-3</v>
      </c>
      <c r="P8" s="4">
        <f>3.7*(10^(-1/(2*SQRT(N8)))-2.51/(L8*SQRT(N8)))</f>
        <v>6.6868870008093264E-3</v>
      </c>
      <c r="R8" s="22">
        <v>0.1</v>
      </c>
      <c r="S8" s="23">
        <f>(R8*X$12)/X$13</f>
        <v>1474.3735331970622</v>
      </c>
      <c r="T8" s="23">
        <f t="shared" ref="T8:T32" si="10">0.292/(S8^(0.25))</f>
        <v>4.7122787188051407E-2</v>
      </c>
      <c r="U8" s="23">
        <f>0.0791/(S8^0.25)</f>
        <v>1.2765111186900227E-2</v>
      </c>
      <c r="V8" s="25"/>
      <c r="W8" s="1" t="s">
        <v>24</v>
      </c>
      <c r="X8" s="2">
        <f>X$10*X$11</f>
        <v>4.75E-4</v>
      </c>
    </row>
    <row r="9" spans="1:28" x14ac:dyDescent="0.35">
      <c r="A9" s="2">
        <v>30</v>
      </c>
      <c r="B9" s="2">
        <v>2500</v>
      </c>
      <c r="C9" s="19">
        <f t="shared" si="0"/>
        <v>41.66675</v>
      </c>
      <c r="D9" s="19">
        <f t="shared" si="1"/>
        <v>0.69444499999999998</v>
      </c>
      <c r="E9" s="3">
        <f t="shared" si="2"/>
        <v>6.9444500000000002E-4</v>
      </c>
      <c r="F9" s="19">
        <f t="shared" si="3"/>
        <v>1.4619894736842105</v>
      </c>
      <c r="G9" s="19">
        <f t="shared" si="4"/>
        <v>2.1374132211634347</v>
      </c>
      <c r="H9" s="19">
        <f t="shared" si="5"/>
        <v>2.8418736185263156</v>
      </c>
      <c r="I9" s="2">
        <v>2.8298999999999994</v>
      </c>
      <c r="J9" s="20">
        <f t="shared" si="6"/>
        <v>28.298999999999992</v>
      </c>
      <c r="K9" s="21">
        <f t="shared" si="7"/>
        <v>2829.8999999999992</v>
      </c>
      <c r="L9" s="3">
        <f t="shared" si="8"/>
        <v>21555.185858127028</v>
      </c>
      <c r="M9" s="4">
        <f>(X$16*G9*N9)/8</f>
        <v>14.119774159663862</v>
      </c>
      <c r="N9" s="4">
        <f>(K9*2*X$12)/(X$14*X$16*G9)</f>
        <v>5.1559106260469736E-2</v>
      </c>
      <c r="O9" s="4">
        <f>N9/4</f>
        <v>1.2889776565117434E-2</v>
      </c>
      <c r="P9" s="4">
        <f>3.7*(10^(-1/(2*SQRT(N9)))-2.51/(L9*SQRT(N9)))</f>
        <v>2.1340706625957696E-2</v>
      </c>
      <c r="R9" s="22">
        <v>0.2</v>
      </c>
      <c r="S9" s="23">
        <f t="shared" si="9"/>
        <v>2948.7470663941244</v>
      </c>
      <c r="T9" s="23">
        <f t="shared" si="10"/>
        <v>3.9625382823196088E-2</v>
      </c>
      <c r="U9" s="23">
        <f t="shared" ref="U9:U32" si="11">0.0791/(S9^0.25)</f>
        <v>1.0734136237379489E-2</v>
      </c>
      <c r="V9" s="25"/>
      <c r="W9" s="2" t="s">
        <v>25</v>
      </c>
    </row>
    <row r="10" spans="1:28" ht="19" x14ac:dyDescent="0.4">
      <c r="A10" s="2">
        <v>35</v>
      </c>
      <c r="B10" s="2">
        <v>3200</v>
      </c>
      <c r="C10" s="19">
        <f t="shared" si="0"/>
        <v>53.333439999999996</v>
      </c>
      <c r="D10" s="19">
        <f t="shared" si="1"/>
        <v>0.88888960000000006</v>
      </c>
      <c r="E10" s="3">
        <f t="shared" si="2"/>
        <v>8.8888960000000012E-4</v>
      </c>
      <c r="F10" s="19">
        <f t="shared" si="3"/>
        <v>1.8713465263157898</v>
      </c>
      <c r="G10" s="19">
        <f t="shared" si="4"/>
        <v>3.501937821554173</v>
      </c>
      <c r="H10" s="19">
        <f t="shared" si="5"/>
        <v>3.6375982317136848</v>
      </c>
      <c r="I10" s="2">
        <v>4.6688419354838704</v>
      </c>
      <c r="J10" s="20">
        <f t="shared" si="6"/>
        <v>46.6884193548387</v>
      </c>
      <c r="K10" s="21">
        <f t="shared" si="7"/>
        <v>4668.8419354838697</v>
      </c>
      <c r="L10" s="3">
        <f t="shared" si="8"/>
        <v>27590.637898402601</v>
      </c>
      <c r="M10" s="4">
        <f>(X$16*G10*N10)/8</f>
        <v>23.295167220113843</v>
      </c>
      <c r="N10" s="4">
        <f>(K10*2*X$12)/(X$14*X$16*G10)</f>
        <v>5.1918665762673857E-2</v>
      </c>
      <c r="O10" s="4">
        <f>N10/4</f>
        <v>1.2979666440668464E-2</v>
      </c>
      <c r="P10" s="4">
        <f>3.7*(10^(-1/(2*SQRT(N10)))-2.51/(L10*SQRT(N10)))</f>
        <v>2.2173232759321787E-2</v>
      </c>
      <c r="R10" s="22">
        <v>0.3</v>
      </c>
      <c r="S10" s="23">
        <f t="shared" si="9"/>
        <v>4423.120599591186</v>
      </c>
      <c r="T10" s="23">
        <f t="shared" si="10"/>
        <v>3.5805575312847115E-2</v>
      </c>
      <c r="U10" s="23">
        <f t="shared" si="11"/>
        <v>9.6993870111171474E-3</v>
      </c>
      <c r="V10" s="25"/>
      <c r="W10" s="1" t="s">
        <v>26</v>
      </c>
      <c r="X10" s="19">
        <v>0.05</v>
      </c>
      <c r="AA10" s="27" t="s">
        <v>27</v>
      </c>
    </row>
    <row r="11" spans="1:28" ht="18.5" x14ac:dyDescent="0.35">
      <c r="A11" s="2">
        <v>40</v>
      </c>
      <c r="B11" s="2">
        <v>3850</v>
      </c>
      <c r="C11" s="19">
        <f t="shared" si="0"/>
        <v>64.166794999999993</v>
      </c>
      <c r="D11" s="19">
        <f t="shared" si="1"/>
        <v>1.0694452999999999</v>
      </c>
      <c r="E11" s="3">
        <f t="shared" si="2"/>
        <v>1.0694452999999999E-3</v>
      </c>
      <c r="F11" s="19">
        <f t="shared" si="3"/>
        <v>2.251463789473684</v>
      </c>
      <c r="G11" s="19">
        <f t="shared" si="4"/>
        <v>5.0690891953112009</v>
      </c>
      <c r="H11" s="19">
        <f t="shared" si="5"/>
        <v>4.3764853725305262</v>
      </c>
      <c r="I11" s="2">
        <v>5.9805419354838714</v>
      </c>
      <c r="J11" s="20">
        <f t="shared" si="6"/>
        <v>59.805419354838712</v>
      </c>
      <c r="K11" s="21">
        <f t="shared" si="7"/>
        <v>5980.5419354838714</v>
      </c>
      <c r="L11" s="3">
        <f t="shared" si="8"/>
        <v>33194.986221515617</v>
      </c>
      <c r="M11" s="4">
        <f>(X$16*G11*N11)/8</f>
        <v>29.839888858769314</v>
      </c>
      <c r="N11" s="4">
        <f>(K11*2*X$12)/(X$14*X$16*G11)</f>
        <v>4.5944485204024922E-2</v>
      </c>
      <c r="O11" s="4">
        <f>N11/4</f>
        <v>1.1486121301006231E-2</v>
      </c>
      <c r="P11" s="4">
        <f>3.7*(10^(-1/(2*SQRT(N11)))-2.51/(L11*SQRT(N11)))</f>
        <v>1.5894901004544226E-2</v>
      </c>
      <c r="R11" s="22">
        <v>0.4</v>
      </c>
      <c r="S11" s="23">
        <f t="shared" si="9"/>
        <v>5897.4941327882489</v>
      </c>
      <c r="T11" s="23">
        <f t="shared" si="10"/>
        <v>3.332084236908172E-2</v>
      </c>
      <c r="U11" s="23">
        <f t="shared" si="11"/>
        <v>9.0262966828574109E-3</v>
      </c>
      <c r="V11" s="25"/>
      <c r="W11" s="1" t="s">
        <v>28</v>
      </c>
      <c r="X11" s="19">
        <v>9.4999999999999998E-3</v>
      </c>
      <c r="AA11" s="28" t="s">
        <v>29</v>
      </c>
      <c r="AB11" s="2" t="s">
        <v>30</v>
      </c>
    </row>
    <row r="12" spans="1:28" ht="16.5" x14ac:dyDescent="0.4">
      <c r="A12" s="2">
        <v>45</v>
      </c>
      <c r="B12" s="2">
        <v>4600</v>
      </c>
      <c r="C12" s="19">
        <f t="shared" si="0"/>
        <v>76.666820000000001</v>
      </c>
      <c r="D12" s="19">
        <f t="shared" si="1"/>
        <v>1.2777788000000001</v>
      </c>
      <c r="E12" s="3">
        <f t="shared" si="2"/>
        <v>1.2777788000000001E-3</v>
      </c>
      <c r="F12" s="19">
        <f t="shared" si="3"/>
        <v>2.6900606315789477</v>
      </c>
      <c r="G12" s="19">
        <f t="shared" si="4"/>
        <v>7.2364262015709269</v>
      </c>
      <c r="H12" s="19">
        <f t="shared" si="5"/>
        <v>5.2290474580884219</v>
      </c>
      <c r="I12" s="2">
        <v>7.0499096774193584</v>
      </c>
      <c r="J12" s="20">
        <f t="shared" si="6"/>
        <v>70.499096774193589</v>
      </c>
      <c r="K12" s="21">
        <f t="shared" si="7"/>
        <v>7049.9096774193586</v>
      </c>
      <c r="L12" s="3">
        <f t="shared" si="8"/>
        <v>39661.541978953741</v>
      </c>
      <c r="M12" s="4">
        <f>(X$16*G12*N12)/8</f>
        <v>35.175494714014654</v>
      </c>
      <c r="N12" s="4">
        <f>(K12*2*X$12)/(X$14*X$16*G12)</f>
        <v>3.7938678416814114E-2</v>
      </c>
      <c r="O12" s="4">
        <f>N12/4</f>
        <v>9.4846696042035286E-3</v>
      </c>
      <c r="P12" s="4">
        <f>3.7*(10^(-1/(2*SQRT(N12)))-2.51/(L12*SQRT(N12)))</f>
        <v>8.8251277708882928E-3</v>
      </c>
      <c r="R12" s="22">
        <v>0.5</v>
      </c>
      <c r="S12" s="23">
        <f t="shared" si="9"/>
        <v>7371.8676659853109</v>
      </c>
      <c r="T12" s="23">
        <f t="shared" si="10"/>
        <v>3.1512907075476528E-2</v>
      </c>
      <c r="U12" s="23">
        <f t="shared" si="11"/>
        <v>8.536544348185595E-3</v>
      </c>
      <c r="V12" s="25"/>
      <c r="W12" s="1" t="s">
        <v>31</v>
      </c>
      <c r="X12" s="4">
        <f>2*(X10*X11)/(X10+X11)</f>
        <v>1.5966386554621848E-2</v>
      </c>
      <c r="Y12" s="1">
        <f>10*X12*100</f>
        <v>15.966386554621847</v>
      </c>
      <c r="AA12" s="27" t="s">
        <v>32</v>
      </c>
      <c r="AB12" s="2" t="s">
        <v>33</v>
      </c>
    </row>
    <row r="13" spans="1:28" ht="18.5" x14ac:dyDescent="0.35">
      <c r="A13" s="26" t="s">
        <v>68</v>
      </c>
      <c r="B13" s="2">
        <v>5250</v>
      </c>
      <c r="C13" s="19">
        <f t="shared" si="0"/>
        <v>87.500174999999999</v>
      </c>
      <c r="D13" s="19">
        <f t="shared" si="1"/>
        <v>1.4583345000000001</v>
      </c>
      <c r="E13" s="3">
        <f t="shared" si="2"/>
        <v>1.4583345000000001E-3</v>
      </c>
      <c r="F13" s="19">
        <f t="shared" si="3"/>
        <v>3.0701778947368425</v>
      </c>
      <c r="G13" s="19">
        <f t="shared" si="4"/>
        <v>9.4259923053307499</v>
      </c>
      <c r="H13" s="19">
        <f t="shared" si="5"/>
        <v>5.9679345989052637</v>
      </c>
      <c r="I13" s="20">
        <v>7.1485366666666659</v>
      </c>
      <c r="J13" s="20">
        <f t="shared" si="6"/>
        <v>71.485366666666664</v>
      </c>
      <c r="K13" s="21">
        <f t="shared" si="7"/>
        <v>7148.5366666666669</v>
      </c>
      <c r="L13" s="3">
        <f t="shared" si="8"/>
        <v>45265.890302066771</v>
      </c>
      <c r="M13" s="4">
        <f t="shared" ref="M13:M18" si="12">(X$16*G13*N13)/8</f>
        <v>35.667593662464981</v>
      </c>
      <c r="N13" s="4">
        <f t="shared" ref="N13:N18" si="13">(K13*2*X$12)/(X$14*X$16*G13)</f>
        <v>2.953335943968043E-2</v>
      </c>
      <c r="O13" s="4">
        <f t="shared" ref="O13:O18" si="14">N13/4</f>
        <v>7.3833398599201074E-3</v>
      </c>
      <c r="P13" s="4">
        <f t="shared" ref="P13:P18" si="15">3.7*(10^(-1/(2*SQRT(N13)))-2.51/(L13*SQRT(N13)))</f>
        <v>3.3637293570477371E-3</v>
      </c>
      <c r="R13" s="22">
        <v>0.6</v>
      </c>
      <c r="S13" s="23">
        <f t="shared" si="9"/>
        <v>8846.2411991823719</v>
      </c>
      <c r="T13" s="23">
        <f t="shared" si="10"/>
        <v>3.0108779926670038E-2</v>
      </c>
      <c r="U13" s="23">
        <f t="shared" si="11"/>
        <v>8.1561797678068506E-3</v>
      </c>
      <c r="V13" s="25"/>
      <c r="W13" s="1" t="s">
        <v>34</v>
      </c>
      <c r="X13" s="40">
        <f>X$17/X$16</f>
        <v>1.0829268292682929E-6</v>
      </c>
    </row>
    <row r="14" spans="1:28" ht="16.5" x14ac:dyDescent="0.4">
      <c r="A14" s="2">
        <v>45</v>
      </c>
      <c r="B14" s="2">
        <v>4450</v>
      </c>
      <c r="C14" s="19">
        <f t="shared" si="0"/>
        <v>74.166815</v>
      </c>
      <c r="D14" s="19">
        <f t="shared" si="1"/>
        <v>1.2361120999999999</v>
      </c>
      <c r="E14" s="3">
        <f t="shared" si="2"/>
        <v>1.2361121E-3</v>
      </c>
      <c r="F14" s="19">
        <f t="shared" si="3"/>
        <v>2.6023412631578946</v>
      </c>
      <c r="G14" s="19">
        <f t="shared" si="4"/>
        <v>6.7721800499342262</v>
      </c>
      <c r="H14" s="19">
        <f t="shared" si="5"/>
        <v>5.0585350409768415</v>
      </c>
      <c r="I14" s="20">
        <v>6.7578548387096786</v>
      </c>
      <c r="J14" s="20">
        <f t="shared" si="6"/>
        <v>67.578548387096788</v>
      </c>
      <c r="K14" s="21">
        <f t="shared" si="7"/>
        <v>6757.8548387096789</v>
      </c>
      <c r="L14" s="3">
        <f t="shared" si="8"/>
        <v>38368.230827466112</v>
      </c>
      <c r="M14" s="4">
        <f t="shared" si="12"/>
        <v>33.718288323393878</v>
      </c>
      <c r="N14" s="4">
        <f t="shared" si="13"/>
        <v>3.886003125098015E-2</v>
      </c>
      <c r="O14" s="4">
        <f t="shared" si="14"/>
        <v>9.7150078127450374E-3</v>
      </c>
      <c r="P14" s="4">
        <f t="shared" si="15"/>
        <v>9.5317700926901335E-3</v>
      </c>
      <c r="R14" s="22">
        <v>0.7</v>
      </c>
      <c r="S14" s="23">
        <f t="shared" si="9"/>
        <v>10320.614732379436</v>
      </c>
      <c r="T14" s="23">
        <f>0.292/(S14^(0.25))</f>
        <v>2.8970531297257632E-2</v>
      </c>
      <c r="U14" s="23">
        <f t="shared" si="11"/>
        <v>7.8478391288119148E-3</v>
      </c>
      <c r="V14" s="25"/>
      <c r="W14" s="1" t="s">
        <v>35</v>
      </c>
      <c r="X14" s="2">
        <v>0.8</v>
      </c>
      <c r="AA14" s="27" t="s">
        <v>36</v>
      </c>
      <c r="AB14" s="1" t="s">
        <v>37</v>
      </c>
    </row>
    <row r="15" spans="1:28" x14ac:dyDescent="0.35">
      <c r="A15" s="2">
        <v>40</v>
      </c>
      <c r="B15" s="2">
        <v>3800</v>
      </c>
      <c r="C15" s="19">
        <f t="shared" si="0"/>
        <v>63.333459999999995</v>
      </c>
      <c r="D15" s="19">
        <f t="shared" si="1"/>
        <v>1.0555564</v>
      </c>
      <c r="E15" s="3">
        <f t="shared" si="2"/>
        <v>1.0555563999999999E-3</v>
      </c>
      <c r="F15" s="19">
        <f t="shared" si="3"/>
        <v>2.2222239999999998</v>
      </c>
      <c r="G15" s="19">
        <f t="shared" si="4"/>
        <v>4.9382795061759985</v>
      </c>
      <c r="H15" s="19">
        <f t="shared" si="5"/>
        <v>4.3196479001599997</v>
      </c>
      <c r="I15" s="20">
        <v>5.9943580645161294</v>
      </c>
      <c r="J15" s="20">
        <f t="shared" si="6"/>
        <v>59.94358064516129</v>
      </c>
      <c r="K15" s="21">
        <f t="shared" si="7"/>
        <v>5994.3580645161292</v>
      </c>
      <c r="L15" s="3">
        <f t="shared" si="8"/>
        <v>32763.882504353081</v>
      </c>
      <c r="M15" s="4">
        <f t="shared" si="12"/>
        <v>29.908824376524798</v>
      </c>
      <c r="N15" s="4">
        <f t="shared" si="13"/>
        <v>4.7270456552576036E-2</v>
      </c>
      <c r="O15" s="4">
        <f t="shared" si="14"/>
        <v>1.1817614138144009E-2</v>
      </c>
      <c r="P15" s="4">
        <f t="shared" si="15"/>
        <v>1.725213211189194E-2</v>
      </c>
      <c r="R15" s="22">
        <v>0.8</v>
      </c>
      <c r="S15" s="23">
        <f t="shared" si="9"/>
        <v>11794.988265576498</v>
      </c>
      <c r="T15" s="23">
        <f t="shared" si="10"/>
        <v>2.8019376901394902E-2</v>
      </c>
      <c r="U15" s="23">
        <f t="shared" si="11"/>
        <v>7.5901805236312904E-3</v>
      </c>
      <c r="V15" s="25"/>
    </row>
    <row r="16" spans="1:28" x14ac:dyDescent="0.35">
      <c r="A16" s="2">
        <v>35</v>
      </c>
      <c r="B16" s="2">
        <v>3100</v>
      </c>
      <c r="C16" s="19">
        <f t="shared" si="0"/>
        <v>51.66677</v>
      </c>
      <c r="D16" s="19">
        <f t="shared" si="1"/>
        <v>0.86111179999999998</v>
      </c>
      <c r="E16" s="3">
        <f t="shared" si="2"/>
        <v>8.6111179999999996E-4</v>
      </c>
      <c r="F16" s="19">
        <f>E16/X$8</f>
        <v>1.8128669473684209</v>
      </c>
      <c r="G16" s="19">
        <f>F16^(2)</f>
        <v>3.2864865688608971</v>
      </c>
      <c r="H16" s="19">
        <f>F16*1.94384</f>
        <v>3.5239232869726314</v>
      </c>
      <c r="I16" s="20">
        <v>4.5871225806451621</v>
      </c>
      <c r="J16" s="20">
        <f t="shared" si="6"/>
        <v>45.871225806451619</v>
      </c>
      <c r="K16" s="21">
        <f t="shared" si="7"/>
        <v>4587.1225806451621</v>
      </c>
      <c r="L16" s="3">
        <f>(F16*X$12)/X$13</f>
        <v>26728.430464077512</v>
      </c>
      <c r="M16" s="4">
        <f t="shared" si="12"/>
        <v>22.887428842504743</v>
      </c>
      <c r="N16" s="4">
        <f t="shared" si="13"/>
        <v>5.4353969572985494E-2</v>
      </c>
      <c r="O16" s="4">
        <f t="shared" si="14"/>
        <v>1.3588492393246374E-2</v>
      </c>
      <c r="P16" s="4">
        <f t="shared" si="15"/>
        <v>2.502894562231427E-2</v>
      </c>
      <c r="Q16" s="20"/>
      <c r="R16" s="22">
        <v>0.9</v>
      </c>
      <c r="S16" s="23">
        <f t="shared" si="9"/>
        <v>13269.361798773562</v>
      </c>
      <c r="T16" s="23">
        <f t="shared" si="10"/>
        <v>2.7206353867986924E-2</v>
      </c>
      <c r="U16" s="23">
        <f t="shared" si="11"/>
        <v>7.3699403799923494E-3</v>
      </c>
      <c r="V16" s="25"/>
      <c r="W16" s="2" t="s">
        <v>38</v>
      </c>
      <c r="X16" s="2">
        <f>VLOOKUP(X18, [1]SW!$A$4:$F$34, 3, FALSE)</f>
        <v>1025</v>
      </c>
    </row>
    <row r="17" spans="1:30" x14ac:dyDescent="0.35">
      <c r="A17" s="2">
        <v>30</v>
      </c>
      <c r="B17" s="145">
        <v>2400</v>
      </c>
      <c r="C17" s="19">
        <f t="shared" si="0"/>
        <v>40.000079999999997</v>
      </c>
      <c r="D17" s="19">
        <f t="shared" si="1"/>
        <v>0.66666720000000002</v>
      </c>
      <c r="E17" s="3">
        <f t="shared" si="2"/>
        <v>6.6666719999999998E-4</v>
      </c>
      <c r="F17" s="19">
        <f t="shared" ref="F17:F18" si="16">E17/X$8</f>
        <v>1.4035098947368421</v>
      </c>
      <c r="G17" s="19">
        <f t="shared" ref="G17:G18" si="17">F17^(2)</f>
        <v>1.9698400246242216</v>
      </c>
      <c r="H17" s="19">
        <f t="shared" ref="H17:H18" si="18">F17*1.94384</f>
        <v>2.728198673785263</v>
      </c>
      <c r="I17" s="145">
        <v>2.5518857142857145</v>
      </c>
      <c r="J17" s="20">
        <f t="shared" si="6"/>
        <v>25.518857142857144</v>
      </c>
      <c r="K17" s="21">
        <f t="shared" si="7"/>
        <v>2551.8857142857141</v>
      </c>
      <c r="L17" s="3">
        <f t="shared" ref="L17:L18" si="19">(F17*X$12)/X$13</f>
        <v>20692.978423801946</v>
      </c>
      <c r="M17" s="4">
        <f t="shared" si="12"/>
        <v>12.732623049219686</v>
      </c>
      <c r="N17" s="4">
        <f t="shared" si="13"/>
        <v>5.0449056216739667E-2</v>
      </c>
      <c r="O17" s="4">
        <f t="shared" si="14"/>
        <v>1.2612264054184917E-2</v>
      </c>
      <c r="P17" s="4">
        <f t="shared" si="15"/>
        <v>1.9985915652020767E-2</v>
      </c>
      <c r="R17" s="22">
        <v>1</v>
      </c>
      <c r="S17" s="23">
        <f t="shared" si="9"/>
        <v>14743.735331970622</v>
      </c>
      <c r="T17" s="23">
        <f t="shared" si="10"/>
        <v>2.6499090593991626E-2</v>
      </c>
      <c r="U17" s="23">
        <f t="shared" si="11"/>
        <v>7.1783495410436236E-3</v>
      </c>
      <c r="V17" s="25"/>
      <c r="W17" s="2" t="s">
        <v>39</v>
      </c>
      <c r="X17" s="2">
        <f>VLOOKUP(X18, [1]SW!$A$4:$F$34, 5, FALSE)</f>
        <v>1.1100000000000001E-3</v>
      </c>
    </row>
    <row r="18" spans="1:30" x14ac:dyDescent="0.35">
      <c r="A18" s="2">
        <v>25</v>
      </c>
      <c r="B18" s="18">
        <v>1700</v>
      </c>
      <c r="C18" s="19">
        <f t="shared" si="0"/>
        <v>28.333389999999998</v>
      </c>
      <c r="D18" s="19">
        <f t="shared" si="1"/>
        <v>0.47222259999999999</v>
      </c>
      <c r="E18" s="3">
        <f t="shared" si="2"/>
        <v>4.7222259999999999E-4</v>
      </c>
      <c r="F18" s="19">
        <f t="shared" si="16"/>
        <v>0.99415284210526311</v>
      </c>
      <c r="G18" s="19">
        <f t="shared" si="17"/>
        <v>0.98833987346597219</v>
      </c>
      <c r="H18" s="19">
        <f t="shared" si="18"/>
        <v>1.9324740605978947</v>
      </c>
      <c r="I18" s="20">
        <v>0.81459677419354848</v>
      </c>
      <c r="J18" s="20">
        <f t="shared" si="6"/>
        <v>8.1459677419354843</v>
      </c>
      <c r="K18" s="21">
        <f t="shared" si="7"/>
        <v>814.59677419354841</v>
      </c>
      <c r="L18" s="3">
        <f t="shared" si="19"/>
        <v>14657.526383526378</v>
      </c>
      <c r="M18" s="4">
        <f t="shared" si="12"/>
        <v>4.064427182163187</v>
      </c>
      <c r="N18" s="4">
        <f t="shared" si="13"/>
        <v>3.2096609017388159E-2</v>
      </c>
      <c r="O18" s="4">
        <f t="shared" si="14"/>
        <v>8.0241522543470396E-3</v>
      </c>
      <c r="P18" s="4">
        <f t="shared" si="15"/>
        <v>2.452021915490433E-3</v>
      </c>
      <c r="Q18" s="22"/>
      <c r="R18" s="22">
        <v>1.1000000000000001</v>
      </c>
      <c r="S18" s="23">
        <f t="shared" si="9"/>
        <v>16218.108865167686</v>
      </c>
      <c r="T18" s="23">
        <f t="shared" si="10"/>
        <v>2.5875145383206184E-2</v>
      </c>
      <c r="U18" s="23">
        <f t="shared" si="11"/>
        <v>7.0093287664781141E-3</v>
      </c>
      <c r="V18" s="25"/>
      <c r="W18" s="2" t="s">
        <v>161</v>
      </c>
      <c r="X18" s="2">
        <v>19</v>
      </c>
    </row>
    <row r="19" spans="1:30" x14ac:dyDescent="0.35">
      <c r="B19" s="18"/>
      <c r="C19" s="19"/>
      <c r="D19" s="19"/>
      <c r="E19" s="3"/>
      <c r="F19" s="19"/>
      <c r="G19" s="19"/>
      <c r="H19" s="19"/>
      <c r="I19" s="20"/>
      <c r="J19" s="20"/>
      <c r="K19" s="21"/>
      <c r="R19" s="22">
        <v>1.2</v>
      </c>
      <c r="S19" s="23">
        <f t="shared" si="9"/>
        <v>17692.482398364744</v>
      </c>
      <c r="T19" s="23">
        <f t="shared" si="10"/>
        <v>2.5318365107999834E-2</v>
      </c>
      <c r="U19" s="23">
        <f t="shared" si="11"/>
        <v>6.858502328913654E-3</v>
      </c>
      <c r="V19" s="25"/>
      <c r="W19" s="1"/>
      <c r="X19" s="1"/>
      <c r="AA19" s="36" t="s">
        <v>40</v>
      </c>
      <c r="AB19" s="37"/>
      <c r="AC19" s="37"/>
      <c r="AD19" s="37"/>
    </row>
    <row r="20" spans="1:30" x14ac:dyDescent="0.35">
      <c r="A20" s="26"/>
      <c r="B20" s="18"/>
      <c r="C20" s="19"/>
      <c r="D20" s="19"/>
      <c r="E20" s="3"/>
      <c r="F20" s="19"/>
      <c r="G20" s="19"/>
      <c r="H20" s="19"/>
      <c r="I20" s="20"/>
      <c r="J20" s="20"/>
      <c r="K20" s="21"/>
      <c r="R20" s="22">
        <v>1.3</v>
      </c>
      <c r="S20" s="23">
        <f t="shared" si="9"/>
        <v>19166.855931561811</v>
      </c>
      <c r="T20" s="23">
        <f t="shared" si="10"/>
        <v>2.4816762921190696E-2</v>
      </c>
      <c r="U20" s="23">
        <f t="shared" si="11"/>
        <v>6.7226231063910423E-3</v>
      </c>
      <c r="V20" s="25"/>
      <c r="AA20" s="38" t="s">
        <v>41</v>
      </c>
      <c r="AB20" s="37" t="s">
        <v>42</v>
      </c>
      <c r="AC20" s="37" t="s">
        <v>43</v>
      </c>
      <c r="AD20" s="37" t="s">
        <v>44</v>
      </c>
    </row>
    <row r="21" spans="1:30" x14ac:dyDescent="0.35">
      <c r="A21" s="26"/>
      <c r="B21" s="18"/>
      <c r="C21" s="19"/>
      <c r="D21" s="19"/>
      <c r="E21" s="3"/>
      <c r="F21" s="19"/>
      <c r="G21" s="19"/>
      <c r="H21" s="19"/>
      <c r="I21" s="20"/>
      <c r="J21" s="20"/>
      <c r="K21" s="21"/>
      <c r="R21" s="22">
        <v>1.4</v>
      </c>
      <c r="S21" s="23">
        <f t="shared" si="9"/>
        <v>20641.229464758871</v>
      </c>
      <c r="T21" s="23">
        <f t="shared" si="10"/>
        <v>2.4361215915859488E-2</v>
      </c>
      <c r="U21" s="23">
        <f t="shared" si="11"/>
        <v>6.5992197909057722E-3</v>
      </c>
      <c r="V21" s="25"/>
      <c r="W21" s="1" t="s">
        <v>45</v>
      </c>
      <c r="X21" s="1">
        <f>4*10^(-6)</f>
        <v>3.9999999999999998E-6</v>
      </c>
      <c r="AA21" s="38" t="s">
        <v>46</v>
      </c>
      <c r="AB21" s="37" t="s">
        <v>47</v>
      </c>
      <c r="AC21" s="37" t="s">
        <v>48</v>
      </c>
      <c r="AD21" s="37" t="s">
        <v>49</v>
      </c>
    </row>
    <row r="22" spans="1:30" x14ac:dyDescent="0.35">
      <c r="A22" s="26"/>
      <c r="B22" s="18"/>
      <c r="C22" s="19"/>
      <c r="D22" s="19"/>
      <c r="E22" s="3"/>
      <c r="G22" s="19"/>
      <c r="H22" s="19"/>
      <c r="I22" s="20"/>
      <c r="J22" s="20"/>
      <c r="K22" s="21"/>
      <c r="R22" s="22">
        <v>1.5</v>
      </c>
      <c r="S22" s="23">
        <f t="shared" si="9"/>
        <v>22115.602997955935</v>
      </c>
      <c r="T22" s="23">
        <f t="shared" si="10"/>
        <v>2.3944631354569632E-2</v>
      </c>
      <c r="U22" s="23">
        <f t="shared" si="11"/>
        <v>6.4863710278988294E-3</v>
      </c>
      <c r="V22" s="25"/>
      <c r="W22" s="1" t="s">
        <v>50</v>
      </c>
      <c r="X22" s="2">
        <f>X21/X12</f>
        <v>2.5052631578947367E-4</v>
      </c>
      <c r="AA22" s="37">
        <v>0</v>
      </c>
      <c r="AB22" s="37">
        <v>1.792E-3</v>
      </c>
      <c r="AC22" s="37">
        <v>999.87</v>
      </c>
      <c r="AD22" s="39">
        <v>1.7922329902887374E-6</v>
      </c>
    </row>
    <row r="23" spans="1:30" x14ac:dyDescent="0.35">
      <c r="A23" s="26"/>
      <c r="B23" s="18"/>
      <c r="C23" s="19"/>
      <c r="D23" s="19"/>
      <c r="E23" s="3"/>
      <c r="F23" s="19"/>
      <c r="G23" s="19"/>
      <c r="H23" s="19"/>
      <c r="I23" s="20"/>
      <c r="J23" s="20"/>
      <c r="K23" s="21"/>
      <c r="R23" s="22">
        <v>1.6</v>
      </c>
      <c r="S23" s="23">
        <f t="shared" si="9"/>
        <v>23589.976531152995</v>
      </c>
      <c r="T23" s="23">
        <f t="shared" si="10"/>
        <v>2.3561393594025707E-2</v>
      </c>
      <c r="U23" s="23">
        <f t="shared" si="11"/>
        <v>6.3825555934501144E-3</v>
      </c>
      <c r="V23" s="25"/>
      <c r="AA23" s="37">
        <v>5</v>
      </c>
      <c r="AB23" s="37">
        <v>1.519E-3</v>
      </c>
      <c r="AC23" s="37">
        <v>999.99</v>
      </c>
      <c r="AD23" s="39">
        <v>1.5190151901519014E-6</v>
      </c>
    </row>
    <row r="24" spans="1:30" x14ac:dyDescent="0.35">
      <c r="B24" s="18"/>
      <c r="C24" s="19"/>
      <c r="D24" s="19"/>
      <c r="E24" s="3"/>
      <c r="F24" s="3"/>
      <c r="G24" s="19"/>
      <c r="H24" s="19"/>
      <c r="I24" s="19"/>
      <c r="J24" s="20"/>
      <c r="K24" s="21"/>
      <c r="R24" s="22">
        <v>1.7</v>
      </c>
      <c r="S24" s="23">
        <f t="shared" si="9"/>
        <v>25064.350064350056</v>
      </c>
      <c r="T24" s="23">
        <f t="shared" si="10"/>
        <v>2.3206985962769922E-2</v>
      </c>
      <c r="U24" s="23">
        <f t="shared" si="11"/>
        <v>6.2865499645722639E-3</v>
      </c>
      <c r="V24" s="25"/>
      <c r="W24" s="40"/>
      <c r="AA24" s="37">
        <f>AA23+5</f>
        <v>10</v>
      </c>
      <c r="AB24" s="37">
        <v>1.3079999999999999E-3</v>
      </c>
      <c r="AC24" s="37">
        <v>999.73</v>
      </c>
      <c r="AD24" s="39">
        <v>1.3083532553789522E-6</v>
      </c>
    </row>
    <row r="25" spans="1:30" x14ac:dyDescent="0.35">
      <c r="B25" s="18"/>
      <c r="C25" s="19"/>
      <c r="D25" s="19"/>
      <c r="E25" s="3"/>
      <c r="F25" s="3"/>
      <c r="G25" s="19"/>
      <c r="H25" s="19"/>
      <c r="I25" s="19"/>
      <c r="J25" s="20"/>
      <c r="K25" s="21"/>
      <c r="R25" s="22">
        <v>1.8</v>
      </c>
      <c r="S25" s="23">
        <f t="shared" si="9"/>
        <v>26538.723597547123</v>
      </c>
      <c r="T25" s="23">
        <f t="shared" si="10"/>
        <v>2.2877725439714239E-2</v>
      </c>
      <c r="U25" s="23">
        <f t="shared" si="11"/>
        <v>6.1973564461691661E-3</v>
      </c>
      <c r="V25" s="4"/>
      <c r="W25" s="40"/>
      <c r="AA25" s="37" t="e">
        <f>#REF!+5</f>
        <v>#REF!</v>
      </c>
      <c r="AB25" s="37">
        <v>1.005E-3</v>
      </c>
      <c r="AC25" s="37">
        <v>998.23</v>
      </c>
      <c r="AD25" s="39">
        <v>1.0067820041473407E-6</v>
      </c>
    </row>
    <row r="26" spans="1:30" x14ac:dyDescent="0.35">
      <c r="B26" s="18"/>
      <c r="C26" s="19"/>
      <c r="D26" s="19"/>
      <c r="E26" s="3"/>
      <c r="F26" s="3"/>
      <c r="G26" s="19"/>
      <c r="H26" s="19"/>
      <c r="I26" s="19"/>
      <c r="J26" s="20"/>
      <c r="K26" s="21"/>
      <c r="R26" s="22">
        <v>1.9</v>
      </c>
      <c r="S26" s="23">
        <f t="shared" si="9"/>
        <v>28013.097130744183</v>
      </c>
      <c r="T26" s="23">
        <f t="shared" si="10"/>
        <v>2.2570572220467006E-2</v>
      </c>
      <c r="U26" s="23">
        <f t="shared" si="11"/>
        <v>6.1141515843799333E-3</v>
      </c>
      <c r="V26" s="4"/>
      <c r="W26" s="40"/>
      <c r="AA26" s="37">
        <v>25</v>
      </c>
      <c r="AB26" s="37">
        <v>8.9400000000000005E-4</v>
      </c>
      <c r="AC26" s="37">
        <v>997.07</v>
      </c>
      <c r="AD26" s="39">
        <v>8.9662711745414066E-7</v>
      </c>
    </row>
    <row r="27" spans="1:30" x14ac:dyDescent="0.35">
      <c r="N27" s="22"/>
      <c r="R27" s="22">
        <v>2</v>
      </c>
      <c r="S27" s="23">
        <f t="shared" si="9"/>
        <v>29487.470663941243</v>
      </c>
      <c r="T27" s="23">
        <f t="shared" si="10"/>
        <v>2.2282990287970983E-2</v>
      </c>
      <c r="U27" s="23">
        <f t="shared" si="11"/>
        <v>6.0362483965017292E-3</v>
      </c>
      <c r="V27" s="4"/>
      <c r="W27" s="40"/>
    </row>
    <row r="28" spans="1:30" x14ac:dyDescent="0.35">
      <c r="K28" s="1"/>
      <c r="L28" s="4"/>
      <c r="N28" s="22"/>
      <c r="R28" s="22">
        <v>2.1</v>
      </c>
      <c r="S28" s="23">
        <f t="shared" si="9"/>
        <v>30961.844197138311</v>
      </c>
      <c r="T28" s="23">
        <f t="shared" si="10"/>
        <v>2.2012843511942669E-2</v>
      </c>
      <c r="U28" s="23">
        <f t="shared" si="11"/>
        <v>5.9630682253241961E-3</v>
      </c>
      <c r="V28" s="4"/>
      <c r="W28" s="40"/>
    </row>
    <row r="29" spans="1:30" x14ac:dyDescent="0.35">
      <c r="R29" s="22">
        <v>2.2000000000000002</v>
      </c>
      <c r="S29" s="23">
        <f t="shared" si="9"/>
        <v>32436.217730335371</v>
      </c>
      <c r="T29" s="23">
        <f t="shared" si="10"/>
        <v>2.1758316996906783E-2</v>
      </c>
      <c r="U29" s="23">
        <f t="shared" si="11"/>
        <v>5.8941194330661868E-3</v>
      </c>
      <c r="V29" s="4"/>
      <c r="W29" s="40"/>
    </row>
    <row r="30" spans="1:30" x14ac:dyDescent="0.35">
      <c r="L30" s="41"/>
      <c r="R30" s="22">
        <v>2.2999999999999998</v>
      </c>
      <c r="S30" s="23">
        <f t="shared" si="9"/>
        <v>33910.591263532428</v>
      </c>
      <c r="T30" s="23">
        <f t="shared" si="10"/>
        <v>2.1517856696836785E-2</v>
      </c>
      <c r="U30" s="23">
        <f t="shared" si="11"/>
        <v>5.8289810435609244E-3</v>
      </c>
      <c r="V30" s="4"/>
      <c r="W30" s="40"/>
    </row>
    <row r="31" spans="1:30" x14ac:dyDescent="0.35">
      <c r="R31" s="22">
        <v>2.4</v>
      </c>
      <c r="S31" s="23">
        <f t="shared" si="9"/>
        <v>35384.964796729488</v>
      </c>
      <c r="T31" s="23">
        <f t="shared" si="10"/>
        <v>2.1290122459401793E-2</v>
      </c>
      <c r="U31" s="23">
        <f t="shared" si="11"/>
        <v>5.7672900223927461E-3</v>
      </c>
      <c r="V31" s="4"/>
      <c r="W31" s="40"/>
    </row>
    <row r="32" spans="1:30" x14ac:dyDescent="0.35">
      <c r="F32" s="1"/>
      <c r="G32" s="1"/>
      <c r="R32" s="22">
        <v>2.5</v>
      </c>
      <c r="S32" s="23">
        <f t="shared" si="9"/>
        <v>36859.338329926555</v>
      </c>
      <c r="T32" s="23">
        <f t="shared" si="10"/>
        <v>2.1073951088347823E-2</v>
      </c>
      <c r="U32" s="23">
        <f t="shared" si="11"/>
        <v>5.7087312708503871E-3</v>
      </c>
      <c r="V32" s="4"/>
      <c r="W32" s="40"/>
    </row>
    <row r="33" spans="7:24" x14ac:dyDescent="0.35">
      <c r="G33" s="19"/>
      <c r="V33" s="4"/>
      <c r="W33" s="40"/>
    </row>
    <row r="34" spans="7:24" x14ac:dyDescent="0.35">
      <c r="G34" s="19"/>
      <c r="V34" s="4"/>
      <c r="W34" s="40"/>
      <c r="X34" s="1" t="s">
        <v>51</v>
      </c>
    </row>
    <row r="35" spans="7:24" x14ac:dyDescent="0.35">
      <c r="G35" s="19"/>
      <c r="V35" s="4"/>
      <c r="W35" s="40"/>
    </row>
    <row r="36" spans="7:24" x14ac:dyDescent="0.35">
      <c r="G36" s="19"/>
      <c r="V36" s="4"/>
      <c r="W36" s="40"/>
    </row>
    <row r="37" spans="7:24" x14ac:dyDescent="0.35">
      <c r="G37" s="19"/>
      <c r="V37" s="4"/>
    </row>
    <row r="38" spans="7:24" x14ac:dyDescent="0.35">
      <c r="G38" s="19"/>
      <c r="V38" s="4"/>
    </row>
    <row r="39" spans="7:24" x14ac:dyDescent="0.35">
      <c r="Q39" s="22"/>
      <c r="V39" s="4"/>
    </row>
    <row r="40" spans="7:24" x14ac:dyDescent="0.35">
      <c r="R40" s="4"/>
      <c r="S40" s="16"/>
      <c r="T40" s="16"/>
      <c r="U40" s="4"/>
      <c r="V40" s="4"/>
    </row>
    <row r="41" spans="7:24" x14ac:dyDescent="0.35">
      <c r="R41" s="4"/>
      <c r="S41" s="16"/>
      <c r="T41" s="16"/>
      <c r="U41" s="4"/>
      <c r="V41" s="4"/>
    </row>
    <row r="42" spans="7:24" x14ac:dyDescent="0.35">
      <c r="R42" s="4"/>
      <c r="S42" s="16"/>
      <c r="T42" s="16"/>
      <c r="U42" s="4"/>
      <c r="V42" s="4"/>
    </row>
    <row r="43" spans="7:24" x14ac:dyDescent="0.35">
      <c r="R43" s="4"/>
      <c r="S43" s="16"/>
      <c r="T43" s="16"/>
      <c r="U43" s="4"/>
      <c r="V43" s="4"/>
    </row>
    <row r="44" spans="7:24" x14ac:dyDescent="0.35">
      <c r="R44" s="4"/>
      <c r="S44" s="16"/>
      <c r="T44" s="16"/>
      <c r="U44" s="4"/>
      <c r="V44" s="4"/>
    </row>
    <row r="45" spans="7:24" x14ac:dyDescent="0.35">
      <c r="R45" s="4"/>
      <c r="S45" s="16"/>
      <c r="T45" s="16"/>
    </row>
    <row r="46" spans="7:24" x14ac:dyDescent="0.35">
      <c r="R46" s="4"/>
      <c r="S46" s="16"/>
      <c r="T46" s="16"/>
    </row>
    <row r="47" spans="7:24" x14ac:dyDescent="0.35">
      <c r="R47" s="4"/>
      <c r="S47" s="16"/>
      <c r="T47" s="16"/>
    </row>
    <row r="48" spans="7:24" x14ac:dyDescent="0.35">
      <c r="R48" s="4"/>
      <c r="S48" s="16"/>
      <c r="T48" s="16"/>
    </row>
    <row r="49" spans="18:20" x14ac:dyDescent="0.35">
      <c r="R49" s="4"/>
      <c r="S49" s="16"/>
      <c r="T49" s="16"/>
    </row>
    <row r="50" spans="18:20" x14ac:dyDescent="0.35">
      <c r="R50" s="4"/>
      <c r="S50" s="16"/>
      <c r="T50" s="16"/>
    </row>
    <row r="51" spans="18:20" x14ac:dyDescent="0.35">
      <c r="R51" s="4"/>
      <c r="S51" s="16"/>
      <c r="T51" s="16"/>
    </row>
    <row r="52" spans="18:20" x14ac:dyDescent="0.35">
      <c r="R52" s="4"/>
      <c r="S52" s="16"/>
      <c r="T52" s="16"/>
    </row>
    <row r="53" spans="18:20" x14ac:dyDescent="0.35">
      <c r="R53" s="4"/>
      <c r="S53" s="16"/>
      <c r="T53" s="16"/>
    </row>
    <row r="54" spans="18:20" x14ac:dyDescent="0.35">
      <c r="R54" s="4"/>
      <c r="S54" s="16"/>
      <c r="T54" s="16"/>
    </row>
    <row r="55" spans="18:20" x14ac:dyDescent="0.35">
      <c r="R55" s="4"/>
    </row>
  </sheetData>
  <mergeCells count="2">
    <mergeCell ref="A4:N4"/>
    <mergeCell ref="W6:X6"/>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D0E66-C874-4A10-A153-12FF622DC9A1}">
  <dimension ref="A1:AD55"/>
  <sheetViews>
    <sheetView zoomScale="60" zoomScaleNormal="60" zoomScalePageLayoutView="90" workbookViewId="0">
      <selection activeCell="K2" sqref="A2:K2"/>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7.69140625" style="4" bestFit="1" customWidth="1"/>
    <col min="14" max="14" width="8.4609375" style="4" customWidth="1"/>
    <col min="15" max="15" width="10.3046875" style="4" customWidth="1"/>
    <col min="16" max="16" width="27.23046875" style="4" customWidth="1"/>
    <col min="17" max="17" width="8.4609375" style="4" customWidth="1"/>
    <col min="18" max="18" width="10.23046875" style="2" customWidth="1"/>
    <col min="19" max="19" width="13.84375" style="2" customWidth="1"/>
    <col min="20" max="22" width="10" style="2" customWidth="1"/>
    <col min="23" max="23" width="21" style="2" customWidth="1"/>
    <col min="24" max="24" width="8.69140625" style="2" customWidth="1"/>
    <col min="25" max="25" width="8.69140625" style="2"/>
    <col min="26" max="26" width="22" style="2" customWidth="1"/>
    <col min="27" max="27" width="35.84375" style="2" customWidth="1"/>
    <col min="28" max="28" width="16.84375" style="2" customWidth="1"/>
    <col min="29" max="16384" width="8.69140625" style="2"/>
  </cols>
  <sheetData>
    <row r="1" spans="1:28" x14ac:dyDescent="0.35">
      <c r="A1" s="2" t="s">
        <v>123</v>
      </c>
    </row>
    <row r="2" spans="1:28" x14ac:dyDescent="0.35">
      <c r="A2" s="1"/>
      <c r="I2" s="1"/>
      <c r="J2" s="1"/>
    </row>
    <row r="3" spans="1:28" x14ac:dyDescent="0.35">
      <c r="A3" s="1"/>
      <c r="I3" s="1"/>
      <c r="J3" s="1"/>
    </row>
    <row r="4" spans="1:28" x14ac:dyDescent="0.35">
      <c r="A4" s="150" t="s">
        <v>3</v>
      </c>
      <c r="B4" s="150"/>
      <c r="C4" s="150"/>
      <c r="D4" s="150"/>
      <c r="E4" s="150"/>
      <c r="F4" s="150"/>
      <c r="G4" s="150"/>
      <c r="H4" s="150"/>
      <c r="I4" s="150"/>
      <c r="J4" s="150"/>
      <c r="K4" s="150"/>
      <c r="L4" s="150"/>
      <c r="M4" s="150"/>
      <c r="N4" s="150"/>
      <c r="O4" s="124"/>
      <c r="P4" s="124"/>
      <c r="Q4" s="125"/>
    </row>
    <row r="6" spans="1:28" ht="19" x14ac:dyDescent="0.4">
      <c r="A6" s="138"/>
      <c r="B6" s="139" t="s">
        <v>4</v>
      </c>
      <c r="C6" s="139" t="s">
        <v>5</v>
      </c>
      <c r="D6" s="140" t="s">
        <v>6</v>
      </c>
      <c r="E6" s="140" t="s">
        <v>7</v>
      </c>
      <c r="F6" s="140" t="s">
        <v>8</v>
      </c>
      <c r="G6" s="140" t="s">
        <v>9</v>
      </c>
      <c r="H6" s="140" t="s">
        <v>10</v>
      </c>
      <c r="I6" s="139" t="s">
        <v>11</v>
      </c>
      <c r="J6" s="139" t="s">
        <v>12</v>
      </c>
      <c r="K6" s="139" t="s">
        <v>13</v>
      </c>
      <c r="L6" s="141" t="s">
        <v>14</v>
      </c>
      <c r="M6" s="142" t="s">
        <v>15</v>
      </c>
      <c r="N6" s="143" t="s">
        <v>16</v>
      </c>
      <c r="O6" s="22" t="s">
        <v>17</v>
      </c>
      <c r="P6" s="22" t="s">
        <v>18</v>
      </c>
      <c r="Q6" s="22"/>
      <c r="R6" s="15" t="s">
        <v>19</v>
      </c>
      <c r="S6" s="16" t="s">
        <v>14</v>
      </c>
      <c r="T6" s="15" t="s">
        <v>20</v>
      </c>
      <c r="U6" s="16" t="s">
        <v>21</v>
      </c>
      <c r="V6" s="1"/>
      <c r="W6" s="151" t="s">
        <v>22</v>
      </c>
      <c r="X6" s="151"/>
    </row>
    <row r="7" spans="1:28" x14ac:dyDescent="0.35">
      <c r="A7" s="144" t="s">
        <v>23</v>
      </c>
      <c r="B7" s="18">
        <v>0</v>
      </c>
      <c r="C7" s="19">
        <f t="shared" ref="C7:C16" si="0">B7*0.0166667</f>
        <v>0</v>
      </c>
      <c r="D7" s="19">
        <f t="shared" ref="D7:D16" si="1">B7*0.000277778</f>
        <v>0</v>
      </c>
      <c r="E7" s="3">
        <f t="shared" ref="E7:E16" si="2">0.001*D7</f>
        <v>0</v>
      </c>
      <c r="F7" s="19">
        <f t="shared" ref="F7:F16" si="3">E7/X$8</f>
        <v>0</v>
      </c>
      <c r="G7" s="19">
        <f t="shared" ref="G7:G16" si="4">F7^(2)</f>
        <v>0</v>
      </c>
      <c r="H7" s="19">
        <f t="shared" ref="H7:H16" si="5">F7*1.94384</f>
        <v>0</v>
      </c>
      <c r="I7" s="20">
        <v>0</v>
      </c>
      <c r="J7" s="20">
        <f t="shared" ref="J7:J16" si="6">I7 * 10</f>
        <v>0</v>
      </c>
      <c r="K7" s="21">
        <f t="shared" ref="K7:K16" si="7">J7*100</f>
        <v>0</v>
      </c>
      <c r="L7" s="3">
        <f t="shared" ref="L7:L16" si="8">(F7*X$12)/X$13</f>
        <v>0</v>
      </c>
      <c r="R7" s="22">
        <v>0</v>
      </c>
      <c r="S7" s="23">
        <f t="shared" ref="S7:S32" si="9">(R7*X$12)/X$13</f>
        <v>0</v>
      </c>
      <c r="T7" s="23"/>
      <c r="U7" s="23"/>
    </row>
    <row r="8" spans="1:28" x14ac:dyDescent="0.35">
      <c r="A8" s="2">
        <v>25</v>
      </c>
      <c r="B8" s="2">
        <v>1600</v>
      </c>
      <c r="C8" s="19">
        <f t="shared" si="0"/>
        <v>26.666719999999998</v>
      </c>
      <c r="D8" s="19">
        <f t="shared" si="1"/>
        <v>0.44444480000000003</v>
      </c>
      <c r="E8" s="3">
        <f t="shared" si="2"/>
        <v>4.4444480000000006E-4</v>
      </c>
      <c r="F8" s="19">
        <f t="shared" si="3"/>
        <v>0.98765511111111126</v>
      </c>
      <c r="G8" s="19">
        <f t="shared" si="4"/>
        <v>0.97546261850390148</v>
      </c>
      <c r="H8" s="19">
        <f t="shared" si="5"/>
        <v>1.9198435111822225</v>
      </c>
      <c r="I8" s="2">
        <v>1.468710322580645</v>
      </c>
      <c r="J8" s="20">
        <f t="shared" si="6"/>
        <v>14.68710322580645</v>
      </c>
      <c r="K8" s="21">
        <f t="shared" si="7"/>
        <v>1468.710322580645</v>
      </c>
      <c r="L8" s="3">
        <f t="shared" si="8"/>
        <v>13211.657679269885</v>
      </c>
      <c r="M8" s="4">
        <f>(X$16*G8*N8)/8</f>
        <v>7.0012674275560407</v>
      </c>
      <c r="N8" s="4">
        <f>(K8*2*X$12)/(X$14*X$16*G8)</f>
        <v>5.5963988908112106E-2</v>
      </c>
      <c r="O8" s="4">
        <f>N8/4</f>
        <v>1.3990997227028026E-2</v>
      </c>
      <c r="P8" s="4">
        <f>3.7*(10^(-1/(2*SQRT(N8)))-2.51/(L8*SQRT(N8)))</f>
        <v>2.551490556090464E-2</v>
      </c>
      <c r="R8" s="22">
        <v>0.1</v>
      </c>
      <c r="S8" s="23">
        <f>(R8*X$12)/X$13</f>
        <v>1337.6792698826598</v>
      </c>
      <c r="T8" s="23">
        <f t="shared" ref="T8:T32" si="10">0.292/(S8^(0.25))</f>
        <v>4.8283067335612405E-2</v>
      </c>
      <c r="U8" s="23">
        <f>0.0791/(S8^0.25)</f>
        <v>1.3079419952900486E-2</v>
      </c>
      <c r="V8" s="25"/>
      <c r="W8" s="1" t="s">
        <v>24</v>
      </c>
      <c r="X8" s="2">
        <f>X$10*X$11</f>
        <v>4.4999999999999999E-4</v>
      </c>
    </row>
    <row r="9" spans="1:28" x14ac:dyDescent="0.35">
      <c r="A9" s="2">
        <v>30</v>
      </c>
      <c r="B9" s="2">
        <v>2400</v>
      </c>
      <c r="C9" s="19">
        <f t="shared" si="0"/>
        <v>40.000079999999997</v>
      </c>
      <c r="D9" s="19">
        <f t="shared" si="1"/>
        <v>0.66666720000000002</v>
      </c>
      <c r="E9" s="3">
        <f t="shared" si="2"/>
        <v>6.6666719999999998E-4</v>
      </c>
      <c r="F9" s="19">
        <f t="shared" si="3"/>
        <v>1.4814826666666667</v>
      </c>
      <c r="G9" s="19">
        <f t="shared" si="4"/>
        <v>2.1947908916337782</v>
      </c>
      <c r="H9" s="19">
        <f t="shared" si="5"/>
        <v>2.8797652667733336</v>
      </c>
      <c r="I9" s="2">
        <v>2.9953683870967738</v>
      </c>
      <c r="J9" s="20">
        <f t="shared" si="6"/>
        <v>29.953683870967737</v>
      </c>
      <c r="K9" s="21">
        <f t="shared" si="7"/>
        <v>2995.3683870967739</v>
      </c>
      <c r="L9" s="3">
        <f t="shared" si="8"/>
        <v>19817.486518904821</v>
      </c>
      <c r="M9" s="4">
        <f>(X$16*G9*N9)/8</f>
        <v>14.278768794423179</v>
      </c>
      <c r="N9" s="4">
        <f>(K9*2*X$12)/(X$14*X$16*G9)</f>
        <v>5.0727123764125533E-2</v>
      </c>
      <c r="O9" s="4">
        <f>N9/4</f>
        <v>1.2681780941031383E-2</v>
      </c>
      <c r="P9" s="4">
        <f>3.7*(10^(-1/(2*SQRT(N9)))-2.51/(L9*SQRT(N9)))</f>
        <v>2.0214828375339156E-2</v>
      </c>
      <c r="R9" s="22">
        <v>0.2</v>
      </c>
      <c r="S9" s="23">
        <f t="shared" si="9"/>
        <v>2675.3585397653196</v>
      </c>
      <c r="T9" s="23">
        <f t="shared" si="10"/>
        <v>4.0601058239970192E-2</v>
      </c>
      <c r="U9" s="23">
        <f t="shared" ref="U9:U32" si="11">0.0791/(S9^0.25)</f>
        <v>1.0998437351991925E-2</v>
      </c>
      <c r="V9" s="25"/>
      <c r="W9" s="2" t="s">
        <v>25</v>
      </c>
    </row>
    <row r="10" spans="1:28" ht="19" x14ac:dyDescent="0.4">
      <c r="A10" s="2">
        <v>35</v>
      </c>
      <c r="B10" s="2">
        <v>3100</v>
      </c>
      <c r="C10" s="19">
        <f t="shared" si="0"/>
        <v>51.66677</v>
      </c>
      <c r="D10" s="19">
        <f t="shared" si="1"/>
        <v>0.86111179999999998</v>
      </c>
      <c r="E10" s="3">
        <f t="shared" si="2"/>
        <v>8.6111179999999996E-4</v>
      </c>
      <c r="F10" s="19">
        <f t="shared" si="3"/>
        <v>1.9135817777777777</v>
      </c>
      <c r="G10" s="19">
        <f t="shared" si="4"/>
        <v>3.6617952202431603</v>
      </c>
      <c r="H10" s="19">
        <f t="shared" si="5"/>
        <v>3.7196968029155553</v>
      </c>
      <c r="I10" s="2">
        <v>5.2099264516129011</v>
      </c>
      <c r="J10" s="20">
        <f t="shared" si="6"/>
        <v>52.099264516129011</v>
      </c>
      <c r="K10" s="21">
        <f t="shared" si="7"/>
        <v>5209.9264516129015</v>
      </c>
      <c r="L10" s="3">
        <f t="shared" si="8"/>
        <v>25597.586753585394</v>
      </c>
      <c r="M10" s="4">
        <f>(X$16*G10*N10)/8</f>
        <v>24.835454483324206</v>
      </c>
      <c r="N10" s="4">
        <f>(K10*2*X$12)/(X$14*X$16*G10)</f>
        <v>5.2883560181255632E-2</v>
      </c>
      <c r="O10" s="4">
        <f>N10/4</f>
        <v>1.3220890045313908E-2</v>
      </c>
      <c r="P10" s="4">
        <f>3.7*(10^(-1/(2*SQRT(N10)))-2.51/(L10*SQRT(N10)))</f>
        <v>2.3193744828226642E-2</v>
      </c>
      <c r="R10" s="22">
        <v>0.3</v>
      </c>
      <c r="S10" s="23">
        <f t="shared" si="9"/>
        <v>4013.0378096479794</v>
      </c>
      <c r="T10" s="23">
        <f t="shared" si="10"/>
        <v>3.6687197574317064E-2</v>
      </c>
      <c r="U10" s="23">
        <f t="shared" si="11"/>
        <v>9.9382100278372597E-3</v>
      </c>
      <c r="V10" s="25"/>
      <c r="W10" s="1" t="s">
        <v>26</v>
      </c>
      <c r="X10" s="19">
        <v>0.05</v>
      </c>
      <c r="AA10" s="27" t="s">
        <v>27</v>
      </c>
    </row>
    <row r="11" spans="1:28" ht="18.5" x14ac:dyDescent="0.35">
      <c r="A11" s="2">
        <v>40</v>
      </c>
      <c r="B11" s="2">
        <v>3800</v>
      </c>
      <c r="C11" s="19">
        <f t="shared" si="0"/>
        <v>63.333459999999995</v>
      </c>
      <c r="D11" s="19">
        <f t="shared" si="1"/>
        <v>1.0555564</v>
      </c>
      <c r="E11" s="3">
        <f t="shared" si="2"/>
        <v>1.0555563999999999E-3</v>
      </c>
      <c r="F11" s="19">
        <f t="shared" si="3"/>
        <v>2.3456808888888889</v>
      </c>
      <c r="G11" s="19">
        <f t="shared" si="4"/>
        <v>5.5022188324985679</v>
      </c>
      <c r="H11" s="19">
        <f t="shared" si="5"/>
        <v>4.5596283390577783</v>
      </c>
      <c r="I11" s="2">
        <v>7.7393070967741933</v>
      </c>
      <c r="J11" s="20">
        <f t="shared" si="6"/>
        <v>77.393070967741934</v>
      </c>
      <c r="K11" s="21">
        <f t="shared" si="7"/>
        <v>7739.3070967741933</v>
      </c>
      <c r="L11" s="3">
        <f t="shared" si="8"/>
        <v>31377.68698826597</v>
      </c>
      <c r="M11" s="4">
        <f>(X$16*G11*N11)/8</f>
        <v>36.892883406232905</v>
      </c>
      <c r="N11" s="4">
        <f>(K11*2*X$12)/(X$14*X$16*G11)</f>
        <v>5.2281419004395625E-2</v>
      </c>
      <c r="O11" s="4">
        <f>N11/4</f>
        <v>1.3070354751098906E-2</v>
      </c>
      <c r="P11" s="4">
        <f>3.7*(10^(-1/(2*SQRT(N11)))-2.51/(L11*SQRT(N11)))</f>
        <v>2.2774998123561593E-2</v>
      </c>
      <c r="R11" s="22">
        <v>0.4</v>
      </c>
      <c r="S11" s="23">
        <f t="shared" si="9"/>
        <v>5350.7170795306392</v>
      </c>
      <c r="T11" s="23">
        <f t="shared" si="10"/>
        <v>3.4141284329498214E-2</v>
      </c>
      <c r="U11" s="23">
        <f t="shared" si="11"/>
        <v>9.2485465426825654E-3</v>
      </c>
      <c r="V11" s="25"/>
      <c r="W11" s="1" t="s">
        <v>28</v>
      </c>
      <c r="X11" s="19">
        <v>8.9999999999999993E-3</v>
      </c>
      <c r="AA11" s="28" t="s">
        <v>29</v>
      </c>
      <c r="AB11" s="2" t="s">
        <v>30</v>
      </c>
    </row>
    <row r="12" spans="1:28" ht="16.5" x14ac:dyDescent="0.4">
      <c r="A12" s="2" t="s">
        <v>124</v>
      </c>
      <c r="B12" s="2">
        <v>4250</v>
      </c>
      <c r="C12" s="19">
        <f t="shared" si="0"/>
        <v>70.833474999999993</v>
      </c>
      <c r="D12" s="19">
        <f t="shared" si="1"/>
        <v>1.1805565</v>
      </c>
      <c r="E12" s="3">
        <f t="shared" si="2"/>
        <v>1.1805565000000001E-3</v>
      </c>
      <c r="F12" s="19">
        <f t="shared" si="3"/>
        <v>2.623458888888889</v>
      </c>
      <c r="G12" s="19">
        <f t="shared" si="4"/>
        <v>6.8825365416901239</v>
      </c>
      <c r="H12" s="19">
        <f t="shared" si="5"/>
        <v>5.0995843265777783</v>
      </c>
      <c r="I12" s="2">
        <v>8.8137038709677391</v>
      </c>
      <c r="J12" s="20">
        <f t="shared" si="6"/>
        <v>88.137038709677398</v>
      </c>
      <c r="K12" s="21">
        <f t="shared" si="7"/>
        <v>8813.7038709677399</v>
      </c>
      <c r="L12" s="3">
        <f t="shared" si="8"/>
        <v>35093.465710560624</v>
      </c>
      <c r="M12" s="4">
        <f>(X$16*G12*N12)/8</f>
        <v>42.014478198469085</v>
      </c>
      <c r="N12" s="4">
        <f>(K12*2*X$12)/(X$14*X$16*G12)</f>
        <v>4.7598478928368736E-2</v>
      </c>
      <c r="O12" s="4">
        <f>N12/4</f>
        <v>1.1899619732092184E-2</v>
      </c>
      <c r="P12" s="4">
        <f>3.7*(10^(-1/(2*SQRT(N12)))-2.51/(L12*SQRT(N12)))</f>
        <v>1.7685154150924618E-2</v>
      </c>
      <c r="R12" s="22">
        <v>0.5</v>
      </c>
      <c r="S12" s="23">
        <f t="shared" si="9"/>
        <v>6688.3963494132986</v>
      </c>
      <c r="T12" s="23">
        <f t="shared" si="10"/>
        <v>3.2288833175214561E-2</v>
      </c>
      <c r="U12" s="23">
        <f t="shared" si="11"/>
        <v>8.7467352882173704E-3</v>
      </c>
      <c r="V12" s="25"/>
      <c r="W12" s="1" t="s">
        <v>31</v>
      </c>
      <c r="X12" s="4">
        <f>2*(X10*X11)/(X10+X11)</f>
        <v>1.5254237288135592E-2</v>
      </c>
      <c r="Y12" s="1">
        <f>10*X12*100</f>
        <v>15.254237288135592</v>
      </c>
      <c r="AA12" s="27" t="s">
        <v>32</v>
      </c>
      <c r="AB12" s="2" t="s">
        <v>33</v>
      </c>
    </row>
    <row r="13" spans="1:28" ht="18.5" x14ac:dyDescent="0.35">
      <c r="A13" s="26" t="s">
        <v>125</v>
      </c>
      <c r="B13" s="2">
        <v>3750</v>
      </c>
      <c r="C13" s="19">
        <f t="shared" si="0"/>
        <v>62.500124999999997</v>
      </c>
      <c r="D13" s="19">
        <f t="shared" si="1"/>
        <v>1.0416675</v>
      </c>
      <c r="E13" s="3">
        <f t="shared" si="2"/>
        <v>1.0416675E-3</v>
      </c>
      <c r="F13" s="19">
        <f t="shared" si="3"/>
        <v>2.3148166666666667</v>
      </c>
      <c r="G13" s="19">
        <f t="shared" si="4"/>
        <v>5.3583762002777782</v>
      </c>
      <c r="H13" s="19">
        <f t="shared" si="5"/>
        <v>4.4996332293333339</v>
      </c>
      <c r="I13" s="20">
        <v>7.635097419354838</v>
      </c>
      <c r="J13" s="20">
        <f t="shared" si="6"/>
        <v>76.350974193548382</v>
      </c>
      <c r="K13" s="21">
        <f t="shared" si="7"/>
        <v>7635.0974193548382</v>
      </c>
      <c r="L13" s="3">
        <f t="shared" si="8"/>
        <v>30964.822685788786</v>
      </c>
      <c r="M13" s="4">
        <f t="shared" ref="M13:M16" si="12">(X$16*G13*N13)/8</f>
        <v>36.396121172771998</v>
      </c>
      <c r="N13" s="4">
        <f t="shared" ref="N13:N16" si="13">(K13*2*X$12)/(X$14*X$16*G13)</f>
        <v>5.2962018323094689E-2</v>
      </c>
      <c r="O13" s="4">
        <f t="shared" ref="O13:O16" si="14">N13/4</f>
        <v>1.3240504580773672E-2</v>
      </c>
      <c r="P13" s="4">
        <f t="shared" ref="P13:P16" si="15">3.7*(10^(-1/(2*SQRT(N13)))-2.51/(L13*SQRT(N13)))</f>
        <v>2.3560237223421737E-2</v>
      </c>
      <c r="R13" s="22">
        <v>0.6</v>
      </c>
      <c r="S13" s="23">
        <f t="shared" si="9"/>
        <v>8026.0756192959589</v>
      </c>
      <c r="T13" s="23">
        <f t="shared" si="10"/>
        <v>3.0850132925947987E-2</v>
      </c>
      <c r="U13" s="23">
        <f t="shared" si="11"/>
        <v>8.357005186446869E-3</v>
      </c>
      <c r="V13" s="25"/>
      <c r="W13" s="1" t="s">
        <v>34</v>
      </c>
      <c r="X13" s="40">
        <f>X$17/X$16</f>
        <v>1.1403508771929824E-6</v>
      </c>
    </row>
    <row r="14" spans="1:28" ht="16.5" x14ac:dyDescent="0.4">
      <c r="A14" s="2">
        <v>35</v>
      </c>
      <c r="B14" s="2">
        <v>3100</v>
      </c>
      <c r="C14" s="19">
        <f t="shared" si="0"/>
        <v>51.66677</v>
      </c>
      <c r="D14" s="19">
        <f t="shared" si="1"/>
        <v>0.86111179999999998</v>
      </c>
      <c r="E14" s="3">
        <f t="shared" si="2"/>
        <v>8.6111179999999996E-4</v>
      </c>
      <c r="F14" s="19">
        <f t="shared" si="3"/>
        <v>1.9135817777777777</v>
      </c>
      <c r="G14" s="19">
        <f t="shared" si="4"/>
        <v>3.6617952202431603</v>
      </c>
      <c r="H14" s="19">
        <f t="shared" si="5"/>
        <v>3.7196968029155553</v>
      </c>
      <c r="I14" s="20">
        <v>4.9722393548387087</v>
      </c>
      <c r="J14" s="20">
        <f t="shared" si="6"/>
        <v>49.722393548387089</v>
      </c>
      <c r="K14" s="21">
        <f t="shared" si="7"/>
        <v>4972.239354838709</v>
      </c>
      <c r="L14" s="3">
        <f t="shared" si="8"/>
        <v>25597.586753585394</v>
      </c>
      <c r="M14" s="4">
        <f t="shared" si="12"/>
        <v>23.702412178786215</v>
      </c>
      <c r="N14" s="4">
        <f t="shared" si="13"/>
        <v>5.0470908101939903E-2</v>
      </c>
      <c r="O14" s="4">
        <f t="shared" si="14"/>
        <v>1.2617727025484976E-2</v>
      </c>
      <c r="P14" s="4">
        <f t="shared" si="15"/>
        <v>2.0393527918544364E-2</v>
      </c>
      <c r="R14" s="22">
        <v>0.7</v>
      </c>
      <c r="S14" s="23">
        <f t="shared" si="9"/>
        <v>9363.7548891786173</v>
      </c>
      <c r="T14" s="23">
        <f>0.292/(S14^(0.25))</f>
        <v>2.9683857786082679E-2</v>
      </c>
      <c r="U14" s="23">
        <f t="shared" si="11"/>
        <v>8.041072434517604E-3</v>
      </c>
      <c r="V14" s="25"/>
      <c r="W14" s="1" t="s">
        <v>35</v>
      </c>
      <c r="X14" s="2">
        <v>0.8</v>
      </c>
      <c r="AA14" s="27" t="s">
        <v>36</v>
      </c>
      <c r="AB14" s="1" t="s">
        <v>37</v>
      </c>
    </row>
    <row r="15" spans="1:28" x14ac:dyDescent="0.35">
      <c r="A15" s="2">
        <v>30</v>
      </c>
      <c r="B15" s="2">
        <v>2400</v>
      </c>
      <c r="C15" s="19">
        <f t="shared" si="0"/>
        <v>40.000079999999997</v>
      </c>
      <c r="D15" s="19">
        <f t="shared" si="1"/>
        <v>0.66666720000000002</v>
      </c>
      <c r="E15" s="3">
        <f t="shared" si="2"/>
        <v>6.6666719999999998E-4</v>
      </c>
      <c r="F15" s="19">
        <f t="shared" si="3"/>
        <v>1.4814826666666667</v>
      </c>
      <c r="G15" s="19">
        <f t="shared" si="4"/>
        <v>2.1947908916337782</v>
      </c>
      <c r="H15" s="19">
        <f t="shared" si="5"/>
        <v>2.8797652667733336</v>
      </c>
      <c r="I15" s="20">
        <v>2.8197522580645162</v>
      </c>
      <c r="J15" s="20">
        <f t="shared" si="6"/>
        <v>28.197522580645163</v>
      </c>
      <c r="K15" s="21">
        <f t="shared" si="7"/>
        <v>2819.7522580645164</v>
      </c>
      <c r="L15" s="3">
        <f t="shared" si="8"/>
        <v>19817.486518904821</v>
      </c>
      <c r="M15" s="4">
        <f t="shared" si="12"/>
        <v>13.441615636960087</v>
      </c>
      <c r="N15" s="4">
        <f t="shared" si="13"/>
        <v>4.7753031779055731E-2</v>
      </c>
      <c r="O15" s="4">
        <f t="shared" si="14"/>
        <v>1.1938257944763933E-2</v>
      </c>
      <c r="P15" s="4">
        <f t="shared" si="15"/>
        <v>1.6915834229266222E-2</v>
      </c>
      <c r="R15" s="22">
        <v>0.8</v>
      </c>
      <c r="S15" s="23">
        <f t="shared" si="9"/>
        <v>10701.434159061278</v>
      </c>
      <c r="T15" s="23">
        <f t="shared" si="10"/>
        <v>2.870928360483288E-2</v>
      </c>
      <c r="U15" s="23">
        <f t="shared" si="11"/>
        <v>7.7770696340489082E-3</v>
      </c>
      <c r="V15" s="25"/>
    </row>
    <row r="16" spans="1:28" x14ac:dyDescent="0.35">
      <c r="A16" s="2">
        <v>25</v>
      </c>
      <c r="B16" s="2">
        <v>1700</v>
      </c>
      <c r="C16" s="19">
        <f t="shared" si="0"/>
        <v>28.333389999999998</v>
      </c>
      <c r="D16" s="19">
        <f t="shared" si="1"/>
        <v>0.47222259999999999</v>
      </c>
      <c r="E16" s="3">
        <f t="shared" si="2"/>
        <v>4.7222259999999999E-4</v>
      </c>
      <c r="F16" s="19">
        <f t="shared" si="3"/>
        <v>1.0493835555555555</v>
      </c>
      <c r="G16" s="19">
        <f t="shared" si="4"/>
        <v>1.1012058466704198</v>
      </c>
      <c r="H16" s="19">
        <f t="shared" si="5"/>
        <v>2.039833730631111</v>
      </c>
      <c r="I16" s="20">
        <v>1.043707096774193</v>
      </c>
      <c r="J16" s="20">
        <f t="shared" si="6"/>
        <v>10.437070967741931</v>
      </c>
      <c r="K16" s="21">
        <f t="shared" si="7"/>
        <v>1043.7070967741931</v>
      </c>
      <c r="L16" s="3">
        <f t="shared" si="8"/>
        <v>14037.386284224251</v>
      </c>
      <c r="M16" s="4">
        <f t="shared" si="12"/>
        <v>4.975298660470199</v>
      </c>
      <c r="N16" s="4">
        <f t="shared" si="13"/>
        <v>3.5228428777285319E-2</v>
      </c>
      <c r="O16" s="4">
        <f t="shared" si="14"/>
        <v>8.8071071943213296E-3</v>
      </c>
      <c r="P16" s="4">
        <f t="shared" si="15"/>
        <v>4.4968691715771445E-3</v>
      </c>
      <c r="Q16" s="20"/>
      <c r="R16" s="22">
        <v>0.9</v>
      </c>
      <c r="S16" s="23">
        <f t="shared" si="9"/>
        <v>12039.113428943936</v>
      </c>
      <c r="T16" s="23">
        <f t="shared" si="10"/>
        <v>2.7876241923516652E-2</v>
      </c>
      <c r="U16" s="23">
        <f t="shared" si="11"/>
        <v>7.5514066306512579E-3</v>
      </c>
      <c r="V16" s="25"/>
      <c r="W16" s="2" t="s">
        <v>38</v>
      </c>
      <c r="X16" s="2">
        <f>VLOOKUP(X18, [1]SW!$A$4:$F$34, 3, FALSE)</f>
        <v>1026</v>
      </c>
    </row>
    <row r="17" spans="1:30" x14ac:dyDescent="0.35">
      <c r="B17" s="145"/>
      <c r="C17" s="19"/>
      <c r="D17" s="19"/>
      <c r="E17" s="3"/>
      <c r="F17" s="19"/>
      <c r="G17" s="19"/>
      <c r="H17" s="19"/>
      <c r="I17" s="145"/>
      <c r="J17" s="20"/>
      <c r="K17" s="21"/>
      <c r="R17" s="22">
        <v>1</v>
      </c>
      <c r="S17" s="23">
        <f t="shared" si="9"/>
        <v>13376.792698826597</v>
      </c>
      <c r="T17" s="23">
        <f t="shared" si="10"/>
        <v>2.7151564069763139E-2</v>
      </c>
      <c r="U17" s="23">
        <f t="shared" si="11"/>
        <v>7.3550983490351524E-3</v>
      </c>
      <c r="V17" s="25"/>
      <c r="W17" s="2" t="s">
        <v>39</v>
      </c>
      <c r="X17" s="2">
        <f>VLOOKUP(X18, [1]SW!$A$4:$F$34, 5, FALSE)</f>
        <v>1.17E-3</v>
      </c>
    </row>
    <row r="18" spans="1:30" x14ac:dyDescent="0.35">
      <c r="B18" s="18"/>
      <c r="C18" s="19"/>
      <c r="D18" s="19"/>
      <c r="E18" s="3"/>
      <c r="F18" s="19"/>
      <c r="G18" s="19"/>
      <c r="H18" s="19"/>
      <c r="I18" s="20"/>
      <c r="J18" s="20"/>
      <c r="K18" s="21"/>
      <c r="Q18" s="22"/>
      <c r="R18" s="22">
        <v>1.1000000000000001</v>
      </c>
      <c r="S18" s="23">
        <f t="shared" si="9"/>
        <v>14714.471968709257</v>
      </c>
      <c r="T18" s="23">
        <f t="shared" si="10"/>
        <v>2.6512255777028589E-2</v>
      </c>
      <c r="U18" s="23">
        <f t="shared" si="11"/>
        <v>7.1819158628868554E-3</v>
      </c>
      <c r="V18" s="25"/>
      <c r="W18" s="2" t="s">
        <v>161</v>
      </c>
      <c r="X18" s="2">
        <v>17</v>
      </c>
    </row>
    <row r="19" spans="1:30" x14ac:dyDescent="0.35">
      <c r="B19" s="18"/>
      <c r="C19" s="19"/>
      <c r="D19" s="19"/>
      <c r="E19" s="3"/>
      <c r="F19" s="19"/>
      <c r="G19" s="19"/>
      <c r="H19" s="19"/>
      <c r="I19" s="20"/>
      <c r="J19" s="20"/>
      <c r="K19" s="21"/>
      <c r="R19" s="22">
        <v>1.2</v>
      </c>
      <c r="S19" s="23">
        <f t="shared" si="9"/>
        <v>16052.151238591918</v>
      </c>
      <c r="T19" s="23">
        <f t="shared" si="10"/>
        <v>2.594176618753025E-2</v>
      </c>
      <c r="U19" s="23">
        <f t="shared" si="11"/>
        <v>7.0273757035398737E-3</v>
      </c>
      <c r="V19" s="25"/>
      <c r="W19" s="1"/>
      <c r="X19" s="1"/>
      <c r="AA19" s="36" t="s">
        <v>40</v>
      </c>
      <c r="AB19" s="37"/>
      <c r="AC19" s="37"/>
      <c r="AD19" s="37"/>
    </row>
    <row r="20" spans="1:30" x14ac:dyDescent="0.35">
      <c r="A20" s="26"/>
      <c r="B20" s="18"/>
      <c r="C20" s="19"/>
      <c r="D20" s="19"/>
      <c r="E20" s="3"/>
      <c r="F20" s="19"/>
      <c r="G20" s="19"/>
      <c r="H20" s="19"/>
      <c r="I20" s="20"/>
      <c r="J20" s="20"/>
      <c r="K20" s="21"/>
      <c r="R20" s="22">
        <v>1.3</v>
      </c>
      <c r="S20" s="23">
        <f t="shared" si="9"/>
        <v>17389.830508474577</v>
      </c>
      <c r="T20" s="23">
        <f t="shared" si="10"/>
        <v>2.5427813308114472E-2</v>
      </c>
      <c r="U20" s="23">
        <f t="shared" si="11"/>
        <v>6.8881507968214205E-3</v>
      </c>
      <c r="V20" s="25"/>
      <c r="AA20" s="38" t="s">
        <v>41</v>
      </c>
      <c r="AB20" s="37" t="s">
        <v>42</v>
      </c>
      <c r="AC20" s="37" t="s">
        <v>43</v>
      </c>
      <c r="AD20" s="37" t="s">
        <v>44</v>
      </c>
    </row>
    <row r="21" spans="1:30" x14ac:dyDescent="0.35">
      <c r="A21" s="26"/>
      <c r="B21" s="18"/>
      <c r="C21" s="19"/>
      <c r="D21" s="19"/>
      <c r="E21" s="3"/>
      <c r="F21" s="19"/>
      <c r="G21" s="19"/>
      <c r="H21" s="19"/>
      <c r="I21" s="20"/>
      <c r="J21" s="20"/>
      <c r="K21" s="21"/>
      <c r="R21" s="22">
        <v>1.4</v>
      </c>
      <c r="S21" s="23">
        <f t="shared" si="9"/>
        <v>18727.509778357235</v>
      </c>
      <c r="T21" s="23">
        <f t="shared" si="10"/>
        <v>2.4961049603217988E-2</v>
      </c>
      <c r="U21" s="23">
        <f t="shared" si="11"/>
        <v>6.7617089849813117E-3</v>
      </c>
      <c r="V21" s="25"/>
      <c r="W21" s="1" t="s">
        <v>45</v>
      </c>
      <c r="X21" s="1">
        <f>4*10^(-6)</f>
        <v>3.9999999999999998E-6</v>
      </c>
      <c r="AA21" s="38" t="s">
        <v>46</v>
      </c>
      <c r="AB21" s="37" t="s">
        <v>47</v>
      </c>
      <c r="AC21" s="37" t="s">
        <v>48</v>
      </c>
      <c r="AD21" s="37" t="s">
        <v>49</v>
      </c>
    </row>
    <row r="22" spans="1:30" x14ac:dyDescent="0.35">
      <c r="A22" s="26"/>
      <c r="B22" s="18"/>
      <c r="C22" s="19"/>
      <c r="D22" s="19"/>
      <c r="E22" s="3"/>
      <c r="G22" s="19"/>
      <c r="H22" s="19"/>
      <c r="I22" s="20"/>
      <c r="J22" s="20"/>
      <c r="K22" s="21"/>
      <c r="R22" s="22">
        <v>1.5</v>
      </c>
      <c r="S22" s="23">
        <f t="shared" si="9"/>
        <v>20065.189048239896</v>
      </c>
      <c r="T22" s="23">
        <f t="shared" si="10"/>
        <v>2.4534207694579046E-2</v>
      </c>
      <c r="U22" s="23">
        <f t="shared" si="11"/>
        <v>6.6460816049356258E-3</v>
      </c>
      <c r="V22" s="25"/>
      <c r="W22" s="1" t="s">
        <v>50</v>
      </c>
      <c r="X22" s="2">
        <f>X21/X12</f>
        <v>2.6222222222222223E-4</v>
      </c>
      <c r="AA22" s="37">
        <v>0</v>
      </c>
      <c r="AB22" s="37">
        <v>1.792E-3</v>
      </c>
      <c r="AC22" s="37">
        <v>999.87</v>
      </c>
      <c r="AD22" s="39">
        <v>1.7922329902887374E-6</v>
      </c>
    </row>
    <row r="23" spans="1:30" x14ac:dyDescent="0.35">
      <c r="A23" s="26"/>
      <c r="B23" s="18"/>
      <c r="C23" s="19"/>
      <c r="D23" s="19"/>
      <c r="E23" s="3"/>
      <c r="F23" s="19"/>
      <c r="G23" s="19"/>
      <c r="H23" s="19"/>
      <c r="I23" s="20"/>
      <c r="J23" s="20"/>
      <c r="K23" s="21"/>
      <c r="R23" s="22">
        <v>1.6</v>
      </c>
      <c r="S23" s="23">
        <f t="shared" si="9"/>
        <v>21402.868318122557</v>
      </c>
      <c r="T23" s="23">
        <f t="shared" si="10"/>
        <v>2.4141533667806206E-2</v>
      </c>
      <c r="U23" s="23">
        <f t="shared" si="11"/>
        <v>6.5397099764502439E-3</v>
      </c>
      <c r="V23" s="25"/>
      <c r="AA23" s="37">
        <v>5</v>
      </c>
      <c r="AB23" s="37">
        <v>1.519E-3</v>
      </c>
      <c r="AC23" s="37">
        <v>999.99</v>
      </c>
      <c r="AD23" s="39">
        <v>1.5190151901519014E-6</v>
      </c>
    </row>
    <row r="24" spans="1:30" x14ac:dyDescent="0.35">
      <c r="B24" s="18"/>
      <c r="C24" s="19"/>
      <c r="D24" s="19"/>
      <c r="E24" s="3"/>
      <c r="F24" s="3"/>
      <c r="G24" s="19"/>
      <c r="H24" s="19"/>
      <c r="I24" s="19"/>
      <c r="J24" s="20"/>
      <c r="K24" s="21"/>
      <c r="R24" s="22">
        <v>1.7</v>
      </c>
      <c r="S24" s="23">
        <f t="shared" si="9"/>
        <v>22740.547588005214</v>
      </c>
      <c r="T24" s="23">
        <f t="shared" si="10"/>
        <v>2.377839963976389E-2</v>
      </c>
      <c r="U24" s="23">
        <f t="shared" si="11"/>
        <v>6.4413404503606986E-3</v>
      </c>
      <c r="V24" s="25"/>
      <c r="W24" s="40"/>
      <c r="AA24" s="37">
        <f>AA23+5</f>
        <v>10</v>
      </c>
      <c r="AB24" s="37">
        <v>1.3079999999999999E-3</v>
      </c>
      <c r="AC24" s="37">
        <v>999.73</v>
      </c>
      <c r="AD24" s="39">
        <v>1.3083532553789522E-6</v>
      </c>
    </row>
    <row r="25" spans="1:30" x14ac:dyDescent="0.35">
      <c r="B25" s="18"/>
      <c r="C25" s="19"/>
      <c r="D25" s="19"/>
      <c r="E25" s="3"/>
      <c r="F25" s="3"/>
      <c r="G25" s="19"/>
      <c r="H25" s="19"/>
      <c r="I25" s="19"/>
      <c r="J25" s="20"/>
      <c r="K25" s="21"/>
      <c r="R25" s="22">
        <v>1.8</v>
      </c>
      <c r="S25" s="23">
        <f t="shared" si="9"/>
        <v>24078.226857887872</v>
      </c>
      <c r="T25" s="23">
        <f t="shared" si="10"/>
        <v>2.3441031904230462E-2</v>
      </c>
      <c r="U25" s="23">
        <f t="shared" si="11"/>
        <v>6.3499507658377734E-3</v>
      </c>
      <c r="V25" s="4"/>
      <c r="W25" s="40"/>
      <c r="AA25" s="37" t="e">
        <f>#REF!+5</f>
        <v>#REF!</v>
      </c>
      <c r="AB25" s="37">
        <v>1.005E-3</v>
      </c>
      <c r="AC25" s="37">
        <v>998.23</v>
      </c>
      <c r="AD25" s="39">
        <v>1.0067820041473407E-6</v>
      </c>
    </row>
    <row r="26" spans="1:30" x14ac:dyDescent="0.35">
      <c r="B26" s="18"/>
      <c r="C26" s="19"/>
      <c r="D26" s="19"/>
      <c r="E26" s="3"/>
      <c r="F26" s="3"/>
      <c r="G26" s="19"/>
      <c r="H26" s="19"/>
      <c r="I26" s="19"/>
      <c r="J26" s="20"/>
      <c r="K26" s="21"/>
      <c r="R26" s="22">
        <v>1.9</v>
      </c>
      <c r="S26" s="23">
        <f t="shared" si="9"/>
        <v>25415.906127770533</v>
      </c>
      <c r="T26" s="23">
        <f t="shared" si="10"/>
        <v>2.3126315809274507E-2</v>
      </c>
      <c r="U26" s="23">
        <f t="shared" si="11"/>
        <v>6.2646971935397732E-3</v>
      </c>
      <c r="V26" s="4"/>
      <c r="W26" s="40"/>
      <c r="AA26" s="37">
        <v>25</v>
      </c>
      <c r="AB26" s="37">
        <v>8.9400000000000005E-4</v>
      </c>
      <c r="AC26" s="37">
        <v>997.07</v>
      </c>
      <c r="AD26" s="39">
        <v>8.9662711745414066E-7</v>
      </c>
    </row>
    <row r="27" spans="1:30" x14ac:dyDescent="0.35">
      <c r="N27" s="22"/>
      <c r="R27" s="22">
        <v>2</v>
      </c>
      <c r="S27" s="23">
        <f t="shared" si="9"/>
        <v>26753.585397653194</v>
      </c>
      <c r="T27" s="23">
        <f t="shared" si="10"/>
        <v>2.2831652894795378E-2</v>
      </c>
      <c r="U27" s="23">
        <f t="shared" si="11"/>
        <v>6.1848758355421739E-3</v>
      </c>
      <c r="V27" s="4"/>
      <c r="W27" s="40"/>
    </row>
    <row r="28" spans="1:30" x14ac:dyDescent="0.35">
      <c r="K28" s="1"/>
      <c r="L28" s="4"/>
      <c r="N28" s="22"/>
      <c r="R28" s="22">
        <v>2.1</v>
      </c>
      <c r="S28" s="23">
        <f t="shared" si="9"/>
        <v>28091.264667535856</v>
      </c>
      <c r="T28" s="23">
        <f t="shared" si="10"/>
        <v>2.2554854433672493E-2</v>
      </c>
      <c r="U28" s="23">
        <f t="shared" si="11"/>
        <v>6.1098937866558021E-3</v>
      </c>
      <c r="V28" s="4"/>
      <c r="W28" s="40"/>
    </row>
    <row r="29" spans="1:30" x14ac:dyDescent="0.35">
      <c r="R29" s="22">
        <v>2.2000000000000002</v>
      </c>
      <c r="S29" s="23">
        <f t="shared" si="9"/>
        <v>29428.943937418513</v>
      </c>
      <c r="T29" s="23">
        <f t="shared" si="10"/>
        <v>2.2294060843192926E-2</v>
      </c>
      <c r="U29" s="23">
        <f t="shared" si="11"/>
        <v>6.0392473037553449E-3</v>
      </c>
      <c r="V29" s="4"/>
      <c r="W29" s="40"/>
    </row>
    <row r="30" spans="1:30" x14ac:dyDescent="0.35">
      <c r="L30" s="41"/>
      <c r="R30" s="22">
        <v>2.2999999999999998</v>
      </c>
      <c r="S30" s="23">
        <f t="shared" si="9"/>
        <v>30766.623207301171</v>
      </c>
      <c r="T30" s="23">
        <f t="shared" si="10"/>
        <v>2.2047679812854264E-2</v>
      </c>
      <c r="U30" s="23">
        <f t="shared" si="11"/>
        <v>5.9725050451944258E-3</v>
      </c>
      <c r="V30" s="4"/>
      <c r="W30" s="40"/>
    </row>
    <row r="31" spans="1:30" x14ac:dyDescent="0.35">
      <c r="R31" s="22">
        <v>2.4</v>
      </c>
      <c r="S31" s="23">
        <f t="shared" si="9"/>
        <v>32104.302477183835</v>
      </c>
      <c r="T31" s="23">
        <f t="shared" si="10"/>
        <v>2.1814338192444209E-2</v>
      </c>
      <c r="U31" s="23">
        <f t="shared" si="11"/>
        <v>5.9092950377477296E-3</v>
      </c>
      <c r="V31" s="4"/>
      <c r="W31" s="40"/>
    </row>
    <row r="32" spans="1:30" x14ac:dyDescent="0.35">
      <c r="F32" s="1"/>
      <c r="G32" s="1"/>
      <c r="R32" s="22">
        <v>2.5</v>
      </c>
      <c r="S32" s="23">
        <f t="shared" si="9"/>
        <v>33441.981747066493</v>
      </c>
      <c r="T32" s="23">
        <f t="shared" si="10"/>
        <v>2.1592844144925804E-2</v>
      </c>
      <c r="U32" s="23">
        <f t="shared" si="11"/>
        <v>5.8492944241905175E-3</v>
      </c>
      <c r="V32" s="4"/>
      <c r="W32" s="40"/>
    </row>
    <row r="33" spans="7:24" x14ac:dyDescent="0.35">
      <c r="G33" s="19"/>
      <c r="V33" s="4"/>
      <c r="W33" s="40"/>
    </row>
    <row r="34" spans="7:24" x14ac:dyDescent="0.35">
      <c r="G34" s="19"/>
      <c r="V34" s="4"/>
      <c r="W34" s="40"/>
      <c r="X34" s="1" t="s">
        <v>51</v>
      </c>
    </row>
    <row r="35" spans="7:24" x14ac:dyDescent="0.35">
      <c r="G35" s="19"/>
      <c r="V35" s="4"/>
      <c r="W35" s="40"/>
    </row>
    <row r="36" spans="7:24" x14ac:dyDescent="0.35">
      <c r="G36" s="19"/>
      <c r="V36" s="4"/>
      <c r="W36" s="40"/>
    </row>
    <row r="37" spans="7:24" x14ac:dyDescent="0.35">
      <c r="G37" s="19"/>
      <c r="V37" s="4"/>
    </row>
    <row r="38" spans="7:24" x14ac:dyDescent="0.35">
      <c r="G38" s="19"/>
      <c r="V38" s="4"/>
    </row>
    <row r="39" spans="7:24" x14ac:dyDescent="0.35">
      <c r="Q39" s="22"/>
      <c r="V39" s="4"/>
    </row>
    <row r="40" spans="7:24" x14ac:dyDescent="0.35">
      <c r="R40" s="4"/>
      <c r="S40" s="16"/>
      <c r="T40" s="16"/>
      <c r="U40" s="4"/>
      <c r="V40" s="4"/>
    </row>
    <row r="41" spans="7:24" x14ac:dyDescent="0.35">
      <c r="R41" s="4"/>
      <c r="S41" s="16"/>
      <c r="T41" s="16"/>
      <c r="U41" s="4"/>
      <c r="V41" s="4"/>
    </row>
    <row r="42" spans="7:24" x14ac:dyDescent="0.35">
      <c r="R42" s="4"/>
      <c r="S42" s="16"/>
      <c r="T42" s="16"/>
      <c r="U42" s="4"/>
      <c r="V42" s="4"/>
    </row>
    <row r="43" spans="7:24" x14ac:dyDescent="0.35">
      <c r="R43" s="4"/>
      <c r="S43" s="16"/>
      <c r="T43" s="16"/>
      <c r="U43" s="4"/>
      <c r="V43" s="4"/>
    </row>
    <row r="44" spans="7:24" x14ac:dyDescent="0.35">
      <c r="R44" s="4"/>
      <c r="S44" s="16"/>
      <c r="T44" s="16"/>
      <c r="U44" s="4"/>
      <c r="V44" s="4"/>
    </row>
    <row r="45" spans="7:24" x14ac:dyDescent="0.35">
      <c r="R45" s="4"/>
      <c r="S45" s="16"/>
      <c r="T45" s="16"/>
    </row>
    <row r="46" spans="7:24" x14ac:dyDescent="0.35">
      <c r="R46" s="4"/>
      <c r="S46" s="16"/>
      <c r="T46" s="16"/>
    </row>
    <row r="47" spans="7:24" x14ac:dyDescent="0.35">
      <c r="R47" s="4"/>
      <c r="S47" s="16"/>
      <c r="T47" s="16"/>
    </row>
    <row r="48" spans="7:24" x14ac:dyDescent="0.35">
      <c r="R48" s="4"/>
      <c r="S48" s="16"/>
      <c r="T48" s="16"/>
    </row>
    <row r="49" spans="18:20" x14ac:dyDescent="0.35">
      <c r="R49" s="4"/>
      <c r="S49" s="16"/>
      <c r="T49" s="16"/>
    </row>
    <row r="50" spans="18:20" x14ac:dyDescent="0.35">
      <c r="R50" s="4"/>
      <c r="S50" s="16"/>
      <c r="T50" s="16"/>
    </row>
    <row r="51" spans="18:20" x14ac:dyDescent="0.35">
      <c r="R51" s="4"/>
      <c r="S51" s="16"/>
      <c r="T51" s="16"/>
    </row>
    <row r="52" spans="18:20" x14ac:dyDescent="0.35">
      <c r="R52" s="4"/>
      <c r="S52" s="16"/>
      <c r="T52" s="16"/>
    </row>
    <row r="53" spans="18:20" x14ac:dyDescent="0.35">
      <c r="R53" s="4"/>
      <c r="S53" s="16"/>
      <c r="T53" s="16"/>
    </row>
    <row r="54" spans="18:20" x14ac:dyDescent="0.35">
      <c r="R54" s="4"/>
      <c r="S54" s="16"/>
      <c r="T54" s="16"/>
    </row>
    <row r="55" spans="18:20" x14ac:dyDescent="0.35">
      <c r="R55" s="4"/>
    </row>
  </sheetData>
  <mergeCells count="2">
    <mergeCell ref="A4:N4"/>
    <mergeCell ref="W6:X6"/>
  </mergeCell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A7C8F-2F35-4593-A422-2C0A3EA016D0}">
  <dimension ref="A1:AD55"/>
  <sheetViews>
    <sheetView zoomScale="60" zoomScaleNormal="60" zoomScalePageLayoutView="90" workbookViewId="0">
      <selection activeCell="K2" sqref="A2:K3"/>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07421875" style="2" bestFit="1" customWidth="1"/>
    <col min="11" max="11" width="10.4609375" style="2" customWidth="1"/>
    <col min="12" max="12" width="8.53515625" style="3" customWidth="1"/>
    <col min="13" max="13" width="7.69140625" style="4" bestFit="1" customWidth="1"/>
    <col min="14" max="14" width="10.69140625" style="4" bestFit="1" customWidth="1"/>
    <col min="15" max="15" width="10.3046875" style="4" customWidth="1"/>
    <col min="16" max="16" width="27.23046875" style="4" customWidth="1"/>
    <col min="17" max="17" width="8.4609375" style="4" customWidth="1"/>
    <col min="18" max="18" width="10.23046875" style="2" customWidth="1"/>
    <col min="19" max="19" width="13.84375" style="2" customWidth="1"/>
    <col min="20" max="22" width="10" style="2" customWidth="1"/>
    <col min="23" max="23" width="21" style="2" customWidth="1"/>
    <col min="24" max="24" width="8.69140625" style="2" customWidth="1"/>
    <col min="25" max="25" width="8.69140625" style="2"/>
    <col min="26" max="26" width="22" style="2" customWidth="1"/>
    <col min="27" max="27" width="35.84375" style="2" customWidth="1"/>
    <col min="28" max="28" width="16.84375" style="2" customWidth="1"/>
    <col min="29" max="16384" width="8.69140625" style="2"/>
  </cols>
  <sheetData>
    <row r="1" spans="1:28" x14ac:dyDescent="0.35">
      <c r="A1" s="2" t="s">
        <v>127</v>
      </c>
    </row>
    <row r="2" spans="1:28" x14ac:dyDescent="0.35">
      <c r="A2" s="1"/>
      <c r="I2" s="1"/>
      <c r="J2" s="1"/>
    </row>
    <row r="3" spans="1:28" x14ac:dyDescent="0.35">
      <c r="A3" s="1"/>
      <c r="I3" s="1"/>
      <c r="J3" s="1"/>
    </row>
    <row r="4" spans="1:28" x14ac:dyDescent="0.35">
      <c r="A4" s="150" t="s">
        <v>3</v>
      </c>
      <c r="B4" s="150"/>
      <c r="C4" s="150"/>
      <c r="D4" s="150"/>
      <c r="E4" s="150"/>
      <c r="F4" s="150"/>
      <c r="G4" s="150"/>
      <c r="H4" s="150"/>
      <c r="I4" s="150"/>
      <c r="J4" s="150"/>
      <c r="K4" s="150"/>
      <c r="L4" s="150"/>
      <c r="M4" s="150"/>
      <c r="N4" s="150"/>
      <c r="O4" s="124"/>
      <c r="P4" s="124"/>
      <c r="Q4" s="125"/>
    </row>
    <row r="6" spans="1:28" ht="19" x14ac:dyDescent="0.4">
      <c r="A6" s="138"/>
      <c r="B6" s="139" t="s">
        <v>4</v>
      </c>
      <c r="C6" s="139" t="s">
        <v>5</v>
      </c>
      <c r="D6" s="140" t="s">
        <v>6</v>
      </c>
      <c r="E6" s="140" t="s">
        <v>7</v>
      </c>
      <c r="F6" s="140" t="s">
        <v>8</v>
      </c>
      <c r="G6" s="140" t="s">
        <v>9</v>
      </c>
      <c r="H6" s="140" t="s">
        <v>10</v>
      </c>
      <c r="I6" s="139" t="s">
        <v>11</v>
      </c>
      <c r="J6" s="139" t="s">
        <v>12</v>
      </c>
      <c r="K6" s="139" t="s">
        <v>13</v>
      </c>
      <c r="L6" s="141" t="s">
        <v>14</v>
      </c>
      <c r="M6" s="142" t="s">
        <v>15</v>
      </c>
      <c r="N6" s="143" t="s">
        <v>16</v>
      </c>
      <c r="O6" s="22" t="s">
        <v>17</v>
      </c>
      <c r="P6" s="22" t="s">
        <v>18</v>
      </c>
      <c r="Q6" s="22"/>
      <c r="R6" s="15" t="s">
        <v>19</v>
      </c>
      <c r="S6" s="16" t="s">
        <v>14</v>
      </c>
      <c r="T6" s="15" t="s">
        <v>20</v>
      </c>
      <c r="U6" s="16" t="s">
        <v>21</v>
      </c>
      <c r="V6" s="1"/>
      <c r="W6" s="151" t="s">
        <v>22</v>
      </c>
      <c r="X6" s="151"/>
    </row>
    <row r="7" spans="1:28" x14ac:dyDescent="0.35">
      <c r="A7" s="144" t="s">
        <v>23</v>
      </c>
      <c r="B7" s="18">
        <v>0</v>
      </c>
      <c r="C7" s="19">
        <f t="shared" ref="C7:C16" si="0">B7*0.0166667</f>
        <v>0</v>
      </c>
      <c r="D7" s="19">
        <f t="shared" ref="D7:D16" si="1">B7*0.000277778</f>
        <v>0</v>
      </c>
      <c r="E7" s="3">
        <f t="shared" ref="E7:E16" si="2">0.001*D7</f>
        <v>0</v>
      </c>
      <c r="F7" s="19">
        <f t="shared" ref="F7:F16" si="3">E7/X$8</f>
        <v>0</v>
      </c>
      <c r="G7" s="19">
        <f t="shared" ref="G7:G16" si="4">F7^(2)</f>
        <v>0</v>
      </c>
      <c r="H7" s="19">
        <f t="shared" ref="H7:H16" si="5">F7*1.94384</f>
        <v>0</v>
      </c>
      <c r="I7" s="20"/>
      <c r="J7" s="20">
        <f t="shared" ref="J7:J16" si="6">I7 * 10</f>
        <v>0</v>
      </c>
      <c r="K7" s="21">
        <f t="shared" ref="K7:K16" si="7">J7*100</f>
        <v>0</v>
      </c>
      <c r="L7" s="3">
        <f t="shared" ref="L7:L16" si="8">(F7*X$12)/X$13</f>
        <v>0</v>
      </c>
      <c r="R7" s="22">
        <v>0</v>
      </c>
      <c r="S7" s="23">
        <f t="shared" ref="S7:S32" si="9">(R7*X$12)/X$13</f>
        <v>0</v>
      </c>
      <c r="T7" s="23"/>
      <c r="U7" s="23"/>
    </row>
    <row r="8" spans="1:28" x14ac:dyDescent="0.35">
      <c r="A8" s="2">
        <v>25</v>
      </c>
      <c r="B8" s="2">
        <v>1500</v>
      </c>
      <c r="C8" s="19">
        <f>I8*0.0166667</f>
        <v>2.0346814887096762E-2</v>
      </c>
      <c r="D8" s="19">
        <f t="shared" si="1"/>
        <v>0.41666700000000001</v>
      </c>
      <c r="E8" s="3">
        <f t="shared" si="2"/>
        <v>4.1666700000000001E-4</v>
      </c>
      <c r="F8" s="19">
        <f t="shared" si="3"/>
        <v>0.87719368421052635</v>
      </c>
      <c r="G8" s="19">
        <f t="shared" si="4"/>
        <v>0.76946875961883665</v>
      </c>
      <c r="H8" s="19">
        <f t="shared" si="5"/>
        <v>1.7051241711157896</v>
      </c>
      <c r="I8" s="2">
        <v>1.2208064516129025</v>
      </c>
      <c r="J8" s="20">
        <f t="shared" si="6"/>
        <v>12.208064516129024</v>
      </c>
      <c r="K8" s="21">
        <f t="shared" si="7"/>
        <v>1220.8064516129025</v>
      </c>
      <c r="L8" s="3">
        <f t="shared" si="8"/>
        <v>12592.766475011058</v>
      </c>
      <c r="M8" s="4">
        <f>(X$16*G8*N8)/8</f>
        <v>6.0912086608837042</v>
      </c>
      <c r="N8" s="4">
        <f t="shared" ref="N8:N16" si="10">(K8*2*X$12)/(X$14*X$16*G8)</f>
        <v>6.1784367686899662E-2</v>
      </c>
      <c r="O8" s="4">
        <f>N8/4</f>
        <v>1.5446091921724915E-2</v>
      </c>
      <c r="P8" s="4">
        <f>3.7*(10^(-1/(2*SQRT(N8)))-2.51/(L8*SQRT(N8)))</f>
        <v>3.306202758204714E-2</v>
      </c>
      <c r="R8" s="22">
        <v>0.1</v>
      </c>
      <c r="S8" s="23">
        <f>(R8*X$12)/X$13</f>
        <v>1435.5742296918768</v>
      </c>
      <c r="T8" s="23">
        <f t="shared" ref="T8:T32" si="11">0.292/(S8^(0.25))</f>
        <v>4.7438007349558602E-2</v>
      </c>
      <c r="U8" s="23">
        <f>0.0791/(S8^0.25)</f>
        <v>1.2850501305993444E-2</v>
      </c>
      <c r="V8" s="25"/>
      <c r="W8" s="1" t="s">
        <v>24</v>
      </c>
      <c r="X8" s="2">
        <f>X$10*X$11</f>
        <v>4.75E-4</v>
      </c>
    </row>
    <row r="9" spans="1:28" x14ac:dyDescent="0.35">
      <c r="A9" s="2">
        <v>30</v>
      </c>
      <c r="B9" s="2">
        <v>2250</v>
      </c>
      <c r="C9" s="19">
        <f>I9*0.0166667</f>
        <v>5.1908598440645166E-2</v>
      </c>
      <c r="D9" s="19">
        <f t="shared" si="1"/>
        <v>0.62500050000000007</v>
      </c>
      <c r="E9" s="3">
        <f t="shared" si="2"/>
        <v>6.2500050000000008E-4</v>
      </c>
      <c r="F9" s="19">
        <f>E9/X$8</f>
        <v>1.3157905263157896</v>
      </c>
      <c r="G9" s="19">
        <f t="shared" si="4"/>
        <v>1.7313047091423828</v>
      </c>
      <c r="H9" s="19">
        <f t="shared" si="5"/>
        <v>2.5576862566736844</v>
      </c>
      <c r="I9" s="2">
        <v>3.1145096774193552</v>
      </c>
      <c r="J9" s="20">
        <f t="shared" si="6"/>
        <v>31.145096774193554</v>
      </c>
      <c r="K9" s="21">
        <f t="shared" si="7"/>
        <v>3114.5096774193553</v>
      </c>
      <c r="L9" s="3">
        <f t="shared" si="8"/>
        <v>18889.149712516588</v>
      </c>
      <c r="M9" s="4">
        <f>(X$16*G9*N9)/8</f>
        <v>15.539832949308757</v>
      </c>
      <c r="N9" s="4">
        <f t="shared" si="10"/>
        <v>7.0054970928748878E-2</v>
      </c>
      <c r="O9" s="4">
        <f>N9/4</f>
        <v>1.7513742732187219E-2</v>
      </c>
      <c r="P9" s="4">
        <f>3.7*(10^(-1/(2*SQRT(N9)))-2.51/(L9*SQRT(N9)))</f>
        <v>4.590866637598718E-2</v>
      </c>
      <c r="R9" s="22">
        <v>0.2</v>
      </c>
      <c r="S9" s="23">
        <f t="shared" si="9"/>
        <v>2871.1484593837536</v>
      </c>
      <c r="T9" s="23">
        <f t="shared" si="11"/>
        <v>3.9890450327023201E-2</v>
      </c>
      <c r="U9" s="23">
        <f t="shared" ref="U9:U32" si="12">0.0791/(S9^0.25)</f>
        <v>1.0805940482423067E-2</v>
      </c>
      <c r="V9" s="25"/>
      <c r="W9" s="2" t="s">
        <v>25</v>
      </c>
    </row>
    <row r="10" spans="1:28" ht="19" x14ac:dyDescent="0.4">
      <c r="A10" s="2">
        <v>35</v>
      </c>
      <c r="B10" s="2">
        <v>2850</v>
      </c>
      <c r="C10" s="19">
        <f>I10*0.0166667</f>
        <v>7.7349348246774183E-2</v>
      </c>
      <c r="D10" s="19">
        <f t="shared" si="1"/>
        <v>0.79166730000000007</v>
      </c>
      <c r="E10" s="3">
        <f t="shared" si="2"/>
        <v>7.9166730000000012E-4</v>
      </c>
      <c r="F10" s="19">
        <f t="shared" si="3"/>
        <v>1.6666680000000003</v>
      </c>
      <c r="G10" s="19">
        <f t="shared" si="4"/>
        <v>2.7777822222240007</v>
      </c>
      <c r="H10" s="19">
        <f t="shared" si="5"/>
        <v>3.2397359251200006</v>
      </c>
      <c r="I10" s="2">
        <v>4.6409516129032253</v>
      </c>
      <c r="J10" s="20">
        <f t="shared" si="6"/>
        <v>46.409516129032255</v>
      </c>
      <c r="K10" s="21">
        <f t="shared" si="7"/>
        <v>4640.9516129032254</v>
      </c>
      <c r="L10" s="3">
        <f t="shared" si="8"/>
        <v>23926.256302521011</v>
      </c>
      <c r="M10" s="4">
        <f>(X$16*G10*N10)/8</f>
        <v>23.156008572783943</v>
      </c>
      <c r="N10" s="4">
        <f t="shared" si="10"/>
        <v>6.5062632182300767E-2</v>
      </c>
      <c r="O10" s="4">
        <f>N10/4</f>
        <v>1.6265658045575192E-2</v>
      </c>
      <c r="P10" s="4">
        <f>3.7*(10^(-1/(2*SQRT(N10)))-2.51/(L10*SQRT(N10)))</f>
        <v>3.9027690563424769E-2</v>
      </c>
      <c r="R10" s="22">
        <v>0.3</v>
      </c>
      <c r="S10" s="23">
        <f t="shared" si="9"/>
        <v>4306.7226890756301</v>
      </c>
      <c r="T10" s="23">
        <f t="shared" si="11"/>
        <v>3.6045090840397156E-2</v>
      </c>
      <c r="U10" s="23">
        <f t="shared" si="12"/>
        <v>9.7642694708062177E-3</v>
      </c>
      <c r="V10" s="25"/>
      <c r="W10" s="1" t="s">
        <v>26</v>
      </c>
      <c r="X10" s="19">
        <v>0.05</v>
      </c>
      <c r="AA10" s="27" t="s">
        <v>27</v>
      </c>
    </row>
    <row r="11" spans="1:28" ht="18.5" x14ac:dyDescent="0.35">
      <c r="A11" s="2">
        <v>40</v>
      </c>
      <c r="B11" s="2">
        <v>3600</v>
      </c>
      <c r="C11" s="19">
        <f>I11*0.0166667</f>
        <v>0.11365275418677415</v>
      </c>
      <c r="D11" s="19">
        <f t="shared" si="1"/>
        <v>1.0000008</v>
      </c>
      <c r="E11" s="3">
        <f t="shared" si="2"/>
        <v>1.0000008000000001E-3</v>
      </c>
      <c r="F11" s="19">
        <f t="shared" si="3"/>
        <v>2.1052648421052633</v>
      </c>
      <c r="G11" s="19">
        <f t="shared" si="4"/>
        <v>4.4321400554044992</v>
      </c>
      <c r="H11" s="19">
        <f t="shared" si="5"/>
        <v>4.0922980106778954</v>
      </c>
      <c r="I11" s="2">
        <v>6.819151612903223</v>
      </c>
      <c r="J11" s="20">
        <f t="shared" si="6"/>
        <v>68.191516129032237</v>
      </c>
      <c r="K11" s="21">
        <f t="shared" si="7"/>
        <v>6819.1516129032234</v>
      </c>
      <c r="L11" s="3">
        <f t="shared" si="8"/>
        <v>30222.639540026539</v>
      </c>
      <c r="M11" s="4">
        <f>(X$16*G11*N11)/8</f>
        <v>34.024128320683097</v>
      </c>
      <c r="N11" s="4">
        <f t="shared" si="10"/>
        <v>5.9915564250993474E-2</v>
      </c>
      <c r="O11" s="4">
        <f>N11/4</f>
        <v>1.4978891062748368E-2</v>
      </c>
      <c r="P11" s="4">
        <f>3.7*(10^(-1/(2*SQRT(N11)))-2.51/(L11*SQRT(N11)))</f>
        <v>3.2281491500519052E-2</v>
      </c>
      <c r="R11" s="22">
        <v>0.4</v>
      </c>
      <c r="S11" s="23">
        <f t="shared" si="9"/>
        <v>5742.2969187675071</v>
      </c>
      <c r="T11" s="23">
        <f t="shared" si="11"/>
        <v>3.354373668285017E-2</v>
      </c>
      <c r="U11" s="23">
        <f t="shared" si="12"/>
        <v>9.0866766151145497E-3</v>
      </c>
      <c r="V11" s="25"/>
      <c r="W11" s="1" t="s">
        <v>28</v>
      </c>
      <c r="X11" s="19">
        <v>9.4999999999999998E-3</v>
      </c>
      <c r="AA11" s="28" t="s">
        <v>29</v>
      </c>
      <c r="AB11" s="2" t="s">
        <v>30</v>
      </c>
    </row>
    <row r="12" spans="1:28" ht="16.5" x14ac:dyDescent="0.4">
      <c r="A12" s="2">
        <v>45</v>
      </c>
      <c r="B12" s="2">
        <v>4300</v>
      </c>
      <c r="C12" s="19">
        <f>I12*0.0166667</f>
        <v>0.13909269753967743</v>
      </c>
      <c r="D12" s="19">
        <f t="shared" si="1"/>
        <v>1.1944454</v>
      </c>
      <c r="E12" s="3">
        <f t="shared" si="2"/>
        <v>1.1944454000000001E-3</v>
      </c>
      <c r="F12" s="19">
        <f t="shared" si="3"/>
        <v>2.5146218947368424</v>
      </c>
      <c r="G12" s="19">
        <f t="shared" si="4"/>
        <v>6.3233232734899074</v>
      </c>
      <c r="H12" s="19">
        <f t="shared" si="5"/>
        <v>4.8880226238652638</v>
      </c>
      <c r="I12" s="2">
        <v>8.3455451612903229</v>
      </c>
      <c r="J12" s="20">
        <f t="shared" si="6"/>
        <v>83.455451612903232</v>
      </c>
      <c r="K12" s="21">
        <f t="shared" si="7"/>
        <v>8345.5451612903234</v>
      </c>
      <c r="L12" s="3">
        <f t="shared" si="8"/>
        <v>36099.263895031705</v>
      </c>
      <c r="M12" s="4">
        <f>(X$16*G12*N12)/8</f>
        <v>41.640062516942265</v>
      </c>
      <c r="N12" s="4">
        <f t="shared" si="10"/>
        <v>5.1396330035956145E-2</v>
      </c>
      <c r="O12" s="4">
        <f>N12/4</f>
        <v>1.2849082508989036E-2</v>
      </c>
      <c r="P12" s="4">
        <f>3.7*(10^(-1/(2*SQRT(N12)))-2.51/(L12*SQRT(N12)))</f>
        <v>2.1917695055672204E-2</v>
      </c>
      <c r="R12" s="22">
        <v>0.5</v>
      </c>
      <c r="S12" s="23">
        <f t="shared" si="9"/>
        <v>7177.8711484593841</v>
      </c>
      <c r="T12" s="23">
        <f t="shared" si="11"/>
        <v>3.1723707502417577E-2</v>
      </c>
      <c r="U12" s="23">
        <f t="shared" si="12"/>
        <v>8.5936481624699669E-3</v>
      </c>
      <c r="V12" s="25"/>
      <c r="W12" s="1" t="s">
        <v>31</v>
      </c>
      <c r="X12" s="4">
        <f>2*(X10*X11)/(X10+X11)</f>
        <v>1.5966386554621848E-2</v>
      </c>
      <c r="Y12" s="1">
        <f>10*X12*100</f>
        <v>15.966386554621847</v>
      </c>
      <c r="AA12" s="27" t="s">
        <v>32</v>
      </c>
      <c r="AB12" s="2" t="s">
        <v>33</v>
      </c>
    </row>
    <row r="13" spans="1:28" ht="18.5" x14ac:dyDescent="0.35">
      <c r="A13" s="26" t="s">
        <v>125</v>
      </c>
      <c r="B13" s="2">
        <v>3550</v>
      </c>
      <c r="C13" s="19">
        <f t="shared" si="0"/>
        <v>59.166784999999997</v>
      </c>
      <c r="D13" s="19">
        <f t="shared" si="1"/>
        <v>0.98611190000000004</v>
      </c>
      <c r="E13" s="3">
        <f t="shared" si="2"/>
        <v>9.8611190000000011E-4</v>
      </c>
      <c r="F13" s="19">
        <f t="shared" si="3"/>
        <v>2.0760250526315791</v>
      </c>
      <c r="G13" s="19">
        <f t="shared" si="4"/>
        <v>4.309880019153951</v>
      </c>
      <c r="H13" s="19">
        <f t="shared" si="5"/>
        <v>4.0354605383073689</v>
      </c>
      <c r="I13" s="20">
        <v>6.9739096774193534</v>
      </c>
      <c r="J13" s="20">
        <f t="shared" si="6"/>
        <v>69.739096774193541</v>
      </c>
      <c r="K13" s="21">
        <f t="shared" si="7"/>
        <v>6973.909677419354</v>
      </c>
      <c r="L13" s="3">
        <f t="shared" si="8"/>
        <v>29802.880657526173</v>
      </c>
      <c r="M13" s="4">
        <f t="shared" ref="M13:M16" si="13">(X$16*G13*N13)/8</f>
        <v>34.796293033342351</v>
      </c>
      <c r="N13" s="4">
        <f t="shared" si="10"/>
        <v>6.3013546193376332E-2</v>
      </c>
      <c r="O13" s="4">
        <f t="shared" ref="O13:O16" si="14">N13/4</f>
        <v>1.5753386548344083E-2</v>
      </c>
      <c r="P13" s="4">
        <f t="shared" ref="P13:P16" si="15">3.7*(10^(-1/(2*SQRT(N13)))-2.51/(L13*SQRT(N13)))</f>
        <v>3.6460961213980257E-2</v>
      </c>
      <c r="R13" s="22">
        <v>0.6</v>
      </c>
      <c r="S13" s="23">
        <f t="shared" si="9"/>
        <v>8613.4453781512602</v>
      </c>
      <c r="T13" s="23">
        <f t="shared" si="11"/>
        <v>3.031018767518447E-2</v>
      </c>
      <c r="U13" s="23">
        <f t="shared" si="12"/>
        <v>8.2107391955722319E-3</v>
      </c>
      <c r="V13" s="25"/>
      <c r="W13" s="1" t="s">
        <v>34</v>
      </c>
      <c r="X13" s="40">
        <f>X$17/X$16</f>
        <v>1.1121951219512194E-6</v>
      </c>
    </row>
    <row r="14" spans="1:28" ht="16.5" x14ac:dyDescent="0.4">
      <c r="A14" s="2">
        <v>35</v>
      </c>
      <c r="B14" s="2">
        <v>2850</v>
      </c>
      <c r="C14" s="19">
        <f t="shared" si="0"/>
        <v>47.500095000000002</v>
      </c>
      <c r="D14" s="19">
        <f t="shared" si="1"/>
        <v>0.79166730000000007</v>
      </c>
      <c r="E14" s="3">
        <f t="shared" si="2"/>
        <v>7.9166730000000012E-4</v>
      </c>
      <c r="F14" s="19">
        <f t="shared" si="3"/>
        <v>1.6666680000000003</v>
      </c>
      <c r="G14" s="19">
        <f t="shared" si="4"/>
        <v>2.7777822222240007</v>
      </c>
      <c r="H14" s="19">
        <f t="shared" si="5"/>
        <v>3.2397359251200006</v>
      </c>
      <c r="I14" s="20">
        <v>4.4793387096774193</v>
      </c>
      <c r="J14" s="20">
        <f t="shared" si="6"/>
        <v>44.793387096774197</v>
      </c>
      <c r="K14" s="21">
        <f t="shared" si="7"/>
        <v>4479.3387096774195</v>
      </c>
      <c r="L14" s="3">
        <f t="shared" si="8"/>
        <v>23926.256302521011</v>
      </c>
      <c r="M14" s="4">
        <f t="shared" si="13"/>
        <v>22.3496416711846</v>
      </c>
      <c r="N14" s="4">
        <f t="shared" si="10"/>
        <v>6.2796941488767216E-2</v>
      </c>
      <c r="O14" s="4">
        <f t="shared" si="14"/>
        <v>1.5699235372191804E-2</v>
      </c>
      <c r="P14" s="4">
        <f t="shared" si="15"/>
        <v>3.5856610913487678E-2</v>
      </c>
      <c r="R14" s="22">
        <v>0.7</v>
      </c>
      <c r="S14" s="23">
        <f t="shared" si="9"/>
        <v>10049.019607843138</v>
      </c>
      <c r="T14" s="23">
        <f>0.292/(S14^(0.25))</f>
        <v>2.9164324918123638E-2</v>
      </c>
      <c r="U14" s="23">
        <f t="shared" si="12"/>
        <v>7.9003359624095198E-3</v>
      </c>
      <c r="V14" s="25"/>
      <c r="W14" s="1" t="s">
        <v>35</v>
      </c>
      <c r="X14" s="2">
        <v>0.8</v>
      </c>
      <c r="AA14" s="27" t="s">
        <v>36</v>
      </c>
      <c r="AB14" s="1" t="s">
        <v>37</v>
      </c>
    </row>
    <row r="15" spans="1:28" x14ac:dyDescent="0.35">
      <c r="A15" s="2">
        <v>30</v>
      </c>
      <c r="B15" s="2">
        <v>2200</v>
      </c>
      <c r="C15" s="19">
        <f t="shared" si="0"/>
        <v>36.666739999999997</v>
      </c>
      <c r="D15" s="19">
        <f t="shared" si="1"/>
        <v>0.61111159999999998</v>
      </c>
      <c r="E15" s="3">
        <f t="shared" si="2"/>
        <v>6.111116E-4</v>
      </c>
      <c r="F15" s="19">
        <f t="shared" si="3"/>
        <v>1.2865507368421052</v>
      </c>
      <c r="G15" s="19">
        <f t="shared" si="4"/>
        <v>1.6552127984689637</v>
      </c>
      <c r="H15" s="19">
        <f t="shared" si="5"/>
        <v>2.5008487843031579</v>
      </c>
      <c r="I15" s="20">
        <v>2.8351000000000006</v>
      </c>
      <c r="J15" s="20">
        <f t="shared" si="6"/>
        <v>28.351000000000006</v>
      </c>
      <c r="K15" s="21">
        <f t="shared" si="7"/>
        <v>2835.1000000000008</v>
      </c>
      <c r="L15" s="3">
        <f t="shared" si="8"/>
        <v>18469.390830016215</v>
      </c>
      <c r="M15" s="4">
        <f t="shared" si="13"/>
        <v>14.145719537815127</v>
      </c>
      <c r="N15" s="4">
        <f t="shared" si="10"/>
        <v>6.6701765481164341E-2</v>
      </c>
      <c r="O15" s="4">
        <f t="shared" si="14"/>
        <v>1.6675441370291085E-2</v>
      </c>
      <c r="P15" s="4">
        <f t="shared" si="15"/>
        <v>4.0929580996485512E-2</v>
      </c>
      <c r="R15" s="22">
        <v>0.8</v>
      </c>
      <c r="S15" s="23">
        <f t="shared" si="9"/>
        <v>11484.593837535014</v>
      </c>
      <c r="T15" s="23">
        <f t="shared" si="11"/>
        <v>2.8206807930823231E-2</v>
      </c>
      <c r="U15" s="23">
        <f t="shared" si="12"/>
        <v>7.6409537922195814E-3</v>
      </c>
      <c r="V15" s="25"/>
    </row>
    <row r="16" spans="1:28" x14ac:dyDescent="0.35">
      <c r="A16" s="2">
        <v>25</v>
      </c>
      <c r="B16" s="2">
        <v>1550</v>
      </c>
      <c r="C16" s="19">
        <f t="shared" si="0"/>
        <v>25.833385</v>
      </c>
      <c r="D16" s="19">
        <f t="shared" si="1"/>
        <v>0.43055589999999999</v>
      </c>
      <c r="E16" s="3">
        <f t="shared" si="2"/>
        <v>4.3055589999999998E-4</v>
      </c>
      <c r="F16" s="19">
        <f t="shared" si="3"/>
        <v>0.90643347368421046</v>
      </c>
      <c r="G16" s="19">
        <f t="shared" si="4"/>
        <v>0.82162164221522427</v>
      </c>
      <c r="H16" s="19">
        <f t="shared" si="5"/>
        <v>1.7619616434863157</v>
      </c>
      <c r="I16" s="20">
        <v>1.1713548387096779</v>
      </c>
      <c r="J16" s="20">
        <f t="shared" si="6"/>
        <v>11.713548387096779</v>
      </c>
      <c r="K16" s="21">
        <f t="shared" si="7"/>
        <v>1171.354838709678</v>
      </c>
      <c r="L16" s="3">
        <f t="shared" si="8"/>
        <v>13012.525357511426</v>
      </c>
      <c r="M16" s="4">
        <f t="shared" si="13"/>
        <v>5.8444700460829511</v>
      </c>
      <c r="N16" s="4">
        <f t="shared" si="10"/>
        <v>5.5518712781763527E-2</v>
      </c>
      <c r="O16" s="4">
        <f t="shared" si="14"/>
        <v>1.3879678195440882E-2</v>
      </c>
      <c r="P16" s="4">
        <f t="shared" si="15"/>
        <v>2.4907898289243873E-2</v>
      </c>
      <c r="Q16" s="20"/>
      <c r="R16" s="22">
        <v>0.9</v>
      </c>
      <c r="S16" s="23">
        <f t="shared" si="9"/>
        <v>12920.168067226892</v>
      </c>
      <c r="T16" s="23">
        <f t="shared" si="11"/>
        <v>2.7388346313087116E-2</v>
      </c>
      <c r="U16" s="23">
        <f t="shared" si="12"/>
        <v>7.4192403882369553E-3</v>
      </c>
      <c r="V16" s="25"/>
      <c r="W16" s="2" t="s">
        <v>38</v>
      </c>
      <c r="X16" s="2">
        <f>VLOOKUP(X18, [1]SW!$A$4:$F$34, 3, FALSE)</f>
        <v>1025</v>
      </c>
    </row>
    <row r="17" spans="1:30" x14ac:dyDescent="0.35">
      <c r="B17" s="145"/>
      <c r="C17" s="19"/>
      <c r="D17" s="19"/>
      <c r="E17" s="3"/>
      <c r="F17" s="19"/>
      <c r="G17" s="19"/>
      <c r="H17" s="19"/>
      <c r="I17" s="145"/>
      <c r="J17" s="20"/>
      <c r="K17" s="21"/>
      <c r="R17" s="22">
        <v>1</v>
      </c>
      <c r="S17" s="23">
        <f t="shared" si="9"/>
        <v>14355.742296918768</v>
      </c>
      <c r="T17" s="23">
        <f t="shared" si="11"/>
        <v>2.6676351917340312E-2</v>
      </c>
      <c r="U17" s="23">
        <f t="shared" si="12"/>
        <v>7.2263679337726677E-3</v>
      </c>
      <c r="V17" s="25"/>
      <c r="W17" s="2" t="s">
        <v>39</v>
      </c>
      <c r="X17" s="2">
        <f>VLOOKUP(X18, [1]SW!$A$4:$F$34, 5, FALSE)</f>
        <v>1.14E-3</v>
      </c>
    </row>
    <row r="18" spans="1:30" x14ac:dyDescent="0.35">
      <c r="B18" s="18"/>
      <c r="C18" s="19"/>
      <c r="D18" s="19"/>
      <c r="E18" s="3"/>
      <c r="F18" s="19"/>
      <c r="G18" s="19"/>
      <c r="H18" s="19"/>
      <c r="I18" s="20"/>
      <c r="J18" s="20"/>
      <c r="K18" s="21"/>
      <c r="Q18" s="22"/>
      <c r="R18" s="22">
        <v>1.1000000000000001</v>
      </c>
      <c r="S18" s="23">
        <f t="shared" si="9"/>
        <v>15791.316526610646</v>
      </c>
      <c r="T18" s="23">
        <f t="shared" si="11"/>
        <v>2.6048232927331428E-2</v>
      </c>
      <c r="U18" s="23">
        <f t="shared" si="12"/>
        <v>7.0562165224380691E-3</v>
      </c>
      <c r="V18" s="25"/>
      <c r="W18" s="2" t="s">
        <v>161</v>
      </c>
      <c r="X18" s="2">
        <v>18</v>
      </c>
    </row>
    <row r="19" spans="1:30" x14ac:dyDescent="0.35">
      <c r="B19" s="18"/>
      <c r="C19" s="19"/>
      <c r="D19" s="19"/>
      <c r="E19" s="3"/>
      <c r="F19" s="19"/>
      <c r="G19" s="19"/>
      <c r="H19" s="19"/>
      <c r="I19" s="20"/>
      <c r="J19" s="20"/>
      <c r="K19" s="21"/>
      <c r="R19" s="22">
        <v>1.2</v>
      </c>
      <c r="S19" s="23">
        <f t="shared" si="9"/>
        <v>17226.89075630252</v>
      </c>
      <c r="T19" s="23">
        <f t="shared" si="11"/>
        <v>2.5487728161729936E-2</v>
      </c>
      <c r="U19" s="23">
        <f t="shared" si="12"/>
        <v>6.9043811561398574E-3</v>
      </c>
      <c r="V19" s="25"/>
      <c r="W19" s="1"/>
      <c r="X19" s="1"/>
      <c r="AA19" s="36" t="s">
        <v>40</v>
      </c>
      <c r="AB19" s="37"/>
      <c r="AC19" s="37"/>
      <c r="AD19" s="37"/>
    </row>
    <row r="20" spans="1:30" x14ac:dyDescent="0.35">
      <c r="A20" s="26"/>
      <c r="B20" s="18"/>
      <c r="C20" s="19"/>
      <c r="D20" s="19"/>
      <c r="E20" s="3"/>
      <c r="F20" s="19"/>
      <c r="G20" s="19"/>
      <c r="H20" s="19"/>
      <c r="I20" s="20"/>
      <c r="J20" s="20"/>
      <c r="K20" s="21"/>
      <c r="R20" s="22">
        <v>1.3</v>
      </c>
      <c r="S20" s="23">
        <f t="shared" si="9"/>
        <v>18662.4649859944</v>
      </c>
      <c r="T20" s="23">
        <f t="shared" si="11"/>
        <v>2.4982770589304339E-2</v>
      </c>
      <c r="U20" s="23">
        <f t="shared" si="12"/>
        <v>6.7675929918286758E-3</v>
      </c>
      <c r="V20" s="25"/>
      <c r="AA20" s="38" t="s">
        <v>41</v>
      </c>
      <c r="AB20" s="37" t="s">
        <v>42</v>
      </c>
      <c r="AC20" s="37" t="s">
        <v>43</v>
      </c>
      <c r="AD20" s="37" t="s">
        <v>44</v>
      </c>
    </row>
    <row r="21" spans="1:30" x14ac:dyDescent="0.35">
      <c r="A21" s="26"/>
      <c r="B21" s="18"/>
      <c r="C21" s="19"/>
      <c r="D21" s="19"/>
      <c r="E21" s="3"/>
      <c r="F21" s="19"/>
      <c r="G21" s="19"/>
      <c r="H21" s="19"/>
      <c r="I21" s="20"/>
      <c r="J21" s="20"/>
      <c r="K21" s="21"/>
      <c r="R21" s="22">
        <v>1.4</v>
      </c>
      <c r="S21" s="23">
        <f t="shared" si="9"/>
        <v>20098.039215686276</v>
      </c>
      <c r="T21" s="23">
        <f t="shared" si="11"/>
        <v>2.452417627694475E-2</v>
      </c>
      <c r="U21" s="23">
        <f t="shared" si="12"/>
        <v>6.6433641900901707E-3</v>
      </c>
      <c r="V21" s="25"/>
      <c r="W21" s="1" t="s">
        <v>45</v>
      </c>
      <c r="X21" s="1">
        <f>4*10^(-6)</f>
        <v>3.9999999999999998E-6</v>
      </c>
      <c r="AA21" s="38" t="s">
        <v>46</v>
      </c>
      <c r="AB21" s="37" t="s">
        <v>47</v>
      </c>
      <c r="AC21" s="37" t="s">
        <v>48</v>
      </c>
      <c r="AD21" s="37" t="s">
        <v>49</v>
      </c>
    </row>
    <row r="22" spans="1:30" x14ac:dyDescent="0.35">
      <c r="A22" s="26"/>
      <c r="B22" s="18"/>
      <c r="C22" s="19"/>
      <c r="D22" s="19"/>
      <c r="E22" s="3"/>
      <c r="G22" s="19"/>
      <c r="H22" s="19"/>
      <c r="I22" s="20"/>
      <c r="J22" s="20"/>
      <c r="K22" s="21"/>
      <c r="R22" s="22">
        <v>1.5</v>
      </c>
      <c r="S22" s="23">
        <f t="shared" si="9"/>
        <v>21533.613445378152</v>
      </c>
      <c r="T22" s="23">
        <f t="shared" si="11"/>
        <v>2.4104805041510025E-2</v>
      </c>
      <c r="U22" s="23">
        <f t="shared" si="12"/>
        <v>6.5297605437789142E-3</v>
      </c>
      <c r="V22" s="25"/>
      <c r="W22" s="1" t="s">
        <v>50</v>
      </c>
      <c r="X22" s="2">
        <f>X21/X12</f>
        <v>2.5052631578947367E-4</v>
      </c>
      <c r="AA22" s="37">
        <v>0</v>
      </c>
      <c r="AB22" s="37">
        <v>1.792E-3</v>
      </c>
      <c r="AC22" s="37">
        <v>999.87</v>
      </c>
      <c r="AD22" s="39">
        <v>1.7922329902887374E-6</v>
      </c>
    </row>
    <row r="23" spans="1:30" x14ac:dyDescent="0.35">
      <c r="A23" s="26"/>
      <c r="B23" s="18"/>
      <c r="C23" s="19"/>
      <c r="D23" s="19"/>
      <c r="E23" s="3"/>
      <c r="F23" s="19"/>
      <c r="G23" s="19"/>
      <c r="H23" s="19"/>
      <c r="I23" s="20"/>
      <c r="J23" s="20"/>
      <c r="K23" s="21"/>
      <c r="R23" s="22">
        <v>1.6</v>
      </c>
      <c r="S23" s="23">
        <f t="shared" si="9"/>
        <v>22969.187675070028</v>
      </c>
      <c r="T23" s="23">
        <f t="shared" si="11"/>
        <v>2.3719003674779301E-2</v>
      </c>
      <c r="U23" s="23">
        <f t="shared" si="12"/>
        <v>6.4252506529967222E-3</v>
      </c>
      <c r="V23" s="25"/>
      <c r="AA23" s="37">
        <v>5</v>
      </c>
      <c r="AB23" s="37">
        <v>1.519E-3</v>
      </c>
      <c r="AC23" s="37">
        <v>999.99</v>
      </c>
      <c r="AD23" s="39">
        <v>1.5190151901519014E-6</v>
      </c>
    </row>
    <row r="24" spans="1:30" x14ac:dyDescent="0.35">
      <c r="B24" s="18"/>
      <c r="C24" s="19"/>
      <c r="D24" s="19"/>
      <c r="E24" s="3"/>
      <c r="F24" s="3"/>
      <c r="G24" s="19"/>
      <c r="H24" s="19"/>
      <c r="I24" s="19"/>
      <c r="J24" s="20"/>
      <c r="K24" s="21"/>
      <c r="R24" s="22">
        <v>1.7</v>
      </c>
      <c r="S24" s="23">
        <f t="shared" si="9"/>
        <v>24404.761904761905</v>
      </c>
      <c r="T24" s="23">
        <f t="shared" si="11"/>
        <v>2.3362225291761372E-2</v>
      </c>
      <c r="U24" s="23">
        <f t="shared" si="12"/>
        <v>6.3286028101997415E-3</v>
      </c>
      <c r="V24" s="25"/>
      <c r="W24" s="40"/>
      <c r="AA24" s="37">
        <f>AA23+5</f>
        <v>10</v>
      </c>
      <c r="AB24" s="37">
        <v>1.3079999999999999E-3</v>
      </c>
      <c r="AC24" s="37">
        <v>999.73</v>
      </c>
      <c r="AD24" s="39">
        <v>1.3083532553789522E-6</v>
      </c>
    </row>
    <row r="25" spans="1:30" x14ac:dyDescent="0.35">
      <c r="B25" s="18"/>
      <c r="C25" s="19"/>
      <c r="D25" s="19"/>
      <c r="E25" s="3"/>
      <c r="F25" s="3"/>
      <c r="G25" s="19"/>
      <c r="H25" s="19"/>
      <c r="I25" s="19"/>
      <c r="J25" s="20"/>
      <c r="K25" s="21"/>
      <c r="R25" s="22">
        <v>1.8</v>
      </c>
      <c r="S25" s="23">
        <f t="shared" si="9"/>
        <v>25840.336134453784</v>
      </c>
      <c r="T25" s="23">
        <f t="shared" si="11"/>
        <v>2.3030762234402244E-2</v>
      </c>
      <c r="U25" s="23">
        <f t="shared" si="12"/>
        <v>6.2388126463740331E-3</v>
      </c>
      <c r="V25" s="4"/>
      <c r="W25" s="40"/>
      <c r="AA25" s="37" t="e">
        <f>#REF!+5</f>
        <v>#REF!</v>
      </c>
      <c r="AB25" s="37">
        <v>1.005E-3</v>
      </c>
      <c r="AC25" s="37">
        <v>998.23</v>
      </c>
      <c r="AD25" s="39">
        <v>1.0067820041473407E-6</v>
      </c>
    </row>
    <row r="26" spans="1:30" x14ac:dyDescent="0.35">
      <c r="B26" s="18"/>
      <c r="C26" s="19"/>
      <c r="D26" s="19"/>
      <c r="E26" s="3"/>
      <c r="F26" s="3"/>
      <c r="G26" s="19"/>
      <c r="H26" s="19"/>
      <c r="I26" s="19"/>
      <c r="J26" s="20"/>
      <c r="K26" s="21"/>
      <c r="R26" s="22">
        <v>1.9</v>
      </c>
      <c r="S26" s="23">
        <f t="shared" si="9"/>
        <v>27275.91036414566</v>
      </c>
      <c r="T26" s="23">
        <f t="shared" si="11"/>
        <v>2.2721554364037024E-2</v>
      </c>
      <c r="U26" s="23">
        <f t="shared" si="12"/>
        <v>6.155051199299072E-3</v>
      </c>
      <c r="V26" s="4"/>
      <c r="W26" s="40"/>
      <c r="AA26" s="37">
        <v>25</v>
      </c>
      <c r="AB26" s="37">
        <v>8.9400000000000005E-4</v>
      </c>
      <c r="AC26" s="37">
        <v>997.07</v>
      </c>
      <c r="AD26" s="39">
        <v>8.9662711745414066E-7</v>
      </c>
    </row>
    <row r="27" spans="1:30" x14ac:dyDescent="0.35">
      <c r="N27" s="22"/>
      <c r="R27" s="22">
        <v>2</v>
      </c>
      <c r="S27" s="23">
        <f t="shared" si="9"/>
        <v>28711.484593837537</v>
      </c>
      <c r="T27" s="23">
        <f t="shared" si="11"/>
        <v>2.2432048699338021E-2</v>
      </c>
      <c r="U27" s="23">
        <f t="shared" si="12"/>
        <v>6.076626890813828E-3</v>
      </c>
      <c r="V27" s="4"/>
      <c r="W27" s="40"/>
    </row>
    <row r="28" spans="1:30" x14ac:dyDescent="0.35">
      <c r="K28" s="1"/>
      <c r="L28" s="4"/>
      <c r="N28" s="22"/>
      <c r="R28" s="22">
        <v>2.1</v>
      </c>
      <c r="S28" s="23">
        <f t="shared" si="9"/>
        <v>30147.058823529416</v>
      </c>
      <c r="T28" s="23">
        <f t="shared" si="11"/>
        <v>2.2160094820728303E-2</v>
      </c>
      <c r="U28" s="23">
        <f t="shared" si="12"/>
        <v>6.0029571928753725E-3</v>
      </c>
      <c r="V28" s="4"/>
      <c r="W28" s="40"/>
    </row>
    <row r="29" spans="1:30" x14ac:dyDescent="0.35">
      <c r="R29" s="22">
        <v>2.2000000000000002</v>
      </c>
      <c r="S29" s="23">
        <f t="shared" si="9"/>
        <v>31582.633053221292</v>
      </c>
      <c r="T29" s="23">
        <f t="shared" si="11"/>
        <v>2.1903865692286768E-2</v>
      </c>
      <c r="U29" s="23">
        <f t="shared" si="12"/>
        <v>5.9335471789722033E-3</v>
      </c>
      <c r="V29" s="4"/>
      <c r="W29" s="40"/>
    </row>
    <row r="30" spans="1:30" x14ac:dyDescent="0.35">
      <c r="L30" s="41"/>
      <c r="R30" s="22">
        <v>2.2999999999999998</v>
      </c>
      <c r="S30" s="23">
        <f t="shared" si="9"/>
        <v>33018.207282913165</v>
      </c>
      <c r="T30" s="23">
        <f t="shared" si="11"/>
        <v>2.1661796872450706E-2</v>
      </c>
      <c r="U30" s="23">
        <f t="shared" si="12"/>
        <v>5.8679730568864759E-3</v>
      </c>
      <c r="V30" s="4"/>
      <c r="W30" s="40"/>
    </row>
    <row r="31" spans="1:30" x14ac:dyDescent="0.35">
      <c r="R31" s="22">
        <v>2.4</v>
      </c>
      <c r="S31" s="23">
        <f t="shared" si="9"/>
        <v>34453.781512605041</v>
      </c>
      <c r="T31" s="23">
        <f t="shared" si="11"/>
        <v>2.1432539244159853E-2</v>
      </c>
      <c r="U31" s="23">
        <f t="shared" si="12"/>
        <v>5.8058693637433037E-3</v>
      </c>
      <c r="V31" s="4"/>
      <c r="W31" s="40"/>
    </row>
    <row r="32" spans="1:30" x14ac:dyDescent="0.35">
      <c r="F32" s="1"/>
      <c r="G32" s="1"/>
      <c r="R32" s="22">
        <v>2.5</v>
      </c>
      <c r="S32" s="23">
        <f t="shared" si="9"/>
        <v>35889.355742296917</v>
      </c>
      <c r="T32" s="23">
        <f t="shared" si="11"/>
        <v>2.1214921830149534E-2</v>
      </c>
      <c r="U32" s="23">
        <f t="shared" si="12"/>
        <v>5.7469188930302333E-3</v>
      </c>
      <c r="V32" s="4"/>
      <c r="W32" s="40"/>
    </row>
    <row r="33" spans="7:24" x14ac:dyDescent="0.35">
      <c r="G33" s="19"/>
      <c r="V33" s="4"/>
      <c r="W33" s="40"/>
    </row>
    <row r="34" spans="7:24" x14ac:dyDescent="0.35">
      <c r="G34" s="19"/>
      <c r="V34" s="4"/>
      <c r="W34" s="40"/>
      <c r="X34" s="1" t="s">
        <v>51</v>
      </c>
    </row>
    <row r="35" spans="7:24" x14ac:dyDescent="0.35">
      <c r="G35" s="19"/>
      <c r="V35" s="4"/>
      <c r="W35" s="40"/>
    </row>
    <row r="36" spans="7:24" x14ac:dyDescent="0.35">
      <c r="G36" s="19"/>
      <c r="V36" s="4"/>
      <c r="W36" s="40"/>
    </row>
    <row r="37" spans="7:24" x14ac:dyDescent="0.35">
      <c r="G37" s="19"/>
      <c r="V37" s="4"/>
    </row>
    <row r="38" spans="7:24" x14ac:dyDescent="0.35">
      <c r="G38" s="19"/>
      <c r="V38" s="4"/>
    </row>
    <row r="39" spans="7:24" x14ac:dyDescent="0.35">
      <c r="Q39" s="22"/>
      <c r="V39" s="4"/>
    </row>
    <row r="40" spans="7:24" x14ac:dyDescent="0.35">
      <c r="R40" s="4"/>
      <c r="S40" s="16"/>
      <c r="T40" s="16"/>
      <c r="U40" s="4"/>
      <c r="V40" s="4"/>
    </row>
    <row r="41" spans="7:24" x14ac:dyDescent="0.35">
      <c r="R41" s="4"/>
      <c r="S41" s="16"/>
      <c r="T41" s="16"/>
      <c r="U41" s="4"/>
      <c r="V41" s="4"/>
    </row>
    <row r="42" spans="7:24" x14ac:dyDescent="0.35">
      <c r="R42" s="4"/>
      <c r="S42" s="16"/>
      <c r="T42" s="16"/>
      <c r="U42" s="4"/>
      <c r="V42" s="4"/>
    </row>
    <row r="43" spans="7:24" x14ac:dyDescent="0.35">
      <c r="R43" s="4"/>
      <c r="S43" s="16"/>
      <c r="T43" s="16"/>
      <c r="U43" s="4"/>
      <c r="V43" s="4"/>
    </row>
    <row r="44" spans="7:24" x14ac:dyDescent="0.35">
      <c r="R44" s="4"/>
      <c r="S44" s="16"/>
      <c r="T44" s="16"/>
      <c r="U44" s="4"/>
      <c r="V44" s="4"/>
    </row>
    <row r="45" spans="7:24" x14ac:dyDescent="0.35">
      <c r="R45" s="4"/>
      <c r="S45" s="16"/>
      <c r="T45" s="16"/>
    </row>
    <row r="46" spans="7:24" x14ac:dyDescent="0.35">
      <c r="R46" s="4"/>
      <c r="S46" s="16"/>
      <c r="T46" s="16"/>
    </row>
    <row r="47" spans="7:24" x14ac:dyDescent="0.35">
      <c r="R47" s="4"/>
      <c r="S47" s="16"/>
      <c r="T47" s="16"/>
    </row>
    <row r="48" spans="7:24" x14ac:dyDescent="0.35">
      <c r="R48" s="4"/>
      <c r="S48" s="16"/>
      <c r="T48" s="16"/>
    </row>
    <row r="49" spans="18:20" x14ac:dyDescent="0.35">
      <c r="R49" s="4"/>
      <c r="S49" s="16"/>
      <c r="T49" s="16"/>
    </row>
    <row r="50" spans="18:20" x14ac:dyDescent="0.35">
      <c r="R50" s="4"/>
      <c r="S50" s="16"/>
      <c r="T50" s="16"/>
    </row>
    <row r="51" spans="18:20" x14ac:dyDescent="0.35">
      <c r="R51" s="4"/>
      <c r="S51" s="16"/>
      <c r="T51" s="16"/>
    </row>
    <row r="52" spans="18:20" x14ac:dyDescent="0.35">
      <c r="R52" s="4"/>
      <c r="S52" s="16"/>
      <c r="T52" s="16"/>
    </row>
    <row r="53" spans="18:20" x14ac:dyDescent="0.35">
      <c r="R53" s="4"/>
      <c r="S53" s="16"/>
      <c r="T53" s="16"/>
    </row>
    <row r="54" spans="18:20" x14ac:dyDescent="0.35">
      <c r="R54" s="4"/>
      <c r="S54" s="16"/>
      <c r="T54" s="16"/>
    </row>
    <row r="55" spans="18:20" x14ac:dyDescent="0.35">
      <c r="R55" s="4"/>
    </row>
  </sheetData>
  <mergeCells count="2">
    <mergeCell ref="A4:N4"/>
    <mergeCell ref="W6:X6"/>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B29E-EC98-4A00-9706-F67541E9EB8F}">
  <dimension ref="A1:AD55"/>
  <sheetViews>
    <sheetView zoomScale="60" zoomScaleNormal="60" zoomScalePageLayoutView="90" workbookViewId="0">
      <selection activeCell="A2" sqref="A2:M3"/>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07421875" style="2" bestFit="1" customWidth="1"/>
    <col min="11" max="11" width="10.4609375" style="2" customWidth="1"/>
    <col min="12" max="12" width="8.53515625" style="3" customWidth="1"/>
    <col min="13" max="13" width="7.69140625" style="4" bestFit="1" customWidth="1"/>
    <col min="14" max="14" width="10.69140625" style="4" bestFit="1" customWidth="1"/>
    <col min="15" max="15" width="10.3046875" style="4" customWidth="1"/>
    <col min="16" max="16" width="27.23046875" style="4" customWidth="1"/>
    <col min="17" max="17" width="8.4609375" style="4" customWidth="1"/>
    <col min="18" max="18" width="10.23046875" style="2" customWidth="1"/>
    <col min="19" max="19" width="13.84375" style="2" customWidth="1"/>
    <col min="20" max="22" width="10" style="2" customWidth="1"/>
    <col min="23" max="23" width="21" style="2" customWidth="1"/>
    <col min="24" max="24" width="8.69140625" style="2" customWidth="1"/>
    <col min="25" max="25" width="8.69140625" style="2"/>
    <col min="26" max="26" width="22" style="2" customWidth="1"/>
    <col min="27" max="27" width="35.84375" style="2" customWidth="1"/>
    <col min="28" max="28" width="16.84375" style="2" customWidth="1"/>
    <col min="29" max="16384" width="8.69140625" style="2"/>
  </cols>
  <sheetData>
    <row r="1" spans="1:28" x14ac:dyDescent="0.35">
      <c r="A1" s="2" t="s">
        <v>126</v>
      </c>
    </row>
    <row r="2" spans="1:28" x14ac:dyDescent="0.35">
      <c r="A2" s="1"/>
      <c r="I2" s="1"/>
      <c r="J2" s="1"/>
    </row>
    <row r="3" spans="1:28" x14ac:dyDescent="0.35">
      <c r="A3" s="1"/>
      <c r="I3" s="1"/>
      <c r="J3" s="1"/>
    </row>
    <row r="4" spans="1:28" x14ac:dyDescent="0.35">
      <c r="A4" s="150" t="s">
        <v>3</v>
      </c>
      <c r="B4" s="150"/>
      <c r="C4" s="150"/>
      <c r="D4" s="150"/>
      <c r="E4" s="150"/>
      <c r="F4" s="150"/>
      <c r="G4" s="150"/>
      <c r="H4" s="150"/>
      <c r="I4" s="150"/>
      <c r="J4" s="150"/>
      <c r="K4" s="150"/>
      <c r="L4" s="150"/>
      <c r="M4" s="150"/>
      <c r="N4" s="150"/>
      <c r="O4" s="124"/>
      <c r="P4" s="124"/>
      <c r="Q4" s="125"/>
    </row>
    <row r="6" spans="1:28" ht="19" x14ac:dyDescent="0.4">
      <c r="A6" s="138"/>
      <c r="B6" s="139" t="s">
        <v>4</v>
      </c>
      <c r="C6" s="139" t="s">
        <v>5</v>
      </c>
      <c r="D6" s="140" t="s">
        <v>6</v>
      </c>
      <c r="E6" s="140" t="s">
        <v>7</v>
      </c>
      <c r="F6" s="140" t="s">
        <v>8</v>
      </c>
      <c r="G6" s="140" t="s">
        <v>9</v>
      </c>
      <c r="H6" s="140" t="s">
        <v>10</v>
      </c>
      <c r="I6" s="139" t="s">
        <v>11</v>
      </c>
      <c r="J6" s="139" t="s">
        <v>12</v>
      </c>
      <c r="K6" s="139" t="s">
        <v>13</v>
      </c>
      <c r="L6" s="141" t="s">
        <v>14</v>
      </c>
      <c r="M6" s="142" t="s">
        <v>15</v>
      </c>
      <c r="N6" s="143" t="s">
        <v>16</v>
      </c>
      <c r="O6" s="22" t="s">
        <v>17</v>
      </c>
      <c r="P6" s="22" t="s">
        <v>18</v>
      </c>
      <c r="Q6" s="22"/>
      <c r="R6" s="15" t="s">
        <v>19</v>
      </c>
      <c r="S6" s="16" t="s">
        <v>14</v>
      </c>
      <c r="T6" s="15" t="s">
        <v>20</v>
      </c>
      <c r="U6" s="16" t="s">
        <v>21</v>
      </c>
      <c r="V6" s="1"/>
      <c r="W6" s="151" t="s">
        <v>22</v>
      </c>
      <c r="X6" s="151"/>
    </row>
    <row r="7" spans="1:28" x14ac:dyDescent="0.35">
      <c r="A7" s="144" t="s">
        <v>23</v>
      </c>
      <c r="B7" s="18">
        <v>0</v>
      </c>
      <c r="C7" s="19">
        <f t="shared" ref="C7:C16" si="0">B7*0.0166667</f>
        <v>0</v>
      </c>
      <c r="D7" s="19">
        <f t="shared" ref="D7:D16" si="1">B7*0.000277778</f>
        <v>0</v>
      </c>
      <c r="E7" s="3">
        <f t="shared" ref="E7:E16" si="2">0.001*D7</f>
        <v>0</v>
      </c>
      <c r="F7" s="19">
        <f t="shared" ref="F7:F16" si="3">E7/X$8</f>
        <v>0</v>
      </c>
      <c r="G7" s="19">
        <f t="shared" ref="G7:G16" si="4">F7^(2)</f>
        <v>0</v>
      </c>
      <c r="H7" s="19">
        <f t="shared" ref="H7:H16" si="5">F7*1.94384</f>
        <v>0</v>
      </c>
      <c r="I7" s="20">
        <v>0</v>
      </c>
      <c r="J7" s="20">
        <f t="shared" ref="J7:J16" si="6">I7 * 10</f>
        <v>0</v>
      </c>
      <c r="K7" s="21">
        <f t="shared" ref="K7:K16" si="7">J7*100</f>
        <v>0</v>
      </c>
      <c r="L7" s="3">
        <f t="shared" ref="L7:L16" si="8">(F7*X$12)/X$13</f>
        <v>0</v>
      </c>
      <c r="R7" s="22">
        <v>0</v>
      </c>
      <c r="S7" s="23">
        <f t="shared" ref="S7:S32" si="9">(R7*X$12)/X$13</f>
        <v>0</v>
      </c>
      <c r="T7" s="23"/>
      <c r="U7" s="23"/>
    </row>
    <row r="8" spans="1:28" x14ac:dyDescent="0.35">
      <c r="A8" s="2">
        <v>25</v>
      </c>
      <c r="B8" s="2">
        <v>1650</v>
      </c>
      <c r="C8" s="19">
        <f>I8*0.0166667</f>
        <v>2.0108266022903214E-2</v>
      </c>
      <c r="D8" s="19">
        <f t="shared" si="1"/>
        <v>0.45833370000000001</v>
      </c>
      <c r="E8" s="3">
        <f t="shared" si="2"/>
        <v>4.5833370000000003E-4</v>
      </c>
      <c r="F8" s="19">
        <f t="shared" si="3"/>
        <v>0.964913052631579</v>
      </c>
      <c r="G8" s="19">
        <f t="shared" si="4"/>
        <v>0.93105719913879237</v>
      </c>
      <c r="H8" s="19">
        <f t="shared" si="5"/>
        <v>1.8756365882273685</v>
      </c>
      <c r="I8" s="2">
        <v>1.206493548387096</v>
      </c>
      <c r="J8" s="20">
        <f t="shared" si="6"/>
        <v>12.064935483870959</v>
      </c>
      <c r="K8" s="21">
        <f t="shared" si="7"/>
        <v>1206.4935483870959</v>
      </c>
      <c r="L8" s="3">
        <f t="shared" si="8"/>
        <v>13852.043122512165</v>
      </c>
      <c r="M8" s="4">
        <f>(X$16*G8*N8)/8</f>
        <v>6.0197944903767908</v>
      </c>
      <c r="N8" s="4">
        <f t="shared" ref="N8:N16" si="10">(K8*2*X$12)/(X$14*X$16*G8)</f>
        <v>5.04628092877328E-2</v>
      </c>
      <c r="O8" s="4">
        <f>N8/4</f>
        <v>1.26157023219332E-2</v>
      </c>
      <c r="P8" s="4">
        <f>3.7*(10^(-1/(2*SQRT(N8)))-2.51/(L8*SQRT(N8)))</f>
        <v>1.9014887970579691E-2</v>
      </c>
      <c r="R8" s="22">
        <v>0.1</v>
      </c>
      <c r="S8" s="23">
        <f>(R8*X$12)/X$13</f>
        <v>1435.5742296918768</v>
      </c>
      <c r="T8" s="23">
        <f t="shared" ref="T8:T32" si="11">0.292/(S8^(0.25))</f>
        <v>4.7438007349558602E-2</v>
      </c>
      <c r="U8" s="23">
        <f>0.0791/(S8^0.25)</f>
        <v>1.2850501305993444E-2</v>
      </c>
      <c r="V8" s="25"/>
      <c r="W8" s="1" t="s">
        <v>24</v>
      </c>
      <c r="X8" s="2">
        <f>X$10*X$11</f>
        <v>4.75E-4</v>
      </c>
    </row>
    <row r="9" spans="1:28" x14ac:dyDescent="0.35">
      <c r="A9" s="2">
        <v>30</v>
      </c>
      <c r="B9" s="2">
        <v>2400</v>
      </c>
      <c r="C9" s="19">
        <f>I9*0.0166667</f>
        <v>4.9324399723870933E-2</v>
      </c>
      <c r="D9" s="19">
        <f t="shared" si="1"/>
        <v>0.66666720000000002</v>
      </c>
      <c r="E9" s="3">
        <f t="shared" si="2"/>
        <v>6.6666719999999998E-4</v>
      </c>
      <c r="F9" s="19">
        <f>E9/X$8</f>
        <v>1.4035098947368421</v>
      </c>
      <c r="G9" s="19">
        <f t="shared" si="4"/>
        <v>1.9698400246242216</v>
      </c>
      <c r="H9" s="19">
        <f t="shared" si="5"/>
        <v>2.728198673785263</v>
      </c>
      <c r="I9" s="2">
        <v>2.9594580645161273</v>
      </c>
      <c r="J9" s="20">
        <f t="shared" si="6"/>
        <v>29.594580645161273</v>
      </c>
      <c r="K9" s="21">
        <f t="shared" si="7"/>
        <v>2959.4580645161273</v>
      </c>
      <c r="L9" s="3">
        <f t="shared" si="8"/>
        <v>20148.426360017693</v>
      </c>
      <c r="M9" s="4">
        <f>(X$16*G9*N9)/8</f>
        <v>14.766203578205465</v>
      </c>
      <c r="N9" s="4">
        <f t="shared" si="10"/>
        <v>5.8506486176889007E-2</v>
      </c>
      <c r="O9" s="4">
        <f>N9/4</f>
        <v>1.4626621544222252E-2</v>
      </c>
      <c r="P9" s="4">
        <f>3.7*(10^(-1/(2*SQRT(N9)))-2.51/(L9*SQRT(N9)))</f>
        <v>2.9795235392124562E-2</v>
      </c>
      <c r="R9" s="22">
        <v>0.2</v>
      </c>
      <c r="S9" s="23">
        <f t="shared" si="9"/>
        <v>2871.1484593837536</v>
      </c>
      <c r="T9" s="23">
        <f t="shared" si="11"/>
        <v>3.9890450327023201E-2</v>
      </c>
      <c r="U9" s="23">
        <f t="shared" ref="U9:U32" si="12">0.0791/(S9^0.25)</f>
        <v>1.0805940482423067E-2</v>
      </c>
      <c r="V9" s="25"/>
      <c r="W9" s="2" t="s">
        <v>25</v>
      </c>
    </row>
    <row r="10" spans="1:28" ht="19" x14ac:dyDescent="0.4">
      <c r="A10" s="2">
        <v>35</v>
      </c>
      <c r="B10" s="2">
        <v>3150</v>
      </c>
      <c r="C10" s="19">
        <f>I10*0.0166667</f>
        <v>8.7636089250322582E-2</v>
      </c>
      <c r="D10" s="19">
        <f t="shared" si="1"/>
        <v>0.87500070000000008</v>
      </c>
      <c r="E10" s="3">
        <f t="shared" si="2"/>
        <v>8.7500070000000004E-4</v>
      </c>
      <c r="F10" s="19">
        <f t="shared" si="3"/>
        <v>1.8421067368421054</v>
      </c>
      <c r="G10" s="19">
        <f t="shared" si="4"/>
        <v>3.3933572299190695</v>
      </c>
      <c r="H10" s="19">
        <f t="shared" si="5"/>
        <v>3.5807607593431583</v>
      </c>
      <c r="I10" s="2">
        <v>5.2581548387096779</v>
      </c>
      <c r="J10" s="20">
        <f t="shared" si="6"/>
        <v>52.581548387096781</v>
      </c>
      <c r="K10" s="21">
        <f t="shared" si="7"/>
        <v>5258.1548387096782</v>
      </c>
      <c r="L10" s="3">
        <f t="shared" si="8"/>
        <v>26444.809597523221</v>
      </c>
      <c r="M10" s="4">
        <f>(X$16*G10*N10)/8</f>
        <v>26.235541474654383</v>
      </c>
      <c r="N10" s="4">
        <f t="shared" si="10"/>
        <v>6.0342954743460249E-2</v>
      </c>
      <c r="O10" s="4">
        <f>N10/4</f>
        <v>1.5085738685865062E-2</v>
      </c>
      <c r="P10" s="4">
        <f>3.7*(10^(-1/(2*SQRT(N10)))-2.51/(L10*SQRT(N10)))</f>
        <v>3.2671536969237316E-2</v>
      </c>
      <c r="R10" s="22">
        <v>0.3</v>
      </c>
      <c r="S10" s="23">
        <f t="shared" si="9"/>
        <v>4306.7226890756301</v>
      </c>
      <c r="T10" s="23">
        <f t="shared" si="11"/>
        <v>3.6045090840397156E-2</v>
      </c>
      <c r="U10" s="23">
        <f t="shared" si="12"/>
        <v>9.7642694708062177E-3</v>
      </c>
      <c r="V10" s="25"/>
      <c r="W10" s="1" t="s">
        <v>26</v>
      </c>
      <c r="X10" s="19">
        <v>0.05</v>
      </c>
      <c r="AA10" s="27" t="s">
        <v>27</v>
      </c>
    </row>
    <row r="11" spans="1:28" ht="18.5" x14ac:dyDescent="0.35">
      <c r="A11" s="2">
        <v>40</v>
      </c>
      <c r="B11" s="2">
        <v>3850</v>
      </c>
      <c r="C11" s="19">
        <f>I11*0.0166667</f>
        <v>0.12719810385806446</v>
      </c>
      <c r="D11" s="19">
        <f t="shared" si="1"/>
        <v>1.0694452999999999</v>
      </c>
      <c r="E11" s="3">
        <f t="shared" si="2"/>
        <v>1.0694452999999999E-3</v>
      </c>
      <c r="F11" s="19">
        <f t="shared" si="3"/>
        <v>2.251463789473684</v>
      </c>
      <c r="G11" s="19">
        <f t="shared" si="4"/>
        <v>5.0690891953112009</v>
      </c>
      <c r="H11" s="19">
        <f t="shared" si="5"/>
        <v>4.3764853725305262</v>
      </c>
      <c r="I11" s="2">
        <v>7.631870967741933</v>
      </c>
      <c r="J11" s="20">
        <f t="shared" si="6"/>
        <v>76.318709677419335</v>
      </c>
      <c r="K11" s="21">
        <f t="shared" si="7"/>
        <v>7631.8709677419338</v>
      </c>
      <c r="L11" s="3">
        <f t="shared" si="8"/>
        <v>32321.433952528376</v>
      </c>
      <c r="M11" s="4">
        <f>(X$16*G11*N11)/8</f>
        <v>38.079188126863635</v>
      </c>
      <c r="N11" s="4">
        <f t="shared" si="10"/>
        <v>5.8630536586660856E-2</v>
      </c>
      <c r="O11" s="4">
        <f>N11/4</f>
        <v>1.4657634146665214E-2</v>
      </c>
      <c r="P11" s="4">
        <f>3.7*(10^(-1/(2*SQRT(N11)))-2.51/(L11*SQRT(N11)))</f>
        <v>3.0674298895031246E-2</v>
      </c>
      <c r="R11" s="22">
        <v>0.4</v>
      </c>
      <c r="S11" s="23">
        <f t="shared" si="9"/>
        <v>5742.2969187675071</v>
      </c>
      <c r="T11" s="23">
        <f t="shared" si="11"/>
        <v>3.354373668285017E-2</v>
      </c>
      <c r="U11" s="23">
        <f t="shared" si="12"/>
        <v>9.0866766151145497E-3</v>
      </c>
      <c r="V11" s="25"/>
      <c r="W11" s="1" t="s">
        <v>28</v>
      </c>
      <c r="X11" s="19">
        <v>9.4999999999999998E-3</v>
      </c>
      <c r="AA11" s="28" t="s">
        <v>29</v>
      </c>
      <c r="AB11" s="2" t="s">
        <v>30</v>
      </c>
    </row>
    <row r="12" spans="1:28" ht="16.5" x14ac:dyDescent="0.4">
      <c r="A12" s="2">
        <v>45</v>
      </c>
      <c r="B12" s="2">
        <v>4550</v>
      </c>
      <c r="C12" s="19">
        <f>I12*0.0166667</f>
        <v>0.14085893763129032</v>
      </c>
      <c r="D12" s="19">
        <f t="shared" si="1"/>
        <v>1.2638899000000001</v>
      </c>
      <c r="E12" s="3">
        <f t="shared" si="2"/>
        <v>1.2638899000000001E-3</v>
      </c>
      <c r="F12" s="19">
        <f t="shared" si="3"/>
        <v>2.6608208421052635</v>
      </c>
      <c r="G12" s="19">
        <f t="shared" si="4"/>
        <v>7.0799675537817635</v>
      </c>
      <c r="H12" s="19">
        <f t="shared" si="5"/>
        <v>5.1722099857178954</v>
      </c>
      <c r="I12" s="2">
        <v>8.4515193548387089</v>
      </c>
      <c r="J12" s="20">
        <f t="shared" si="6"/>
        <v>84.515193548387089</v>
      </c>
      <c r="K12" s="21">
        <f t="shared" si="7"/>
        <v>8451.5193548387088</v>
      </c>
      <c r="L12" s="3">
        <f t="shared" si="8"/>
        <v>38198.058307533545</v>
      </c>
      <c r="M12" s="4">
        <f>(X$16*G12*N12)/8</f>
        <v>42.168820310382209</v>
      </c>
      <c r="N12" s="4">
        <f t="shared" si="10"/>
        <v>4.6486441849252567E-2</v>
      </c>
      <c r="O12" s="4">
        <f>N12/4</f>
        <v>1.1621610462313142E-2</v>
      </c>
      <c r="P12" s="4">
        <f>3.7*(10^(-1/(2*SQRT(N12)))-2.51/(L12*SQRT(N12)))</f>
        <v>1.6621164387082617E-2</v>
      </c>
      <c r="R12" s="22">
        <v>0.5</v>
      </c>
      <c r="S12" s="23">
        <f t="shared" si="9"/>
        <v>7177.8711484593841</v>
      </c>
      <c r="T12" s="23">
        <f t="shared" si="11"/>
        <v>3.1723707502417577E-2</v>
      </c>
      <c r="U12" s="23">
        <f t="shared" si="12"/>
        <v>8.5936481624699669E-3</v>
      </c>
      <c r="V12" s="25"/>
      <c r="W12" s="1" t="s">
        <v>31</v>
      </c>
      <c r="X12" s="4">
        <f>2*(X10*X11)/(X10+X11)</f>
        <v>1.5966386554621848E-2</v>
      </c>
      <c r="Y12" s="1">
        <f>10*X12*100</f>
        <v>15.966386554621847</v>
      </c>
      <c r="AA12" s="27" t="s">
        <v>32</v>
      </c>
      <c r="AB12" s="2" t="s">
        <v>33</v>
      </c>
    </row>
    <row r="13" spans="1:28" ht="18.5" x14ac:dyDescent="0.35">
      <c r="A13" s="26" t="s">
        <v>125</v>
      </c>
      <c r="B13" s="2">
        <v>3800</v>
      </c>
      <c r="C13" s="19">
        <f t="shared" si="0"/>
        <v>63.333459999999995</v>
      </c>
      <c r="D13" s="19">
        <f t="shared" si="1"/>
        <v>1.0555564</v>
      </c>
      <c r="E13" s="3">
        <f t="shared" si="2"/>
        <v>1.0555563999999999E-3</v>
      </c>
      <c r="F13" s="19">
        <f t="shared" si="3"/>
        <v>2.2222239999999998</v>
      </c>
      <c r="G13" s="19">
        <f t="shared" si="4"/>
        <v>4.9382795061759985</v>
      </c>
      <c r="H13" s="19">
        <f t="shared" si="5"/>
        <v>4.3196479001599997</v>
      </c>
      <c r="I13" s="20">
        <v>7.5869064516129052</v>
      </c>
      <c r="J13" s="20">
        <f t="shared" si="6"/>
        <v>75.869064516129058</v>
      </c>
      <c r="K13" s="21">
        <f t="shared" si="7"/>
        <v>7586.9064516129056</v>
      </c>
      <c r="L13" s="3">
        <f t="shared" si="8"/>
        <v>31901.67507002801</v>
      </c>
      <c r="M13" s="4">
        <f t="shared" ref="M13:M16" si="13">(X$16*G13*N13)/8</f>
        <v>37.854837862564381</v>
      </c>
      <c r="N13" s="4">
        <f t="shared" si="10"/>
        <v>5.9829013870958368E-2</v>
      </c>
      <c r="O13" s="4">
        <f t="shared" ref="O13:O16" si="14">N13/4</f>
        <v>1.4957253467739592E-2</v>
      </c>
      <c r="P13" s="4">
        <f t="shared" ref="P13:P16" si="15">3.7*(10^(-1/(2*SQRT(N13)))-2.51/(L13*SQRT(N13)))</f>
        <v>3.2232844153301368E-2</v>
      </c>
      <c r="R13" s="22">
        <v>0.6</v>
      </c>
      <c r="S13" s="23">
        <f t="shared" si="9"/>
        <v>8613.4453781512602</v>
      </c>
      <c r="T13" s="23">
        <f t="shared" si="11"/>
        <v>3.031018767518447E-2</v>
      </c>
      <c r="U13" s="23">
        <f t="shared" si="12"/>
        <v>8.2107391955722319E-3</v>
      </c>
      <c r="V13" s="25"/>
      <c r="W13" s="1" t="s">
        <v>34</v>
      </c>
      <c r="X13" s="40">
        <f>X$17/X$16</f>
        <v>1.1121951219512194E-6</v>
      </c>
    </row>
    <row r="14" spans="1:28" ht="16.5" x14ac:dyDescent="0.4">
      <c r="A14" s="2">
        <v>35</v>
      </c>
      <c r="B14" s="2">
        <v>3100</v>
      </c>
      <c r="C14" s="19">
        <f t="shared" si="0"/>
        <v>51.66677</v>
      </c>
      <c r="D14" s="19">
        <f t="shared" si="1"/>
        <v>0.86111179999999998</v>
      </c>
      <c r="E14" s="3">
        <f t="shared" si="2"/>
        <v>8.6111179999999996E-4</v>
      </c>
      <c r="F14" s="19">
        <f t="shared" si="3"/>
        <v>1.8128669473684209</v>
      </c>
      <c r="G14" s="19">
        <f t="shared" si="4"/>
        <v>3.2864865688608971</v>
      </c>
      <c r="H14" s="19">
        <f t="shared" si="5"/>
        <v>3.5239232869726314</v>
      </c>
      <c r="I14" s="20">
        <v>5.14310322580645</v>
      </c>
      <c r="J14" s="20">
        <f t="shared" si="6"/>
        <v>51.431032258064498</v>
      </c>
      <c r="K14" s="21">
        <f t="shared" si="7"/>
        <v>5143.1032258064497</v>
      </c>
      <c r="L14" s="3">
        <f t="shared" si="8"/>
        <v>26025.050715022851</v>
      </c>
      <c r="M14" s="4">
        <f t="shared" si="13"/>
        <v>25.661491935483856</v>
      </c>
      <c r="N14" s="4">
        <f t="shared" si="10"/>
        <v>6.0941924121611306E-2</v>
      </c>
      <c r="O14" s="4">
        <f t="shared" si="14"/>
        <v>1.5235481030402826E-2</v>
      </c>
      <c r="P14" s="4">
        <f t="shared" si="15"/>
        <v>3.3452150869788873E-2</v>
      </c>
      <c r="R14" s="22">
        <v>0.7</v>
      </c>
      <c r="S14" s="23">
        <f t="shared" si="9"/>
        <v>10049.019607843138</v>
      </c>
      <c r="T14" s="23">
        <f>0.292/(S14^(0.25))</f>
        <v>2.9164324918123638E-2</v>
      </c>
      <c r="U14" s="23">
        <f t="shared" si="12"/>
        <v>7.9003359624095198E-3</v>
      </c>
      <c r="V14" s="25"/>
      <c r="W14" s="1" t="s">
        <v>35</v>
      </c>
      <c r="X14" s="2">
        <v>0.8</v>
      </c>
      <c r="AA14" s="27" t="s">
        <v>36</v>
      </c>
      <c r="AB14" s="1" t="s">
        <v>37</v>
      </c>
    </row>
    <row r="15" spans="1:28" x14ac:dyDescent="0.35">
      <c r="A15" s="2">
        <v>30</v>
      </c>
      <c r="B15" s="2">
        <v>2400</v>
      </c>
      <c r="C15" s="19">
        <f t="shared" si="0"/>
        <v>40.000079999999997</v>
      </c>
      <c r="D15" s="19">
        <f t="shared" si="1"/>
        <v>0.66666720000000002</v>
      </c>
      <c r="E15" s="3">
        <f t="shared" si="2"/>
        <v>6.6666719999999998E-4</v>
      </c>
      <c r="F15" s="19">
        <f t="shared" si="3"/>
        <v>1.4035098947368421</v>
      </c>
      <c r="G15" s="19">
        <f t="shared" si="4"/>
        <v>1.9698400246242216</v>
      </c>
      <c r="H15" s="19">
        <f t="shared" si="5"/>
        <v>2.728198673785263</v>
      </c>
      <c r="I15" s="20">
        <v>2.9627677419354841</v>
      </c>
      <c r="J15" s="20">
        <f t="shared" si="6"/>
        <v>29.627677419354839</v>
      </c>
      <c r="K15" s="21">
        <f t="shared" si="7"/>
        <v>2962.7677419354841</v>
      </c>
      <c r="L15" s="3">
        <f t="shared" si="8"/>
        <v>20148.426360017693</v>
      </c>
      <c r="M15" s="4">
        <f t="shared" si="13"/>
        <v>14.782717199783139</v>
      </c>
      <c r="N15" s="4">
        <f t="shared" si="10"/>
        <v>5.8571916263061637E-2</v>
      </c>
      <c r="O15" s="4">
        <f t="shared" si="14"/>
        <v>1.4642979065765409E-2</v>
      </c>
      <c r="P15" s="4">
        <f t="shared" si="15"/>
        <v>2.9880713457103997E-2</v>
      </c>
      <c r="R15" s="22">
        <v>0.8</v>
      </c>
      <c r="S15" s="23">
        <f t="shared" si="9"/>
        <v>11484.593837535014</v>
      </c>
      <c r="T15" s="23">
        <f t="shared" si="11"/>
        <v>2.8206807930823231E-2</v>
      </c>
      <c r="U15" s="23">
        <f t="shared" si="12"/>
        <v>7.6409537922195814E-3</v>
      </c>
      <c r="V15" s="25"/>
    </row>
    <row r="16" spans="1:28" x14ac:dyDescent="0.35">
      <c r="A16" s="2">
        <v>25</v>
      </c>
      <c r="B16" s="2">
        <v>1700</v>
      </c>
      <c r="C16" s="19">
        <f t="shared" si="0"/>
        <v>28.333389999999998</v>
      </c>
      <c r="D16" s="19">
        <f t="shared" si="1"/>
        <v>0.47222259999999999</v>
      </c>
      <c r="E16" s="3">
        <f t="shared" si="2"/>
        <v>4.7222259999999999E-4</v>
      </c>
      <c r="F16" s="19">
        <f t="shared" si="3"/>
        <v>0.99415284210526311</v>
      </c>
      <c r="G16" s="19">
        <f t="shared" si="4"/>
        <v>0.98833987346597219</v>
      </c>
      <c r="H16" s="19">
        <f t="shared" si="5"/>
        <v>1.9324740605978947</v>
      </c>
      <c r="I16" s="20">
        <v>1.1495193548387086</v>
      </c>
      <c r="J16" s="20">
        <f t="shared" si="6"/>
        <v>11.495193548387086</v>
      </c>
      <c r="K16" s="21">
        <f t="shared" si="7"/>
        <v>1149.5193548387085</v>
      </c>
      <c r="L16" s="3">
        <f t="shared" si="8"/>
        <v>14271.802005012531</v>
      </c>
      <c r="M16" s="4">
        <f t="shared" si="13"/>
        <v>5.7355219910544797</v>
      </c>
      <c r="N16" s="4">
        <f t="shared" si="10"/>
        <v>4.5293173824196717E-2</v>
      </c>
      <c r="O16" s="4">
        <f t="shared" si="14"/>
        <v>1.1323293456049179E-2</v>
      </c>
      <c r="P16" s="4">
        <f t="shared" si="15"/>
        <v>1.3493232861649718E-2</v>
      </c>
      <c r="Q16" s="20"/>
      <c r="R16" s="22">
        <v>0.9</v>
      </c>
      <c r="S16" s="23">
        <f t="shared" si="9"/>
        <v>12920.168067226892</v>
      </c>
      <c r="T16" s="23">
        <f t="shared" si="11"/>
        <v>2.7388346313087116E-2</v>
      </c>
      <c r="U16" s="23">
        <f t="shared" si="12"/>
        <v>7.4192403882369553E-3</v>
      </c>
      <c r="V16" s="25"/>
      <c r="W16" s="2" t="s">
        <v>38</v>
      </c>
      <c r="X16" s="2">
        <f>VLOOKUP(X18, [1]SW!$A$4:$F$34, 3, FALSE)</f>
        <v>1025</v>
      </c>
    </row>
    <row r="17" spans="1:30" x14ac:dyDescent="0.35">
      <c r="B17" s="145"/>
      <c r="C17" s="19"/>
      <c r="D17" s="19"/>
      <c r="E17" s="3"/>
      <c r="F17" s="19"/>
      <c r="G17" s="19"/>
      <c r="H17" s="19"/>
      <c r="I17" s="145"/>
      <c r="J17" s="20"/>
      <c r="K17" s="21"/>
      <c r="R17" s="22">
        <v>1</v>
      </c>
      <c r="S17" s="23">
        <f t="shared" si="9"/>
        <v>14355.742296918768</v>
      </c>
      <c r="T17" s="23">
        <f t="shared" si="11"/>
        <v>2.6676351917340312E-2</v>
      </c>
      <c r="U17" s="23">
        <f t="shared" si="12"/>
        <v>7.2263679337726677E-3</v>
      </c>
      <c r="V17" s="25"/>
      <c r="W17" s="2" t="s">
        <v>39</v>
      </c>
      <c r="X17" s="2">
        <f>VLOOKUP(X18, [1]SW!$A$4:$F$34, 5, FALSE)</f>
        <v>1.14E-3</v>
      </c>
    </row>
    <row r="18" spans="1:30" x14ac:dyDescent="0.35">
      <c r="B18" s="18"/>
      <c r="C18" s="19"/>
      <c r="D18" s="19"/>
      <c r="E18" s="3"/>
      <c r="F18" s="19"/>
      <c r="G18" s="19"/>
      <c r="H18" s="19"/>
      <c r="I18" s="20"/>
      <c r="J18" s="20"/>
      <c r="K18" s="21"/>
      <c r="Q18" s="22"/>
      <c r="R18" s="22">
        <v>1.1000000000000001</v>
      </c>
      <c r="S18" s="23">
        <f t="shared" si="9"/>
        <v>15791.316526610646</v>
      </c>
      <c r="T18" s="23">
        <f t="shared" si="11"/>
        <v>2.6048232927331428E-2</v>
      </c>
      <c r="U18" s="23">
        <f t="shared" si="12"/>
        <v>7.0562165224380691E-3</v>
      </c>
      <c r="V18" s="25"/>
      <c r="W18" s="2" t="s">
        <v>161</v>
      </c>
      <c r="X18" s="2">
        <v>18</v>
      </c>
    </row>
    <row r="19" spans="1:30" x14ac:dyDescent="0.35">
      <c r="B19" s="18"/>
      <c r="C19" s="19"/>
      <c r="D19" s="19"/>
      <c r="E19" s="3"/>
      <c r="F19" s="19"/>
      <c r="G19" s="19"/>
      <c r="H19" s="19"/>
      <c r="I19" s="20"/>
      <c r="J19" s="20"/>
      <c r="K19" s="21"/>
      <c r="R19" s="22">
        <v>1.2</v>
      </c>
      <c r="S19" s="23">
        <f t="shared" si="9"/>
        <v>17226.89075630252</v>
      </c>
      <c r="T19" s="23">
        <f t="shared" si="11"/>
        <v>2.5487728161729936E-2</v>
      </c>
      <c r="U19" s="23">
        <f t="shared" si="12"/>
        <v>6.9043811561398574E-3</v>
      </c>
      <c r="V19" s="25"/>
      <c r="W19" s="1"/>
      <c r="X19" s="1"/>
      <c r="AA19" s="36" t="s">
        <v>40</v>
      </c>
      <c r="AB19" s="37"/>
      <c r="AC19" s="37"/>
      <c r="AD19" s="37"/>
    </row>
    <row r="20" spans="1:30" x14ac:dyDescent="0.35">
      <c r="A20" s="26"/>
      <c r="B20" s="18"/>
      <c r="C20" s="19"/>
      <c r="D20" s="19"/>
      <c r="E20" s="3"/>
      <c r="F20" s="19"/>
      <c r="G20" s="19"/>
      <c r="H20" s="19"/>
      <c r="I20" s="20"/>
      <c r="J20" s="20"/>
      <c r="K20" s="21"/>
      <c r="R20" s="22">
        <v>1.3</v>
      </c>
      <c r="S20" s="23">
        <f t="shared" si="9"/>
        <v>18662.4649859944</v>
      </c>
      <c r="T20" s="23">
        <f t="shared" si="11"/>
        <v>2.4982770589304339E-2</v>
      </c>
      <c r="U20" s="23">
        <f t="shared" si="12"/>
        <v>6.7675929918286758E-3</v>
      </c>
      <c r="V20" s="25"/>
      <c r="AA20" s="38" t="s">
        <v>41</v>
      </c>
      <c r="AB20" s="37" t="s">
        <v>42</v>
      </c>
      <c r="AC20" s="37" t="s">
        <v>43</v>
      </c>
      <c r="AD20" s="37" t="s">
        <v>44</v>
      </c>
    </row>
    <row r="21" spans="1:30" x14ac:dyDescent="0.35">
      <c r="A21" s="26"/>
      <c r="B21" s="18"/>
      <c r="C21" s="19"/>
      <c r="D21" s="19"/>
      <c r="E21" s="3"/>
      <c r="F21" s="19"/>
      <c r="G21" s="19"/>
      <c r="H21" s="19"/>
      <c r="I21" s="20"/>
      <c r="J21" s="20"/>
      <c r="K21" s="21"/>
      <c r="R21" s="22">
        <v>1.4</v>
      </c>
      <c r="S21" s="23">
        <f t="shared" si="9"/>
        <v>20098.039215686276</v>
      </c>
      <c r="T21" s="23">
        <f t="shared" si="11"/>
        <v>2.452417627694475E-2</v>
      </c>
      <c r="U21" s="23">
        <f t="shared" si="12"/>
        <v>6.6433641900901707E-3</v>
      </c>
      <c r="V21" s="25"/>
      <c r="W21" s="1" t="s">
        <v>45</v>
      </c>
      <c r="X21" s="1">
        <f>4*10^(-6)</f>
        <v>3.9999999999999998E-6</v>
      </c>
      <c r="AA21" s="38" t="s">
        <v>46</v>
      </c>
      <c r="AB21" s="37" t="s">
        <v>47</v>
      </c>
      <c r="AC21" s="37" t="s">
        <v>48</v>
      </c>
      <c r="AD21" s="37" t="s">
        <v>49</v>
      </c>
    </row>
    <row r="22" spans="1:30" x14ac:dyDescent="0.35">
      <c r="A22" s="26"/>
      <c r="B22" s="18"/>
      <c r="C22" s="19"/>
      <c r="D22" s="19"/>
      <c r="E22" s="3"/>
      <c r="G22" s="19"/>
      <c r="H22" s="19"/>
      <c r="I22" s="20"/>
      <c r="J22" s="20"/>
      <c r="K22" s="21"/>
      <c r="R22" s="22">
        <v>1.5</v>
      </c>
      <c r="S22" s="23">
        <f t="shared" si="9"/>
        <v>21533.613445378152</v>
      </c>
      <c r="T22" s="23">
        <f t="shared" si="11"/>
        <v>2.4104805041510025E-2</v>
      </c>
      <c r="U22" s="23">
        <f t="shared" si="12"/>
        <v>6.5297605437789142E-3</v>
      </c>
      <c r="V22" s="25"/>
      <c r="W22" s="1" t="s">
        <v>50</v>
      </c>
      <c r="X22" s="2">
        <f>X21/X12</f>
        <v>2.5052631578947367E-4</v>
      </c>
      <c r="AA22" s="37">
        <v>0</v>
      </c>
      <c r="AB22" s="37">
        <v>1.792E-3</v>
      </c>
      <c r="AC22" s="37">
        <v>999.87</v>
      </c>
      <c r="AD22" s="39">
        <v>1.7922329902887374E-6</v>
      </c>
    </row>
    <row r="23" spans="1:30" x14ac:dyDescent="0.35">
      <c r="A23" s="26"/>
      <c r="B23" s="18"/>
      <c r="C23" s="19"/>
      <c r="D23" s="19"/>
      <c r="E23" s="3"/>
      <c r="F23" s="19"/>
      <c r="G23" s="19"/>
      <c r="H23" s="19"/>
      <c r="I23" s="20"/>
      <c r="J23" s="20"/>
      <c r="K23" s="21"/>
      <c r="R23" s="22">
        <v>1.6</v>
      </c>
      <c r="S23" s="23">
        <f t="shared" si="9"/>
        <v>22969.187675070028</v>
      </c>
      <c r="T23" s="23">
        <f t="shared" si="11"/>
        <v>2.3719003674779301E-2</v>
      </c>
      <c r="U23" s="23">
        <f t="shared" si="12"/>
        <v>6.4252506529967222E-3</v>
      </c>
      <c r="V23" s="25"/>
      <c r="AA23" s="37">
        <v>5</v>
      </c>
      <c r="AB23" s="37">
        <v>1.519E-3</v>
      </c>
      <c r="AC23" s="37">
        <v>999.99</v>
      </c>
      <c r="AD23" s="39">
        <v>1.5190151901519014E-6</v>
      </c>
    </row>
    <row r="24" spans="1:30" x14ac:dyDescent="0.35">
      <c r="B24" s="18"/>
      <c r="C24" s="19"/>
      <c r="D24" s="19"/>
      <c r="E24" s="3"/>
      <c r="F24" s="3"/>
      <c r="G24" s="19"/>
      <c r="H24" s="19"/>
      <c r="I24" s="19"/>
      <c r="J24" s="20"/>
      <c r="K24" s="21"/>
      <c r="R24" s="22">
        <v>1.7</v>
      </c>
      <c r="S24" s="23">
        <f t="shared" si="9"/>
        <v>24404.761904761905</v>
      </c>
      <c r="T24" s="23">
        <f t="shared" si="11"/>
        <v>2.3362225291761372E-2</v>
      </c>
      <c r="U24" s="23">
        <f t="shared" si="12"/>
        <v>6.3286028101997415E-3</v>
      </c>
      <c r="V24" s="25"/>
      <c r="W24" s="40"/>
      <c r="AA24" s="37">
        <f>AA23+5</f>
        <v>10</v>
      </c>
      <c r="AB24" s="37">
        <v>1.3079999999999999E-3</v>
      </c>
      <c r="AC24" s="37">
        <v>999.73</v>
      </c>
      <c r="AD24" s="39">
        <v>1.3083532553789522E-6</v>
      </c>
    </row>
    <row r="25" spans="1:30" x14ac:dyDescent="0.35">
      <c r="B25" s="18"/>
      <c r="C25" s="19"/>
      <c r="D25" s="19"/>
      <c r="E25" s="3"/>
      <c r="F25" s="3"/>
      <c r="G25" s="19"/>
      <c r="H25" s="19"/>
      <c r="I25" s="19"/>
      <c r="J25" s="20"/>
      <c r="K25" s="21"/>
      <c r="R25" s="22">
        <v>1.8</v>
      </c>
      <c r="S25" s="23">
        <f t="shared" si="9"/>
        <v>25840.336134453784</v>
      </c>
      <c r="T25" s="23">
        <f t="shared" si="11"/>
        <v>2.3030762234402244E-2</v>
      </c>
      <c r="U25" s="23">
        <f t="shared" si="12"/>
        <v>6.2388126463740331E-3</v>
      </c>
      <c r="V25" s="4"/>
      <c r="W25" s="40"/>
      <c r="AA25" s="37" t="e">
        <f>#REF!+5</f>
        <v>#REF!</v>
      </c>
      <c r="AB25" s="37">
        <v>1.005E-3</v>
      </c>
      <c r="AC25" s="37">
        <v>998.23</v>
      </c>
      <c r="AD25" s="39">
        <v>1.0067820041473407E-6</v>
      </c>
    </row>
    <row r="26" spans="1:30" x14ac:dyDescent="0.35">
      <c r="B26" s="18"/>
      <c r="C26" s="19"/>
      <c r="D26" s="19"/>
      <c r="E26" s="3"/>
      <c r="F26" s="3"/>
      <c r="G26" s="19"/>
      <c r="H26" s="19"/>
      <c r="I26" s="19"/>
      <c r="J26" s="20"/>
      <c r="K26" s="21"/>
      <c r="R26" s="22">
        <v>1.9</v>
      </c>
      <c r="S26" s="23">
        <f t="shared" si="9"/>
        <v>27275.91036414566</v>
      </c>
      <c r="T26" s="23">
        <f t="shared" si="11"/>
        <v>2.2721554364037024E-2</v>
      </c>
      <c r="U26" s="23">
        <f t="shared" si="12"/>
        <v>6.155051199299072E-3</v>
      </c>
      <c r="V26" s="4"/>
      <c r="W26" s="40"/>
      <c r="AA26" s="37">
        <v>25</v>
      </c>
      <c r="AB26" s="37">
        <v>8.9400000000000005E-4</v>
      </c>
      <c r="AC26" s="37">
        <v>997.07</v>
      </c>
      <c r="AD26" s="39">
        <v>8.9662711745414066E-7</v>
      </c>
    </row>
    <row r="27" spans="1:30" x14ac:dyDescent="0.35">
      <c r="N27" s="22"/>
      <c r="R27" s="22">
        <v>2</v>
      </c>
      <c r="S27" s="23">
        <f t="shared" si="9"/>
        <v>28711.484593837537</v>
      </c>
      <c r="T27" s="23">
        <f t="shared" si="11"/>
        <v>2.2432048699338021E-2</v>
      </c>
      <c r="U27" s="23">
        <f t="shared" si="12"/>
        <v>6.076626890813828E-3</v>
      </c>
      <c r="V27" s="4"/>
      <c r="W27" s="40"/>
    </row>
    <row r="28" spans="1:30" x14ac:dyDescent="0.35">
      <c r="K28" s="1"/>
      <c r="L28" s="4"/>
      <c r="N28" s="22"/>
      <c r="R28" s="22">
        <v>2.1</v>
      </c>
      <c r="S28" s="23">
        <f t="shared" si="9"/>
        <v>30147.058823529416</v>
      </c>
      <c r="T28" s="23">
        <f t="shared" si="11"/>
        <v>2.2160094820728303E-2</v>
      </c>
      <c r="U28" s="23">
        <f t="shared" si="12"/>
        <v>6.0029571928753725E-3</v>
      </c>
      <c r="V28" s="4"/>
      <c r="W28" s="40"/>
    </row>
    <row r="29" spans="1:30" x14ac:dyDescent="0.35">
      <c r="R29" s="22">
        <v>2.2000000000000002</v>
      </c>
      <c r="S29" s="23">
        <f t="shared" si="9"/>
        <v>31582.633053221292</v>
      </c>
      <c r="T29" s="23">
        <f t="shared" si="11"/>
        <v>2.1903865692286768E-2</v>
      </c>
      <c r="U29" s="23">
        <f t="shared" si="12"/>
        <v>5.9335471789722033E-3</v>
      </c>
      <c r="V29" s="4"/>
      <c r="W29" s="40"/>
    </row>
    <row r="30" spans="1:30" x14ac:dyDescent="0.35">
      <c r="L30" s="41"/>
      <c r="R30" s="22">
        <v>2.2999999999999998</v>
      </c>
      <c r="S30" s="23">
        <f t="shared" si="9"/>
        <v>33018.207282913165</v>
      </c>
      <c r="T30" s="23">
        <f t="shared" si="11"/>
        <v>2.1661796872450706E-2</v>
      </c>
      <c r="U30" s="23">
        <f t="shared" si="12"/>
        <v>5.8679730568864759E-3</v>
      </c>
      <c r="V30" s="4"/>
      <c r="W30" s="40"/>
    </row>
    <row r="31" spans="1:30" x14ac:dyDescent="0.35">
      <c r="R31" s="22">
        <v>2.4</v>
      </c>
      <c r="S31" s="23">
        <f t="shared" si="9"/>
        <v>34453.781512605041</v>
      </c>
      <c r="T31" s="23">
        <f t="shared" si="11"/>
        <v>2.1432539244159853E-2</v>
      </c>
      <c r="U31" s="23">
        <f t="shared" si="12"/>
        <v>5.8058693637433037E-3</v>
      </c>
      <c r="V31" s="4"/>
      <c r="W31" s="40"/>
    </row>
    <row r="32" spans="1:30" x14ac:dyDescent="0.35">
      <c r="F32" s="1"/>
      <c r="G32" s="1"/>
      <c r="R32" s="22">
        <v>2.5</v>
      </c>
      <c r="S32" s="23">
        <f t="shared" si="9"/>
        <v>35889.355742296917</v>
      </c>
      <c r="T32" s="23">
        <f t="shared" si="11"/>
        <v>2.1214921830149534E-2</v>
      </c>
      <c r="U32" s="23">
        <f t="shared" si="12"/>
        <v>5.7469188930302333E-3</v>
      </c>
      <c r="V32" s="4"/>
      <c r="W32" s="40"/>
    </row>
    <row r="33" spans="7:24" x14ac:dyDescent="0.35">
      <c r="G33" s="19"/>
      <c r="V33" s="4"/>
      <c r="W33" s="40"/>
    </row>
    <row r="34" spans="7:24" x14ac:dyDescent="0.35">
      <c r="G34" s="19"/>
      <c r="V34" s="4"/>
      <c r="W34" s="40"/>
      <c r="X34" s="1" t="s">
        <v>51</v>
      </c>
    </row>
    <row r="35" spans="7:24" x14ac:dyDescent="0.35">
      <c r="G35" s="19"/>
      <c r="V35" s="4"/>
      <c r="W35" s="40"/>
    </row>
    <row r="36" spans="7:24" x14ac:dyDescent="0.35">
      <c r="G36" s="19"/>
      <c r="V36" s="4"/>
      <c r="W36" s="40"/>
    </row>
    <row r="37" spans="7:24" x14ac:dyDescent="0.35">
      <c r="G37" s="19"/>
      <c r="V37" s="4"/>
    </row>
    <row r="38" spans="7:24" x14ac:dyDescent="0.35">
      <c r="G38" s="19"/>
      <c r="V38" s="4"/>
    </row>
    <row r="39" spans="7:24" x14ac:dyDescent="0.35">
      <c r="Q39" s="22"/>
      <c r="V39" s="4"/>
    </row>
    <row r="40" spans="7:24" x14ac:dyDescent="0.35">
      <c r="R40" s="4"/>
      <c r="S40" s="16"/>
      <c r="T40" s="16"/>
      <c r="U40" s="4"/>
      <c r="V40" s="4"/>
    </row>
    <row r="41" spans="7:24" x14ac:dyDescent="0.35">
      <c r="R41" s="4"/>
      <c r="S41" s="16"/>
      <c r="T41" s="16"/>
      <c r="U41" s="4"/>
      <c r="V41" s="4"/>
    </row>
    <row r="42" spans="7:24" x14ac:dyDescent="0.35">
      <c r="R42" s="4"/>
      <c r="S42" s="16"/>
      <c r="T42" s="16"/>
      <c r="U42" s="4"/>
      <c r="V42" s="4"/>
    </row>
    <row r="43" spans="7:24" x14ac:dyDescent="0.35">
      <c r="R43" s="4"/>
      <c r="S43" s="16"/>
      <c r="T43" s="16"/>
      <c r="U43" s="4"/>
      <c r="V43" s="4"/>
    </row>
    <row r="44" spans="7:24" x14ac:dyDescent="0.35">
      <c r="R44" s="4"/>
      <c r="S44" s="16"/>
      <c r="T44" s="16"/>
      <c r="U44" s="4"/>
      <c r="V44" s="4"/>
    </row>
    <row r="45" spans="7:24" x14ac:dyDescent="0.35">
      <c r="R45" s="4"/>
      <c r="S45" s="16"/>
      <c r="T45" s="16"/>
    </row>
    <row r="46" spans="7:24" x14ac:dyDescent="0.35">
      <c r="R46" s="4"/>
      <c r="S46" s="16"/>
      <c r="T46" s="16"/>
    </row>
    <row r="47" spans="7:24" x14ac:dyDescent="0.35">
      <c r="R47" s="4"/>
      <c r="S47" s="16"/>
      <c r="T47" s="16"/>
    </row>
    <row r="48" spans="7:24" x14ac:dyDescent="0.35">
      <c r="R48" s="4"/>
      <c r="S48" s="16"/>
      <c r="T48" s="16"/>
    </row>
    <row r="49" spans="18:20" x14ac:dyDescent="0.35">
      <c r="R49" s="4"/>
      <c r="S49" s="16"/>
      <c r="T49" s="16"/>
    </row>
    <row r="50" spans="18:20" x14ac:dyDescent="0.35">
      <c r="R50" s="4"/>
      <c r="S50" s="16"/>
      <c r="T50" s="16"/>
    </row>
    <row r="51" spans="18:20" x14ac:dyDescent="0.35">
      <c r="R51" s="4"/>
      <c r="S51" s="16"/>
      <c r="T51" s="16"/>
    </row>
    <row r="52" spans="18:20" x14ac:dyDescent="0.35">
      <c r="R52" s="4"/>
      <c r="S52" s="16"/>
      <c r="T52" s="16"/>
    </row>
    <row r="53" spans="18:20" x14ac:dyDescent="0.35">
      <c r="R53" s="4"/>
      <c r="S53" s="16"/>
      <c r="T53" s="16"/>
    </row>
    <row r="54" spans="18:20" x14ac:dyDescent="0.35">
      <c r="R54" s="4"/>
      <c r="S54" s="16"/>
      <c r="T54" s="16"/>
    </row>
    <row r="55" spans="18:20" x14ac:dyDescent="0.35">
      <c r="R55" s="4"/>
    </row>
  </sheetData>
  <mergeCells count="2">
    <mergeCell ref="A4:N4"/>
    <mergeCell ref="W6:X6"/>
  </mergeCells>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80F26-671C-4F97-B563-953A6AF362C3}">
  <dimension ref="A1:AD57"/>
  <sheetViews>
    <sheetView zoomScale="60" zoomScaleNormal="60" zoomScalePageLayoutView="90" workbookViewId="0">
      <selection activeCell="P13" sqref="A13:P14"/>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07421875" style="2" bestFit="1" customWidth="1"/>
    <col min="11" max="11" width="10.4609375" style="2" customWidth="1"/>
    <col min="12" max="12" width="8.53515625" style="3" customWidth="1"/>
    <col min="13" max="13" width="7.69140625" style="4" bestFit="1" customWidth="1"/>
    <col min="14" max="14" width="10.69140625" style="4" bestFit="1" customWidth="1"/>
    <col min="15" max="15" width="10.3046875" style="4" customWidth="1"/>
    <col min="16" max="16" width="27.23046875" style="4" customWidth="1"/>
    <col min="17" max="17" width="8.4609375" style="4" customWidth="1"/>
    <col min="18" max="18" width="10.23046875" style="2" customWidth="1"/>
    <col min="19" max="19" width="13.84375" style="2" customWidth="1"/>
    <col min="20" max="22" width="10" style="2" customWidth="1"/>
    <col min="23" max="23" width="21" style="2" customWidth="1"/>
    <col min="24" max="24" width="8.69140625" style="2" customWidth="1"/>
    <col min="25" max="25" width="8.69140625" style="2"/>
    <col min="26" max="26" width="22" style="2" customWidth="1"/>
    <col min="27" max="27" width="35.84375" style="2" customWidth="1"/>
    <col min="28" max="28" width="16.84375" style="2" customWidth="1"/>
    <col min="29" max="16384" width="8.69140625" style="2"/>
  </cols>
  <sheetData>
    <row r="1" spans="1:28" x14ac:dyDescent="0.35">
      <c r="A1" s="2" t="s">
        <v>138</v>
      </c>
      <c r="M1" s="96" t="s">
        <v>129</v>
      </c>
      <c r="N1" s="22" t="s">
        <v>130</v>
      </c>
    </row>
    <row r="2" spans="1:28" x14ac:dyDescent="0.35">
      <c r="A2" s="1"/>
      <c r="I2" s="1"/>
      <c r="J2" s="1"/>
    </row>
    <row r="3" spans="1:28" x14ac:dyDescent="0.35">
      <c r="A3" s="1"/>
      <c r="I3" s="1"/>
      <c r="J3" s="1"/>
    </row>
    <row r="4" spans="1:28" x14ac:dyDescent="0.35">
      <c r="A4" s="150" t="s">
        <v>3</v>
      </c>
      <c r="B4" s="150"/>
      <c r="C4" s="150"/>
      <c r="D4" s="150"/>
      <c r="E4" s="150"/>
      <c r="F4" s="150"/>
      <c r="G4" s="150"/>
      <c r="H4" s="150"/>
      <c r="I4" s="150"/>
      <c r="J4" s="150"/>
      <c r="K4" s="150"/>
      <c r="L4" s="150"/>
      <c r="M4" s="150"/>
      <c r="N4" s="150"/>
      <c r="O4" s="124"/>
      <c r="P4" s="124"/>
      <c r="Q4" s="125"/>
    </row>
    <row r="6" spans="1:28" ht="19" x14ac:dyDescent="0.4">
      <c r="A6" s="138"/>
      <c r="B6" s="139" t="s">
        <v>4</v>
      </c>
      <c r="C6" s="139" t="s">
        <v>5</v>
      </c>
      <c r="D6" s="140" t="s">
        <v>6</v>
      </c>
      <c r="E6" s="140" t="s">
        <v>7</v>
      </c>
      <c r="F6" s="140" t="s">
        <v>8</v>
      </c>
      <c r="G6" s="140" t="s">
        <v>9</v>
      </c>
      <c r="H6" s="140" t="s">
        <v>10</v>
      </c>
      <c r="I6" s="139" t="s">
        <v>11</v>
      </c>
      <c r="J6" s="139" t="s">
        <v>12</v>
      </c>
      <c r="K6" s="139" t="s">
        <v>13</v>
      </c>
      <c r="L6" s="141" t="s">
        <v>14</v>
      </c>
      <c r="M6" s="142" t="s">
        <v>15</v>
      </c>
      <c r="N6" s="143" t="s">
        <v>16</v>
      </c>
      <c r="O6" s="22" t="s">
        <v>17</v>
      </c>
      <c r="P6" s="22" t="s">
        <v>18</v>
      </c>
      <c r="Q6" s="22"/>
      <c r="R6" s="15" t="s">
        <v>19</v>
      </c>
      <c r="S6" s="16" t="s">
        <v>14</v>
      </c>
      <c r="T6" s="15" t="s">
        <v>20</v>
      </c>
      <c r="U6" s="16" t="s">
        <v>21</v>
      </c>
      <c r="V6" s="1"/>
      <c r="W6" s="151" t="s">
        <v>22</v>
      </c>
      <c r="X6" s="151"/>
    </row>
    <row r="7" spans="1:28" x14ac:dyDescent="0.35">
      <c r="A7" s="144" t="s">
        <v>23</v>
      </c>
      <c r="B7" s="18">
        <v>0</v>
      </c>
      <c r="C7" s="19">
        <f t="shared" ref="C7:C18" si="0">B7*0.0166667</f>
        <v>0</v>
      </c>
      <c r="D7" s="19">
        <f t="shared" ref="D7:D18" si="1">B7*0.000277778</f>
        <v>0</v>
      </c>
      <c r="E7" s="3">
        <f t="shared" ref="E7:E18" si="2">0.001*D7</f>
        <v>0</v>
      </c>
      <c r="F7" s="19">
        <f t="shared" ref="F7:F18" si="3">E7/X$8</f>
        <v>0</v>
      </c>
      <c r="G7" s="19">
        <f t="shared" ref="G7:G18" si="4">F7^(2)</f>
        <v>0</v>
      </c>
      <c r="H7" s="19">
        <f t="shared" ref="H7:H18" si="5">F7*1.94384</f>
        <v>0</v>
      </c>
      <c r="I7" s="20">
        <v>0</v>
      </c>
      <c r="J7" s="20">
        <f t="shared" ref="J7:J18" si="6">I7 * 10</f>
        <v>0</v>
      </c>
      <c r="K7" s="21">
        <f t="shared" ref="K7:K18" si="7">J7*100</f>
        <v>0</v>
      </c>
      <c r="L7" s="3">
        <f t="shared" ref="L7:L18" si="8">(F7*X$12)/X$15</f>
        <v>0</v>
      </c>
      <c r="R7" s="22">
        <v>0</v>
      </c>
      <c r="S7" s="23">
        <f t="shared" ref="S7:S34" si="9">(R7*X$12)/X$15</f>
        <v>0</v>
      </c>
      <c r="T7" s="23"/>
      <c r="U7" s="23"/>
    </row>
    <row r="8" spans="1:28" x14ac:dyDescent="0.35">
      <c r="A8" s="2">
        <v>25</v>
      </c>
      <c r="B8" s="2">
        <f>AVERAGE('[1] 2 MMSHE P40'!B8,'[1] 3 MMSHE P40'!B8,'[1] 4 MMSHE P40'!B8)</f>
        <v>1583.3333333333333</v>
      </c>
      <c r="C8" s="19">
        <f>I8*0.0166667</f>
        <v>2.1644545081118269E-2</v>
      </c>
      <c r="D8" s="19">
        <f t="shared" si="1"/>
        <v>0.43981516666666665</v>
      </c>
      <c r="E8" s="3">
        <f t="shared" si="2"/>
        <v>4.3981516666666666E-4</v>
      </c>
      <c r="F8" s="19">
        <f t="shared" si="3"/>
        <v>0.93827235555555555</v>
      </c>
      <c r="G8" s="19">
        <f t="shared" si="4"/>
        <v>0.88035501319977083</v>
      </c>
      <c r="H8" s="19">
        <f t="shared" si="5"/>
        <v>1.8238513356231112</v>
      </c>
      <c r="I8" s="2">
        <f>AVERAGE('[1] 2 MMSHE P40'!I8,'[1] 3 MMSHE P40'!I8,'[1] 4 MMSHE P40'!I8)</f>
        <v>1.2986701075268812</v>
      </c>
      <c r="J8" s="20">
        <f t="shared" si="6"/>
        <v>12.986701075268812</v>
      </c>
      <c r="K8" s="21">
        <f t="shared" si="7"/>
        <v>1298.6701075268811</v>
      </c>
      <c r="L8" s="3">
        <f t="shared" si="8"/>
        <v>13320.348538011694</v>
      </c>
      <c r="M8" s="4">
        <f>(X$18*G8*N8)/8</f>
        <v>6.4079117147707949</v>
      </c>
      <c r="N8" s="4">
        <f t="shared" ref="N8:N18" si="10">(K8*2*X$12)/(X$16*X$18*G8)</f>
        <v>5.681000134179838E-2</v>
      </c>
      <c r="O8" s="4">
        <f>N8/4</f>
        <v>1.4202500335449595E-2</v>
      </c>
      <c r="P8" s="4">
        <f>3.7*(10^(-1/(2*SQRT(N8)))-2.51/(L8*SQRT(N8)))</f>
        <v>2.6616386199944626E-2</v>
      </c>
      <c r="R8" s="22">
        <v>0.1</v>
      </c>
      <c r="S8" s="23">
        <f>(R8*X$12)/X$15</f>
        <v>1419.6675900277007</v>
      </c>
      <c r="T8" s="23">
        <f t="shared" ref="T8:T34" si="11">0.292/(S8^(0.25))</f>
        <v>4.757033222569397E-2</v>
      </c>
      <c r="U8" s="23">
        <f>0.0791/(S8^0.25)</f>
        <v>1.2886346846069841E-2</v>
      </c>
      <c r="V8" s="25"/>
      <c r="W8" s="1" t="s">
        <v>24</v>
      </c>
      <c r="X8" s="2">
        <f>X$10*X$11</f>
        <v>4.6874999999999998E-4</v>
      </c>
    </row>
    <row r="9" spans="1:28" x14ac:dyDescent="0.35">
      <c r="A9" s="2">
        <v>30</v>
      </c>
      <c r="B9" s="2">
        <f>AVERAGE('[1] 2 MMSHE P40'!B9,'[1] 3 MMSHE P40'!B9,'[1] 4 MMSHE P40'!B9)</f>
        <v>2350</v>
      </c>
      <c r="C9" s="19">
        <f>I9*0.0166667</f>
        <v>5.0385301487247298E-2</v>
      </c>
      <c r="D9" s="19">
        <f t="shared" si="1"/>
        <v>0.65277830000000003</v>
      </c>
      <c r="E9" s="3">
        <f t="shared" si="2"/>
        <v>6.5277830000000001E-4</v>
      </c>
      <c r="F9" s="19">
        <f>E9/X$8</f>
        <v>1.3925937066666667</v>
      </c>
      <c r="G9" s="19">
        <f t="shared" si="4"/>
        <v>1.9393172318476062</v>
      </c>
      <c r="H9" s="19">
        <f t="shared" si="5"/>
        <v>2.7069793507669333</v>
      </c>
      <c r="I9" s="2">
        <f>AVERAGE('[1] 2 MMSHE P40'!I9,'[1] 3 MMSHE P40'!I9,'[1] 4 MMSHE P40'!I9)</f>
        <v>3.0231120430107521</v>
      </c>
      <c r="J9" s="20">
        <f t="shared" si="6"/>
        <v>30.23112043010752</v>
      </c>
      <c r="K9" s="21">
        <f t="shared" si="7"/>
        <v>3023.1120430107521</v>
      </c>
      <c r="L9" s="3">
        <f t="shared" si="8"/>
        <v>19770.201514312095</v>
      </c>
      <c r="M9" s="4">
        <f>(X$18*G9*N9)/8</f>
        <v>14.91667126485568</v>
      </c>
      <c r="N9" s="4">
        <f t="shared" si="10"/>
        <v>6.0032880750009968E-2</v>
      </c>
      <c r="O9" s="4">
        <f>N9/4</f>
        <v>1.5008220187502492E-2</v>
      </c>
      <c r="P9" s="4">
        <f>3.7*(10^(-1/(2*SQRT(N9)))-2.51/(L9*SQRT(N9)))</f>
        <v>3.1774212724139168E-2</v>
      </c>
      <c r="R9" s="22">
        <v>0.2</v>
      </c>
      <c r="S9" s="23">
        <f t="shared" si="9"/>
        <v>2839.3351800554015</v>
      </c>
      <c r="T9" s="23">
        <f t="shared" si="11"/>
        <v>4.0001721841014311E-2</v>
      </c>
      <c r="U9" s="23">
        <f t="shared" ref="U9:U34" si="12">0.0791/(S9^0.25)</f>
        <v>1.0836082868576138E-2</v>
      </c>
      <c r="V9" s="25"/>
      <c r="W9" s="2" t="s">
        <v>25</v>
      </c>
    </row>
    <row r="10" spans="1:28" ht="19" x14ac:dyDescent="0.4">
      <c r="A10" s="2">
        <v>35</v>
      </c>
      <c r="B10" s="2">
        <f>AVERAGE('[1] 2 MMSHE P40'!B10,'[1] 3 MMSHE P40'!B10,'[1] 4 MMSHE P40'!B10)</f>
        <v>3033.3333333333335</v>
      </c>
      <c r="C10" s="19">
        <f>I10*0.0166667</f>
        <v>8.393923956273118E-2</v>
      </c>
      <c r="D10" s="19">
        <f t="shared" si="1"/>
        <v>0.84259326666666678</v>
      </c>
      <c r="E10" s="3">
        <f t="shared" si="2"/>
        <v>8.4259326666666682E-4</v>
      </c>
      <c r="F10" s="19">
        <f t="shared" si="3"/>
        <v>1.7975323022222227</v>
      </c>
      <c r="G10" s="19">
        <f t="shared" si="4"/>
        <v>3.2311223775323241</v>
      </c>
      <c r="H10" s="19">
        <f t="shared" si="5"/>
        <v>3.4941151903516454</v>
      </c>
      <c r="I10" s="2">
        <f>AVERAGE('[1] 2 MMSHE P40'!I10,'[1] 3 MMSHE P40'!I10,'[1] 4 MMSHE P40'!I10)</f>
        <v>5.0363443010752684</v>
      </c>
      <c r="J10" s="20">
        <f t="shared" si="6"/>
        <v>50.363443010752682</v>
      </c>
      <c r="K10" s="21">
        <f t="shared" si="7"/>
        <v>5036.344301075268</v>
      </c>
      <c r="L10" s="3">
        <f t="shared" si="8"/>
        <v>25518.983514927677</v>
      </c>
      <c r="M10" s="4">
        <f>(X$18*G10*N10)/8</f>
        <v>24.850383064516116</v>
      </c>
      <c r="N10" s="4">
        <f t="shared" si="10"/>
        <v>6.0026884352227826E-2</v>
      </c>
      <c r="O10" s="4">
        <f>N10/4</f>
        <v>1.5006721088056956E-2</v>
      </c>
      <c r="P10" s="4">
        <f>3.7*(10^(-1/(2*SQRT(N10)))-2.51/(L10*SQRT(N10)))</f>
        <v>3.2198131447965996E-2</v>
      </c>
      <c r="R10" s="22">
        <v>0.3</v>
      </c>
      <c r="S10" s="23">
        <f t="shared" si="9"/>
        <v>4259.0027700831015</v>
      </c>
      <c r="T10" s="23">
        <f t="shared" si="11"/>
        <v>3.6145636003384232E-2</v>
      </c>
      <c r="U10" s="23">
        <f t="shared" si="12"/>
        <v>9.791506191327716E-3</v>
      </c>
      <c r="V10" s="25"/>
      <c r="W10" s="1" t="s">
        <v>26</v>
      </c>
      <c r="X10" s="19">
        <v>0.05</v>
      </c>
      <c r="AA10" s="27" t="s">
        <v>27</v>
      </c>
    </row>
    <row r="11" spans="1:28" ht="18.5" x14ac:dyDescent="0.35">
      <c r="A11" s="2">
        <v>40</v>
      </c>
      <c r="B11" s="2">
        <f>AVERAGE('[1] 2 MMSHE P40'!B11,'[1] 3 MMSHE P40'!B11,'[1] 4 MMSHE P40'!B11)</f>
        <v>3750</v>
      </c>
      <c r="C11" s="19">
        <f>I11*0.0166667</f>
        <v>0.12327985587821502</v>
      </c>
      <c r="D11" s="19">
        <f t="shared" si="1"/>
        <v>1.0416675</v>
      </c>
      <c r="E11" s="3">
        <f t="shared" si="2"/>
        <v>1.0416675E-3</v>
      </c>
      <c r="F11" s="19">
        <f t="shared" si="3"/>
        <v>2.2222240000000002</v>
      </c>
      <c r="G11" s="19">
        <f t="shared" si="4"/>
        <v>4.9382795061760012</v>
      </c>
      <c r="H11" s="19">
        <f t="shared" si="5"/>
        <v>4.3196479001600006</v>
      </c>
      <c r="I11" s="2">
        <f>AVERAGE('[1] 2 MMSHE P40'!I11,'[1] 3 MMSHE P40'!I11,'[1] 4 MMSHE P40'!I11)</f>
        <v>7.3967765591397834</v>
      </c>
      <c r="J11" s="20">
        <f t="shared" si="6"/>
        <v>73.967765591397836</v>
      </c>
      <c r="K11" s="21">
        <f t="shared" si="7"/>
        <v>7396.7765591397838</v>
      </c>
      <c r="L11" s="3">
        <f t="shared" si="8"/>
        <v>31548.193905817174</v>
      </c>
      <c r="M11" s="4">
        <f>(X$18*G11*N11)/8</f>
        <v>36.497252758913397</v>
      </c>
      <c r="N11" s="4">
        <f t="shared" si="10"/>
        <v>5.7683370603584451E-2</v>
      </c>
      <c r="O11" s="4">
        <f>N11/4</f>
        <v>1.4420842650896113E-2</v>
      </c>
      <c r="P11" s="4">
        <f>3.7*(10^(-1/(2*SQRT(N11)))-2.51/(L11*SQRT(N11)))</f>
        <v>2.9420371686323377E-2</v>
      </c>
      <c r="R11" s="22">
        <v>0.4</v>
      </c>
      <c r="S11" s="23">
        <f t="shared" si="9"/>
        <v>5678.6703601108029</v>
      </c>
      <c r="T11" s="23">
        <f t="shared" si="11"/>
        <v>3.3637304500085154E-2</v>
      </c>
      <c r="U11" s="23">
        <f t="shared" si="12"/>
        <v>9.1120232395778614E-3</v>
      </c>
      <c r="V11" s="25"/>
      <c r="W11" s="1" t="s">
        <v>28</v>
      </c>
      <c r="X11" s="19">
        <f>AVERAGE('[1] 1 MMSHE P40'!X11,'[1] 2 MMSHE P40'!X11,'[1] 3 MMSHE P40'!X11,'[1] 4 MMSHE P40'!X11)</f>
        <v>9.3749999999999997E-3</v>
      </c>
      <c r="AA11" s="28" t="s">
        <v>29</v>
      </c>
      <c r="AB11" s="2" t="s">
        <v>30</v>
      </c>
    </row>
    <row r="12" spans="1:28" ht="16.5" x14ac:dyDescent="0.4">
      <c r="A12" s="2">
        <v>45</v>
      </c>
      <c r="B12" s="2">
        <f>AVERAGE('[1] 2 MMSHE P40'!B12,'[1] 3 MMSHE P40'!B12,'[1] 4 MMSHE P40'!B12)</f>
        <v>4366.666666666667</v>
      </c>
      <c r="C12" s="19">
        <f>I12*0.0166667</f>
        <v>0.14228233115907524</v>
      </c>
      <c r="D12" s="19">
        <f t="shared" si="1"/>
        <v>1.2129639333333335</v>
      </c>
      <c r="E12" s="3">
        <f t="shared" si="2"/>
        <v>1.2129639333333336E-3</v>
      </c>
      <c r="F12" s="19">
        <f t="shared" si="3"/>
        <v>2.5876563911111119</v>
      </c>
      <c r="G12" s="19">
        <f t="shared" si="4"/>
        <v>6.6959655984581836</v>
      </c>
      <c r="H12" s="19">
        <f t="shared" si="5"/>
        <v>5.029989999297424</v>
      </c>
      <c r="I12" s="2">
        <f>AVERAGE('[1] 2 MMSHE P40'!I12,'[1] 3 MMSHE P40'!I12,'[1] 4 MMSHE P40'!I12)</f>
        <v>8.5369227956989224</v>
      </c>
      <c r="J12" s="20">
        <f t="shared" si="6"/>
        <v>85.369227956989221</v>
      </c>
      <c r="K12" s="21">
        <f t="shared" si="7"/>
        <v>8536.9227956989216</v>
      </c>
      <c r="L12" s="3">
        <f t="shared" si="8"/>
        <v>36736.119125884892</v>
      </c>
      <c r="M12" s="4">
        <f>(X$18*G12*N12)/8</f>
        <v>42.122974320882832</v>
      </c>
      <c r="N12" s="4">
        <f t="shared" si="10"/>
        <v>4.9098919758802838E-2</v>
      </c>
      <c r="O12" s="4">
        <f>N12/4</f>
        <v>1.2274729939700709E-2</v>
      </c>
      <c r="P12" s="4">
        <f>3.7*(10^(-1/(2*SQRT(N12)))-2.51/(L12*SQRT(N12)))</f>
        <v>1.9356962059447258E-2</v>
      </c>
      <c r="R12" s="22">
        <v>0.5</v>
      </c>
      <c r="S12" s="23">
        <f t="shared" si="9"/>
        <v>7098.3379501385034</v>
      </c>
      <c r="T12" s="23">
        <f t="shared" si="11"/>
        <v>3.1812198480440292E-2</v>
      </c>
      <c r="U12" s="23">
        <f t="shared" si="12"/>
        <v>8.6176195198726969E-3</v>
      </c>
      <c r="V12" s="25"/>
      <c r="W12" s="1" t="s">
        <v>31</v>
      </c>
      <c r="X12" s="4">
        <f>2*(X10*X11)/(X10+X11)</f>
        <v>1.5789473684210523E-2</v>
      </c>
      <c r="Y12" s="1">
        <f>10*X12*100</f>
        <v>15.789473684210522</v>
      </c>
      <c r="AA12" s="27" t="s">
        <v>32</v>
      </c>
      <c r="AB12" s="2" t="s">
        <v>33</v>
      </c>
    </row>
    <row r="13" spans="1:28" s="98" customFormat="1" x14ac:dyDescent="0.35">
      <c r="A13" s="98">
        <v>50</v>
      </c>
      <c r="B13" s="98">
        <f>AVERAGE('[1] 1 MMSHE P40'!B13)</f>
        <v>5250</v>
      </c>
      <c r="C13" s="103">
        <f t="shared" ref="C13:C14" si="13">I13*0.0166667</f>
        <v>0.11914251606233332</v>
      </c>
      <c r="D13" s="103">
        <f t="shared" si="1"/>
        <v>1.4583345000000001</v>
      </c>
      <c r="E13" s="110">
        <f t="shared" si="2"/>
        <v>1.4583345000000001E-3</v>
      </c>
      <c r="F13" s="103">
        <f t="shared" si="3"/>
        <v>3.1111136000000004</v>
      </c>
      <c r="G13" s="103">
        <f t="shared" si="4"/>
        <v>9.6790278321049623</v>
      </c>
      <c r="H13" s="103">
        <f t="shared" si="5"/>
        <v>6.0475070602240004</v>
      </c>
      <c r="I13" s="98">
        <f>AVERAGEA('[1] 1 MMSHE P40'!I13)</f>
        <v>7.1485366666666659</v>
      </c>
      <c r="J13" s="111">
        <f t="shared" si="6"/>
        <v>71.485366666666664</v>
      </c>
      <c r="K13" s="112">
        <f t="shared" si="7"/>
        <v>7148.5366666666669</v>
      </c>
      <c r="L13" s="110">
        <f t="shared" si="8"/>
        <v>44167.471468144046</v>
      </c>
      <c r="M13" s="96">
        <f t="shared" ref="M13:M18" si="14">(X$18*G13*N13)/8</f>
        <v>35.272384868421042</v>
      </c>
      <c r="N13" s="96">
        <f t="shared" si="10"/>
        <v>2.8442594355863719E-2</v>
      </c>
      <c r="O13" s="96">
        <f t="shared" ref="O13:O18" si="15">N13/4</f>
        <v>7.1106485889659296E-3</v>
      </c>
      <c r="P13" s="96">
        <f t="shared" ref="P13:P14" si="16">3.7*(10^(-1/(2*SQRT(N13)))-2.51/(L13*SQRT(N13)))</f>
        <v>2.7662321327655407E-3</v>
      </c>
      <c r="Q13" s="96"/>
      <c r="R13" s="96"/>
      <c r="S13" s="113"/>
      <c r="T13" s="113"/>
      <c r="U13" s="113"/>
      <c r="V13" s="114"/>
      <c r="X13" s="96"/>
      <c r="AA13" s="146"/>
    </row>
    <row r="14" spans="1:28" s="98" customFormat="1" x14ac:dyDescent="0.35">
      <c r="A14" s="98">
        <v>45</v>
      </c>
      <c r="B14" s="98">
        <f>AVERAGE('[1] 1 MMSHE P40'!B14)</f>
        <v>4450</v>
      </c>
      <c r="C14" s="103">
        <f t="shared" si="13"/>
        <v>0.1126311392403226</v>
      </c>
      <c r="D14" s="103">
        <f t="shared" si="1"/>
        <v>1.2361120999999999</v>
      </c>
      <c r="E14" s="110">
        <f t="shared" si="2"/>
        <v>1.2361121E-3</v>
      </c>
      <c r="F14" s="103">
        <f t="shared" si="3"/>
        <v>2.6370391466666665</v>
      </c>
      <c r="G14" s="103">
        <f t="shared" si="4"/>
        <v>6.9539754610524609</v>
      </c>
      <c r="H14" s="103">
        <f t="shared" si="5"/>
        <v>5.1259821748565333</v>
      </c>
      <c r="I14" s="103">
        <f>AVERAGE('[1] 1 MMSHE P40'!I14)</f>
        <v>6.7578548387096786</v>
      </c>
      <c r="J14" s="111">
        <f t="shared" si="6"/>
        <v>67.578548387096788</v>
      </c>
      <c r="K14" s="112">
        <f t="shared" si="7"/>
        <v>6757.8548387096789</v>
      </c>
      <c r="L14" s="110">
        <f t="shared" si="8"/>
        <v>37437.190101569708</v>
      </c>
      <c r="M14" s="96">
        <f t="shared" si="14"/>
        <v>33.344678480475388</v>
      </c>
      <c r="N14" s="96">
        <f t="shared" si="10"/>
        <v>3.7424801190845347E-2</v>
      </c>
      <c r="O14" s="96">
        <f t="shared" si="15"/>
        <v>9.3562002977113368E-3</v>
      </c>
      <c r="P14" s="96">
        <f t="shared" si="16"/>
        <v>8.3475543707484078E-3</v>
      </c>
      <c r="Q14" s="96"/>
      <c r="R14" s="96"/>
      <c r="S14" s="113"/>
      <c r="T14" s="113"/>
      <c r="U14" s="113"/>
      <c r="V14" s="114"/>
      <c r="X14" s="96"/>
      <c r="AA14" s="146"/>
    </row>
    <row r="15" spans="1:28" ht="18.5" x14ac:dyDescent="0.35">
      <c r="A15" s="26" t="s">
        <v>125</v>
      </c>
      <c r="B15" s="2">
        <f>AVERAGE('[1] 2 MMSHE P40'!B13,'[1] 3 MMSHE P40'!B13,'[1] 4 MMSHE P40'!B13)</f>
        <v>3700</v>
      </c>
      <c r="C15" s="19">
        <f t="shared" si="0"/>
        <v>61.666789999999999</v>
      </c>
      <c r="D15" s="19">
        <f t="shared" si="1"/>
        <v>1.0277786</v>
      </c>
      <c r="E15" s="3">
        <f t="shared" si="2"/>
        <v>1.0277786E-3</v>
      </c>
      <c r="F15" s="19">
        <f t="shared" si="3"/>
        <v>2.1925943466666666</v>
      </c>
      <c r="G15" s="19">
        <f t="shared" si="4"/>
        <v>4.807469969034627</v>
      </c>
      <c r="H15" s="19">
        <f t="shared" si="5"/>
        <v>4.2620525948245334</v>
      </c>
      <c r="I15" s="20">
        <f>AVERAGE('[1] 2 MMSHE P40'!I13,'[1] 3 MMSHE P40'!I13,'[1] 4 MMSHE P40'!I13)</f>
        <v>7.3986378494623652</v>
      </c>
      <c r="J15" s="20">
        <f t="shared" si="6"/>
        <v>73.986378494623651</v>
      </c>
      <c r="K15" s="21">
        <f t="shared" si="7"/>
        <v>7398.637849462365</v>
      </c>
      <c r="L15" s="3">
        <f t="shared" si="8"/>
        <v>31127.551320406277</v>
      </c>
      <c r="M15" s="4">
        <f t="shared" si="14"/>
        <v>36.50643675721561</v>
      </c>
      <c r="N15" s="4">
        <f t="shared" si="10"/>
        <v>5.9267824598143212E-2</v>
      </c>
      <c r="O15" s="4">
        <f t="shared" si="15"/>
        <v>1.4816956149535803E-2</v>
      </c>
      <c r="P15" s="4">
        <f t="shared" ref="P15:P18" si="17">3.7*(10^(-1/(2*SQRT(N15)))-2.51/(L15*SQRT(N15)))</f>
        <v>3.1462644506699285E-2</v>
      </c>
      <c r="R15" s="22">
        <v>0.6</v>
      </c>
      <c r="S15" s="23">
        <f t="shared" si="9"/>
        <v>8518.005540166203</v>
      </c>
      <c r="T15" s="23">
        <f t="shared" si="11"/>
        <v>3.0394735742311399E-2</v>
      </c>
      <c r="U15" s="23">
        <f t="shared" si="12"/>
        <v>8.2336424562220283E-3</v>
      </c>
      <c r="V15" s="25"/>
      <c r="W15" s="1" t="s">
        <v>34</v>
      </c>
      <c r="X15" s="40">
        <f>X$19/X$18</f>
        <v>1.1121951219512194E-6</v>
      </c>
    </row>
    <row r="16" spans="1:28" ht="16.5" x14ac:dyDescent="0.4">
      <c r="A16" s="2">
        <v>35</v>
      </c>
      <c r="B16" s="2">
        <f>AVERAGE('[1] 2 MMSHE P40'!B14,'[1] 3 MMSHE P40'!B14,'[1] 4 MMSHE P40'!B14)</f>
        <v>3016.6666666666665</v>
      </c>
      <c r="C16" s="19">
        <f t="shared" si="0"/>
        <v>50.277878333333327</v>
      </c>
      <c r="D16" s="19">
        <f t="shared" si="1"/>
        <v>0.83796363333333335</v>
      </c>
      <c r="E16" s="3">
        <f t="shared" si="2"/>
        <v>8.3796363333333331E-4</v>
      </c>
      <c r="F16" s="19">
        <f t="shared" si="3"/>
        <v>1.7876557511111111</v>
      </c>
      <c r="G16" s="19">
        <f t="shared" si="4"/>
        <v>3.1957130844806305</v>
      </c>
      <c r="H16" s="19">
        <f t="shared" si="5"/>
        <v>3.4749167552398221</v>
      </c>
      <c r="I16" s="20">
        <f>AVERAGE('[1] 2 MMSHE P40'!I14,'[1] 3 MMSHE P40'!I14,'[1] 4 MMSHE P40'!I14)</f>
        <v>4.8648937634408584</v>
      </c>
      <c r="J16" s="20">
        <f t="shared" si="6"/>
        <v>48.648937634408583</v>
      </c>
      <c r="K16" s="21">
        <f t="shared" si="7"/>
        <v>4864.8937634408585</v>
      </c>
      <c r="L16" s="3">
        <f t="shared" si="8"/>
        <v>25378.769319790703</v>
      </c>
      <c r="M16" s="4">
        <f t="shared" si="14"/>
        <v>24.004410016977918</v>
      </c>
      <c r="N16" s="4">
        <f t="shared" si="10"/>
        <v>5.8625880316125402E-2</v>
      </c>
      <c r="O16" s="4">
        <f t="shared" si="15"/>
        <v>1.465647007903135E-2</v>
      </c>
      <c r="P16" s="4">
        <f t="shared" si="17"/>
        <v>3.0343601232084353E-2</v>
      </c>
      <c r="R16" s="22">
        <v>0.7</v>
      </c>
      <c r="S16" s="23">
        <f t="shared" si="9"/>
        <v>9937.6731301939053</v>
      </c>
      <c r="T16" s="23">
        <f>0.292/(S16^(0.25))</f>
        <v>2.9245676684312407E-2</v>
      </c>
      <c r="U16" s="23">
        <f t="shared" si="12"/>
        <v>7.922373375784629E-3</v>
      </c>
      <c r="V16" s="25"/>
      <c r="W16" s="1" t="s">
        <v>35</v>
      </c>
      <c r="X16" s="2">
        <v>0.8</v>
      </c>
      <c r="AA16" s="27" t="s">
        <v>36</v>
      </c>
      <c r="AB16" s="1" t="s">
        <v>37</v>
      </c>
    </row>
    <row r="17" spans="1:30" x14ac:dyDescent="0.35">
      <c r="A17" s="2">
        <v>30</v>
      </c>
      <c r="B17" s="2">
        <f>AVERAGE('[1] 2 MMSHE P40'!B15,'[1] 3 MMSHE P40'!B15,'[1] 4 MMSHE P40'!B15)</f>
        <v>2333.3333333333335</v>
      </c>
      <c r="C17" s="19">
        <f t="shared" si="0"/>
        <v>38.888966666666668</v>
      </c>
      <c r="D17" s="19">
        <f t="shared" si="1"/>
        <v>0.64814866666666671</v>
      </c>
      <c r="E17" s="3">
        <f t="shared" si="2"/>
        <v>6.4814866666666672E-4</v>
      </c>
      <c r="F17" s="19">
        <f t="shared" si="3"/>
        <v>1.3827171555555557</v>
      </c>
      <c r="G17" s="19">
        <f t="shared" si="4"/>
        <v>1.9119067322676468</v>
      </c>
      <c r="H17" s="19">
        <f t="shared" si="5"/>
        <v>2.6877809156551113</v>
      </c>
      <c r="I17" s="20">
        <f>AVERAGE('[1] 2 MMSHE P40'!I15,'[1] 3 MMSHE P40'!I15,'[1] 4 MMSHE P40'!I15)</f>
        <v>2.8725400000000008</v>
      </c>
      <c r="J17" s="20">
        <f t="shared" si="6"/>
        <v>28.725400000000008</v>
      </c>
      <c r="K17" s="21">
        <f t="shared" si="7"/>
        <v>2872.5400000000009</v>
      </c>
      <c r="L17" s="3">
        <f t="shared" si="8"/>
        <v>19629.987319175132</v>
      </c>
      <c r="M17" s="4">
        <f t="shared" si="14"/>
        <v>14.17371710526316</v>
      </c>
      <c r="N17" s="4">
        <f t="shared" si="10"/>
        <v>5.7860632863238823E-2</v>
      </c>
      <c r="O17" s="4">
        <f t="shared" si="15"/>
        <v>1.4465158215809706E-2</v>
      </c>
      <c r="P17" s="4">
        <f t="shared" si="17"/>
        <v>2.8905261874881412E-2</v>
      </c>
      <c r="R17" s="22">
        <v>0.8</v>
      </c>
      <c r="S17" s="23">
        <f t="shared" si="9"/>
        <v>11357.340720221606</v>
      </c>
      <c r="T17" s="23">
        <f t="shared" si="11"/>
        <v>2.8285488772919247E-2</v>
      </c>
      <c r="U17" s="23">
        <f t="shared" si="12"/>
        <v>7.6622676778695638E-3</v>
      </c>
      <c r="V17" s="25"/>
    </row>
    <row r="18" spans="1:30" x14ac:dyDescent="0.35">
      <c r="A18" s="2">
        <v>25</v>
      </c>
      <c r="B18" s="2">
        <f>AVERAGE('[1] 2 MMSHE P40'!B16,'[1] 3 MMSHE P40'!B16,'[1] 4 MMSHE P40'!B16)</f>
        <v>1650</v>
      </c>
      <c r="C18" s="19">
        <f t="shared" si="0"/>
        <v>27.500055</v>
      </c>
      <c r="D18" s="19">
        <f t="shared" si="1"/>
        <v>0.45833370000000001</v>
      </c>
      <c r="E18" s="3">
        <f t="shared" si="2"/>
        <v>4.5833370000000003E-4</v>
      </c>
      <c r="F18" s="19">
        <f t="shared" si="3"/>
        <v>0.97777856000000007</v>
      </c>
      <c r="G18" s="19">
        <f t="shared" si="4"/>
        <v>0.95605091239567375</v>
      </c>
      <c r="H18" s="19">
        <f t="shared" si="5"/>
        <v>1.9006450760704001</v>
      </c>
      <c r="I18" s="20">
        <f>AVERAGE('[1] 2 MMSHE P40'!I16,'[1] 3 MMSHE P40'!I16,'[1] 4 MMSHE P40'!I16)</f>
        <v>1.1215270967741933</v>
      </c>
      <c r="J18" s="20">
        <f t="shared" si="6"/>
        <v>11.215270967741933</v>
      </c>
      <c r="K18" s="21">
        <f t="shared" si="7"/>
        <v>1121.5270967741933</v>
      </c>
      <c r="L18" s="3">
        <f t="shared" si="8"/>
        <v>13881.205318559558</v>
      </c>
      <c r="M18" s="4">
        <f t="shared" si="14"/>
        <v>5.5338508064516096</v>
      </c>
      <c r="N18" s="4">
        <f t="shared" si="10"/>
        <v>4.517649648623024E-2</v>
      </c>
      <c r="O18" s="4">
        <f t="shared" si="15"/>
        <v>1.129412412155756E-2</v>
      </c>
      <c r="P18" s="4">
        <f t="shared" si="17"/>
        <v>1.3287996586646292E-2</v>
      </c>
      <c r="Q18" s="20"/>
      <c r="R18" s="22">
        <v>0.9</v>
      </c>
      <c r="S18" s="23">
        <f t="shared" si="9"/>
        <v>12777.008310249308</v>
      </c>
      <c r="T18" s="23">
        <f t="shared" si="11"/>
        <v>2.7464744115944337E-2</v>
      </c>
      <c r="U18" s="23">
        <f t="shared" si="12"/>
        <v>7.4399358204493057E-3</v>
      </c>
      <c r="V18" s="25"/>
      <c r="W18" s="2" t="s">
        <v>38</v>
      </c>
      <c r="X18" s="2">
        <v>1025</v>
      </c>
    </row>
    <row r="19" spans="1:30" x14ac:dyDescent="0.35">
      <c r="B19" s="145"/>
      <c r="C19" s="19"/>
      <c r="D19" s="19"/>
      <c r="E19" s="3"/>
      <c r="F19" s="19"/>
      <c r="G19" s="19"/>
      <c r="H19" s="19"/>
      <c r="I19" s="145"/>
      <c r="J19" s="20"/>
      <c r="K19" s="21"/>
      <c r="R19" s="22">
        <v>1</v>
      </c>
      <c r="S19" s="23">
        <f t="shared" si="9"/>
        <v>14196.675900277007</v>
      </c>
      <c r="T19" s="23">
        <f t="shared" si="11"/>
        <v>2.6750763663541909E-2</v>
      </c>
      <c r="U19" s="23">
        <f t="shared" si="12"/>
        <v>7.2465253622813882E-3</v>
      </c>
      <c r="V19" s="25"/>
      <c r="W19" s="2" t="s">
        <v>39</v>
      </c>
      <c r="X19" s="2">
        <v>1.14E-3</v>
      </c>
    </row>
    <row r="20" spans="1:30" x14ac:dyDescent="0.35">
      <c r="B20" s="18"/>
      <c r="C20" s="19"/>
      <c r="D20" s="19"/>
      <c r="E20" s="3"/>
      <c r="F20" s="19"/>
      <c r="G20" s="19"/>
      <c r="H20" s="19"/>
      <c r="I20" s="20"/>
      <c r="J20" s="20"/>
      <c r="K20" s="21"/>
      <c r="Q20" s="22"/>
      <c r="R20" s="22">
        <v>1.1000000000000001</v>
      </c>
      <c r="S20" s="23">
        <f t="shared" si="9"/>
        <v>15616.343490304711</v>
      </c>
      <c r="T20" s="23">
        <f t="shared" si="11"/>
        <v>2.6120892581229946E-2</v>
      </c>
      <c r="U20" s="23">
        <f t="shared" si="12"/>
        <v>7.0758993259427711E-3</v>
      </c>
      <c r="V20" s="25"/>
      <c r="W20" s="2" t="s">
        <v>161</v>
      </c>
      <c r="X20" s="2">
        <v>18</v>
      </c>
    </row>
    <row r="21" spans="1:30" x14ac:dyDescent="0.35">
      <c r="B21" s="18"/>
      <c r="C21" s="19"/>
      <c r="D21" s="19"/>
      <c r="E21" s="3"/>
      <c r="F21" s="19"/>
      <c r="G21" s="19"/>
      <c r="H21" s="19"/>
      <c r="I21" s="20"/>
      <c r="J21" s="20"/>
      <c r="K21" s="21"/>
      <c r="R21" s="22">
        <v>1.2</v>
      </c>
      <c r="S21" s="23">
        <f t="shared" si="9"/>
        <v>17036.011080332406</v>
      </c>
      <c r="T21" s="23">
        <f t="shared" si="11"/>
        <v>2.5558824328293605E-2</v>
      </c>
      <c r="U21" s="23">
        <f t="shared" si="12"/>
        <v>6.9236404259178912E-3</v>
      </c>
      <c r="V21" s="25"/>
      <c r="W21" s="1"/>
      <c r="X21" s="1">
        <f>AVERAGE('[1] 1 MMSHE P40'!X18,'[1] 2 MMSHE P40'!X18,'[1] 3 MMSHE P40'!X18,'[1] 4 MMSHE P40'!X18)</f>
        <v>18</v>
      </c>
      <c r="AA21" s="36" t="s">
        <v>40</v>
      </c>
      <c r="AB21" s="37"/>
      <c r="AC21" s="37"/>
      <c r="AD21" s="37"/>
    </row>
    <row r="22" spans="1:30" x14ac:dyDescent="0.35">
      <c r="A22" s="26"/>
      <c r="B22" s="18"/>
      <c r="C22" s="19"/>
      <c r="D22" s="19"/>
      <c r="E22" s="3"/>
      <c r="F22" s="19"/>
      <c r="G22" s="19"/>
      <c r="H22" s="19"/>
      <c r="I22" s="20"/>
      <c r="J22" s="20"/>
      <c r="K22" s="21"/>
      <c r="R22" s="22">
        <v>1.3</v>
      </c>
      <c r="S22" s="23">
        <f t="shared" si="9"/>
        <v>18455.67867036011</v>
      </c>
      <c r="T22" s="23">
        <f t="shared" si="11"/>
        <v>2.5052458213394198E-2</v>
      </c>
      <c r="U22" s="23">
        <f t="shared" si="12"/>
        <v>6.7864707009571276E-3</v>
      </c>
      <c r="V22" s="25"/>
      <c r="AA22" s="38" t="s">
        <v>41</v>
      </c>
      <c r="AB22" s="37" t="s">
        <v>42</v>
      </c>
      <c r="AC22" s="37" t="s">
        <v>43</v>
      </c>
      <c r="AD22" s="37" t="s">
        <v>44</v>
      </c>
    </row>
    <row r="23" spans="1:30" x14ac:dyDescent="0.35">
      <c r="A23" s="26"/>
      <c r="B23" s="18"/>
      <c r="C23" s="19"/>
      <c r="D23" s="19"/>
      <c r="E23" s="3"/>
      <c r="F23" s="19"/>
      <c r="G23" s="19"/>
      <c r="H23" s="19"/>
      <c r="I23" s="20"/>
      <c r="J23" s="20"/>
      <c r="K23" s="21"/>
      <c r="R23" s="22">
        <v>1.4</v>
      </c>
      <c r="S23" s="23">
        <f t="shared" si="9"/>
        <v>19875.346260387811</v>
      </c>
      <c r="T23" s="23">
        <f t="shared" si="11"/>
        <v>2.459258468550744E-2</v>
      </c>
      <c r="U23" s="23">
        <f t="shared" si="12"/>
        <v>6.6618953719987627E-3</v>
      </c>
      <c r="V23" s="25"/>
      <c r="W23" s="1" t="s">
        <v>45</v>
      </c>
      <c r="X23" s="1">
        <f>4*10^(-6)</f>
        <v>3.9999999999999998E-6</v>
      </c>
      <c r="AA23" s="38" t="s">
        <v>46</v>
      </c>
      <c r="AB23" s="37" t="s">
        <v>47</v>
      </c>
      <c r="AC23" s="37" t="s">
        <v>48</v>
      </c>
      <c r="AD23" s="37" t="s">
        <v>49</v>
      </c>
    </row>
    <row r="24" spans="1:30" x14ac:dyDescent="0.35">
      <c r="A24" s="26"/>
      <c r="B24" s="18"/>
      <c r="C24" s="19"/>
      <c r="D24" s="19"/>
      <c r="E24" s="3"/>
      <c r="G24" s="19"/>
      <c r="H24" s="19"/>
      <c r="I24" s="20"/>
      <c r="J24" s="20"/>
      <c r="K24" s="21"/>
      <c r="R24" s="22">
        <v>1.5</v>
      </c>
      <c r="S24" s="23">
        <f t="shared" si="9"/>
        <v>21295.013850415511</v>
      </c>
      <c r="T24" s="23">
        <f t="shared" si="11"/>
        <v>2.4172043644469902E-2</v>
      </c>
      <c r="U24" s="23">
        <f t="shared" si="12"/>
        <v>6.5479748365670186E-3</v>
      </c>
      <c r="V24" s="25"/>
      <c r="W24" s="1" t="s">
        <v>50</v>
      </c>
      <c r="X24" s="2">
        <f>X23/X12</f>
        <v>2.5333333333333338E-4</v>
      </c>
      <c r="AA24" s="37">
        <v>0</v>
      </c>
      <c r="AB24" s="37">
        <v>1.792E-3</v>
      </c>
      <c r="AC24" s="37">
        <v>999.87</v>
      </c>
      <c r="AD24" s="39">
        <v>1.7922329902887374E-6</v>
      </c>
    </row>
    <row r="25" spans="1:30" x14ac:dyDescent="0.35">
      <c r="A25" s="26"/>
      <c r="B25" s="18"/>
      <c r="C25" s="19"/>
      <c r="D25" s="19"/>
      <c r="E25" s="3"/>
      <c r="F25" s="19"/>
      <c r="G25" s="19"/>
      <c r="H25" s="19"/>
      <c r="I25" s="20"/>
      <c r="J25" s="20"/>
      <c r="K25" s="21"/>
      <c r="R25" s="22">
        <v>1.6</v>
      </c>
      <c r="S25" s="23">
        <f t="shared" si="9"/>
        <v>22714.681440443212</v>
      </c>
      <c r="T25" s="23">
        <f t="shared" si="11"/>
        <v>2.3785166112846985E-2</v>
      </c>
      <c r="U25" s="23">
        <f t="shared" si="12"/>
        <v>6.4431734230349204E-3</v>
      </c>
      <c r="V25" s="25"/>
      <c r="AA25" s="37">
        <v>5</v>
      </c>
      <c r="AB25" s="37">
        <v>1.519E-3</v>
      </c>
      <c r="AC25" s="37">
        <v>999.99</v>
      </c>
      <c r="AD25" s="39">
        <v>1.5190151901519014E-6</v>
      </c>
    </row>
    <row r="26" spans="1:30" x14ac:dyDescent="0.35">
      <c r="B26" s="18"/>
      <c r="C26" s="19"/>
      <c r="D26" s="19"/>
      <c r="E26" s="3"/>
      <c r="F26" s="3"/>
      <c r="G26" s="19"/>
      <c r="H26" s="19"/>
      <c r="I26" s="19"/>
      <c r="J26" s="20"/>
      <c r="K26" s="21"/>
      <c r="R26" s="22">
        <v>1.7</v>
      </c>
      <c r="S26" s="23">
        <f t="shared" si="9"/>
        <v>24134.349030470912</v>
      </c>
      <c r="T26" s="23">
        <f t="shared" si="11"/>
        <v>2.3427392522442001E-2</v>
      </c>
      <c r="U26" s="23">
        <f t="shared" si="12"/>
        <v>6.3462559880998722E-3</v>
      </c>
      <c r="V26" s="25"/>
      <c r="W26" s="40"/>
      <c r="AA26" s="37">
        <f>AA25+5</f>
        <v>10</v>
      </c>
      <c r="AB26" s="37">
        <v>1.3079999999999999E-3</v>
      </c>
      <c r="AC26" s="37">
        <v>999.73</v>
      </c>
      <c r="AD26" s="39">
        <v>1.3083532553789522E-6</v>
      </c>
    </row>
    <row r="27" spans="1:30" x14ac:dyDescent="0.35">
      <c r="B27" s="18"/>
      <c r="C27" s="19"/>
      <c r="D27" s="19"/>
      <c r="E27" s="3"/>
      <c r="F27" s="3"/>
      <c r="G27" s="19"/>
      <c r="H27" s="19"/>
      <c r="I27" s="19"/>
      <c r="J27" s="20"/>
      <c r="K27" s="21"/>
      <c r="R27" s="22">
        <v>1.8</v>
      </c>
      <c r="S27" s="23">
        <f t="shared" si="9"/>
        <v>25554.016620498616</v>
      </c>
      <c r="T27" s="23">
        <f t="shared" si="11"/>
        <v>2.3095004872958146E-2</v>
      </c>
      <c r="U27" s="23">
        <f t="shared" si="12"/>
        <v>6.2562153611335257E-3</v>
      </c>
      <c r="V27" s="4"/>
      <c r="W27" s="40"/>
      <c r="AA27" s="37" t="e">
        <f>#REF!+5</f>
        <v>#REF!</v>
      </c>
      <c r="AB27" s="37">
        <v>1.005E-3</v>
      </c>
      <c r="AC27" s="37">
        <v>998.23</v>
      </c>
      <c r="AD27" s="39">
        <v>1.0067820041473407E-6</v>
      </c>
    </row>
    <row r="28" spans="1:30" x14ac:dyDescent="0.35">
      <c r="B28" s="18"/>
      <c r="C28" s="19"/>
      <c r="D28" s="19"/>
      <c r="E28" s="3"/>
      <c r="F28" s="3"/>
      <c r="G28" s="19"/>
      <c r="H28" s="19"/>
      <c r="I28" s="19"/>
      <c r="J28" s="20"/>
      <c r="K28" s="21"/>
      <c r="R28" s="22">
        <v>1.9</v>
      </c>
      <c r="S28" s="23">
        <f t="shared" si="9"/>
        <v>26973.684210526313</v>
      </c>
      <c r="T28" s="23">
        <f t="shared" si="11"/>
        <v>2.2784934489695954E-2</v>
      </c>
      <c r="U28" s="23">
        <f t="shared" si="12"/>
        <v>6.172220267585446E-3</v>
      </c>
      <c r="V28" s="4"/>
      <c r="W28" s="40"/>
      <c r="AA28" s="37">
        <v>25</v>
      </c>
      <c r="AB28" s="37">
        <v>8.9400000000000005E-4</v>
      </c>
      <c r="AC28" s="37">
        <v>997.07</v>
      </c>
      <c r="AD28" s="39">
        <v>8.9662711745414066E-7</v>
      </c>
    </row>
    <row r="29" spans="1:30" x14ac:dyDescent="0.35">
      <c r="N29" s="22"/>
      <c r="R29" s="22">
        <v>2</v>
      </c>
      <c r="S29" s="23">
        <f t="shared" si="9"/>
        <v>28393.351800554014</v>
      </c>
      <c r="T29" s="23">
        <f t="shared" si="11"/>
        <v>2.2494621269971714E-2</v>
      </c>
      <c r="U29" s="23">
        <f t="shared" si="12"/>
        <v>6.0935772001875438E-3</v>
      </c>
      <c r="V29" s="4"/>
      <c r="W29" s="40"/>
    </row>
    <row r="30" spans="1:30" x14ac:dyDescent="0.35">
      <c r="K30" s="1"/>
      <c r="L30" s="4"/>
      <c r="N30" s="22"/>
      <c r="R30" s="22">
        <v>2.1</v>
      </c>
      <c r="S30" s="23">
        <f t="shared" si="9"/>
        <v>29813.019390581718</v>
      </c>
      <c r="T30" s="23">
        <f t="shared" si="11"/>
        <v>2.222190879576931E-2</v>
      </c>
      <c r="U30" s="23">
        <f t="shared" si="12"/>
        <v>6.0197020059772352E-3</v>
      </c>
      <c r="V30" s="4"/>
      <c r="W30" s="40"/>
    </row>
    <row r="31" spans="1:30" x14ac:dyDescent="0.35">
      <c r="R31" s="22">
        <v>2.2000000000000002</v>
      </c>
      <c r="S31" s="23">
        <f t="shared" si="9"/>
        <v>31232.686980609422</v>
      </c>
      <c r="T31" s="23">
        <f t="shared" si="11"/>
        <v>2.1964964934783608E-2</v>
      </c>
      <c r="U31" s="23">
        <f t="shared" si="12"/>
        <v>5.950098377881451E-3</v>
      </c>
      <c r="V31" s="4"/>
      <c r="W31" s="40"/>
    </row>
    <row r="32" spans="1:30" x14ac:dyDescent="0.35">
      <c r="L32" s="41"/>
      <c r="R32" s="22">
        <v>2.2999999999999998</v>
      </c>
      <c r="S32" s="23">
        <f t="shared" si="9"/>
        <v>32652.354570637119</v>
      </c>
      <c r="T32" s="23">
        <f t="shared" si="11"/>
        <v>2.172222088155578E-2</v>
      </c>
      <c r="U32" s="23">
        <f t="shared" si="12"/>
        <v>5.8843413415447347E-3</v>
      </c>
      <c r="V32" s="4"/>
      <c r="W32" s="40"/>
    </row>
    <row r="33" spans="6:24" x14ac:dyDescent="0.35">
      <c r="R33" s="22">
        <v>2.4</v>
      </c>
      <c r="S33" s="23">
        <f t="shared" si="9"/>
        <v>34072.022160664812</v>
      </c>
      <c r="T33" s="23">
        <f t="shared" si="11"/>
        <v>2.149232375576152E-2</v>
      </c>
      <c r="U33" s="23">
        <f t="shared" si="12"/>
        <v>5.8220644146600564E-3</v>
      </c>
      <c r="V33" s="4"/>
      <c r="W33" s="40"/>
    </row>
    <row r="34" spans="6:24" x14ac:dyDescent="0.35">
      <c r="F34" s="1"/>
      <c r="G34" s="1"/>
      <c r="R34" s="22">
        <v>2.5</v>
      </c>
      <c r="S34" s="23">
        <f t="shared" si="9"/>
        <v>35491.689750692516</v>
      </c>
      <c r="T34" s="23">
        <f t="shared" si="11"/>
        <v>2.1274099313780118E-2</v>
      </c>
      <c r="U34" s="23">
        <f t="shared" si="12"/>
        <v>5.7629495058904362E-3</v>
      </c>
      <c r="V34" s="4"/>
      <c r="W34" s="40"/>
    </row>
    <row r="35" spans="6:24" x14ac:dyDescent="0.35">
      <c r="G35" s="19"/>
      <c r="V35" s="4"/>
      <c r="W35" s="40"/>
    </row>
    <row r="36" spans="6:24" x14ac:dyDescent="0.35">
      <c r="G36" s="19"/>
      <c r="V36" s="4"/>
      <c r="W36" s="40"/>
      <c r="X36" s="1" t="s">
        <v>51</v>
      </c>
    </row>
    <row r="37" spans="6:24" x14ac:dyDescent="0.35">
      <c r="G37" s="19"/>
      <c r="V37" s="4"/>
      <c r="W37" s="40"/>
    </row>
    <row r="38" spans="6:24" x14ac:dyDescent="0.35">
      <c r="G38" s="19"/>
      <c r="V38" s="4"/>
      <c r="W38" s="40"/>
    </row>
    <row r="39" spans="6:24" x14ac:dyDescent="0.35">
      <c r="G39" s="19"/>
      <c r="V39" s="4"/>
    </row>
    <row r="40" spans="6:24" x14ac:dyDescent="0.35">
      <c r="G40" s="19"/>
      <c r="V40" s="4"/>
    </row>
    <row r="41" spans="6:24" x14ac:dyDescent="0.35">
      <c r="Q41" s="22"/>
      <c r="V41" s="4"/>
    </row>
    <row r="42" spans="6:24" x14ac:dyDescent="0.35">
      <c r="R42" s="4"/>
      <c r="S42" s="16"/>
      <c r="T42" s="16"/>
      <c r="U42" s="4"/>
      <c r="V42" s="4"/>
    </row>
    <row r="43" spans="6:24" x14ac:dyDescent="0.35">
      <c r="R43" s="4"/>
      <c r="S43" s="16"/>
      <c r="T43" s="16"/>
      <c r="U43" s="4"/>
      <c r="V43" s="4"/>
    </row>
    <row r="44" spans="6:24" x14ac:dyDescent="0.35">
      <c r="R44" s="4"/>
      <c r="S44" s="16"/>
      <c r="T44" s="16"/>
      <c r="U44" s="4"/>
      <c r="V44" s="4"/>
    </row>
    <row r="45" spans="6:24" x14ac:dyDescent="0.35">
      <c r="R45" s="4"/>
      <c r="S45" s="16"/>
      <c r="T45" s="16"/>
      <c r="U45" s="4"/>
      <c r="V45" s="4"/>
    </row>
    <row r="46" spans="6:24" x14ac:dyDescent="0.35">
      <c r="R46" s="4"/>
      <c r="S46" s="16"/>
      <c r="T46" s="16"/>
      <c r="U46" s="4"/>
      <c r="V46" s="4"/>
    </row>
    <row r="47" spans="6:24" x14ac:dyDescent="0.35">
      <c r="R47" s="4"/>
      <c r="S47" s="16"/>
      <c r="T47" s="16"/>
    </row>
    <row r="48" spans="6:24" x14ac:dyDescent="0.35">
      <c r="R48" s="4"/>
      <c r="S48" s="16"/>
      <c r="T48" s="16"/>
    </row>
    <row r="49" spans="18:20" x14ac:dyDescent="0.35">
      <c r="R49" s="4"/>
      <c r="S49" s="16"/>
      <c r="T49" s="16"/>
    </row>
    <row r="50" spans="18:20" x14ac:dyDescent="0.35">
      <c r="R50" s="4"/>
      <c r="S50" s="16"/>
      <c r="T50" s="16"/>
    </row>
    <row r="51" spans="18:20" x14ac:dyDescent="0.35">
      <c r="R51" s="4"/>
      <c r="S51" s="16"/>
      <c r="T51" s="16"/>
    </row>
    <row r="52" spans="18:20" x14ac:dyDescent="0.35">
      <c r="R52" s="4"/>
      <c r="S52" s="16"/>
      <c r="T52" s="16"/>
    </row>
    <row r="53" spans="18:20" x14ac:dyDescent="0.35">
      <c r="R53" s="4"/>
      <c r="S53" s="16"/>
      <c r="T53" s="16"/>
    </row>
    <row r="54" spans="18:20" x14ac:dyDescent="0.35">
      <c r="R54" s="4"/>
      <c r="S54" s="16"/>
      <c r="T54" s="16"/>
    </row>
    <row r="55" spans="18:20" x14ac:dyDescent="0.35">
      <c r="R55" s="4"/>
      <c r="S55" s="16"/>
      <c r="T55" s="16"/>
    </row>
    <row r="56" spans="18:20" x14ac:dyDescent="0.35">
      <c r="R56" s="4"/>
      <c r="S56" s="16"/>
      <c r="T56" s="16"/>
    </row>
    <row r="57" spans="18:20" x14ac:dyDescent="0.35">
      <c r="R57" s="4"/>
    </row>
  </sheetData>
  <mergeCells count="2">
    <mergeCell ref="A4:N4"/>
    <mergeCell ref="W6:X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5611E-33F9-498C-9E91-38CD577AF921}">
  <dimension ref="A2:A4"/>
  <sheetViews>
    <sheetView zoomScale="70" zoomScaleNormal="70" workbookViewId="0">
      <selection activeCell="AH40" sqref="AH40"/>
    </sheetView>
  </sheetViews>
  <sheetFormatPr defaultRowHeight="15.5" x14ac:dyDescent="0.35"/>
  <sheetData>
    <row r="2" spans="1:1" x14ac:dyDescent="0.35">
      <c r="A2" s="52" t="s">
        <v>103</v>
      </c>
    </row>
    <row r="3" spans="1:1" x14ac:dyDescent="0.35">
      <c r="A3" t="s">
        <v>96</v>
      </c>
    </row>
    <row r="4" spans="1:1" x14ac:dyDescent="0.35">
      <c r="A4" s="52" t="s">
        <v>104</v>
      </c>
    </row>
  </sheetData>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E505D-A323-4D30-9A3B-F097EF6AA351}">
  <dimension ref="B22:D26"/>
  <sheetViews>
    <sheetView workbookViewId="0">
      <selection activeCell="D22" sqref="D22"/>
    </sheetView>
  </sheetViews>
  <sheetFormatPr defaultRowHeight="15.5" x14ac:dyDescent="0.35"/>
  <sheetData>
    <row r="22" spans="2:4" x14ac:dyDescent="0.35">
      <c r="C22">
        <v>30000</v>
      </c>
      <c r="D22" s="52" t="s">
        <v>186</v>
      </c>
    </row>
    <row r="23" spans="2:4" x14ac:dyDescent="0.35">
      <c r="B23">
        <v>1</v>
      </c>
      <c r="C23">
        <f>(0.0769*(C22^-0.195))</f>
        <v>1.0301197057793985E-2</v>
      </c>
    </row>
    <row r="24" spans="2:4" x14ac:dyDescent="0.35">
      <c r="B24">
        <v>2</v>
      </c>
      <c r="C24">
        <f>(0.0827*(C22^-0.168))</f>
        <v>1.4633531230433558E-2</v>
      </c>
    </row>
    <row r="25" spans="2:4" x14ac:dyDescent="0.35">
      <c r="B25">
        <v>3</v>
      </c>
      <c r="C25">
        <f>(0.0413*(C22^-0.115))</f>
        <v>1.2620632112253541E-2</v>
      </c>
    </row>
    <row r="26" spans="2:4" x14ac:dyDescent="0.35">
      <c r="B26">
        <v>4</v>
      </c>
      <c r="C26">
        <f>(0.0167*(C22^-0.02))</f>
        <v>1.358857907734414E-2</v>
      </c>
    </row>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BFE3E-0EB0-4AE5-BA79-E4C6527BEB2E}">
  <dimension ref="A1:AG112"/>
  <sheetViews>
    <sheetView topLeftCell="A15" zoomScale="60" zoomScaleNormal="60" zoomScalePageLayoutView="90" workbookViewId="0">
      <selection activeCell="P18" sqref="P18"/>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6.765625" style="4" customWidth="1"/>
    <col min="14" max="14" width="8.4609375" style="4" customWidth="1"/>
    <col min="15" max="15" width="10.3046875" style="4" customWidth="1"/>
    <col min="16" max="16" width="27.23046875" style="4" customWidth="1"/>
    <col min="17" max="17" width="12.765625" style="68" customWidth="1"/>
    <col min="18" max="18" width="10" style="2" customWidth="1"/>
    <col min="19" max="19" width="13.3046875" style="72" bestFit="1" customWidth="1"/>
    <col min="20" max="20" width="8.4609375" style="5" customWidth="1"/>
    <col min="21" max="21" width="10.23046875" style="2" customWidth="1"/>
    <col min="22" max="22" width="13.84375" style="2" customWidth="1"/>
    <col min="23" max="25" width="10" style="2" customWidth="1"/>
    <col min="26" max="26" width="21" style="2" customWidth="1"/>
    <col min="27" max="27" width="8.69140625" style="2" customWidth="1"/>
    <col min="28" max="28" width="8.69140625" style="2"/>
    <col min="29" max="29" width="22" style="2" customWidth="1"/>
    <col min="30" max="30" width="35.84375" style="2" customWidth="1"/>
    <col min="31" max="31" width="16.84375" style="2" customWidth="1"/>
    <col min="32" max="16384" width="8.69140625" style="2"/>
  </cols>
  <sheetData>
    <row r="1" spans="1:31" x14ac:dyDescent="0.35">
      <c r="A1" s="2" t="s">
        <v>79</v>
      </c>
      <c r="I1" s="1"/>
      <c r="J1" s="1"/>
      <c r="Q1" s="69" t="s">
        <v>109</v>
      </c>
    </row>
    <row r="2" spans="1:31" x14ac:dyDescent="0.35">
      <c r="A2" s="2" t="s">
        <v>80</v>
      </c>
      <c r="I2" s="1"/>
      <c r="J2" s="1"/>
      <c r="Q2" s="69" t="s">
        <v>85</v>
      </c>
    </row>
    <row r="3" spans="1:31" x14ac:dyDescent="0.35">
      <c r="A3" s="150" t="s">
        <v>3</v>
      </c>
      <c r="B3" s="150"/>
      <c r="C3" s="150"/>
      <c r="D3" s="150"/>
      <c r="E3" s="150"/>
      <c r="F3" s="150"/>
      <c r="G3" s="150"/>
      <c r="H3" s="150"/>
      <c r="I3" s="150"/>
      <c r="J3" s="150"/>
      <c r="K3" s="150"/>
      <c r="L3" s="150"/>
      <c r="M3" s="150"/>
      <c r="N3" s="150"/>
      <c r="O3" s="6"/>
      <c r="P3" s="6"/>
      <c r="T3" s="7"/>
    </row>
    <row r="4" spans="1:31" x14ac:dyDescent="0.35">
      <c r="Q4" s="152" t="s">
        <v>81</v>
      </c>
      <c r="R4" s="153"/>
      <c r="S4" s="154"/>
    </row>
    <row r="5" spans="1:31"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T5" s="14"/>
      <c r="U5" s="15" t="s">
        <v>19</v>
      </c>
      <c r="V5" s="16" t="s">
        <v>14</v>
      </c>
      <c r="W5" s="15" t="s">
        <v>20</v>
      </c>
      <c r="X5" s="16" t="s">
        <v>21</v>
      </c>
      <c r="Y5" s="1"/>
      <c r="Z5" s="151" t="s">
        <v>22</v>
      </c>
      <c r="AA5" s="151"/>
    </row>
    <row r="6" spans="1:31" x14ac:dyDescent="0.35">
      <c r="A6" s="17" t="s">
        <v>23</v>
      </c>
      <c r="B6" s="18">
        <v>0</v>
      </c>
      <c r="C6" s="19">
        <f t="shared" ref="C6:C11" si="0">B6*0.0166667</f>
        <v>0</v>
      </c>
      <c r="D6" s="19">
        <f t="shared" ref="D6:D11" si="1">B6*0.000277778</f>
        <v>0</v>
      </c>
      <c r="E6" s="3">
        <f t="shared" ref="E6:E11" si="2">0.001*D6</f>
        <v>0</v>
      </c>
      <c r="F6" s="19">
        <f t="shared" ref="F6:F11" si="3">E6/AA$7</f>
        <v>0</v>
      </c>
      <c r="G6" s="19">
        <f t="shared" ref="G6:G11" si="4">F6^(2)</f>
        <v>0</v>
      </c>
      <c r="H6" s="19">
        <f t="shared" ref="H6:H11" si="5">F6*1.94384</f>
        <v>0</v>
      </c>
      <c r="I6" s="20">
        <v>0</v>
      </c>
      <c r="J6" s="20">
        <f t="shared" ref="J6:J11" si="6">I6 * 10</f>
        <v>0</v>
      </c>
      <c r="K6" s="21">
        <f t="shared" ref="K6:K11" si="7">J6*100</f>
        <v>0</v>
      </c>
      <c r="L6" s="3">
        <f t="shared" ref="L6:L11" si="8">(F6*AA$11)/AA$12</f>
        <v>0</v>
      </c>
      <c r="U6" s="22">
        <v>0</v>
      </c>
      <c r="V6" s="23">
        <f t="shared" ref="V6:V31" si="9">(U6*AA$11)/AA$12</f>
        <v>0</v>
      </c>
      <c r="W6" s="23"/>
      <c r="X6" s="23"/>
    </row>
    <row r="7" spans="1:31" x14ac:dyDescent="0.35">
      <c r="A7" s="2">
        <v>25</v>
      </c>
      <c r="B7" s="2">
        <v>1650</v>
      </c>
      <c r="C7" s="19">
        <f t="shared" si="0"/>
        <v>27.500055</v>
      </c>
      <c r="D7" s="19">
        <f t="shared" si="1"/>
        <v>0.45833370000000001</v>
      </c>
      <c r="E7" s="3">
        <f t="shared" si="2"/>
        <v>4.5833370000000003E-4</v>
      </c>
      <c r="F7" s="19">
        <f t="shared" si="3"/>
        <v>1.0185193333333333</v>
      </c>
      <c r="G7" s="19">
        <f t="shared" si="4"/>
        <v>1.0373816323737777</v>
      </c>
      <c r="H7" s="19">
        <f t="shared" si="5"/>
        <v>1.9798386209066667</v>
      </c>
      <c r="I7" s="2">
        <v>2.1436000000000006</v>
      </c>
      <c r="J7" s="20">
        <f t="shared" si="6"/>
        <v>21.436000000000007</v>
      </c>
      <c r="K7" s="21">
        <f t="shared" si="7"/>
        <v>2143.6000000000008</v>
      </c>
      <c r="L7" s="3">
        <f t="shared" si="8"/>
        <v>12651.341840193705</v>
      </c>
      <c r="M7" s="4">
        <f>(AA$15*G7*N7)/8</f>
        <v>10.218432203389833</v>
      </c>
      <c r="N7" s="4">
        <f>(K7*2*AA$11)/(AA$13*AA$15*G7)</f>
        <v>7.6804795978991647E-2</v>
      </c>
      <c r="O7" s="4">
        <f>N7/4</f>
        <v>1.9201198994747912E-2</v>
      </c>
      <c r="P7" s="4">
        <f>3.7*(10^(-1/(2*SQRT(N7)))-2.51/(L7*SQRT(N7)))</f>
        <v>5.5432813067518821E-2</v>
      </c>
      <c r="Q7" s="2">
        <v>1055896.798</v>
      </c>
      <c r="R7" s="2">
        <v>20054.523000000001</v>
      </c>
      <c r="S7" s="2">
        <v>43.577500000000001</v>
      </c>
      <c r="U7" s="22">
        <v>0.1</v>
      </c>
      <c r="V7" s="23">
        <f>(U7*AA$11)/AA$12</f>
        <v>1242.130750605327</v>
      </c>
      <c r="W7" s="23">
        <f t="shared" ref="W7:W31" si="10">0.292/(V7^(0.25))</f>
        <v>4.9185945369652755E-2</v>
      </c>
      <c r="X7" s="23">
        <f>0.0791/(V7^0.25)</f>
        <v>1.3324000954587443E-2</v>
      </c>
      <c r="Y7" s="25"/>
      <c r="Z7" s="1" t="s">
        <v>24</v>
      </c>
      <c r="AA7" s="2">
        <f>AA$9*AA$10</f>
        <v>4.4999999999999999E-4</v>
      </c>
    </row>
    <row r="8" spans="1:31" x14ac:dyDescent="0.35">
      <c r="A8" s="2">
        <v>30</v>
      </c>
      <c r="B8" s="2">
        <v>2200</v>
      </c>
      <c r="C8" s="19">
        <f t="shared" si="0"/>
        <v>36.666739999999997</v>
      </c>
      <c r="D8" s="19">
        <f t="shared" si="1"/>
        <v>0.61111159999999998</v>
      </c>
      <c r="E8" s="3">
        <f t="shared" si="2"/>
        <v>6.111116E-4</v>
      </c>
      <c r="F8" s="19">
        <f t="shared" si="3"/>
        <v>1.3580257777777778</v>
      </c>
      <c r="G8" s="19">
        <f t="shared" si="4"/>
        <v>1.8442340131089383</v>
      </c>
      <c r="H8" s="19">
        <f t="shared" si="5"/>
        <v>2.6397848278755554</v>
      </c>
      <c r="I8" s="2">
        <v>3.2310700000000003</v>
      </c>
      <c r="J8" s="20">
        <f t="shared" si="6"/>
        <v>32.310700000000004</v>
      </c>
      <c r="K8" s="21">
        <f t="shared" si="7"/>
        <v>3231.0700000000006</v>
      </c>
      <c r="L8" s="3">
        <f t="shared" si="8"/>
        <v>16868.455786924937</v>
      </c>
      <c r="M8" s="4">
        <f>(AA$15*G8*N8)/8</f>
        <v>15.402346398305085</v>
      </c>
      <c r="N8" s="4">
        <f>(K8*2*AA$11)/(AA$13*AA$15*G8)</f>
        <v>6.511986405155358E-2</v>
      </c>
      <c r="O8" s="4">
        <f>N8/4</f>
        <v>1.6279966012888395E-2</v>
      </c>
      <c r="P8" s="4">
        <f>3.7*(10^(-1/(2*SQRT(N8)))-2.51/(L8*SQRT(N8)))</f>
        <v>3.8472471901183351E-2</v>
      </c>
      <c r="Q8" s="2">
        <v>1041219.341</v>
      </c>
      <c r="R8" s="2">
        <v>20181.124</v>
      </c>
      <c r="S8" s="2">
        <v>44.473999999999997</v>
      </c>
      <c r="U8" s="22">
        <v>0.2</v>
      </c>
      <c r="V8" s="23">
        <f t="shared" si="9"/>
        <v>2484.2615012106539</v>
      </c>
      <c r="W8" s="23">
        <f t="shared" si="10"/>
        <v>4.1360285142206035E-2</v>
      </c>
      <c r="X8" s="23">
        <f t="shared" ref="X8:X31" si="11">0.0791/(V8^0.25)</f>
        <v>1.1204104639549651E-2</v>
      </c>
      <c r="Y8" s="25"/>
      <c r="Z8" s="2" t="s">
        <v>25</v>
      </c>
    </row>
    <row r="9" spans="1:31" ht="19" x14ac:dyDescent="0.4">
      <c r="A9" s="2">
        <v>35</v>
      </c>
      <c r="B9" s="2">
        <v>2850</v>
      </c>
      <c r="C9" s="19">
        <f t="shared" si="0"/>
        <v>47.500095000000002</v>
      </c>
      <c r="D9" s="19">
        <f t="shared" si="1"/>
        <v>0.79166730000000007</v>
      </c>
      <c r="E9" s="3">
        <f t="shared" si="2"/>
        <v>7.9166730000000012E-4</v>
      </c>
      <c r="F9" s="19">
        <f t="shared" si="3"/>
        <v>1.759260666666667</v>
      </c>
      <c r="G9" s="19">
        <f t="shared" si="4"/>
        <v>3.0949980932804455</v>
      </c>
      <c r="H9" s="19">
        <f t="shared" si="5"/>
        <v>3.419721254293334</v>
      </c>
      <c r="I9" s="2">
        <v>5.1317649999999997</v>
      </c>
      <c r="J9" s="20">
        <f t="shared" si="6"/>
        <v>51.31765</v>
      </c>
      <c r="K9" s="21">
        <f t="shared" si="7"/>
        <v>5131.7650000000003</v>
      </c>
      <c r="L9" s="3">
        <f t="shared" si="8"/>
        <v>21852.317723970948</v>
      </c>
      <c r="M9" s="4">
        <f>(AA$15*G9*N9)/8</f>
        <v>24.462862817796612</v>
      </c>
      <c r="N9" s="4">
        <f>(K9*2*AA$11)/(AA$13*AA$15*G9)</f>
        <v>6.1629624310118925E-2</v>
      </c>
      <c r="O9" s="4">
        <f>N9/4</f>
        <v>1.5407406077529731E-2</v>
      </c>
      <c r="P9" s="4">
        <f>3.7*(10^(-1/(2*SQRT(N9)))-2.51/(L9*SQRT(N9)))</f>
        <v>3.4108326290048251E-2</v>
      </c>
      <c r="Q9" s="2">
        <v>1024953.0035</v>
      </c>
      <c r="R9" s="2">
        <v>19982.637499999997</v>
      </c>
      <c r="S9" s="2">
        <v>43.298000000000002</v>
      </c>
      <c r="U9" s="22">
        <v>0.3</v>
      </c>
      <c r="V9" s="23">
        <f t="shared" si="9"/>
        <v>3726.3922518159807</v>
      </c>
      <c r="W9" s="23">
        <f t="shared" si="10"/>
        <v>3.7373236524371876E-2</v>
      </c>
      <c r="X9" s="23">
        <f t="shared" si="11"/>
        <v>1.0124051400951423E-2</v>
      </c>
      <c r="Y9" s="25"/>
      <c r="Z9" s="1" t="s">
        <v>26</v>
      </c>
      <c r="AA9" s="19">
        <v>0.05</v>
      </c>
      <c r="AD9" s="27" t="s">
        <v>27</v>
      </c>
    </row>
    <row r="10" spans="1:31" ht="18.5" x14ac:dyDescent="0.35">
      <c r="A10" s="2">
        <v>40</v>
      </c>
      <c r="B10" s="2">
        <v>3550</v>
      </c>
      <c r="C10" s="19">
        <f t="shared" si="0"/>
        <v>59.166784999999997</v>
      </c>
      <c r="D10" s="19">
        <f t="shared" si="1"/>
        <v>0.98611190000000004</v>
      </c>
      <c r="E10" s="3">
        <f t="shared" si="2"/>
        <v>9.8611190000000011E-4</v>
      </c>
      <c r="F10" s="19">
        <f t="shared" si="3"/>
        <v>2.191359777777778</v>
      </c>
      <c r="G10" s="19">
        <f t="shared" si="4"/>
        <v>4.8020576756622724</v>
      </c>
      <c r="H10" s="19">
        <f t="shared" si="5"/>
        <v>4.2596527904355561</v>
      </c>
      <c r="I10" s="2">
        <v>7.6645949999999985</v>
      </c>
      <c r="J10" s="20">
        <f t="shared" si="6"/>
        <v>76.645949999999985</v>
      </c>
      <c r="K10" s="21">
        <f t="shared" si="7"/>
        <v>7664.5949999999984</v>
      </c>
      <c r="L10" s="3">
        <f t="shared" si="8"/>
        <v>27219.553656174339</v>
      </c>
      <c r="M10" s="4">
        <f>(AA$15*G10*N10)/8</f>
        <v>36.536734639830492</v>
      </c>
      <c r="N10" s="4">
        <f>(K10*2*AA$11)/(AA$13*AA$15*G10)</f>
        <v>5.9325988783434716E-2</v>
      </c>
      <c r="O10" s="4">
        <f>N10/4</f>
        <v>1.4831497195858679E-2</v>
      </c>
      <c r="P10" s="4">
        <f>3.7*(10^(-1/(2*SQRT(N10)))-2.51/(L10*SQRT(N10)))</f>
        <v>3.1363264933825782E-2</v>
      </c>
      <c r="Q10" s="2">
        <v>1073251.8215000001</v>
      </c>
      <c r="R10" s="2">
        <v>20153.789499999999</v>
      </c>
      <c r="S10" s="2">
        <v>44.072000000000003</v>
      </c>
      <c r="U10" s="22">
        <v>0.4</v>
      </c>
      <c r="V10" s="23">
        <f t="shared" si="9"/>
        <v>4968.5230024213079</v>
      </c>
      <c r="W10" s="23">
        <f t="shared" si="10"/>
        <v>3.4779715509952527E-2</v>
      </c>
      <c r="X10" s="23">
        <f t="shared" si="11"/>
        <v>9.421491427524813E-3</v>
      </c>
      <c r="Y10" s="25"/>
      <c r="Z10" s="1" t="s">
        <v>28</v>
      </c>
      <c r="AA10" s="19">
        <v>8.9999999999999993E-3</v>
      </c>
      <c r="AD10" s="28" t="s">
        <v>29</v>
      </c>
      <c r="AE10" s="2" t="s">
        <v>30</v>
      </c>
    </row>
    <row r="11" spans="1:31" ht="16.5" x14ac:dyDescent="0.4">
      <c r="A11" s="2">
        <v>45</v>
      </c>
      <c r="B11" s="2">
        <v>4150</v>
      </c>
      <c r="C11" s="19">
        <f t="shared" si="0"/>
        <v>69.166804999999997</v>
      </c>
      <c r="D11" s="19">
        <f t="shared" si="1"/>
        <v>1.1527787</v>
      </c>
      <c r="E11" s="3">
        <f t="shared" si="2"/>
        <v>1.1527787000000002E-3</v>
      </c>
      <c r="F11" s="19">
        <f t="shared" si="3"/>
        <v>2.5617304444444446</v>
      </c>
      <c r="G11" s="19">
        <f t="shared" si="4"/>
        <v>6.5624628699935315</v>
      </c>
      <c r="H11" s="19">
        <f t="shared" si="5"/>
        <v>4.9795941071288894</v>
      </c>
      <c r="I11" s="2">
        <v>9.5846949999999982</v>
      </c>
      <c r="J11" s="20">
        <f t="shared" si="6"/>
        <v>95.846949999999978</v>
      </c>
      <c r="K11" s="21">
        <f t="shared" si="7"/>
        <v>9584.6949999999979</v>
      </c>
      <c r="L11" s="3">
        <f t="shared" si="8"/>
        <v>31820.041598062955</v>
      </c>
      <c r="M11" s="4">
        <f>(AA$15*G11*N11)/8</f>
        <v>45.689753707627098</v>
      </c>
      <c r="N11" s="4">
        <f>(K11*2*AA$11)/(AA$13*AA$15*G11)</f>
        <v>5.4286842697748618E-2</v>
      </c>
      <c r="O11" s="4">
        <f>N11/4</f>
        <v>1.3571710674437154E-2</v>
      </c>
      <c r="P11" s="4">
        <f>3.7*(10^(-1/(2*SQRT(N11)))-2.51/(L11*SQRT(N11)))</f>
        <v>2.5185827976383305E-2</v>
      </c>
      <c r="Q11" s="2">
        <v>952980.38950000005</v>
      </c>
      <c r="R11" s="2">
        <v>21081.483500000002</v>
      </c>
      <c r="S11" s="2">
        <v>44.343500000000006</v>
      </c>
      <c r="U11" s="22">
        <v>0.5</v>
      </c>
      <c r="V11" s="23">
        <f t="shared" si="9"/>
        <v>6210.6537530266341</v>
      </c>
      <c r="W11" s="23">
        <f t="shared" si="10"/>
        <v>3.2892624107055221E-2</v>
      </c>
      <c r="X11" s="23">
        <f t="shared" si="11"/>
        <v>8.9102964618769463E-3</v>
      </c>
      <c r="Y11" s="25"/>
      <c r="Z11" s="1" t="s">
        <v>31</v>
      </c>
      <c r="AA11" s="4">
        <f>2*(AA9*AA10)/(AA9+AA10)</f>
        <v>1.5254237288135592E-2</v>
      </c>
      <c r="AB11" s="1">
        <f>10*AA11*100</f>
        <v>15.254237288135592</v>
      </c>
      <c r="AD11" s="27" t="s">
        <v>32</v>
      </c>
      <c r="AE11" s="2" t="s">
        <v>33</v>
      </c>
    </row>
    <row r="12" spans="1:31" ht="18.5" x14ac:dyDescent="0.35">
      <c r="A12" s="26"/>
      <c r="B12" s="29"/>
      <c r="C12" s="19"/>
      <c r="D12" s="19"/>
      <c r="E12" s="3"/>
      <c r="F12" s="19"/>
      <c r="G12" s="19"/>
      <c r="H12" s="19"/>
      <c r="I12" s="30"/>
      <c r="J12" s="20"/>
      <c r="K12" s="21"/>
      <c r="Q12" s="2"/>
      <c r="S12" s="2"/>
      <c r="U12" s="22">
        <v>0.6</v>
      </c>
      <c r="V12" s="23">
        <f t="shared" si="9"/>
        <v>7452.7845036319613</v>
      </c>
      <c r="W12" s="23">
        <f t="shared" si="10"/>
        <v>3.1427020619773503E-2</v>
      </c>
      <c r="X12" s="23">
        <f t="shared" si="11"/>
        <v>8.5132785309043994E-3</v>
      </c>
      <c r="Y12" s="25"/>
      <c r="Z12" s="1" t="s">
        <v>34</v>
      </c>
      <c r="AA12" s="31">
        <f>AA$16/AA$15</f>
        <v>1.2280701754385965E-6</v>
      </c>
    </row>
    <row r="13" spans="1:31" ht="16.5" x14ac:dyDescent="0.4">
      <c r="B13" s="29"/>
      <c r="C13" s="19"/>
      <c r="D13" s="19"/>
      <c r="E13" s="3"/>
      <c r="F13" s="19"/>
      <c r="G13" s="19"/>
      <c r="H13" s="19"/>
      <c r="I13" s="30"/>
      <c r="J13" s="20"/>
      <c r="K13" s="21"/>
      <c r="Q13" s="2"/>
      <c r="S13" s="2"/>
      <c r="U13" s="22">
        <v>0.7</v>
      </c>
      <c r="V13" s="23">
        <f t="shared" si="9"/>
        <v>8694.9152542372867</v>
      </c>
      <c r="W13" s="23">
        <f>0.292/(V13^(0.25))</f>
        <v>3.0238936504970608E-2</v>
      </c>
      <c r="X13" s="23">
        <f t="shared" si="11"/>
        <v>8.1914379367916956E-3</v>
      </c>
      <c r="Y13" s="25"/>
      <c r="Z13" s="1" t="s">
        <v>35</v>
      </c>
      <c r="AA13" s="32">
        <v>0.8</v>
      </c>
      <c r="AD13" s="27" t="s">
        <v>36</v>
      </c>
      <c r="AE13" s="1" t="s">
        <v>37</v>
      </c>
    </row>
    <row r="14" spans="1:31" x14ac:dyDescent="0.35">
      <c r="B14" s="33"/>
      <c r="C14" s="19"/>
      <c r="D14" s="19"/>
      <c r="E14" s="3"/>
      <c r="F14" s="19"/>
      <c r="G14" s="19"/>
      <c r="H14" s="19"/>
      <c r="I14" s="30"/>
      <c r="J14" s="20"/>
      <c r="K14" s="21"/>
      <c r="Q14" s="2"/>
      <c r="S14" s="2"/>
      <c r="U14" s="22">
        <v>0.8</v>
      </c>
      <c r="V14" s="23">
        <f t="shared" si="9"/>
        <v>9937.0460048426157</v>
      </c>
      <c r="W14" s="23">
        <f t="shared" si="10"/>
        <v>2.9246138095863097E-2</v>
      </c>
      <c r="X14" s="23">
        <f t="shared" si="11"/>
        <v>7.9224983677492165E-3</v>
      </c>
      <c r="Y14" s="25"/>
      <c r="AA14" s="32"/>
    </row>
    <row r="15" spans="1:31" x14ac:dyDescent="0.35">
      <c r="B15" s="33"/>
      <c r="C15" s="19"/>
      <c r="D15" s="19"/>
      <c r="E15" s="3"/>
      <c r="F15" s="19"/>
      <c r="G15" s="19"/>
      <c r="H15" s="19"/>
      <c r="I15" s="30"/>
      <c r="J15" s="20"/>
      <c r="K15" s="21"/>
      <c r="Q15" s="2"/>
      <c r="S15" s="2"/>
      <c r="T15" s="34"/>
      <c r="U15" s="22">
        <v>0.9</v>
      </c>
      <c r="V15" s="23">
        <f t="shared" si="9"/>
        <v>11179.176755447941</v>
      </c>
      <c r="W15" s="23">
        <f t="shared" si="10"/>
        <v>2.8397518799515239E-2</v>
      </c>
      <c r="X15" s="23">
        <f t="shared" si="11"/>
        <v>7.6926155378138896E-3</v>
      </c>
      <c r="Y15" s="25"/>
      <c r="Z15" s="2" t="s">
        <v>38</v>
      </c>
      <c r="AA15" s="32">
        <f>VLOOKUP(AA17, SW!$A$4:$F$34, 3, FALSE)</f>
        <v>1026</v>
      </c>
      <c r="AB15" s="32"/>
    </row>
    <row r="16" spans="1:31" x14ac:dyDescent="0.35">
      <c r="B16" s="35"/>
      <c r="C16" s="19"/>
      <c r="D16" s="19"/>
      <c r="E16" s="3"/>
      <c r="F16" s="19"/>
      <c r="G16" s="19"/>
      <c r="H16" s="19"/>
      <c r="I16" s="35"/>
      <c r="J16" s="20"/>
      <c r="K16" s="21"/>
      <c r="Q16" s="2"/>
      <c r="S16" s="2"/>
      <c r="U16" s="22">
        <v>1</v>
      </c>
      <c r="V16" s="23">
        <f t="shared" si="9"/>
        <v>12421.307506053268</v>
      </c>
      <c r="W16" s="23">
        <f t="shared" si="10"/>
        <v>2.7659289699910647E-2</v>
      </c>
      <c r="X16" s="23">
        <f t="shared" si="11"/>
        <v>7.4926363536401801E-3</v>
      </c>
      <c r="Y16" s="25"/>
      <c r="Z16" s="2" t="s">
        <v>39</v>
      </c>
      <c r="AA16" s="32">
        <f>VLOOKUP(AA17, SW!$A$4:$F$34, 5, FALSE)</f>
        <v>1.2600000000000001E-3</v>
      </c>
    </row>
    <row r="17" spans="1:33" x14ac:dyDescent="0.35">
      <c r="B17" s="18"/>
      <c r="C17" s="19"/>
      <c r="D17" s="19"/>
      <c r="E17" s="3"/>
      <c r="F17" s="19"/>
      <c r="G17" s="19"/>
      <c r="H17" s="19"/>
      <c r="I17" s="20"/>
      <c r="J17" s="20"/>
      <c r="K17" s="21"/>
      <c r="Q17" s="2"/>
      <c r="S17" s="2"/>
      <c r="T17" s="14"/>
      <c r="U17" s="22">
        <v>1.1000000000000001</v>
      </c>
      <c r="V17" s="23">
        <f t="shared" si="9"/>
        <v>13663.438256658595</v>
      </c>
      <c r="W17" s="23">
        <f t="shared" si="10"/>
        <v>2.7008026545019596E-2</v>
      </c>
      <c r="X17" s="23">
        <f t="shared" si="11"/>
        <v>7.3162154099693502E-3</v>
      </c>
      <c r="Y17" s="25"/>
      <c r="Z17" s="2" t="s">
        <v>161</v>
      </c>
      <c r="AA17" s="2">
        <v>14</v>
      </c>
    </row>
    <row r="18" spans="1:33" x14ac:dyDescent="0.35">
      <c r="B18" s="18"/>
      <c r="C18" s="19"/>
      <c r="D18" s="19"/>
      <c r="E18" s="3"/>
      <c r="F18" s="19"/>
      <c r="G18" s="19"/>
      <c r="H18" s="19"/>
      <c r="I18" s="20"/>
      <c r="J18" s="20"/>
      <c r="K18" s="21"/>
      <c r="Q18" s="2"/>
      <c r="S18" s="2"/>
      <c r="U18" s="22">
        <v>1.2</v>
      </c>
      <c r="V18" s="23">
        <f t="shared" si="9"/>
        <v>14905.569007263923</v>
      </c>
      <c r="W18" s="23">
        <f t="shared" si="10"/>
        <v>2.6426868981272108E-2</v>
      </c>
      <c r="X18" s="23">
        <f t="shared" si="11"/>
        <v>7.1587853986939181E-3</v>
      </c>
      <c r="Y18" s="25"/>
      <c r="Z18" s="1"/>
      <c r="AA18" s="1"/>
      <c r="AD18" s="36" t="s">
        <v>40</v>
      </c>
      <c r="AE18" s="37"/>
      <c r="AF18" s="37"/>
      <c r="AG18" s="37"/>
    </row>
    <row r="19" spans="1:33" x14ac:dyDescent="0.35">
      <c r="A19" s="24"/>
      <c r="B19" s="18"/>
      <c r="C19" s="19"/>
      <c r="D19" s="19"/>
      <c r="E19" s="3"/>
      <c r="F19" s="19"/>
      <c r="G19" s="19"/>
      <c r="H19" s="19"/>
      <c r="I19" s="20"/>
      <c r="J19" s="20"/>
      <c r="K19" s="21"/>
      <c r="Q19" s="70"/>
      <c r="R19" s="25"/>
      <c r="S19" s="73"/>
      <c r="U19" s="22">
        <v>1.3</v>
      </c>
      <c r="V19" s="23">
        <f t="shared" si="9"/>
        <v>16147.69975786925</v>
      </c>
      <c r="W19" s="23">
        <f t="shared" si="10"/>
        <v>2.590330534614086E-2</v>
      </c>
      <c r="X19" s="23">
        <f t="shared" si="11"/>
        <v>7.0169570304100762E-3</v>
      </c>
      <c r="Y19" s="25"/>
      <c r="AD19" s="38" t="s">
        <v>41</v>
      </c>
      <c r="AE19" s="37" t="s">
        <v>42</v>
      </c>
      <c r="AF19" s="37" t="s">
        <v>43</v>
      </c>
      <c r="AG19" s="37" t="s">
        <v>44</v>
      </c>
    </row>
    <row r="20" spans="1:33" x14ac:dyDescent="0.35">
      <c r="A20" s="24"/>
      <c r="B20" s="18"/>
      <c r="C20" s="19"/>
      <c r="D20" s="19"/>
      <c r="E20" s="3"/>
      <c r="F20" s="19"/>
      <c r="G20" s="19"/>
      <c r="H20" s="19"/>
      <c r="I20" s="20"/>
      <c r="J20" s="20"/>
      <c r="K20" s="21"/>
      <c r="Q20" s="70"/>
      <c r="R20" s="25"/>
      <c r="S20" s="73"/>
      <c r="U20" s="22">
        <v>1.4</v>
      </c>
      <c r="V20" s="23">
        <f t="shared" si="9"/>
        <v>17389.830508474573</v>
      </c>
      <c r="W20" s="23">
        <f t="shared" si="10"/>
        <v>2.5427813308114472E-2</v>
      </c>
      <c r="X20" s="23">
        <f t="shared" si="11"/>
        <v>6.8881507968214205E-3</v>
      </c>
      <c r="Y20" s="25"/>
      <c r="Z20" s="1" t="s">
        <v>45</v>
      </c>
      <c r="AA20" s="1">
        <f>4*10^(-6)</f>
        <v>3.9999999999999998E-6</v>
      </c>
      <c r="AD20" s="38" t="s">
        <v>46</v>
      </c>
      <c r="AE20" s="37" t="s">
        <v>47</v>
      </c>
      <c r="AF20" s="37" t="s">
        <v>48</v>
      </c>
      <c r="AG20" s="37" t="s">
        <v>49</v>
      </c>
    </row>
    <row r="21" spans="1:33" x14ac:dyDescent="0.35">
      <c r="A21" s="24"/>
      <c r="B21" s="18"/>
      <c r="C21" s="19"/>
      <c r="D21" s="19"/>
      <c r="E21" s="3"/>
      <c r="G21" s="19"/>
      <c r="H21" s="19"/>
      <c r="I21" s="20"/>
      <c r="J21" s="20"/>
      <c r="K21" s="21"/>
      <c r="Q21" s="70"/>
      <c r="R21" s="25"/>
      <c r="S21" s="73"/>
      <c r="U21" s="22">
        <v>1.5</v>
      </c>
      <c r="V21" s="23">
        <f t="shared" si="9"/>
        <v>18631.961259079904</v>
      </c>
      <c r="W21" s="23">
        <f t="shared" si="10"/>
        <v>2.4992989591264399E-2</v>
      </c>
      <c r="X21" s="23">
        <f t="shared" si="11"/>
        <v>6.7703612214692266E-3</v>
      </c>
      <c r="Y21" s="25"/>
      <c r="Z21" s="1" t="s">
        <v>50</v>
      </c>
      <c r="AA21" s="2">
        <f>AA20/AA11</f>
        <v>2.6222222222222223E-4</v>
      </c>
      <c r="AD21" s="37">
        <v>0</v>
      </c>
      <c r="AE21" s="37">
        <v>1.792E-3</v>
      </c>
      <c r="AF21" s="37">
        <v>999.87</v>
      </c>
      <c r="AG21" s="39">
        <v>1.7922329902887374E-6</v>
      </c>
    </row>
    <row r="22" spans="1:33" x14ac:dyDescent="0.35">
      <c r="A22" s="24"/>
      <c r="B22" s="18"/>
      <c r="C22" s="19"/>
      <c r="D22" s="19"/>
      <c r="E22" s="3"/>
      <c r="F22" s="19"/>
      <c r="G22" s="19"/>
      <c r="H22" s="19"/>
      <c r="I22" s="20"/>
      <c r="J22" s="20"/>
      <c r="K22" s="21"/>
      <c r="Q22" s="70"/>
      <c r="R22" s="25"/>
      <c r="S22" s="73"/>
      <c r="U22" s="22">
        <v>1.6</v>
      </c>
      <c r="V22" s="23">
        <f t="shared" si="9"/>
        <v>19874.092009685231</v>
      </c>
      <c r="W22" s="23">
        <f t="shared" si="10"/>
        <v>2.4592972684826374E-2</v>
      </c>
      <c r="X22" s="23">
        <f t="shared" si="11"/>
        <v>6.6620004772937206E-3</v>
      </c>
      <c r="Y22" s="25"/>
      <c r="AD22" s="37">
        <v>5</v>
      </c>
      <c r="AE22" s="37">
        <v>1.519E-3</v>
      </c>
      <c r="AF22" s="37">
        <v>999.99</v>
      </c>
      <c r="AG22" s="39">
        <v>1.5190151901519014E-6</v>
      </c>
    </row>
    <row r="23" spans="1:33" x14ac:dyDescent="0.35">
      <c r="B23" s="18"/>
      <c r="C23" s="19"/>
      <c r="D23" s="19"/>
      <c r="E23" s="3"/>
      <c r="F23" s="3"/>
      <c r="G23" s="19"/>
      <c r="H23" s="19"/>
      <c r="I23" s="19"/>
      <c r="J23" s="20"/>
      <c r="K23" s="21"/>
      <c r="Q23" s="70"/>
      <c r="R23" s="25"/>
      <c r="S23" s="73"/>
      <c r="U23" s="22">
        <v>1.7</v>
      </c>
      <c r="V23" s="23">
        <f t="shared" si="9"/>
        <v>21116.222760290555</v>
      </c>
      <c r="W23" s="23">
        <f t="shared" si="10"/>
        <v>2.4223048165719095E-2</v>
      </c>
      <c r="X23" s="23">
        <f t="shared" si="11"/>
        <v>6.5617914722889744E-3</v>
      </c>
      <c r="Y23" s="25"/>
      <c r="Z23" s="40"/>
      <c r="AD23" s="37">
        <f>AD22+5</f>
        <v>10</v>
      </c>
      <c r="AE23" s="37">
        <v>1.3079999999999999E-3</v>
      </c>
      <c r="AF23" s="37">
        <v>999.73</v>
      </c>
      <c r="AG23" s="39">
        <v>1.3083532553789522E-6</v>
      </c>
    </row>
    <row r="24" spans="1:33" x14ac:dyDescent="0.35">
      <c r="B24" s="18"/>
      <c r="C24" s="19"/>
      <c r="D24" s="19"/>
      <c r="E24" s="3"/>
      <c r="F24" s="3"/>
      <c r="G24" s="19"/>
      <c r="H24" s="19"/>
      <c r="I24" s="19"/>
      <c r="J24" s="20"/>
      <c r="K24" s="21"/>
      <c r="Q24" s="71"/>
      <c r="R24" s="4"/>
      <c r="S24" s="74"/>
      <c r="U24" s="22">
        <v>1.8</v>
      </c>
      <c r="V24" s="23">
        <f t="shared" si="9"/>
        <v>22358.353510895882</v>
      </c>
      <c r="W24" s="23">
        <f t="shared" si="10"/>
        <v>2.387937176061233E-2</v>
      </c>
      <c r="X24" s="23">
        <f t="shared" si="11"/>
        <v>6.4686928296727245E-3</v>
      </c>
      <c r="Y24" s="4"/>
      <c r="Z24" s="40"/>
      <c r="AD24" s="37" t="e">
        <f>#REF!+5</f>
        <v>#REF!</v>
      </c>
      <c r="AE24" s="37">
        <v>1.005E-3</v>
      </c>
      <c r="AF24" s="37">
        <v>998.23</v>
      </c>
      <c r="AG24" s="39">
        <v>1.0067820041473407E-6</v>
      </c>
    </row>
    <row r="25" spans="1:33" x14ac:dyDescent="0.35">
      <c r="B25" s="18"/>
      <c r="C25" s="19"/>
      <c r="D25" s="19"/>
      <c r="E25" s="3"/>
      <c r="F25" s="3"/>
      <c r="G25" s="19"/>
      <c r="H25" s="19"/>
      <c r="I25" s="19"/>
      <c r="J25" s="20"/>
      <c r="K25" s="21"/>
      <c r="Q25" s="71"/>
      <c r="R25" s="4"/>
      <c r="S25" s="74"/>
      <c r="U25" s="22">
        <v>1.9</v>
      </c>
      <c r="V25" s="23">
        <f t="shared" si="9"/>
        <v>23600.484261501209</v>
      </c>
      <c r="W25" s="23">
        <f t="shared" si="10"/>
        <v>2.3558770574572185E-2</v>
      </c>
      <c r="X25" s="23">
        <f t="shared" si="11"/>
        <v>6.3818450426323973E-3</v>
      </c>
      <c r="Y25" s="4"/>
      <c r="Z25" s="40"/>
      <c r="AD25" s="37">
        <v>25</v>
      </c>
      <c r="AE25" s="37">
        <v>8.9400000000000005E-4</v>
      </c>
      <c r="AF25" s="37">
        <v>997.07</v>
      </c>
      <c r="AG25" s="39">
        <v>8.9662711745414066E-7</v>
      </c>
    </row>
    <row r="26" spans="1:33" x14ac:dyDescent="0.35">
      <c r="N26" s="22"/>
      <c r="Q26" s="71"/>
      <c r="R26" s="4"/>
      <c r="S26" s="74"/>
      <c r="U26" s="22">
        <v>2</v>
      </c>
      <c r="V26" s="23">
        <f t="shared" si="9"/>
        <v>24842.615012106537</v>
      </c>
      <c r="W26" s="23">
        <f t="shared" si="10"/>
        <v>2.3258597557118853E-2</v>
      </c>
      <c r="X26" s="23">
        <f t="shared" si="11"/>
        <v>6.3005310505756902E-3</v>
      </c>
      <c r="Y26" s="4"/>
      <c r="Z26" s="40"/>
      <c r="AD26" s="32"/>
      <c r="AE26" s="32"/>
      <c r="AF26" s="32"/>
      <c r="AG26" s="32"/>
    </row>
    <row r="27" spans="1:33" x14ac:dyDescent="0.35">
      <c r="K27" s="1"/>
      <c r="L27" s="4"/>
      <c r="N27" s="22"/>
      <c r="Q27" s="71"/>
      <c r="R27" s="4"/>
      <c r="S27" s="74"/>
      <c r="U27" s="22">
        <v>2.1</v>
      </c>
      <c r="V27" s="23">
        <f t="shared" si="9"/>
        <v>26084.745762711867</v>
      </c>
      <c r="W27" s="23">
        <f t="shared" si="10"/>
        <v>2.2976623052629316E-2</v>
      </c>
      <c r="X27" s="23">
        <f t="shared" si="11"/>
        <v>6.2241468611745855E-3</v>
      </c>
      <c r="Y27" s="4"/>
      <c r="Z27" s="40"/>
      <c r="AD27" s="32"/>
      <c r="AE27" s="32"/>
      <c r="AF27" s="32"/>
      <c r="AG27" s="32"/>
    </row>
    <row r="28" spans="1:33" x14ac:dyDescent="0.35">
      <c r="Q28" s="71"/>
      <c r="R28" s="4"/>
      <c r="S28" s="74"/>
      <c r="U28" s="22">
        <v>2.2000000000000002</v>
      </c>
      <c r="V28" s="23">
        <f t="shared" si="9"/>
        <v>27326.876513317191</v>
      </c>
      <c r="W28" s="23">
        <f t="shared" si="10"/>
        <v>2.2710952704784147E-2</v>
      </c>
      <c r="X28" s="23">
        <f t="shared" si="11"/>
        <v>6.1521793114672129E-3</v>
      </c>
      <c r="Y28" s="4"/>
      <c r="Z28" s="40"/>
      <c r="AD28" s="32"/>
      <c r="AE28" s="32"/>
      <c r="AF28" s="32"/>
      <c r="AG28" s="32"/>
    </row>
    <row r="29" spans="1:33" x14ac:dyDescent="0.35">
      <c r="L29" s="41"/>
      <c r="Q29" s="71"/>
      <c r="R29" s="4"/>
      <c r="S29" s="74"/>
      <c r="U29" s="22">
        <v>2.2999999999999998</v>
      </c>
      <c r="V29" s="23">
        <f t="shared" si="9"/>
        <v>28569.007263922515</v>
      </c>
      <c r="W29" s="23">
        <f t="shared" si="10"/>
        <v>2.2459964427379957E-2</v>
      </c>
      <c r="X29" s="23">
        <f t="shared" si="11"/>
        <v>6.0841889938553243E-3</v>
      </c>
      <c r="Y29" s="4"/>
      <c r="Z29" s="40"/>
      <c r="AD29" s="32"/>
      <c r="AE29" s="32"/>
      <c r="AF29" s="32"/>
      <c r="AG29" s="32"/>
    </row>
    <row r="30" spans="1:33" x14ac:dyDescent="0.35">
      <c r="Q30" s="71"/>
      <c r="R30" s="4"/>
      <c r="S30" s="74"/>
      <c r="U30" s="22">
        <v>2.4</v>
      </c>
      <c r="V30" s="23">
        <f t="shared" si="9"/>
        <v>29811.138014527845</v>
      </c>
      <c r="W30" s="23">
        <f t="shared" si="10"/>
        <v>2.22222593927313E-2</v>
      </c>
      <c r="X30" s="23">
        <f t="shared" si="11"/>
        <v>6.0197969793323496E-3</v>
      </c>
      <c r="Y30" s="4"/>
      <c r="Z30" s="40"/>
      <c r="AD30" s="32"/>
      <c r="AE30" s="32"/>
      <c r="AF30" s="32"/>
      <c r="AG30" s="32"/>
    </row>
    <row r="31" spans="1:33" x14ac:dyDescent="0.35">
      <c r="F31" s="1"/>
      <c r="G31" s="1"/>
      <c r="Q31" s="71"/>
      <c r="R31" s="4"/>
      <c r="S31" s="74"/>
      <c r="U31" s="22">
        <v>2.5</v>
      </c>
      <c r="V31" s="23">
        <f t="shared" si="9"/>
        <v>31053.268765133169</v>
      </c>
      <c r="W31" s="23">
        <f t="shared" si="10"/>
        <v>2.1996623476826915E-2</v>
      </c>
      <c r="X31" s="23">
        <f t="shared" si="11"/>
        <v>5.9586743733459216E-3</v>
      </c>
      <c r="Y31" s="4"/>
      <c r="Z31" s="40"/>
      <c r="AD31" s="32"/>
      <c r="AE31" s="32"/>
      <c r="AF31" s="32"/>
      <c r="AG31" s="32"/>
    </row>
    <row r="32" spans="1:33" x14ac:dyDescent="0.35">
      <c r="G32" s="19"/>
      <c r="Q32" s="71"/>
      <c r="R32" s="4"/>
      <c r="S32" s="74"/>
      <c r="Y32" s="4"/>
      <c r="Z32" s="40"/>
    </row>
    <row r="33" spans="7:27" x14ac:dyDescent="0.35">
      <c r="G33" s="19"/>
      <c r="Q33" s="71"/>
      <c r="R33" s="4"/>
      <c r="S33" s="74"/>
      <c r="Y33" s="4"/>
      <c r="Z33" s="40"/>
      <c r="AA33" s="1" t="s">
        <v>51</v>
      </c>
    </row>
    <row r="34" spans="7:27" x14ac:dyDescent="0.35">
      <c r="G34" s="19"/>
      <c r="Q34" s="71"/>
      <c r="R34" s="4"/>
      <c r="S34" s="74"/>
      <c r="Y34" s="4"/>
      <c r="Z34" s="40"/>
    </row>
    <row r="35" spans="7:27" x14ac:dyDescent="0.35">
      <c r="G35" s="19"/>
      <c r="Q35" s="71"/>
      <c r="R35" s="4"/>
      <c r="S35" s="74"/>
      <c r="Y35" s="4"/>
      <c r="Z35" s="40"/>
    </row>
    <row r="36" spans="7:27" x14ac:dyDescent="0.35">
      <c r="G36" s="19"/>
      <c r="Q36" s="71"/>
      <c r="R36" s="4"/>
      <c r="S36" s="74"/>
      <c r="Y36" s="4"/>
    </row>
    <row r="37" spans="7:27" x14ac:dyDescent="0.35">
      <c r="G37" s="19"/>
      <c r="Q37" s="71"/>
      <c r="R37" s="4"/>
      <c r="S37" s="74"/>
      <c r="Y37" s="4"/>
    </row>
    <row r="38" spans="7:27" x14ac:dyDescent="0.35">
      <c r="R38" s="68"/>
      <c r="S38" s="2"/>
      <c r="T38" s="89"/>
      <c r="Y38" s="4"/>
    </row>
    <row r="39" spans="7:27" x14ac:dyDescent="0.35">
      <c r="R39" s="92"/>
      <c r="S39" s="88"/>
      <c r="U39" s="4"/>
      <c r="V39" s="16"/>
      <c r="W39" s="16"/>
      <c r="X39" s="4"/>
      <c r="Y39" s="4"/>
    </row>
    <row r="40" spans="7:27" x14ac:dyDescent="0.35">
      <c r="R40" s="92"/>
      <c r="S40" s="88"/>
      <c r="U40" s="4"/>
      <c r="V40" s="16"/>
      <c r="W40" s="16"/>
      <c r="X40" s="4"/>
      <c r="Y40" s="4"/>
    </row>
    <row r="41" spans="7:27" x14ac:dyDescent="0.35">
      <c r="R41" s="92"/>
      <c r="S41" s="88"/>
      <c r="U41" s="4"/>
      <c r="V41" s="16"/>
      <c r="W41" s="16"/>
      <c r="X41" s="4"/>
      <c r="Y41" s="4"/>
    </row>
    <row r="42" spans="7:27" x14ac:dyDescent="0.35">
      <c r="Q42" s="71"/>
      <c r="R42" s="4"/>
      <c r="S42" s="74"/>
      <c r="U42" s="4"/>
      <c r="V42" s="16"/>
      <c r="W42" s="16"/>
      <c r="X42" s="4"/>
      <c r="Y42" s="4"/>
    </row>
    <row r="43" spans="7:27" x14ac:dyDescent="0.35">
      <c r="Q43" s="71"/>
      <c r="R43" s="4"/>
      <c r="S43" s="74"/>
      <c r="U43" s="4"/>
      <c r="V43" s="16"/>
      <c r="W43" s="16"/>
      <c r="X43" s="4"/>
      <c r="Y43" s="4"/>
    </row>
    <row r="44" spans="7:27" x14ac:dyDescent="0.35">
      <c r="U44" s="4"/>
      <c r="V44" s="16"/>
      <c r="W44" s="16"/>
    </row>
    <row r="45" spans="7:27" x14ac:dyDescent="0.35">
      <c r="U45" s="4"/>
      <c r="V45" s="16"/>
      <c r="W45" s="16"/>
    </row>
    <row r="46" spans="7:27" x14ac:dyDescent="0.35">
      <c r="U46" s="4"/>
      <c r="V46" s="16"/>
      <c r="W46" s="16"/>
    </row>
    <row r="47" spans="7:27" x14ac:dyDescent="0.35">
      <c r="U47" s="4"/>
      <c r="V47" s="16"/>
      <c r="W47" s="16"/>
    </row>
    <row r="48" spans="7:27" x14ac:dyDescent="0.35">
      <c r="R48" s="40"/>
      <c r="S48" s="87"/>
      <c r="U48" s="4"/>
      <c r="V48" s="16"/>
      <c r="W48" s="16"/>
    </row>
    <row r="49" spans="21:23" x14ac:dyDescent="0.35">
      <c r="U49" s="4"/>
      <c r="V49" s="16"/>
      <c r="W49" s="16"/>
    </row>
    <row r="50" spans="21:23" x14ac:dyDescent="0.35">
      <c r="U50" s="4"/>
      <c r="V50" s="16"/>
      <c r="W50" s="16"/>
    </row>
    <row r="51" spans="21:23" x14ac:dyDescent="0.35">
      <c r="U51" s="4"/>
      <c r="V51" s="16"/>
      <c r="W51" s="16"/>
    </row>
    <row r="52" spans="21:23" x14ac:dyDescent="0.35">
      <c r="U52" s="4"/>
      <c r="V52" s="16"/>
      <c r="W52" s="16"/>
    </row>
    <row r="53" spans="21:23" x14ac:dyDescent="0.35">
      <c r="U53" s="4"/>
      <c r="V53" s="16"/>
      <c r="W53" s="16"/>
    </row>
    <row r="54" spans="21:23" x14ac:dyDescent="0.35">
      <c r="U54" s="4"/>
    </row>
    <row r="112" spans="17:17" x14ac:dyDescent="0.35">
      <c r="Q112" s="85"/>
    </row>
  </sheetData>
  <mergeCells count="3">
    <mergeCell ref="A3:N3"/>
    <mergeCell ref="Z5:AA5"/>
    <mergeCell ref="Q4:S4"/>
  </mergeCells>
  <pageMargins left="0.7" right="0.7" top="0.75" bottom="0.75" header="0.3" footer="0.3"/>
  <pageSetup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D931E-D877-4886-A7DF-7CB3501BEBE7}">
  <dimension ref="A1:AG53"/>
  <sheetViews>
    <sheetView zoomScale="50" zoomScaleNormal="50" zoomScalePageLayoutView="90" workbookViewId="0">
      <selection sqref="A1:M1"/>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6.765625" style="4" customWidth="1"/>
    <col min="14" max="15" width="8.4609375" style="4" customWidth="1"/>
    <col min="16" max="16" width="27.23046875" style="4" customWidth="1"/>
    <col min="17" max="17" width="12.765625" style="68" customWidth="1"/>
    <col min="18" max="18" width="10" style="2" customWidth="1"/>
    <col min="19" max="19" width="13.3046875" style="72" bestFit="1" customWidth="1"/>
    <col min="20" max="20" width="8.4609375" style="5" customWidth="1"/>
    <col min="21" max="21" width="10.23046875" style="2" customWidth="1"/>
    <col min="22" max="22" width="13.84375" style="2" customWidth="1"/>
    <col min="23" max="25" width="10" style="2" customWidth="1"/>
    <col min="26" max="26" width="21" style="2" customWidth="1"/>
    <col min="27" max="27" width="8.69140625" style="2" customWidth="1"/>
    <col min="28" max="28" width="8.69140625" style="2"/>
    <col min="29" max="29" width="22" style="2" customWidth="1"/>
    <col min="30" max="30" width="35.84375" style="2" customWidth="1"/>
    <col min="31" max="31" width="16.84375" style="2" customWidth="1"/>
    <col min="32" max="16384" width="8.69140625" style="2"/>
  </cols>
  <sheetData>
    <row r="1" spans="1:31" x14ac:dyDescent="0.35">
      <c r="A1" s="1"/>
      <c r="I1" s="1"/>
      <c r="J1" s="1"/>
      <c r="Q1" s="69" t="s">
        <v>110</v>
      </c>
    </row>
    <row r="2" spans="1:31" x14ac:dyDescent="0.35">
      <c r="A2" s="1"/>
      <c r="I2" s="1"/>
      <c r="J2" s="1"/>
      <c r="Q2" s="69" t="s">
        <v>85</v>
      </c>
    </row>
    <row r="3" spans="1:31" x14ac:dyDescent="0.35">
      <c r="A3" s="150" t="s">
        <v>3</v>
      </c>
      <c r="B3" s="150"/>
      <c r="C3" s="150"/>
      <c r="D3" s="150"/>
      <c r="E3" s="150"/>
      <c r="F3" s="150"/>
      <c r="G3" s="150"/>
      <c r="H3" s="150"/>
      <c r="I3" s="150"/>
      <c r="J3" s="150"/>
      <c r="K3" s="150"/>
      <c r="L3" s="150"/>
      <c r="M3" s="150"/>
      <c r="N3" s="150"/>
      <c r="O3" s="51"/>
      <c r="P3" s="51"/>
      <c r="T3" s="7"/>
    </row>
    <row r="4" spans="1:31" x14ac:dyDescent="0.35">
      <c r="Q4" s="152" t="s">
        <v>81</v>
      </c>
      <c r="R4" s="153"/>
      <c r="S4" s="154"/>
    </row>
    <row r="5" spans="1:31"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T5" s="14"/>
      <c r="U5" s="15" t="s">
        <v>19</v>
      </c>
      <c r="V5" s="16" t="s">
        <v>14</v>
      </c>
      <c r="W5" s="15" t="s">
        <v>20</v>
      </c>
      <c r="X5" s="16" t="s">
        <v>21</v>
      </c>
      <c r="Y5" s="1"/>
      <c r="Z5" s="151" t="s">
        <v>22</v>
      </c>
      <c r="AA5" s="151"/>
    </row>
    <row r="6" spans="1:31" x14ac:dyDescent="0.35">
      <c r="A6" s="17" t="s">
        <v>23</v>
      </c>
      <c r="B6" s="18">
        <v>0</v>
      </c>
      <c r="C6" s="19">
        <f>B6*0.0166667</f>
        <v>0</v>
      </c>
      <c r="D6" s="19">
        <f>B6*0.000277778</f>
        <v>0</v>
      </c>
      <c r="E6" s="3">
        <f>0.001*D6</f>
        <v>0</v>
      </c>
      <c r="F6" s="19">
        <f>E6/AA$7</f>
        <v>0</v>
      </c>
      <c r="G6" s="19">
        <f>F6^(2)</f>
        <v>0</v>
      </c>
      <c r="H6" s="19">
        <f>F6*1.94384</f>
        <v>0</v>
      </c>
      <c r="I6" s="20">
        <v>0</v>
      </c>
      <c r="J6" s="20">
        <f>I6 * 10</f>
        <v>0</v>
      </c>
      <c r="K6" s="21">
        <f>J6*100</f>
        <v>0</v>
      </c>
      <c r="L6" s="3">
        <f>(F6*AA$11)/AA$12</f>
        <v>0</v>
      </c>
      <c r="U6" s="22">
        <v>0</v>
      </c>
      <c r="V6" s="23">
        <f t="shared" ref="V6:V31" si="0">(U6*AA$11)/AA$12</f>
        <v>0</v>
      </c>
      <c r="W6" s="23"/>
      <c r="X6" s="23"/>
    </row>
    <row r="7" spans="1:31" x14ac:dyDescent="0.35">
      <c r="A7" s="2">
        <v>25</v>
      </c>
      <c r="B7" s="2">
        <v>1750</v>
      </c>
      <c r="C7" s="19">
        <f>B7*0.0166667</f>
        <v>29.166725</v>
      </c>
      <c r="D7" s="19">
        <f>B7*0.000277778</f>
        <v>0.48611150000000003</v>
      </c>
      <c r="E7" s="3">
        <f>0.001*D7</f>
        <v>4.8611150000000002E-4</v>
      </c>
      <c r="F7" s="19">
        <f>E7/AA$7</f>
        <v>1.0233926315789474</v>
      </c>
      <c r="G7" s="19">
        <f>F7^(2)</f>
        <v>1.0473324783700833</v>
      </c>
      <c r="H7" s="19">
        <f>F7*1.94384</f>
        <v>1.9893115329684212</v>
      </c>
      <c r="I7" s="2">
        <v>1.9423412903225805</v>
      </c>
      <c r="J7" s="20">
        <f>I7 * 10</f>
        <v>19.423412903225806</v>
      </c>
      <c r="K7" s="21">
        <f>J7*100</f>
        <v>1942.3412903225806</v>
      </c>
      <c r="L7" s="3">
        <f>(F7*AA$11)/AA$12</f>
        <v>15507.758714596948</v>
      </c>
      <c r="M7" s="4">
        <f>(AA$15*G7*N7)/8</f>
        <v>9.6913037069666554</v>
      </c>
      <c r="N7" s="4">
        <f>(K7*2*AA$11)/(AA$13*AA$15*G7)</f>
        <v>7.2221042628491106E-2</v>
      </c>
      <c r="O7" s="4">
        <f>N7/4</f>
        <v>1.8055260657122776E-2</v>
      </c>
      <c r="P7" s="4">
        <f>3.7*(10^(-1/(2*SQRT(N7)))-2.51/(L7*SQRT(N7)))</f>
        <v>4.8782789511702E-2</v>
      </c>
      <c r="Q7" s="2">
        <v>1061761.2013333335</v>
      </c>
      <c r="R7" s="2">
        <v>20905.106333333333</v>
      </c>
      <c r="S7" s="2">
        <v>40.65</v>
      </c>
      <c r="U7" s="22">
        <v>0.1</v>
      </c>
      <c r="V7" s="23">
        <f>(U7*AA$11)/AA$12</f>
        <v>1515.3283535636474</v>
      </c>
      <c r="W7" s="23">
        <f t="shared" ref="W7:W31" si="1">0.292/(V7^(0.25))</f>
        <v>4.6801111137542858E-2</v>
      </c>
      <c r="X7" s="23">
        <f>0.0791/(V7^0.25)</f>
        <v>1.2677972229382332E-2</v>
      </c>
      <c r="Y7" s="25"/>
      <c r="Z7" s="1" t="s">
        <v>24</v>
      </c>
      <c r="AA7" s="2">
        <f>AA$9*AA$10</f>
        <v>4.75E-4</v>
      </c>
    </row>
    <row r="8" spans="1:31" x14ac:dyDescent="0.35">
      <c r="A8" s="2">
        <v>30</v>
      </c>
      <c r="B8" s="2">
        <v>2400</v>
      </c>
      <c r="C8" s="19">
        <f>B8*0.0166667</f>
        <v>40.000079999999997</v>
      </c>
      <c r="D8" s="19">
        <f>B8*0.000277778</f>
        <v>0.66666720000000002</v>
      </c>
      <c r="E8" s="3">
        <f>0.001*D8</f>
        <v>6.6666719999999998E-4</v>
      </c>
      <c r="F8" s="19">
        <f>E8/AA$7</f>
        <v>1.4035098947368421</v>
      </c>
      <c r="G8" s="19">
        <f>F8^(2)</f>
        <v>1.9698400246242216</v>
      </c>
      <c r="H8" s="19">
        <f>F8*1.94384</f>
        <v>2.728198673785263</v>
      </c>
      <c r="I8" s="2">
        <v>3.7803864516129035</v>
      </c>
      <c r="J8" s="20">
        <f>I8 * 10</f>
        <v>37.803864516129039</v>
      </c>
      <c r="K8" s="21">
        <f>J8*100</f>
        <v>3780.3864516129038</v>
      </c>
      <c r="L8" s="3">
        <f>(F8*AA$11)/AA$12</f>
        <v>21267.783380018671</v>
      </c>
      <c r="M8" s="4">
        <f>(AA$15*G8*N8)/8</f>
        <v>18.862222316345893</v>
      </c>
      <c r="N8" s="4">
        <f>(K8*2*AA$11)/(AA$13*AA$15*G8)</f>
        <v>7.4735685673840216E-2</v>
      </c>
      <c r="O8" s="4">
        <f>N8/4</f>
        <v>1.8683921418460054E-2</v>
      </c>
      <c r="P8" s="4">
        <f>3.7*(10^(-1/(2*SQRT(N8)))-2.51/(L8*SQRT(N8)))</f>
        <v>5.325996189770564E-2</v>
      </c>
      <c r="Q8" s="2">
        <v>1125545.9456666668</v>
      </c>
      <c r="R8" s="2">
        <v>20674.943333333333</v>
      </c>
      <c r="S8" s="2">
        <v>38.312333333333335</v>
      </c>
      <c r="U8" s="22">
        <v>0.2</v>
      </c>
      <c r="V8" s="23">
        <f t="shared" si="0"/>
        <v>3030.6567071272948</v>
      </c>
      <c r="W8" s="23">
        <f t="shared" si="1"/>
        <v>3.9354886585450485E-2</v>
      </c>
      <c r="X8" s="23">
        <f t="shared" ref="X8:X31" si="2">0.0791/(V8^0.25)</f>
        <v>1.0660861400373745E-2</v>
      </c>
      <c r="Y8" s="25"/>
      <c r="Z8" s="2" t="s">
        <v>25</v>
      </c>
    </row>
    <row r="9" spans="1:31" ht="19" x14ac:dyDescent="0.4">
      <c r="A9" s="2">
        <v>35</v>
      </c>
      <c r="B9" s="2">
        <v>3200</v>
      </c>
      <c r="C9" s="19">
        <f>B9*0.0166667</f>
        <v>53.333439999999996</v>
      </c>
      <c r="D9" s="19">
        <f>B9*0.000277778</f>
        <v>0.88888960000000006</v>
      </c>
      <c r="E9" s="3">
        <f>0.001*D9</f>
        <v>8.8888960000000012E-4</v>
      </c>
      <c r="F9" s="19">
        <f>E9/AA$7</f>
        <v>1.8713465263157898</v>
      </c>
      <c r="G9" s="19">
        <f>F9^(2)</f>
        <v>3.501937821554173</v>
      </c>
      <c r="H9" s="19">
        <f>F9*1.94384</f>
        <v>3.6375982317136848</v>
      </c>
      <c r="I9" s="2">
        <v>6.3768767741935468</v>
      </c>
      <c r="J9" s="20">
        <f>I9 * 10</f>
        <v>63.76876774193547</v>
      </c>
      <c r="K9" s="21">
        <f>J9*100</f>
        <v>6376.8767741935471</v>
      </c>
      <c r="L9" s="3">
        <f>(F9*AA$11)/AA$12</f>
        <v>28357.044506691567</v>
      </c>
      <c r="M9" s="4">
        <f>(AA$15*G9*N9)/8</f>
        <v>31.817399871238806</v>
      </c>
      <c r="N9" s="4">
        <f>(K9*2*AA$11)/(AA$13*AA$15*G9)</f>
        <v>7.0912431481748209E-2</v>
      </c>
      <c r="O9" s="4">
        <f>N9/4</f>
        <v>1.7728107870437052E-2</v>
      </c>
      <c r="P9" s="4">
        <f>3.7*(10^(-1/(2*SQRT(N9)))-2.51/(L9*SQRT(N9)))</f>
        <v>4.781313349893223E-2</v>
      </c>
      <c r="Q9" s="2">
        <v>1136603.4063333333</v>
      </c>
      <c r="R9" s="2">
        <v>20838.268</v>
      </c>
      <c r="S9" s="2">
        <v>38.126000000000005</v>
      </c>
      <c r="U9" s="22">
        <v>0.3</v>
      </c>
      <c r="V9" s="23">
        <f t="shared" si="0"/>
        <v>4545.9850606909422</v>
      </c>
      <c r="W9" s="23">
        <f t="shared" si="1"/>
        <v>3.5561154370451271E-2</v>
      </c>
      <c r="X9" s="23">
        <f t="shared" si="2"/>
        <v>9.6331757215845741E-3</v>
      </c>
      <c r="Y9" s="25"/>
      <c r="Z9" s="1" t="s">
        <v>26</v>
      </c>
      <c r="AA9" s="19">
        <v>0.05</v>
      </c>
      <c r="AD9" s="27" t="s">
        <v>27</v>
      </c>
    </row>
    <row r="10" spans="1:31" ht="18.5" x14ac:dyDescent="0.35">
      <c r="A10" s="2">
        <v>40</v>
      </c>
      <c r="B10" s="2">
        <v>3800</v>
      </c>
      <c r="C10" s="19">
        <f>B10*0.0166667</f>
        <v>63.333459999999995</v>
      </c>
      <c r="D10" s="19">
        <f>B10*0.000277778</f>
        <v>1.0555564</v>
      </c>
      <c r="E10" s="3">
        <f>0.001*D10</f>
        <v>1.0555563999999999E-3</v>
      </c>
      <c r="F10" s="19">
        <f>E10/AA$7</f>
        <v>2.2222239999999998</v>
      </c>
      <c r="G10" s="19">
        <f>F10^(2)</f>
        <v>4.9382795061759985</v>
      </c>
      <c r="H10" s="19">
        <f>F10*1.94384</f>
        <v>4.3196479001599997</v>
      </c>
      <c r="I10" s="2">
        <v>8.0438412903225807</v>
      </c>
      <c r="J10" s="20">
        <f>I10 * 10</f>
        <v>80.43841290322581</v>
      </c>
      <c r="K10" s="21">
        <f>J10*100</f>
        <v>8043.8412903225808</v>
      </c>
      <c r="L10" s="3">
        <f>(F10*AA$11)/AA$12</f>
        <v>33673.990351696229</v>
      </c>
      <c r="M10" s="4">
        <f>(AA$15*G10*N10)/8</f>
        <v>40.134712320412028</v>
      </c>
      <c r="N10" s="4">
        <f>(K10*2*AA$11)/(AA$13*AA$15*G10)</f>
        <v>6.3432321882944398E-2</v>
      </c>
      <c r="O10" s="4">
        <f>N10/4</f>
        <v>1.5858080470736099E-2</v>
      </c>
      <c r="P10" s="4">
        <f>3.7*(10^(-1/(2*SQRT(N10)))-2.51/(L10*SQRT(N10)))</f>
        <v>3.7183393604508251E-2</v>
      </c>
      <c r="Q10" s="2">
        <v>1069967.9925000002</v>
      </c>
      <c r="R10" s="2">
        <v>21084.66</v>
      </c>
      <c r="S10" s="2">
        <v>40.765500000000003</v>
      </c>
      <c r="U10" s="22">
        <v>0.4</v>
      </c>
      <c r="V10" s="23">
        <f t="shared" si="0"/>
        <v>6061.3134142545896</v>
      </c>
      <c r="W10" s="23">
        <f t="shared" si="1"/>
        <v>3.3093383052421807E-2</v>
      </c>
      <c r="X10" s="23">
        <f t="shared" si="2"/>
        <v>8.9646801350909775E-3</v>
      </c>
      <c r="Y10" s="25"/>
      <c r="Z10" s="1" t="s">
        <v>28</v>
      </c>
      <c r="AA10" s="19">
        <v>9.4999999999999998E-3</v>
      </c>
      <c r="AD10" s="28" t="s">
        <v>29</v>
      </c>
      <c r="AE10" s="2" t="s">
        <v>30</v>
      </c>
    </row>
    <row r="11" spans="1:31" ht="16.5" x14ac:dyDescent="0.4">
      <c r="C11" s="19"/>
      <c r="D11" s="19"/>
      <c r="E11" s="3"/>
      <c r="F11" s="19"/>
      <c r="G11" s="19"/>
      <c r="H11" s="19"/>
      <c r="J11" s="20"/>
      <c r="K11" s="21"/>
      <c r="Q11" s="2"/>
      <c r="S11" s="2"/>
      <c r="U11" s="22">
        <v>0.5</v>
      </c>
      <c r="V11" s="23">
        <f t="shared" si="0"/>
        <v>7576.641767818237</v>
      </c>
      <c r="W11" s="23">
        <f t="shared" si="1"/>
        <v>3.1297789335355833E-2</v>
      </c>
      <c r="X11" s="23">
        <f t="shared" si="2"/>
        <v>8.4782710151597475E-3</v>
      </c>
      <c r="Y11" s="25"/>
      <c r="Z11" s="1" t="s">
        <v>31</v>
      </c>
      <c r="AA11" s="4">
        <f>2*(AA9*AA10)/(AA9+AA10)</f>
        <v>1.5966386554621848E-2</v>
      </c>
      <c r="AB11" s="1">
        <f>10*AA11*100</f>
        <v>15.966386554621847</v>
      </c>
      <c r="AD11" s="27" t="s">
        <v>32</v>
      </c>
      <c r="AE11" s="2" t="s">
        <v>33</v>
      </c>
    </row>
    <row r="12" spans="1:31" ht="18.5" x14ac:dyDescent="0.35">
      <c r="A12" s="26"/>
      <c r="B12" s="29"/>
      <c r="C12" s="19"/>
      <c r="D12" s="19"/>
      <c r="E12" s="3"/>
      <c r="F12" s="19"/>
      <c r="G12" s="19"/>
      <c r="H12" s="19"/>
      <c r="I12" s="30"/>
      <c r="J12" s="20"/>
      <c r="K12" s="21"/>
      <c r="Q12" s="2"/>
      <c r="S12" s="2"/>
      <c r="U12" s="22">
        <v>0.6</v>
      </c>
      <c r="V12" s="23">
        <f t="shared" si="0"/>
        <v>9091.9701213818844</v>
      </c>
      <c r="W12" s="23">
        <f t="shared" si="1"/>
        <v>2.9903247232396436E-2</v>
      </c>
      <c r="X12" s="23">
        <f t="shared" si="2"/>
        <v>8.1005029317895837E-3</v>
      </c>
      <c r="Y12" s="25"/>
      <c r="Z12" s="1" t="s">
        <v>34</v>
      </c>
      <c r="AA12" s="31">
        <f>AA$16/AA$15</f>
        <v>1.053658536585366E-6</v>
      </c>
    </row>
    <row r="13" spans="1:31" ht="16.5" x14ac:dyDescent="0.4">
      <c r="B13" s="29"/>
      <c r="C13" s="19"/>
      <c r="D13" s="19"/>
      <c r="E13" s="3"/>
      <c r="F13" s="19"/>
      <c r="G13" s="19"/>
      <c r="H13" s="19"/>
      <c r="I13" s="30"/>
      <c r="J13" s="20"/>
      <c r="K13" s="21"/>
      <c r="Q13" s="2"/>
      <c r="S13" s="2"/>
      <c r="U13" s="22">
        <v>0.7</v>
      </c>
      <c r="V13" s="23">
        <f t="shared" si="0"/>
        <v>10607.298474945532</v>
      </c>
      <c r="W13" s="23">
        <f t="shared" si="1"/>
        <v>2.8772768672316821E-2</v>
      </c>
      <c r="X13" s="23">
        <f t="shared" si="2"/>
        <v>7.7942671300693864E-3</v>
      </c>
      <c r="Y13" s="25"/>
      <c r="Z13" s="1" t="s">
        <v>35</v>
      </c>
      <c r="AA13" s="32">
        <v>0.8</v>
      </c>
      <c r="AD13" s="27" t="s">
        <v>36</v>
      </c>
      <c r="AE13" s="1" t="s">
        <v>37</v>
      </c>
    </row>
    <row r="14" spans="1:31" x14ac:dyDescent="0.35">
      <c r="B14" s="33"/>
      <c r="C14" s="19"/>
      <c r="D14" s="19"/>
      <c r="E14" s="3"/>
      <c r="F14" s="19"/>
      <c r="G14" s="19"/>
      <c r="H14" s="19"/>
      <c r="I14" s="30"/>
      <c r="J14" s="20"/>
      <c r="K14" s="21"/>
      <c r="U14" s="22">
        <v>0.8</v>
      </c>
      <c r="V14" s="23">
        <f t="shared" si="0"/>
        <v>12122.626828509179</v>
      </c>
      <c r="W14" s="23">
        <f t="shared" si="1"/>
        <v>2.7828107177399534E-2</v>
      </c>
      <c r="X14" s="23">
        <f t="shared" si="2"/>
        <v>7.5383673894941893E-3</v>
      </c>
      <c r="Y14" s="25"/>
      <c r="AA14" s="32"/>
    </row>
    <row r="15" spans="1:31" x14ac:dyDescent="0.35">
      <c r="B15" s="33"/>
      <c r="C15" s="19"/>
      <c r="D15" s="19"/>
      <c r="E15" s="3"/>
      <c r="F15" s="19"/>
      <c r="G15" s="19"/>
      <c r="H15" s="19"/>
      <c r="I15" s="30"/>
      <c r="J15" s="20"/>
      <c r="K15" s="21"/>
      <c r="T15" s="34"/>
      <c r="U15" s="22">
        <v>0.9</v>
      </c>
      <c r="V15" s="23">
        <f t="shared" si="0"/>
        <v>13637.955182072828</v>
      </c>
      <c r="W15" s="23">
        <f t="shared" si="1"/>
        <v>2.7020634113633958E-2</v>
      </c>
      <c r="X15" s="23">
        <f t="shared" si="2"/>
        <v>7.3196306794124878E-3</v>
      </c>
      <c r="Y15" s="25"/>
      <c r="Z15" s="2" t="s">
        <v>38</v>
      </c>
      <c r="AA15" s="32">
        <f>VLOOKUP(AA17, SW!$A$4:$F$34, 3, FALSE)</f>
        <v>1025</v>
      </c>
      <c r="AB15" s="32"/>
    </row>
    <row r="16" spans="1:31" x14ac:dyDescent="0.35">
      <c r="B16" s="35"/>
      <c r="C16" s="19"/>
      <c r="D16" s="19"/>
      <c r="E16" s="3"/>
      <c r="F16" s="19"/>
      <c r="G16" s="19"/>
      <c r="H16" s="19"/>
      <c r="I16" s="35"/>
      <c r="J16" s="20"/>
      <c r="K16" s="21"/>
      <c r="Q16" s="2"/>
      <c r="S16" s="2"/>
      <c r="U16" s="22">
        <v>1</v>
      </c>
      <c r="V16" s="23">
        <f t="shared" si="0"/>
        <v>15153.283535636474</v>
      </c>
      <c r="W16" s="23">
        <f t="shared" si="1"/>
        <v>2.6318198857466654E-2</v>
      </c>
      <c r="X16" s="23">
        <f t="shared" si="2"/>
        <v>7.1293477041973032E-3</v>
      </c>
      <c r="Y16" s="25"/>
      <c r="Z16" s="2" t="s">
        <v>39</v>
      </c>
      <c r="AA16" s="32">
        <f>VLOOKUP(AA17, SW!$A$4:$F$34, 5, FALSE)</f>
        <v>1.08E-3</v>
      </c>
    </row>
    <row r="17" spans="1:33" x14ac:dyDescent="0.35">
      <c r="B17" s="18"/>
      <c r="C17" s="19"/>
      <c r="D17" s="19"/>
      <c r="E17" s="3"/>
      <c r="F17" s="19"/>
      <c r="G17" s="19"/>
      <c r="H17" s="19"/>
      <c r="I17" s="20"/>
      <c r="J17" s="20"/>
      <c r="K17" s="21"/>
      <c r="Q17" s="2"/>
      <c r="S17" s="2"/>
      <c r="T17" s="14"/>
      <c r="U17" s="22">
        <v>1.1000000000000001</v>
      </c>
      <c r="V17" s="23">
        <f t="shared" si="0"/>
        <v>16668.611889200121</v>
      </c>
      <c r="W17" s="23">
        <f t="shared" si="1"/>
        <v>2.5698512907287724E-2</v>
      </c>
      <c r="X17" s="23">
        <f t="shared" si="2"/>
        <v>6.9614807224878733E-3</v>
      </c>
      <c r="Y17" s="25"/>
      <c r="Z17" s="2" t="s">
        <v>161</v>
      </c>
      <c r="AA17" s="2">
        <v>20</v>
      </c>
    </row>
    <row r="18" spans="1:33" x14ac:dyDescent="0.35">
      <c r="B18" s="18"/>
      <c r="C18" s="19"/>
      <c r="D18" s="19"/>
      <c r="E18" s="3"/>
      <c r="F18" s="19"/>
      <c r="G18" s="19"/>
      <c r="H18" s="19"/>
      <c r="I18" s="20"/>
      <c r="J18" s="20"/>
      <c r="K18" s="21"/>
      <c r="Q18" s="2"/>
      <c r="S18" s="2"/>
      <c r="U18" s="22">
        <v>1.2</v>
      </c>
      <c r="V18" s="23">
        <f t="shared" si="0"/>
        <v>18183.940242763769</v>
      </c>
      <c r="W18" s="23">
        <f t="shared" si="1"/>
        <v>2.5145533402167724E-2</v>
      </c>
      <c r="X18" s="23">
        <f t="shared" si="2"/>
        <v>6.8116838770940664E-3</v>
      </c>
      <c r="Y18" s="25"/>
      <c r="Z18" s="1"/>
      <c r="AA18" s="1"/>
      <c r="AD18" s="36" t="s">
        <v>40</v>
      </c>
      <c r="AE18" s="37"/>
      <c r="AF18" s="37"/>
      <c r="AG18" s="37"/>
    </row>
    <row r="19" spans="1:33" x14ac:dyDescent="0.35">
      <c r="A19" s="24"/>
      <c r="B19" s="18"/>
      <c r="C19" s="19"/>
      <c r="D19" s="19"/>
      <c r="E19" s="3"/>
      <c r="F19" s="19"/>
      <c r="G19" s="19"/>
      <c r="H19" s="19"/>
      <c r="I19" s="20"/>
      <c r="J19" s="20"/>
      <c r="K19" s="21"/>
      <c r="Q19" s="70"/>
      <c r="R19" s="25"/>
      <c r="S19" s="73"/>
      <c r="U19" s="22">
        <v>1.3</v>
      </c>
      <c r="V19" s="23">
        <f t="shared" si="0"/>
        <v>19699.26859632742</v>
      </c>
      <c r="W19" s="23">
        <f t="shared" si="1"/>
        <v>2.4647355321189481E-2</v>
      </c>
      <c r="X19" s="23">
        <f t="shared" si="2"/>
        <v>6.6767322120071517E-3</v>
      </c>
      <c r="Y19" s="25"/>
      <c r="AD19" s="38" t="s">
        <v>41</v>
      </c>
      <c r="AE19" s="37" t="s">
        <v>42</v>
      </c>
      <c r="AF19" s="37" t="s">
        <v>43</v>
      </c>
      <c r="AG19" s="37" t="s">
        <v>44</v>
      </c>
    </row>
    <row r="20" spans="1:33" x14ac:dyDescent="0.35">
      <c r="A20" s="24"/>
      <c r="B20" s="18"/>
      <c r="C20" s="19"/>
      <c r="D20" s="19"/>
      <c r="E20" s="3"/>
      <c r="F20" s="19"/>
      <c r="G20" s="19"/>
      <c r="H20" s="19"/>
      <c r="I20" s="20"/>
      <c r="J20" s="20"/>
      <c r="K20" s="21"/>
      <c r="Q20" s="70"/>
      <c r="R20" s="25"/>
      <c r="S20" s="73"/>
      <c r="U20" s="22">
        <v>1.4</v>
      </c>
      <c r="V20" s="23">
        <f t="shared" si="0"/>
        <v>21214.596949891064</v>
      </c>
      <c r="W20" s="23">
        <f t="shared" si="1"/>
        <v>2.4194918033475597E-2</v>
      </c>
      <c r="X20" s="23">
        <f t="shared" si="2"/>
        <v>6.5541712892052051E-3</v>
      </c>
      <c r="Y20" s="25"/>
      <c r="Z20" s="1" t="s">
        <v>45</v>
      </c>
      <c r="AA20" s="1">
        <f>4*10^(-6)</f>
        <v>3.9999999999999998E-6</v>
      </c>
      <c r="AD20" s="38" t="s">
        <v>46</v>
      </c>
      <c r="AE20" s="37" t="s">
        <v>47</v>
      </c>
      <c r="AF20" s="37" t="s">
        <v>48</v>
      </c>
      <c r="AG20" s="37" t="s">
        <v>49</v>
      </c>
    </row>
    <row r="21" spans="1:33" x14ac:dyDescent="0.35">
      <c r="A21" s="24"/>
      <c r="B21" s="18"/>
      <c r="C21" s="19"/>
      <c r="D21" s="19"/>
      <c r="E21" s="3"/>
      <c r="F21" s="19"/>
      <c r="G21" s="19"/>
      <c r="H21" s="19"/>
      <c r="I21" s="20"/>
      <c r="J21" s="20"/>
      <c r="K21" s="21"/>
      <c r="Q21" s="70"/>
      <c r="R21" s="25"/>
      <c r="S21" s="73"/>
      <c r="U21" s="22">
        <v>1.5</v>
      </c>
      <c r="V21" s="23">
        <f t="shared" si="0"/>
        <v>22729.925303454711</v>
      </c>
      <c r="W21" s="23">
        <f t="shared" si="1"/>
        <v>2.37811772190092E-2</v>
      </c>
      <c r="X21" s="23">
        <f t="shared" si="2"/>
        <v>6.4420928699439311E-3</v>
      </c>
      <c r="Y21" s="25"/>
      <c r="Z21" s="1" t="s">
        <v>50</v>
      </c>
      <c r="AA21" s="2">
        <f>AA20/AA11</f>
        <v>2.5052631578947367E-4</v>
      </c>
      <c r="AD21" s="37">
        <v>0</v>
      </c>
      <c r="AE21" s="37">
        <v>1.792E-3</v>
      </c>
      <c r="AF21" s="37">
        <v>999.87</v>
      </c>
      <c r="AG21" s="39">
        <v>1.7922329902887374E-6</v>
      </c>
    </row>
    <row r="22" spans="1:33" x14ac:dyDescent="0.35">
      <c r="A22" s="24"/>
      <c r="B22" s="18"/>
      <c r="C22" s="19"/>
      <c r="D22" s="19"/>
      <c r="E22" s="3"/>
      <c r="F22" s="19"/>
      <c r="G22" s="19"/>
      <c r="H22" s="19"/>
      <c r="I22" s="20"/>
      <c r="J22" s="20"/>
      <c r="K22" s="21"/>
      <c r="Q22" s="70"/>
      <c r="R22" s="25"/>
      <c r="S22" s="73"/>
      <c r="U22" s="22">
        <v>1.6</v>
      </c>
      <c r="V22" s="23">
        <f t="shared" si="0"/>
        <v>24245.253657018358</v>
      </c>
      <c r="W22" s="23">
        <f t="shared" si="1"/>
        <v>2.3400555568771429E-2</v>
      </c>
      <c r="X22" s="23">
        <f t="shared" si="2"/>
        <v>6.3389861146911659E-3</v>
      </c>
      <c r="Y22" s="25"/>
      <c r="AD22" s="37">
        <v>5</v>
      </c>
      <c r="AE22" s="37">
        <v>1.519E-3</v>
      </c>
      <c r="AF22" s="37">
        <v>999.99</v>
      </c>
      <c r="AG22" s="39">
        <v>1.5190151901519014E-6</v>
      </c>
    </row>
    <row r="23" spans="1:33" x14ac:dyDescent="0.35">
      <c r="B23" s="18"/>
      <c r="C23" s="19"/>
      <c r="D23" s="19"/>
      <c r="E23" s="3"/>
      <c r="F23" s="3"/>
      <c r="G23" s="19"/>
      <c r="H23" s="19"/>
      <c r="I23" s="19"/>
      <c r="J23" s="20"/>
      <c r="K23" s="21"/>
      <c r="Q23" s="70"/>
      <c r="R23" s="25"/>
      <c r="S23" s="73"/>
      <c r="U23" s="22">
        <v>1.7</v>
      </c>
      <c r="V23" s="23">
        <f t="shared" si="0"/>
        <v>25760.582010582006</v>
      </c>
      <c r="W23" s="23">
        <f t="shared" si="1"/>
        <v>2.3048567243628366E-2</v>
      </c>
      <c r="X23" s="23">
        <f t="shared" si="2"/>
        <v>6.2436358526404244E-3</v>
      </c>
      <c r="Y23" s="25"/>
      <c r="Z23" s="40"/>
      <c r="AD23" s="37">
        <f>AD22+5</f>
        <v>10</v>
      </c>
      <c r="AE23" s="37">
        <v>1.3079999999999999E-3</v>
      </c>
      <c r="AF23" s="37">
        <v>999.73</v>
      </c>
      <c r="AG23" s="39">
        <v>1.3083532553789522E-6</v>
      </c>
    </row>
    <row r="24" spans="1:33" x14ac:dyDescent="0.35">
      <c r="B24" s="18"/>
      <c r="C24" s="19"/>
      <c r="D24" s="19"/>
      <c r="E24" s="3"/>
      <c r="F24" s="3"/>
      <c r="G24" s="19"/>
      <c r="H24" s="19"/>
      <c r="I24" s="19"/>
      <c r="J24" s="20"/>
      <c r="K24" s="21"/>
      <c r="Q24" s="71"/>
      <c r="R24" s="4"/>
      <c r="S24" s="74"/>
      <c r="U24" s="22">
        <v>1.8</v>
      </c>
      <c r="V24" s="23">
        <f t="shared" si="0"/>
        <v>27275.910364145657</v>
      </c>
      <c r="W24" s="23">
        <f t="shared" si="1"/>
        <v>2.2721554364037024E-2</v>
      </c>
      <c r="X24" s="23">
        <f t="shared" si="2"/>
        <v>6.155051199299072E-3</v>
      </c>
      <c r="Y24" s="4"/>
      <c r="Z24" s="40"/>
      <c r="AD24" s="37" t="e">
        <f>#REF!+5</f>
        <v>#REF!</v>
      </c>
      <c r="AE24" s="37">
        <v>1.005E-3</v>
      </c>
      <c r="AF24" s="37">
        <v>998.23</v>
      </c>
      <c r="AG24" s="39">
        <v>1.0067820041473407E-6</v>
      </c>
    </row>
    <row r="25" spans="1:33" x14ac:dyDescent="0.35">
      <c r="B25" s="18"/>
      <c r="C25" s="19"/>
      <c r="D25" s="19"/>
      <c r="E25" s="3"/>
      <c r="F25" s="3"/>
      <c r="G25" s="19"/>
      <c r="H25" s="19"/>
      <c r="I25" s="19"/>
      <c r="J25" s="20"/>
      <c r="K25" s="21"/>
      <c r="Q25" s="71"/>
      <c r="R25" s="4"/>
      <c r="S25" s="74"/>
      <c r="U25" s="22">
        <v>1.9</v>
      </c>
      <c r="V25" s="23">
        <f t="shared" si="0"/>
        <v>28791.238717709301</v>
      </c>
      <c r="W25" s="23">
        <f t="shared" si="1"/>
        <v>2.241649787633657E-2</v>
      </c>
      <c r="X25" s="23">
        <f t="shared" si="2"/>
        <v>6.072414321980215E-3</v>
      </c>
      <c r="Y25" s="4"/>
      <c r="Z25" s="40"/>
      <c r="AD25" s="37">
        <v>25</v>
      </c>
      <c r="AE25" s="37">
        <v>8.9400000000000005E-4</v>
      </c>
      <c r="AF25" s="37">
        <v>997.07</v>
      </c>
      <c r="AG25" s="39">
        <v>8.9662711745414066E-7</v>
      </c>
    </row>
    <row r="26" spans="1:33" x14ac:dyDescent="0.35">
      <c r="N26" s="22"/>
      <c r="Q26" s="71"/>
      <c r="R26" s="4"/>
      <c r="S26" s="74"/>
      <c r="U26" s="22">
        <v>2</v>
      </c>
      <c r="V26" s="23">
        <f t="shared" si="0"/>
        <v>30306.567071272948</v>
      </c>
      <c r="W26" s="23">
        <f t="shared" si="1"/>
        <v>2.2130879075178123E-2</v>
      </c>
      <c r="X26" s="23">
        <f t="shared" si="2"/>
        <v>5.9950429275568134E-3</v>
      </c>
      <c r="Y26" s="4"/>
      <c r="Z26" s="40"/>
      <c r="AD26" s="32"/>
      <c r="AE26" s="32"/>
      <c r="AF26" s="32"/>
      <c r="AG26" s="32"/>
    </row>
    <row r="27" spans="1:33" x14ac:dyDescent="0.35">
      <c r="K27" s="1"/>
      <c r="L27" s="4"/>
      <c r="N27" s="22"/>
      <c r="Q27" s="71"/>
      <c r="R27" s="4"/>
      <c r="S27" s="74"/>
      <c r="U27" s="22">
        <v>2.1</v>
      </c>
      <c r="V27" s="23">
        <f t="shared" si="0"/>
        <v>31821.895424836599</v>
      </c>
      <c r="W27" s="23">
        <f t="shared" si="1"/>
        <v>2.186257641222452E-2</v>
      </c>
      <c r="X27" s="23">
        <f t="shared" si="2"/>
        <v>5.9223623089279436E-3</v>
      </c>
      <c r="Y27" s="4"/>
      <c r="Z27" s="40"/>
      <c r="AD27" s="32"/>
      <c r="AE27" s="32"/>
      <c r="AF27" s="32"/>
      <c r="AG27" s="32"/>
    </row>
    <row r="28" spans="1:33" x14ac:dyDescent="0.35">
      <c r="Q28" s="71"/>
      <c r="R28" s="4"/>
      <c r="S28" s="74"/>
      <c r="U28" s="22">
        <v>2.2000000000000002</v>
      </c>
      <c r="V28" s="23">
        <f t="shared" si="0"/>
        <v>33337.223778400243</v>
      </c>
      <c r="W28" s="23">
        <f t="shared" si="1"/>
        <v>2.1609787381089561E-2</v>
      </c>
      <c r="X28" s="23">
        <f t="shared" si="2"/>
        <v>5.8538841843978912E-3</v>
      </c>
      <c r="Y28" s="4"/>
      <c r="Z28" s="40"/>
      <c r="AD28" s="32"/>
      <c r="AE28" s="32"/>
      <c r="AF28" s="32"/>
      <c r="AG28" s="32"/>
    </row>
    <row r="29" spans="1:33" x14ac:dyDescent="0.35">
      <c r="L29" s="41"/>
      <c r="Q29" s="71"/>
      <c r="R29" s="4"/>
      <c r="S29" s="74"/>
      <c r="U29" s="22">
        <v>2.2999999999999998</v>
      </c>
      <c r="V29" s="23">
        <f t="shared" si="0"/>
        <v>34852.552131963886</v>
      </c>
      <c r="W29" s="23">
        <f t="shared" si="1"/>
        <v>2.1370968544189427E-2</v>
      </c>
      <c r="X29" s="23">
        <f t="shared" si="2"/>
        <v>5.7891904515252873E-3</v>
      </c>
      <c r="Y29" s="4"/>
      <c r="Z29" s="40"/>
      <c r="AD29" s="32"/>
      <c r="AE29" s="32"/>
      <c r="AF29" s="32"/>
      <c r="AG29" s="32"/>
    </row>
    <row r="30" spans="1:33" x14ac:dyDescent="0.35">
      <c r="Q30" s="71"/>
      <c r="R30" s="4"/>
      <c r="S30" s="74"/>
      <c r="U30" s="22">
        <v>2.4</v>
      </c>
      <c r="V30" s="23">
        <f t="shared" si="0"/>
        <v>36367.880485527538</v>
      </c>
      <c r="W30" s="23">
        <f t="shared" si="1"/>
        <v>2.1144788897525378E-2</v>
      </c>
      <c r="X30" s="23">
        <f t="shared" si="2"/>
        <v>5.7279205540899233E-3</v>
      </c>
      <c r="Y30" s="4"/>
      <c r="Z30" s="40"/>
      <c r="AD30" s="32"/>
      <c r="AE30" s="32"/>
      <c r="AF30" s="32"/>
      <c r="AG30" s="32"/>
    </row>
    <row r="31" spans="1:33" x14ac:dyDescent="0.35">
      <c r="F31" s="1"/>
      <c r="G31" s="1"/>
      <c r="Q31" s="71"/>
      <c r="R31" s="4"/>
      <c r="S31" s="74"/>
      <c r="U31" s="22">
        <v>2.5</v>
      </c>
      <c r="V31" s="23">
        <f t="shared" si="0"/>
        <v>37883.208839091189</v>
      </c>
      <c r="W31" s="23">
        <f t="shared" si="1"/>
        <v>2.0930093185213671E-2</v>
      </c>
      <c r="X31" s="23">
        <f t="shared" si="2"/>
        <v>5.6697615443506901E-3</v>
      </c>
      <c r="Y31" s="4"/>
      <c r="Z31" s="40"/>
      <c r="AD31" s="32"/>
      <c r="AE31" s="32"/>
      <c r="AF31" s="32"/>
      <c r="AG31" s="32"/>
    </row>
    <row r="32" spans="1:33" x14ac:dyDescent="0.35">
      <c r="G32" s="19"/>
      <c r="Q32" s="71"/>
      <c r="R32" s="4"/>
      <c r="S32" s="74"/>
      <c r="Y32" s="4"/>
      <c r="Z32" s="40"/>
    </row>
    <row r="33" spans="7:27" x14ac:dyDescent="0.35">
      <c r="G33" s="19"/>
      <c r="Q33" s="71"/>
      <c r="R33" s="4"/>
      <c r="S33" s="74"/>
      <c r="Y33" s="4"/>
      <c r="Z33" s="40"/>
      <c r="AA33" s="1" t="s">
        <v>51</v>
      </c>
    </row>
    <row r="34" spans="7:27" x14ac:dyDescent="0.35">
      <c r="G34" s="19"/>
      <c r="Q34" s="71"/>
      <c r="R34" s="4"/>
      <c r="S34" s="74"/>
      <c r="Y34" s="4"/>
      <c r="Z34" s="40"/>
    </row>
    <row r="35" spans="7:27" x14ac:dyDescent="0.35">
      <c r="G35" s="19"/>
      <c r="Q35" s="71"/>
      <c r="R35" s="4"/>
      <c r="S35" s="74"/>
      <c r="Y35" s="4"/>
      <c r="Z35" s="40"/>
    </row>
    <row r="53" spans="17:17" x14ac:dyDescent="0.35">
      <c r="Q53" s="85"/>
    </row>
  </sheetData>
  <mergeCells count="3">
    <mergeCell ref="A3:N3"/>
    <mergeCell ref="Z5:AA5"/>
    <mergeCell ref="Q4:S4"/>
  </mergeCells>
  <pageMargins left="0.7" right="0.7" top="0.75" bottom="0.75" header="0.3" footer="0.3"/>
  <pageSetup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B6704-3FC3-458F-87EC-C418D47E7668}">
  <dimension ref="A1:AG43"/>
  <sheetViews>
    <sheetView zoomScale="50" zoomScaleNormal="50" zoomScalePageLayoutView="90" workbookViewId="0">
      <selection activeCell="A38" sqref="A38:XFD106"/>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7.4609375" style="4" bestFit="1" customWidth="1"/>
    <col min="14" max="15" width="8.4609375" style="4" customWidth="1"/>
    <col min="16" max="16" width="27.23046875" style="4" customWidth="1"/>
    <col min="17" max="17" width="12.765625" style="68" customWidth="1"/>
    <col min="18" max="18" width="10" style="2" customWidth="1"/>
    <col min="19" max="19" width="13.3046875" style="72" bestFit="1" customWidth="1"/>
    <col min="20" max="20" width="8.4609375" style="5" customWidth="1"/>
    <col min="21" max="21" width="10.23046875" style="2" customWidth="1"/>
    <col min="22" max="22" width="13.84375" style="2" customWidth="1"/>
    <col min="23" max="25" width="10" style="2" customWidth="1"/>
    <col min="26" max="26" width="21" style="2" customWidth="1"/>
    <col min="27" max="27" width="8.69140625" style="2" customWidth="1"/>
    <col min="28" max="28" width="8.69140625" style="2"/>
    <col min="29" max="29" width="22" style="2" customWidth="1"/>
    <col min="30" max="30" width="35.84375" style="2" customWidth="1"/>
    <col min="31" max="31" width="16.84375" style="2" customWidth="1"/>
    <col min="32" max="16384" width="8.69140625" style="2"/>
  </cols>
  <sheetData>
    <row r="1" spans="1:31" x14ac:dyDescent="0.35">
      <c r="A1" s="1"/>
      <c r="I1" s="1"/>
      <c r="J1" s="1"/>
      <c r="Q1" s="69" t="s">
        <v>111</v>
      </c>
    </row>
    <row r="2" spans="1:31" x14ac:dyDescent="0.35">
      <c r="A2" s="1"/>
      <c r="I2" s="1"/>
      <c r="J2" s="1"/>
      <c r="Q2" s="69" t="s">
        <v>85</v>
      </c>
    </row>
    <row r="3" spans="1:31" x14ac:dyDescent="0.35">
      <c r="A3" s="150" t="s">
        <v>3</v>
      </c>
      <c r="B3" s="150"/>
      <c r="C3" s="150"/>
      <c r="D3" s="150"/>
      <c r="E3" s="150"/>
      <c r="F3" s="150"/>
      <c r="G3" s="150"/>
      <c r="H3" s="150"/>
      <c r="I3" s="150"/>
      <c r="J3" s="150"/>
      <c r="K3" s="150"/>
      <c r="L3" s="150"/>
      <c r="M3" s="150"/>
      <c r="N3" s="150"/>
      <c r="O3" s="51"/>
      <c r="P3" s="51"/>
      <c r="T3" s="7"/>
    </row>
    <row r="4" spans="1:31" x14ac:dyDescent="0.35">
      <c r="Q4" s="152" t="s">
        <v>81</v>
      </c>
      <c r="R4" s="153"/>
      <c r="S4" s="154"/>
    </row>
    <row r="5" spans="1:31"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T5" s="14"/>
      <c r="U5" s="15" t="s">
        <v>19</v>
      </c>
      <c r="V5" s="16" t="s">
        <v>14</v>
      </c>
      <c r="W5" s="15" t="s">
        <v>20</v>
      </c>
      <c r="X5" s="16" t="s">
        <v>21</v>
      </c>
      <c r="Y5" s="1"/>
      <c r="Z5" s="151" t="s">
        <v>22</v>
      </c>
      <c r="AA5" s="151"/>
    </row>
    <row r="6" spans="1:31" x14ac:dyDescent="0.35">
      <c r="A6" s="17" t="s">
        <v>23</v>
      </c>
      <c r="B6" s="18">
        <v>0</v>
      </c>
      <c r="C6" s="19">
        <f>B6*0.0166667</f>
        <v>0</v>
      </c>
      <c r="D6" s="19">
        <f>B6*0.000277778</f>
        <v>0</v>
      </c>
      <c r="E6" s="3">
        <f>0.001*D6</f>
        <v>0</v>
      </c>
      <c r="F6" s="19">
        <f>E6/AA$7</f>
        <v>0</v>
      </c>
      <c r="G6" s="19">
        <f t="shared" ref="G6:G18" si="0">F6^(2)</f>
        <v>0</v>
      </c>
      <c r="H6" s="19">
        <f>F6*1.94384</f>
        <v>0</v>
      </c>
      <c r="I6" s="20">
        <v>0</v>
      </c>
      <c r="J6" s="20">
        <f t="shared" ref="J6:J18" si="1">I6 * 10</f>
        <v>0</v>
      </c>
      <c r="K6" s="21">
        <f>J6*100</f>
        <v>0</v>
      </c>
      <c r="L6" s="3">
        <f>(F6*AA$11)/AA$12</f>
        <v>0</v>
      </c>
      <c r="U6" s="22">
        <v>0</v>
      </c>
      <c r="V6" s="23">
        <f t="shared" ref="V6:V31" si="2">(U6*AA$11)/AA$12</f>
        <v>0</v>
      </c>
      <c r="W6" s="23"/>
      <c r="X6" s="23"/>
    </row>
    <row r="7" spans="1:31" x14ac:dyDescent="0.35">
      <c r="A7" s="2">
        <v>25</v>
      </c>
      <c r="B7" s="2">
        <v>1450</v>
      </c>
      <c r="C7" s="19">
        <f t="shared" ref="C7:C18" si="3">B7*0.0166667</f>
        <v>24.166715</v>
      </c>
      <c r="D7" s="19">
        <f t="shared" ref="D7:D18" si="4">B7*0.000277778</f>
        <v>0.40277810000000003</v>
      </c>
      <c r="E7" s="3">
        <f t="shared" ref="E7:E18" si="5">0.001*D7</f>
        <v>4.0277810000000005E-4</v>
      </c>
      <c r="F7" s="19">
        <f t="shared" ref="F7:F18" si="6">E7/AA$7</f>
        <v>0.84795389473684224</v>
      </c>
      <c r="G7" s="19">
        <f t="shared" si="0"/>
        <v>0.71902580759937973</v>
      </c>
      <c r="H7" s="19">
        <f t="shared" ref="H7:H18" si="7">F7*1.94384</f>
        <v>1.6482866987452633</v>
      </c>
      <c r="I7" s="2">
        <v>1.1812864516129031</v>
      </c>
      <c r="J7" s="20">
        <f t="shared" si="1"/>
        <v>11.812864516129032</v>
      </c>
      <c r="K7" s="21">
        <f t="shared" ref="K7:K18" si="8">J7*100</f>
        <v>1181.2864516129032</v>
      </c>
      <c r="L7" s="3">
        <f>(F7*AA$11)/AA$12</f>
        <v>13216.408243297319</v>
      </c>
      <c r="M7" s="4">
        <f>(AA$15*G7*N7)/8</f>
        <v>5.8940237869341283</v>
      </c>
      <c r="N7" s="4">
        <f>(K7*2*AA$11)/(AA$13*AA$15*G7)</f>
        <v>6.3978422453597486E-2</v>
      </c>
      <c r="O7" s="4">
        <f>N7/4</f>
        <v>1.5994605613399372E-2</v>
      </c>
      <c r="P7" s="4">
        <f>3.7*(10^(-1/(2*SQRT(N7)))-2.51/(L7*SQRT(N7)))</f>
        <v>3.6256084914318802E-2</v>
      </c>
      <c r="Q7" s="2">
        <v>913399.75400000007</v>
      </c>
      <c r="R7" s="2">
        <v>20265.420666666665</v>
      </c>
      <c r="S7" s="2">
        <v>54.561</v>
      </c>
      <c r="U7" s="22">
        <v>0.1</v>
      </c>
      <c r="V7" s="23">
        <f>(U7*AA$11)/AA$12</f>
        <v>1558.6234493797517</v>
      </c>
      <c r="W7" s="23">
        <f t="shared" ref="W7:W31" si="9">0.292/(V7^(0.25))</f>
        <v>4.6472661996730481E-2</v>
      </c>
      <c r="X7" s="23">
        <f>0.0791/(V7^0.25)</f>
        <v>1.2588998506648567E-2</v>
      </c>
      <c r="Y7" s="25"/>
      <c r="Z7" s="1" t="s">
        <v>24</v>
      </c>
      <c r="AA7" s="2">
        <f>AA$9*AA$10</f>
        <v>4.75E-4</v>
      </c>
    </row>
    <row r="8" spans="1:31" x14ac:dyDescent="0.35">
      <c r="A8" s="2">
        <v>30</v>
      </c>
      <c r="B8" s="2">
        <v>2100</v>
      </c>
      <c r="C8" s="19">
        <f t="shared" si="3"/>
        <v>35.000070000000001</v>
      </c>
      <c r="D8" s="19">
        <f t="shared" si="4"/>
        <v>0.58333380000000001</v>
      </c>
      <c r="E8" s="3">
        <f t="shared" si="5"/>
        <v>5.8333380000000006E-4</v>
      </c>
      <c r="F8" s="19">
        <f t="shared" si="6"/>
        <v>1.228071157894737</v>
      </c>
      <c r="G8" s="19">
        <f t="shared" si="0"/>
        <v>1.5081587688529199</v>
      </c>
      <c r="H8" s="19">
        <f t="shared" si="7"/>
        <v>2.3871738395621054</v>
      </c>
      <c r="I8" s="2">
        <v>2.3323448390000001</v>
      </c>
      <c r="J8" s="20">
        <f t="shared" si="1"/>
        <v>23.323448390000003</v>
      </c>
      <c r="K8" s="21">
        <f t="shared" si="8"/>
        <v>2332.3448390000003</v>
      </c>
      <c r="L8" s="3">
        <f t="shared" ref="L8:L18" si="10">(F8*AA$11)/AA$12</f>
        <v>19141.005042016808</v>
      </c>
      <c r="M8" s="4">
        <f>(AA$15*G8*N8)/8</f>
        <v>11.63722477442227</v>
      </c>
      <c r="N8" s="4">
        <f t="shared" ref="N8:N18" si="11">(K8*2*AA$11)/(AA$13*AA$15*G8)</f>
        <v>6.0223845172278793E-2</v>
      </c>
      <c r="O8" s="4">
        <f t="shared" ref="O8:O18" si="12">N8/4</f>
        <v>1.5055961293069698E-2</v>
      </c>
      <c r="P8" s="4">
        <f t="shared" ref="P8:P18" si="13">3.7*(10^(-1/(2*SQRT(N8)))-2.51/(L8*SQRT(N8)))</f>
        <v>3.1966465586080885E-2</v>
      </c>
      <c r="Q8" s="2">
        <v>911019.82133333327</v>
      </c>
      <c r="R8" s="2">
        <v>20464.66</v>
      </c>
      <c r="S8" s="2">
        <v>53.925000000000004</v>
      </c>
      <c r="U8" s="22">
        <v>0.2</v>
      </c>
      <c r="V8" s="23">
        <f t="shared" si="2"/>
        <v>3117.2468987595034</v>
      </c>
      <c r="W8" s="23">
        <f t="shared" si="9"/>
        <v>3.9078694880348201E-2</v>
      </c>
      <c r="X8" s="23">
        <f t="shared" ref="X8:X31" si="14">0.0791/(V8^0.25)</f>
        <v>1.0586043715875147E-2</v>
      </c>
      <c r="Y8" s="25"/>
      <c r="Z8" s="2" t="s">
        <v>25</v>
      </c>
    </row>
    <row r="9" spans="1:31" ht="19" x14ac:dyDescent="0.4">
      <c r="A9" s="2">
        <v>35</v>
      </c>
      <c r="B9" s="2">
        <v>2800</v>
      </c>
      <c r="C9" s="19">
        <f t="shared" si="3"/>
        <v>46.666759999999996</v>
      </c>
      <c r="D9" s="19">
        <f t="shared" si="4"/>
        <v>0.77777839999999998</v>
      </c>
      <c r="E9" s="3">
        <f t="shared" si="5"/>
        <v>7.7777840000000005E-4</v>
      </c>
      <c r="F9" s="19">
        <f t="shared" si="6"/>
        <v>1.6374282105263158</v>
      </c>
      <c r="G9" s="19">
        <f t="shared" si="0"/>
        <v>2.6811711446274127</v>
      </c>
      <c r="H9" s="19">
        <f t="shared" si="7"/>
        <v>3.1828984527494737</v>
      </c>
      <c r="I9" s="2">
        <v>4.0830477419354843</v>
      </c>
      <c r="J9" s="20">
        <f t="shared" si="1"/>
        <v>40.830477419354843</v>
      </c>
      <c r="K9" s="21">
        <f t="shared" si="8"/>
        <v>4083.0477419354843</v>
      </c>
      <c r="L9" s="3">
        <f t="shared" si="10"/>
        <v>25521.340056022407</v>
      </c>
      <c r="M9" s="4">
        <f t="shared" ref="M9:M18" si="15">(AA$15*G9*N9)/8</f>
        <v>20.372349552724319</v>
      </c>
      <c r="N9" s="4">
        <f t="shared" si="11"/>
        <v>5.9303824802365186E-2</v>
      </c>
      <c r="O9" s="4">
        <f t="shared" si="12"/>
        <v>1.4825956200591297E-2</v>
      </c>
      <c r="P9" s="4">
        <f t="shared" si="13"/>
        <v>3.1240851802943222E-2</v>
      </c>
      <c r="Q9" s="2">
        <v>952354.92700000003</v>
      </c>
      <c r="R9" s="2">
        <v>20426.361000000001</v>
      </c>
      <c r="S9" s="2">
        <v>55.246333333333332</v>
      </c>
      <c r="U9" s="22">
        <v>0.3</v>
      </c>
      <c r="V9" s="23">
        <f t="shared" si="2"/>
        <v>4675.8703481392549</v>
      </c>
      <c r="W9" s="23">
        <f t="shared" si="9"/>
        <v>3.531158699234041E-2</v>
      </c>
      <c r="X9" s="23">
        <f t="shared" si="14"/>
        <v>9.5655703119661879E-3</v>
      </c>
      <c r="Y9" s="25"/>
      <c r="Z9" s="1" t="s">
        <v>26</v>
      </c>
      <c r="AA9" s="19">
        <v>0.05</v>
      </c>
      <c r="AD9" s="27" t="s">
        <v>27</v>
      </c>
    </row>
    <row r="10" spans="1:31" ht="18.5" x14ac:dyDescent="0.35">
      <c r="A10" s="2">
        <v>40</v>
      </c>
      <c r="B10" s="2">
        <v>3500</v>
      </c>
      <c r="C10" s="19">
        <f t="shared" si="3"/>
        <v>58.333449999999999</v>
      </c>
      <c r="D10" s="19">
        <f t="shared" si="4"/>
        <v>0.97222300000000006</v>
      </c>
      <c r="E10" s="3">
        <f t="shared" si="5"/>
        <v>9.7222300000000003E-4</v>
      </c>
      <c r="F10" s="19">
        <f t="shared" si="6"/>
        <v>2.0467852631578949</v>
      </c>
      <c r="G10" s="19">
        <f t="shared" si="0"/>
        <v>4.189329913480333</v>
      </c>
      <c r="H10" s="19">
        <f t="shared" si="7"/>
        <v>3.9786230659368425</v>
      </c>
      <c r="I10" s="2">
        <v>6.3467993548387103</v>
      </c>
      <c r="J10" s="20">
        <f t="shared" si="1"/>
        <v>63.467993548387099</v>
      </c>
      <c r="K10" s="21">
        <f t="shared" si="8"/>
        <v>6346.7993548387103</v>
      </c>
      <c r="L10" s="3">
        <f t="shared" si="10"/>
        <v>31901.67507002801</v>
      </c>
      <c r="M10" s="4">
        <f>(AA$15*G10*N10)/8</f>
        <v>31.667328713743562</v>
      </c>
      <c r="N10" s="4">
        <f t="shared" si="11"/>
        <v>5.8997415779098318E-2</v>
      </c>
      <c r="O10" s="4">
        <f t="shared" si="12"/>
        <v>1.474935394477458E-2</v>
      </c>
      <c r="P10" s="4">
        <f t="shared" si="13"/>
        <v>3.1137697043199849E-2</v>
      </c>
      <c r="Q10" s="2">
        <v>918042.85033333336</v>
      </c>
      <c r="R10" s="2">
        <v>20313.956333333332</v>
      </c>
      <c r="S10" s="2">
        <v>55.234666666666669</v>
      </c>
      <c r="U10" s="22">
        <v>0.4</v>
      </c>
      <c r="V10" s="23">
        <f t="shared" si="2"/>
        <v>6234.4937975190069</v>
      </c>
      <c r="W10" s="23">
        <f t="shared" si="9"/>
        <v>3.2861134437678491E-2</v>
      </c>
      <c r="X10" s="23">
        <f t="shared" si="14"/>
        <v>8.9017662123985226E-3</v>
      </c>
      <c r="Y10" s="25"/>
      <c r="Z10" s="1" t="s">
        <v>28</v>
      </c>
      <c r="AA10" s="19">
        <v>9.4999999999999998E-3</v>
      </c>
      <c r="AD10" s="28" t="s">
        <v>29</v>
      </c>
      <c r="AE10" s="2" t="s">
        <v>30</v>
      </c>
    </row>
    <row r="11" spans="1:31" ht="16.5" x14ac:dyDescent="0.4">
      <c r="A11" s="2">
        <v>45</v>
      </c>
      <c r="B11" s="2">
        <v>4100</v>
      </c>
      <c r="C11" s="19">
        <f t="shared" si="3"/>
        <v>68.333469999999991</v>
      </c>
      <c r="D11" s="19">
        <f t="shared" si="4"/>
        <v>1.1388898000000001</v>
      </c>
      <c r="E11" s="3">
        <f t="shared" si="5"/>
        <v>1.1388898000000002E-3</v>
      </c>
      <c r="F11" s="19">
        <f t="shared" si="6"/>
        <v>2.3976627368421055</v>
      </c>
      <c r="G11" s="19">
        <f t="shared" si="0"/>
        <v>5.7487865996411758</v>
      </c>
      <c r="H11" s="19">
        <f t="shared" si="7"/>
        <v>4.6606727343831587</v>
      </c>
      <c r="I11" s="2">
        <v>7.8128154838709687</v>
      </c>
      <c r="J11" s="20">
        <f t="shared" si="1"/>
        <v>78.12815483870969</v>
      </c>
      <c r="K11" s="21">
        <f t="shared" si="8"/>
        <v>7812.8154838709688</v>
      </c>
      <c r="L11" s="3">
        <f t="shared" si="10"/>
        <v>37370.533653461382</v>
      </c>
      <c r="M11" s="4">
        <f t="shared" si="15"/>
        <v>38.982010029818376</v>
      </c>
      <c r="N11" s="4">
        <f t="shared" si="11"/>
        <v>5.292418306118038E-2</v>
      </c>
      <c r="O11" s="4">
        <f t="shared" si="12"/>
        <v>1.3231045765295095E-2</v>
      </c>
      <c r="P11" s="4">
        <f t="shared" si="13"/>
        <v>2.3738827528657896E-2</v>
      </c>
      <c r="Q11" s="2">
        <v>890371.0406666667</v>
      </c>
      <c r="R11" s="2">
        <v>20325.90966666667</v>
      </c>
      <c r="S11" s="2">
        <v>56.155000000000001</v>
      </c>
      <c r="U11" s="22">
        <v>0.5</v>
      </c>
      <c r="V11" s="23">
        <f t="shared" si="2"/>
        <v>7793.1172468987588</v>
      </c>
      <c r="W11" s="23">
        <f t="shared" si="9"/>
        <v>3.1078142156759716E-2</v>
      </c>
      <c r="X11" s="23">
        <f t="shared" si="14"/>
        <v>8.4187707006838832E-3</v>
      </c>
      <c r="Y11" s="25"/>
      <c r="Z11" s="1" t="s">
        <v>31</v>
      </c>
      <c r="AA11" s="4">
        <f>2*(AA9*AA10)/(AA9+AA10)</f>
        <v>1.5966386554621848E-2</v>
      </c>
      <c r="AB11" s="1">
        <f>10*AA11*100</f>
        <v>15.966386554621847</v>
      </c>
      <c r="AD11" s="27" t="s">
        <v>32</v>
      </c>
      <c r="AE11" s="2" t="s">
        <v>33</v>
      </c>
    </row>
    <row r="12" spans="1:31" ht="18.5" x14ac:dyDescent="0.35">
      <c r="A12" s="26" t="s">
        <v>68</v>
      </c>
      <c r="B12" s="29">
        <v>4700</v>
      </c>
      <c r="C12" s="19">
        <f t="shared" si="3"/>
        <v>78.333489999999998</v>
      </c>
      <c r="D12" s="19">
        <f t="shared" si="4"/>
        <v>1.3055566000000001</v>
      </c>
      <c r="E12" s="3">
        <f t="shared" si="5"/>
        <v>1.3055566E-3</v>
      </c>
      <c r="F12" s="19">
        <f t="shared" si="6"/>
        <v>2.7485402105263157</v>
      </c>
      <c r="G12" s="19">
        <f t="shared" si="0"/>
        <v>7.5544732888800441</v>
      </c>
      <c r="H12" s="19">
        <f t="shared" si="7"/>
        <v>5.342722402829474</v>
      </c>
      <c r="I12" s="30">
        <v>8.6936993548387118</v>
      </c>
      <c r="J12" s="20">
        <f t="shared" si="1"/>
        <v>86.936993548387122</v>
      </c>
      <c r="K12" s="21">
        <f t="shared" si="8"/>
        <v>8693.6993548387127</v>
      </c>
      <c r="L12" s="3">
        <f t="shared" si="10"/>
        <v>42839.392236894753</v>
      </c>
      <c r="M12" s="4">
        <f t="shared" si="15"/>
        <v>43.377176402819209</v>
      </c>
      <c r="N12" s="4">
        <f t="shared" si="11"/>
        <v>4.4814980340559703E-2</v>
      </c>
      <c r="O12" s="4">
        <f t="shared" si="12"/>
        <v>1.1203745085139926E-2</v>
      </c>
      <c r="P12" s="4">
        <f t="shared" si="13"/>
        <v>1.5057157681682132E-2</v>
      </c>
      <c r="Q12" s="2">
        <v>854356.73933333333</v>
      </c>
      <c r="R12" s="2">
        <v>20241.991333333335</v>
      </c>
      <c r="S12" s="2">
        <v>56.551666666666669</v>
      </c>
      <c r="U12" s="22">
        <v>0.6</v>
      </c>
      <c r="V12" s="23">
        <f t="shared" si="2"/>
        <v>9351.7406962785099</v>
      </c>
      <c r="W12" s="23">
        <f t="shared" si="9"/>
        <v>2.9693386918778746E-2</v>
      </c>
      <c r="X12" s="23">
        <f t="shared" si="14"/>
        <v>8.0436537851897236E-3</v>
      </c>
      <c r="Y12" s="25"/>
      <c r="Z12" s="1" t="s">
        <v>34</v>
      </c>
      <c r="AA12" s="31">
        <f>AA$16/AA$15</f>
        <v>1.024390243902439E-6</v>
      </c>
    </row>
    <row r="13" spans="1:31" ht="16.5" x14ac:dyDescent="0.4">
      <c r="A13" s="2">
        <v>50</v>
      </c>
      <c r="B13" s="29">
        <v>4700</v>
      </c>
      <c r="C13" s="19">
        <f t="shared" si="3"/>
        <v>78.333489999999998</v>
      </c>
      <c r="D13" s="19">
        <f t="shared" si="4"/>
        <v>1.3055566000000001</v>
      </c>
      <c r="E13" s="3">
        <f t="shared" si="5"/>
        <v>1.3055566E-3</v>
      </c>
      <c r="F13" s="19">
        <f t="shared" si="6"/>
        <v>2.7485402105263157</v>
      </c>
      <c r="G13" s="19">
        <f t="shared" si="0"/>
        <v>7.5544732888800441</v>
      </c>
      <c r="H13" s="19">
        <f t="shared" si="7"/>
        <v>5.342722402829474</v>
      </c>
      <c r="I13" s="30">
        <v>8.6936993548387118</v>
      </c>
      <c r="J13" s="20">
        <f t="shared" si="1"/>
        <v>86.936993548387122</v>
      </c>
      <c r="K13" s="21">
        <f t="shared" si="8"/>
        <v>8693.6993548387127</v>
      </c>
      <c r="L13" s="3">
        <f t="shared" si="10"/>
        <v>42839.392236894753</v>
      </c>
      <c r="M13" s="4">
        <f>(AA$15*G13*N13)/8</f>
        <v>43.377176402819209</v>
      </c>
      <c r="N13" s="4">
        <f t="shared" si="11"/>
        <v>4.4814980340559703E-2</v>
      </c>
      <c r="O13" s="4">
        <f t="shared" si="12"/>
        <v>1.1203745085139926E-2</v>
      </c>
      <c r="P13" s="4">
        <f t="shared" si="13"/>
        <v>1.5057157681682132E-2</v>
      </c>
      <c r="Q13" s="2">
        <v>854356.73933333333</v>
      </c>
      <c r="R13" s="2">
        <v>20241.991333333335</v>
      </c>
      <c r="S13" s="2">
        <v>56.551666666666669</v>
      </c>
      <c r="U13" s="22">
        <v>0.7</v>
      </c>
      <c r="V13" s="23">
        <f t="shared" si="2"/>
        <v>10910.364145658263</v>
      </c>
      <c r="W13" s="23">
        <f t="shared" si="9"/>
        <v>2.8570842031698351E-2</v>
      </c>
      <c r="X13" s="23">
        <f t="shared" si="14"/>
        <v>7.7395671394086983E-3</v>
      </c>
      <c r="Y13" s="25"/>
      <c r="Z13" s="1" t="s">
        <v>35</v>
      </c>
      <c r="AA13" s="32">
        <v>0.8</v>
      </c>
      <c r="AD13" s="27" t="s">
        <v>36</v>
      </c>
      <c r="AE13" s="1" t="s">
        <v>37</v>
      </c>
    </row>
    <row r="14" spans="1:31" x14ac:dyDescent="0.35">
      <c r="A14" s="2">
        <v>45</v>
      </c>
      <c r="B14" s="33">
        <v>4100</v>
      </c>
      <c r="C14" s="19">
        <f t="shared" si="3"/>
        <v>68.333469999999991</v>
      </c>
      <c r="D14" s="19">
        <f t="shared" si="4"/>
        <v>1.1388898000000001</v>
      </c>
      <c r="E14" s="3">
        <f t="shared" si="5"/>
        <v>1.1388898000000002E-3</v>
      </c>
      <c r="F14" s="19">
        <f t="shared" si="6"/>
        <v>2.3976627368421055</v>
      </c>
      <c r="G14" s="19">
        <f t="shared" si="0"/>
        <v>5.7487865996411758</v>
      </c>
      <c r="H14" s="19">
        <f t="shared" si="7"/>
        <v>4.6606727343831587</v>
      </c>
      <c r="I14" s="30">
        <v>7.6139961290322589</v>
      </c>
      <c r="J14" s="20">
        <f t="shared" si="1"/>
        <v>76.139961290322589</v>
      </c>
      <c r="K14" s="21">
        <f t="shared" si="8"/>
        <v>7613.996129032259</v>
      </c>
      <c r="L14" s="3">
        <f t="shared" si="10"/>
        <v>37370.533653461382</v>
      </c>
      <c r="M14" s="4">
        <f t="shared" si="15"/>
        <v>37.990001694226073</v>
      </c>
      <c r="N14" s="4">
        <f t="shared" si="11"/>
        <v>5.1577376400596578E-2</v>
      </c>
      <c r="O14" s="4">
        <f t="shared" si="12"/>
        <v>1.2894344100149144E-2</v>
      </c>
      <c r="P14" s="4">
        <f t="shared" si="13"/>
        <v>2.2164789054365638E-2</v>
      </c>
      <c r="Q14" s="68">
        <v>863001.81333333335</v>
      </c>
      <c r="R14" s="2">
        <v>20380.293999999998</v>
      </c>
      <c r="S14" s="72">
        <v>57.215333333333326</v>
      </c>
      <c r="U14" s="22">
        <v>0.8</v>
      </c>
      <c r="V14" s="23">
        <f t="shared" si="2"/>
        <v>12468.987595038014</v>
      </c>
      <c r="W14" s="23">
        <f t="shared" si="9"/>
        <v>2.7632810149814228E-2</v>
      </c>
      <c r="X14" s="23">
        <f t="shared" si="14"/>
        <v>7.4854632974325538E-3</v>
      </c>
      <c r="Y14" s="25"/>
      <c r="AA14" s="32"/>
    </row>
    <row r="15" spans="1:31" x14ac:dyDescent="0.35">
      <c r="A15" s="2">
        <v>40</v>
      </c>
      <c r="B15" s="33">
        <v>3400</v>
      </c>
      <c r="C15" s="19">
        <f t="shared" si="3"/>
        <v>56.666779999999996</v>
      </c>
      <c r="D15" s="19">
        <f t="shared" si="4"/>
        <v>0.94444519999999998</v>
      </c>
      <c r="E15" s="3">
        <f t="shared" si="5"/>
        <v>9.4444519999999999E-4</v>
      </c>
      <c r="F15" s="19">
        <f t="shared" si="6"/>
        <v>1.9883056842105262</v>
      </c>
      <c r="G15" s="19">
        <f t="shared" si="0"/>
        <v>3.9533594938638887</v>
      </c>
      <c r="H15" s="19">
        <f t="shared" si="7"/>
        <v>3.8649481211957895</v>
      </c>
      <c r="I15" s="30">
        <v>5.9968090322580645</v>
      </c>
      <c r="J15" s="20">
        <f t="shared" si="1"/>
        <v>59.968090322580643</v>
      </c>
      <c r="K15" s="21">
        <f t="shared" si="8"/>
        <v>5996.8090322580647</v>
      </c>
      <c r="L15" s="3">
        <f t="shared" si="10"/>
        <v>30990.198639455775</v>
      </c>
      <c r="M15" s="4">
        <f t="shared" si="15"/>
        <v>29.921053469775003</v>
      </c>
      <c r="N15" s="4">
        <f t="shared" si="11"/>
        <v>5.9071322449957407E-2</v>
      </c>
      <c r="O15" s="4">
        <f t="shared" si="12"/>
        <v>1.4767830612489352E-2</v>
      </c>
      <c r="P15" s="4">
        <f t="shared" si="13"/>
        <v>3.1199272505337747E-2</v>
      </c>
      <c r="Q15" s="68">
        <v>901847.85333333339</v>
      </c>
      <c r="R15" s="2">
        <v>20599.631333333335</v>
      </c>
      <c r="S15" s="72">
        <v>55.669333333333327</v>
      </c>
      <c r="T15" s="34"/>
      <c r="U15" s="22">
        <v>0.9</v>
      </c>
      <c r="V15" s="23">
        <f t="shared" si="2"/>
        <v>14027.611044417767</v>
      </c>
      <c r="W15" s="23">
        <f t="shared" si="9"/>
        <v>2.6831003913770836E-2</v>
      </c>
      <c r="X15" s="23">
        <f t="shared" si="14"/>
        <v>7.2682616766413478E-3</v>
      </c>
      <c r="Y15" s="25"/>
      <c r="Z15" s="2" t="s">
        <v>38</v>
      </c>
      <c r="AA15" s="32">
        <f>VLOOKUP(AA17, SW!$A$4:$F$34, 3, FALSE)</f>
        <v>1025</v>
      </c>
      <c r="AB15" s="32"/>
    </row>
    <row r="16" spans="1:31" x14ac:dyDescent="0.35">
      <c r="A16" s="2">
        <v>35</v>
      </c>
      <c r="B16" s="35">
        <v>2800</v>
      </c>
      <c r="C16" s="19">
        <f t="shared" si="3"/>
        <v>46.666759999999996</v>
      </c>
      <c r="D16" s="19">
        <f t="shared" si="4"/>
        <v>0.77777839999999998</v>
      </c>
      <c r="E16" s="3">
        <f t="shared" si="5"/>
        <v>7.7777840000000005E-4</v>
      </c>
      <c r="F16" s="19">
        <f t="shared" si="6"/>
        <v>1.6374282105263158</v>
      </c>
      <c r="G16" s="19">
        <f t="shared" si="0"/>
        <v>2.6811711446274127</v>
      </c>
      <c r="H16" s="19">
        <f t="shared" si="7"/>
        <v>3.1828984527494737</v>
      </c>
      <c r="I16" s="35">
        <v>4.1816348387096767</v>
      </c>
      <c r="J16" s="20">
        <f t="shared" si="1"/>
        <v>41.816348387096767</v>
      </c>
      <c r="K16" s="21">
        <f t="shared" si="8"/>
        <v>4181.6348387096768</v>
      </c>
      <c r="L16" s="3">
        <f t="shared" si="10"/>
        <v>25521.340056022407</v>
      </c>
      <c r="M16" s="4">
        <f t="shared" si="15"/>
        <v>20.864249457847656</v>
      </c>
      <c r="N16" s="4">
        <f t="shared" si="11"/>
        <v>6.0735743379956714E-2</v>
      </c>
      <c r="O16" s="4">
        <f t="shared" si="12"/>
        <v>1.5183935844989178E-2</v>
      </c>
      <c r="P16" s="4">
        <f t="shared" si="13"/>
        <v>3.3146196383954815E-2</v>
      </c>
      <c r="Q16" s="2">
        <v>923359.51866666658</v>
      </c>
      <c r="R16" s="2">
        <v>20783.385666666665</v>
      </c>
      <c r="S16" s="2">
        <v>54.831666666666671</v>
      </c>
      <c r="U16" s="22">
        <v>1</v>
      </c>
      <c r="V16" s="23">
        <f t="shared" si="2"/>
        <v>15586.234493797518</v>
      </c>
      <c r="W16" s="23">
        <f t="shared" si="9"/>
        <v>2.6133498332364592E-2</v>
      </c>
      <c r="X16" s="23">
        <f t="shared" si="14"/>
        <v>7.0793141030480802E-3</v>
      </c>
      <c r="Y16" s="25"/>
      <c r="Z16" s="2" t="s">
        <v>39</v>
      </c>
      <c r="AA16" s="32">
        <f>VLOOKUP(AA17, SW!$A$4:$F$34, 5, FALSE)</f>
        <v>1.0499999999999999E-3</v>
      </c>
    </row>
    <row r="17" spans="1:33" x14ac:dyDescent="0.35">
      <c r="A17" s="2">
        <v>30</v>
      </c>
      <c r="B17" s="18">
        <v>2100</v>
      </c>
      <c r="C17" s="19">
        <f t="shared" si="3"/>
        <v>35.000070000000001</v>
      </c>
      <c r="D17" s="19">
        <f t="shared" si="4"/>
        <v>0.58333380000000001</v>
      </c>
      <c r="E17" s="3">
        <f t="shared" si="5"/>
        <v>5.8333380000000006E-4</v>
      </c>
      <c r="F17" s="19">
        <f t="shared" si="6"/>
        <v>1.228071157894737</v>
      </c>
      <c r="G17" s="19">
        <f t="shared" si="0"/>
        <v>1.5081587688529199</v>
      </c>
      <c r="H17" s="19">
        <f t="shared" si="7"/>
        <v>2.3871738395621054</v>
      </c>
      <c r="I17" s="20">
        <v>2.5105993548387096</v>
      </c>
      <c r="J17" s="20">
        <f t="shared" si="1"/>
        <v>25.105993548387097</v>
      </c>
      <c r="K17" s="21">
        <f t="shared" si="8"/>
        <v>2510.5993548387096</v>
      </c>
      <c r="L17" s="3">
        <f t="shared" si="10"/>
        <v>19141.005042016808</v>
      </c>
      <c r="M17" s="4">
        <f t="shared" si="15"/>
        <v>12.526624932230956</v>
      </c>
      <c r="N17" s="4">
        <f t="shared" si="11"/>
        <v>6.4826583233830906E-2</v>
      </c>
      <c r="O17" s="4">
        <f t="shared" si="12"/>
        <v>1.6206645808457727E-2</v>
      </c>
      <c r="P17" s="4">
        <f t="shared" si="13"/>
        <v>3.8312252051966186E-2</v>
      </c>
      <c r="Q17" s="2">
        <v>925887.08333333337</v>
      </c>
      <c r="R17" s="2">
        <v>20397.581999999999</v>
      </c>
      <c r="S17" s="2">
        <v>55.761666666666663</v>
      </c>
      <c r="T17" s="14"/>
      <c r="U17" s="22">
        <v>1.1000000000000001</v>
      </c>
      <c r="V17" s="23">
        <f t="shared" si="2"/>
        <v>17144.85794317727</v>
      </c>
      <c r="W17" s="23">
        <f t="shared" si="9"/>
        <v>2.5518161324186453E-2</v>
      </c>
      <c r="X17" s="23">
        <f t="shared" si="14"/>
        <v>6.9126252080244817E-3</v>
      </c>
      <c r="Y17" s="25"/>
      <c r="Z17" s="2" t="s">
        <v>161</v>
      </c>
      <c r="AA17" s="2">
        <v>21</v>
      </c>
    </row>
    <row r="18" spans="1:33" x14ac:dyDescent="0.35">
      <c r="A18" s="2">
        <v>25</v>
      </c>
      <c r="B18" s="18">
        <v>1450</v>
      </c>
      <c r="C18" s="19">
        <f t="shared" si="3"/>
        <v>24.166715</v>
      </c>
      <c r="D18" s="19">
        <f t="shared" si="4"/>
        <v>0.40277810000000003</v>
      </c>
      <c r="E18" s="3">
        <f t="shared" si="5"/>
        <v>4.0277810000000005E-4</v>
      </c>
      <c r="F18" s="19">
        <f t="shared" si="6"/>
        <v>0.84795389473684224</v>
      </c>
      <c r="G18" s="19">
        <f t="shared" si="0"/>
        <v>0.71902580759937973</v>
      </c>
      <c r="H18" s="19">
        <f t="shared" si="7"/>
        <v>1.6482866987452633</v>
      </c>
      <c r="I18" s="20">
        <v>1.2002219354838708</v>
      </c>
      <c r="J18" s="20">
        <f t="shared" si="1"/>
        <v>12.002219354838708</v>
      </c>
      <c r="K18" s="21">
        <f t="shared" si="8"/>
        <v>1200.2219354838708</v>
      </c>
      <c r="L18" s="3">
        <f t="shared" si="10"/>
        <v>13216.408243297319</v>
      </c>
      <c r="M18" s="4">
        <f t="shared" si="15"/>
        <v>5.9885023041474641</v>
      </c>
      <c r="N18" s="4">
        <f t="shared" si="11"/>
        <v>6.5003967430267567E-2</v>
      </c>
      <c r="O18" s="4">
        <f t="shared" si="12"/>
        <v>1.6250991857566892E-2</v>
      </c>
      <c r="P18" s="4">
        <f t="shared" si="13"/>
        <v>3.7710845055946095E-2</v>
      </c>
      <c r="Q18" s="2">
        <v>937441.52966666652</v>
      </c>
      <c r="R18" s="2">
        <v>20523.797999999999</v>
      </c>
      <c r="S18" s="2">
        <v>55.163666666666671</v>
      </c>
      <c r="U18" s="22">
        <v>1.2</v>
      </c>
      <c r="V18" s="23">
        <f t="shared" si="2"/>
        <v>18703.48139255702</v>
      </c>
      <c r="W18" s="23">
        <f t="shared" si="9"/>
        <v>2.4969062616742588E-2</v>
      </c>
      <c r="X18" s="23">
        <f t="shared" si="14"/>
        <v>6.7638796335080095E-3</v>
      </c>
      <c r="Y18" s="25"/>
      <c r="Z18" s="1"/>
      <c r="AA18" s="1"/>
      <c r="AD18" s="36" t="s">
        <v>40</v>
      </c>
      <c r="AE18" s="37"/>
      <c r="AF18" s="37"/>
      <c r="AG18" s="37"/>
    </row>
    <row r="19" spans="1:33" x14ac:dyDescent="0.35">
      <c r="A19" s="24"/>
      <c r="B19" s="18"/>
      <c r="C19" s="19"/>
      <c r="D19" s="19"/>
      <c r="E19" s="3"/>
      <c r="F19" s="19"/>
      <c r="G19" s="19"/>
      <c r="H19" s="19"/>
      <c r="I19" s="20"/>
      <c r="J19" s="20"/>
      <c r="K19" s="21"/>
      <c r="Q19" s="70"/>
      <c r="R19" s="25"/>
      <c r="S19" s="73"/>
      <c r="U19" s="22">
        <v>1.3</v>
      </c>
      <c r="V19" s="23">
        <f t="shared" si="2"/>
        <v>20262.104841936776</v>
      </c>
      <c r="W19" s="23">
        <f t="shared" si="9"/>
        <v>2.4474380738283737E-2</v>
      </c>
      <c r="X19" s="23">
        <f t="shared" si="14"/>
        <v>6.6298750561583691E-3</v>
      </c>
      <c r="Y19" s="25"/>
      <c r="AD19" s="38" t="s">
        <v>41</v>
      </c>
      <c r="AE19" s="37" t="s">
        <v>42</v>
      </c>
      <c r="AF19" s="37" t="s">
        <v>43</v>
      </c>
      <c r="AG19" s="37" t="s">
        <v>44</v>
      </c>
    </row>
    <row r="20" spans="1:33" x14ac:dyDescent="0.35">
      <c r="A20" s="24"/>
      <c r="B20" s="18"/>
      <c r="C20" s="19"/>
      <c r="D20" s="19"/>
      <c r="E20" s="3"/>
      <c r="F20" s="19"/>
      <c r="G20" s="19"/>
      <c r="H20" s="19"/>
      <c r="I20" s="20"/>
      <c r="J20" s="20"/>
      <c r="K20" s="21"/>
      <c r="Q20" s="70"/>
      <c r="R20" s="25"/>
      <c r="S20" s="73"/>
      <c r="U20" s="22">
        <v>1.4</v>
      </c>
      <c r="V20" s="23">
        <f t="shared" si="2"/>
        <v>21820.728291316525</v>
      </c>
      <c r="W20" s="23">
        <f t="shared" si="9"/>
        <v>2.4025118645235301E-2</v>
      </c>
      <c r="X20" s="23">
        <f t="shared" si="14"/>
        <v>6.5081742631442211E-3</v>
      </c>
      <c r="Y20" s="25"/>
      <c r="Z20" s="1" t="s">
        <v>45</v>
      </c>
      <c r="AA20" s="1">
        <f>4*10^(-6)</f>
        <v>3.9999999999999998E-6</v>
      </c>
      <c r="AD20" s="38" t="s">
        <v>46</v>
      </c>
      <c r="AE20" s="37" t="s">
        <v>47</v>
      </c>
      <c r="AF20" s="37" t="s">
        <v>48</v>
      </c>
      <c r="AG20" s="37" t="s">
        <v>49</v>
      </c>
    </row>
    <row r="21" spans="1:33" x14ac:dyDescent="0.35">
      <c r="A21" s="24"/>
      <c r="B21" s="18"/>
      <c r="C21" s="19"/>
      <c r="D21" s="19"/>
      <c r="E21" s="3"/>
      <c r="F21" s="19"/>
      <c r="G21" s="19"/>
      <c r="H21" s="19"/>
      <c r="I21" s="20"/>
      <c r="J21" s="20"/>
      <c r="K21" s="21"/>
      <c r="Q21" s="70"/>
      <c r="R21" s="25"/>
      <c r="S21" s="73"/>
      <c r="U21" s="22">
        <v>1.5</v>
      </c>
      <c r="V21" s="23">
        <f t="shared" si="2"/>
        <v>23379.351740696278</v>
      </c>
      <c r="W21" s="23">
        <f t="shared" si="9"/>
        <v>2.3614281454459186E-2</v>
      </c>
      <c r="X21" s="23">
        <f t="shared" si="14"/>
        <v>6.3968824076976781E-3</v>
      </c>
      <c r="Y21" s="25"/>
      <c r="Z21" s="1" t="s">
        <v>50</v>
      </c>
      <c r="AA21" s="2">
        <f>AA20/AA11</f>
        <v>2.5052631578947367E-4</v>
      </c>
      <c r="AD21" s="37">
        <v>0</v>
      </c>
      <c r="AE21" s="37">
        <v>1.792E-3</v>
      </c>
      <c r="AF21" s="37">
        <v>999.87</v>
      </c>
      <c r="AG21" s="39">
        <v>1.7922329902887374E-6</v>
      </c>
    </row>
    <row r="22" spans="1:33" x14ac:dyDescent="0.35">
      <c r="A22" s="24"/>
      <c r="B22" s="18"/>
      <c r="C22" s="19"/>
      <c r="D22" s="19"/>
      <c r="E22" s="3"/>
      <c r="F22" s="19"/>
      <c r="G22" s="19"/>
      <c r="H22" s="19"/>
      <c r="I22" s="20"/>
      <c r="J22" s="20"/>
      <c r="K22" s="21"/>
      <c r="Q22" s="70"/>
      <c r="R22" s="25"/>
      <c r="S22" s="73"/>
      <c r="U22" s="22">
        <v>1.6</v>
      </c>
      <c r="V22" s="23">
        <f t="shared" si="2"/>
        <v>24937.975190076028</v>
      </c>
      <c r="W22" s="23">
        <f t="shared" si="9"/>
        <v>2.3236330998365244E-2</v>
      </c>
      <c r="X22" s="23">
        <f t="shared" si="14"/>
        <v>6.2944992533242846E-3</v>
      </c>
      <c r="Y22" s="25"/>
      <c r="AD22" s="37">
        <v>5</v>
      </c>
      <c r="AE22" s="37">
        <v>1.519E-3</v>
      </c>
      <c r="AF22" s="37">
        <v>999.99</v>
      </c>
      <c r="AG22" s="39">
        <v>1.5190151901519014E-6</v>
      </c>
    </row>
    <row r="23" spans="1:33" x14ac:dyDescent="0.35">
      <c r="B23" s="18"/>
      <c r="C23" s="19"/>
      <c r="D23" s="19"/>
      <c r="E23" s="3"/>
      <c r="F23" s="3"/>
      <c r="G23" s="19"/>
      <c r="H23" s="19"/>
      <c r="I23" s="19"/>
      <c r="J23" s="20"/>
      <c r="K23" s="21"/>
      <c r="Q23" s="70"/>
      <c r="R23" s="25"/>
      <c r="S23" s="73"/>
      <c r="U23" s="22">
        <v>1.7</v>
      </c>
      <c r="V23" s="23">
        <f t="shared" si="2"/>
        <v>26496.598639455777</v>
      </c>
      <c r="W23" s="23">
        <f t="shared" si="9"/>
        <v>2.2886812919337265E-2</v>
      </c>
      <c r="X23" s="23">
        <f t="shared" si="14"/>
        <v>6.1998181572588285E-3</v>
      </c>
      <c r="Y23" s="25"/>
      <c r="Z23" s="40"/>
      <c r="AD23" s="37">
        <f>AD22+5</f>
        <v>10</v>
      </c>
      <c r="AE23" s="37">
        <v>1.3079999999999999E-3</v>
      </c>
      <c r="AF23" s="37">
        <v>999.73</v>
      </c>
      <c r="AG23" s="39">
        <v>1.3083532553789522E-6</v>
      </c>
    </row>
    <row r="24" spans="1:33" x14ac:dyDescent="0.35">
      <c r="B24" s="18"/>
      <c r="C24" s="19"/>
      <c r="D24" s="19"/>
      <c r="E24" s="3"/>
      <c r="F24" s="3"/>
      <c r="G24" s="19"/>
      <c r="H24" s="19"/>
      <c r="I24" s="19"/>
      <c r="J24" s="20"/>
      <c r="K24" s="21"/>
      <c r="Q24" s="71"/>
      <c r="R24" s="4"/>
      <c r="S24" s="74"/>
      <c r="U24" s="22">
        <v>1.8</v>
      </c>
      <c r="V24" s="23">
        <f t="shared" si="2"/>
        <v>28055.222088835533</v>
      </c>
      <c r="W24" s="23">
        <f t="shared" si="9"/>
        <v>2.2562095008748281E-2</v>
      </c>
      <c r="X24" s="23">
        <f t="shared" si="14"/>
        <v>6.1118551890136617E-3</v>
      </c>
      <c r="Y24" s="4"/>
      <c r="Z24" s="40"/>
      <c r="AD24" s="37" t="e">
        <f>#REF!+5</f>
        <v>#REF!</v>
      </c>
      <c r="AE24" s="37">
        <v>1.005E-3</v>
      </c>
      <c r="AF24" s="37">
        <v>998.23</v>
      </c>
      <c r="AG24" s="39">
        <v>1.0067820041473407E-6</v>
      </c>
    </row>
    <row r="25" spans="1:33" x14ac:dyDescent="0.35">
      <c r="B25" s="18"/>
      <c r="C25" s="19"/>
      <c r="D25" s="19"/>
      <c r="E25" s="3"/>
      <c r="F25" s="3"/>
      <c r="G25" s="19"/>
      <c r="H25" s="19"/>
      <c r="I25" s="19"/>
      <c r="J25" s="20"/>
      <c r="K25" s="21"/>
      <c r="Q25" s="71"/>
      <c r="R25" s="4"/>
      <c r="S25" s="74"/>
      <c r="U25" s="22">
        <v>1.9</v>
      </c>
      <c r="V25" s="23">
        <f t="shared" si="2"/>
        <v>29613.845538215282</v>
      </c>
      <c r="W25" s="23">
        <f t="shared" si="9"/>
        <v>2.2259179400587827E-2</v>
      </c>
      <c r="X25" s="23">
        <f t="shared" si="14"/>
        <v>6.0297982554332096E-3</v>
      </c>
      <c r="Y25" s="4"/>
      <c r="Z25" s="40"/>
      <c r="AD25" s="37">
        <v>25</v>
      </c>
      <c r="AE25" s="37">
        <v>8.9400000000000005E-4</v>
      </c>
      <c r="AF25" s="37">
        <v>997.07</v>
      </c>
      <c r="AG25" s="39">
        <v>8.9662711745414066E-7</v>
      </c>
    </row>
    <row r="26" spans="1:33" x14ac:dyDescent="0.35">
      <c r="N26" s="22"/>
      <c r="Q26" s="71"/>
      <c r="R26" s="4"/>
      <c r="S26" s="74"/>
      <c r="U26" s="22">
        <v>2</v>
      </c>
      <c r="V26" s="23">
        <f t="shared" si="2"/>
        <v>31172.468987595035</v>
      </c>
      <c r="W26" s="23">
        <f t="shared" si="9"/>
        <v>2.197556506572431E-2</v>
      </c>
      <c r="X26" s="23">
        <f t="shared" si="14"/>
        <v>5.952969851708196E-3</v>
      </c>
      <c r="Y26" s="4"/>
      <c r="Z26" s="40"/>
      <c r="AD26" s="32"/>
      <c r="AE26" s="32"/>
      <c r="AF26" s="32"/>
      <c r="AG26" s="32"/>
    </row>
    <row r="27" spans="1:33" x14ac:dyDescent="0.35">
      <c r="K27" s="1"/>
      <c r="L27" s="4"/>
      <c r="N27" s="22"/>
      <c r="Q27" s="71"/>
      <c r="R27" s="4"/>
      <c r="S27" s="74"/>
      <c r="U27" s="22">
        <v>2.1</v>
      </c>
      <c r="V27" s="23">
        <f t="shared" si="2"/>
        <v>32731.092436974792</v>
      </c>
      <c r="W27" s="23">
        <f t="shared" si="9"/>
        <v>2.1709145344798852E-2</v>
      </c>
      <c r="X27" s="23">
        <f t="shared" si="14"/>
        <v>5.8807993040191414E-3</v>
      </c>
      <c r="Y27" s="4"/>
      <c r="Z27" s="40"/>
      <c r="AD27" s="32"/>
      <c r="AE27" s="32"/>
      <c r="AF27" s="32"/>
      <c r="AG27" s="32"/>
    </row>
    <row r="28" spans="1:33" x14ac:dyDescent="0.35">
      <c r="Q28" s="71"/>
      <c r="R28" s="4"/>
      <c r="S28" s="74"/>
      <c r="U28" s="22">
        <v>2.2000000000000002</v>
      </c>
      <c r="V28" s="23">
        <f t="shared" si="2"/>
        <v>34289.715886354541</v>
      </c>
      <c r="W28" s="23">
        <f t="shared" si="9"/>
        <v>2.1458130381374368E-2</v>
      </c>
      <c r="X28" s="23">
        <f t="shared" si="14"/>
        <v>5.8128017574202492E-3</v>
      </c>
      <c r="Y28" s="4"/>
      <c r="Z28" s="40"/>
      <c r="AD28" s="32"/>
      <c r="AE28" s="32"/>
      <c r="AF28" s="32"/>
      <c r="AG28" s="32"/>
    </row>
    <row r="29" spans="1:33" x14ac:dyDescent="0.35">
      <c r="L29" s="41"/>
      <c r="Q29" s="71"/>
      <c r="R29" s="4"/>
      <c r="S29" s="74"/>
      <c r="U29" s="22">
        <v>2.2999999999999998</v>
      </c>
      <c r="V29" s="23">
        <f t="shared" si="2"/>
        <v>35848.339335734287</v>
      </c>
      <c r="W29" s="23">
        <f t="shared" si="9"/>
        <v>2.1220987569677125E-2</v>
      </c>
      <c r="X29" s="23">
        <f t="shared" si="14"/>
        <v>5.7485620437036332E-3</v>
      </c>
      <c r="Y29" s="4"/>
      <c r="Z29" s="40"/>
      <c r="AD29" s="32"/>
      <c r="AE29" s="32"/>
      <c r="AF29" s="32"/>
      <c r="AG29" s="32"/>
    </row>
    <row r="30" spans="1:33" x14ac:dyDescent="0.35">
      <c r="Q30" s="71"/>
      <c r="R30" s="4"/>
      <c r="S30" s="74"/>
      <c r="U30" s="22">
        <v>2.4</v>
      </c>
      <c r="V30" s="23">
        <f t="shared" si="2"/>
        <v>37406.962785114039</v>
      </c>
      <c r="W30" s="23">
        <f t="shared" si="9"/>
        <v>2.0996395246664374E-2</v>
      </c>
      <c r="X30" s="23">
        <f t="shared" si="14"/>
        <v>5.6877221370244934E-3</v>
      </c>
      <c r="Y30" s="4"/>
      <c r="Z30" s="40"/>
      <c r="AD30" s="32"/>
      <c r="AE30" s="32"/>
      <c r="AF30" s="32"/>
      <c r="AG30" s="32"/>
    </row>
    <row r="31" spans="1:33" x14ac:dyDescent="0.35">
      <c r="F31" s="1"/>
      <c r="G31" s="1"/>
      <c r="Q31" s="71"/>
      <c r="R31" s="4"/>
      <c r="S31" s="74"/>
      <c r="U31" s="22">
        <v>2.5</v>
      </c>
      <c r="V31" s="23">
        <f t="shared" si="2"/>
        <v>38965.586234493792</v>
      </c>
      <c r="W31" s="23">
        <f t="shared" si="9"/>
        <v>2.0783206264012095E-2</v>
      </c>
      <c r="X31" s="23">
        <f t="shared" si="14"/>
        <v>5.6299712859019073E-3</v>
      </c>
      <c r="Y31" s="4"/>
      <c r="Z31" s="40"/>
      <c r="AD31" s="32"/>
      <c r="AE31" s="32"/>
      <c r="AF31" s="32"/>
      <c r="AG31" s="32"/>
    </row>
    <row r="32" spans="1:33" x14ac:dyDescent="0.35">
      <c r="G32" s="19"/>
      <c r="Q32" s="71"/>
      <c r="R32" s="4"/>
      <c r="S32" s="74"/>
      <c r="Y32" s="4"/>
      <c r="Z32" s="40"/>
    </row>
    <row r="33" spans="7:27" x14ac:dyDescent="0.35">
      <c r="G33" s="19"/>
      <c r="Q33" s="71"/>
      <c r="R33" s="4"/>
      <c r="S33" s="74"/>
      <c r="Y33" s="4"/>
      <c r="Z33" s="40"/>
      <c r="AA33" s="1" t="s">
        <v>51</v>
      </c>
    </row>
    <row r="34" spans="7:27" x14ac:dyDescent="0.35">
      <c r="G34" s="19"/>
      <c r="Q34" s="71"/>
      <c r="R34" s="4"/>
      <c r="S34" s="74"/>
      <c r="Y34" s="4"/>
      <c r="Z34" s="40"/>
    </row>
    <row r="35" spans="7:27" x14ac:dyDescent="0.35">
      <c r="G35" s="19"/>
      <c r="Q35" s="71"/>
      <c r="R35" s="4"/>
      <c r="S35" s="74"/>
      <c r="Y35" s="4"/>
      <c r="Z35" s="40"/>
    </row>
    <row r="36" spans="7:27" x14ac:dyDescent="0.35">
      <c r="G36" s="19"/>
      <c r="Q36" s="71"/>
      <c r="R36" s="4"/>
      <c r="S36" s="74"/>
      <c r="Y36" s="4"/>
    </row>
    <row r="37" spans="7:27" x14ac:dyDescent="0.35">
      <c r="G37" s="19"/>
      <c r="Q37" s="71"/>
      <c r="R37" s="4"/>
      <c r="S37" s="74"/>
      <c r="Y37" s="4"/>
    </row>
    <row r="43" spans="7:27" x14ac:dyDescent="0.35">
      <c r="Q43" s="85"/>
    </row>
  </sheetData>
  <mergeCells count="3">
    <mergeCell ref="A3:N3"/>
    <mergeCell ref="Z5:AA5"/>
    <mergeCell ref="Q4:S4"/>
  </mergeCells>
  <pageMargins left="0.7" right="0.7" top="0.75" bottom="0.75" header="0.3" footer="0.3"/>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1CBB2-82E8-4DF2-9484-881DDD1CDD04}">
  <dimension ref="A1:AG112"/>
  <sheetViews>
    <sheetView zoomScale="50" zoomScaleNormal="50" zoomScalePageLayoutView="90" workbookViewId="0">
      <selection activeCell="O15" sqref="O15"/>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7.3046875" style="4" bestFit="1" customWidth="1"/>
    <col min="14" max="15" width="8.4609375" style="4" customWidth="1"/>
    <col min="16" max="16" width="27.23046875" style="4" customWidth="1"/>
    <col min="17" max="17" width="12.765625" style="68" customWidth="1"/>
    <col min="18" max="18" width="10" style="2" customWidth="1"/>
    <col min="19" max="19" width="13.3046875" style="72" bestFit="1" customWidth="1"/>
    <col min="20" max="20" width="8.4609375" style="5" customWidth="1"/>
    <col min="21" max="21" width="10.23046875" style="2" customWidth="1"/>
    <col min="22" max="22" width="13.84375" style="2" customWidth="1"/>
    <col min="23" max="25" width="10" style="2" customWidth="1"/>
    <col min="26" max="26" width="21" style="2" customWidth="1"/>
    <col min="27" max="27" width="8.69140625" style="2" customWidth="1"/>
    <col min="28" max="28" width="8.69140625" style="2"/>
    <col min="29" max="29" width="22" style="2" customWidth="1"/>
    <col min="30" max="30" width="35.84375" style="2" customWidth="1"/>
    <col min="31" max="31" width="16.84375" style="2" customWidth="1"/>
    <col min="32" max="16384" width="8.69140625" style="2"/>
  </cols>
  <sheetData>
    <row r="1" spans="1:31" x14ac:dyDescent="0.35">
      <c r="A1" s="1"/>
      <c r="I1" s="1"/>
      <c r="J1" s="1"/>
      <c r="Q1" s="69" t="s">
        <v>111</v>
      </c>
    </row>
    <row r="2" spans="1:31" x14ac:dyDescent="0.35">
      <c r="A2" s="1"/>
      <c r="I2" s="1"/>
      <c r="J2" s="1"/>
      <c r="Q2" s="69" t="s">
        <v>85</v>
      </c>
    </row>
    <row r="3" spans="1:31" x14ac:dyDescent="0.35">
      <c r="A3" s="150" t="s">
        <v>3</v>
      </c>
      <c r="B3" s="150"/>
      <c r="C3" s="150"/>
      <c r="D3" s="150"/>
      <c r="E3" s="150"/>
      <c r="F3" s="150"/>
      <c r="G3" s="150"/>
      <c r="H3" s="150"/>
      <c r="I3" s="150"/>
      <c r="J3" s="150"/>
      <c r="K3" s="150"/>
      <c r="L3" s="150"/>
      <c r="M3" s="150"/>
      <c r="N3" s="150"/>
      <c r="O3" s="51"/>
      <c r="P3" s="51"/>
      <c r="T3" s="7"/>
    </row>
    <row r="4" spans="1:31" x14ac:dyDescent="0.35">
      <c r="Q4" s="152" t="s">
        <v>81</v>
      </c>
      <c r="R4" s="153"/>
      <c r="S4" s="154"/>
    </row>
    <row r="5" spans="1:31"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T5" s="14"/>
      <c r="U5" s="15" t="s">
        <v>19</v>
      </c>
      <c r="V5" s="16" t="s">
        <v>14</v>
      </c>
      <c r="W5" s="15" t="s">
        <v>20</v>
      </c>
      <c r="X5" s="16" t="s">
        <v>21</v>
      </c>
      <c r="Y5" s="1"/>
      <c r="Z5" s="151" t="s">
        <v>22</v>
      </c>
      <c r="AA5" s="151"/>
    </row>
    <row r="6" spans="1:31" x14ac:dyDescent="0.35">
      <c r="A6" s="17" t="s">
        <v>23</v>
      </c>
      <c r="B6" s="18">
        <v>0</v>
      </c>
      <c r="C6" s="19">
        <f>B6*0.0166667</f>
        <v>0</v>
      </c>
      <c r="D6" s="19">
        <f>B6*0.000277778</f>
        <v>0</v>
      </c>
      <c r="E6" s="3">
        <f>0.001*D6</f>
        <v>0</v>
      </c>
      <c r="F6" s="19">
        <f>E6/AA$7</f>
        <v>0</v>
      </c>
      <c r="G6" s="19">
        <f t="shared" ref="G6:G12" si="0">F6^(2)</f>
        <v>0</v>
      </c>
      <c r="H6" s="19">
        <f>F6*1.94384</f>
        <v>0</v>
      </c>
      <c r="I6" s="20">
        <v>0</v>
      </c>
      <c r="J6" s="20">
        <f t="shared" ref="J6:J12" si="1">I6 * 10</f>
        <v>0</v>
      </c>
      <c r="K6" s="21">
        <f>J6*100</f>
        <v>0</v>
      </c>
      <c r="L6" s="3">
        <f t="shared" ref="L6:L11" si="2">(F6*AA$11)/AA$12</f>
        <v>0</v>
      </c>
      <c r="U6" s="22">
        <v>0</v>
      </c>
      <c r="V6" s="23">
        <f t="shared" ref="V6:V31" si="3">(U6*AA$11)/AA$12</f>
        <v>0</v>
      </c>
      <c r="W6" s="23"/>
      <c r="X6" s="23"/>
    </row>
    <row r="7" spans="1:31" x14ac:dyDescent="0.35">
      <c r="A7" s="2">
        <v>25</v>
      </c>
      <c r="B7" s="2">
        <f>AVERAGEA(' 1 MMSHE P80'!B7, ' 2 MMSHE P80'!B7,  ' 3 MMSHE P80'!B7 )</f>
        <v>1616.6666666666667</v>
      </c>
      <c r="C7" s="19">
        <f t="shared" ref="C7:C12" si="4">B7*0.0166667</f>
        <v>26.944498333333335</v>
      </c>
      <c r="D7" s="19">
        <f t="shared" ref="D7:D12" si="5">B7*0.000277778</f>
        <v>0.44907443333333336</v>
      </c>
      <c r="E7" s="3">
        <f t="shared" ref="E7:E12" si="6">0.001*D7</f>
        <v>4.4907443333333334E-4</v>
      </c>
      <c r="F7" s="19">
        <f t="shared" ref="F7:F11" si="7">E7/AA$7</f>
        <v>0.96230235714285717</v>
      </c>
      <c r="G7" s="19">
        <f t="shared" si="0"/>
        <v>0.92602582656269905</v>
      </c>
      <c r="H7" s="19">
        <f t="shared" ref="H7:H12" si="8">F7*1.94384</f>
        <v>1.8705618139085716</v>
      </c>
      <c r="I7" s="2">
        <f>AVERAGEA(' 1 MMSHE P80'!I7,' 2 MMSHE P80'!I7, ' 3 MMSHE P80'!I7)</f>
        <v>1.7557425806451612</v>
      </c>
      <c r="J7" s="20">
        <f t="shared" si="1"/>
        <v>17.557425806451612</v>
      </c>
      <c r="K7" s="21">
        <f t="shared" ref="K7:K12" si="9">J7*100</f>
        <v>1755.7425806451611</v>
      </c>
      <c r="L7" s="3">
        <f>(F7*AA$11)/AA$12</f>
        <v>13610.328035679087</v>
      </c>
      <c r="M7" s="4">
        <f>(AA$15*G7*N7)/8</f>
        <v>8.6307570677781804</v>
      </c>
      <c r="N7" s="4">
        <f t="shared" ref="N7:N12" si="10">(K7*2*AA$11)/(AA$13*AA$15*G7)</f>
        <v>7.2743118442710128E-2</v>
      </c>
      <c r="O7" s="4">
        <f>N7/4</f>
        <v>1.8185779610677532E-2</v>
      </c>
      <c r="P7" s="4">
        <f t="shared" ref="P7:P12" si="11">3.7*(10^(-1/(2*SQRT(N7)))-2.51/(L7*SQRT(N7)))</f>
        <v>4.9272953128870083E-2</v>
      </c>
      <c r="Q7" s="2">
        <f>AVERAGEA(' 1 MMSHE P80'!Q7,' 2 MMSHE P80'!Q7, ' 3 MMSHE P80'!Q7)</f>
        <v>1010352.5844444445</v>
      </c>
      <c r="R7" s="2">
        <f>AVERAGEA(' 1 MMSHE P80'!R7,' 2 MMSHE P80'!R7, ' 3 MMSHE P80'!R7)</f>
        <v>20408.349999999999</v>
      </c>
      <c r="S7" s="2">
        <f>AVERAGEA(' 1 MMSHE P80'!S7,' 2 MMSHE P80'!S7, ' 3 MMSHE P80'!S7)</f>
        <v>46.262833333333333</v>
      </c>
      <c r="U7" s="22">
        <v>0.1</v>
      </c>
      <c r="V7" s="23">
        <f>(U7*AA$11)/AA$12</f>
        <v>1414.3504829489457</v>
      </c>
      <c r="W7" s="23">
        <f t="shared" ref="W7:W31" si="12">0.292/(V7^(0.25))</f>
        <v>4.7614978292871875E-2</v>
      </c>
      <c r="X7" s="23">
        <f>0.0791/(V7^0.25)</f>
        <v>1.2898441037555363E-2</v>
      </c>
      <c r="Y7" s="25"/>
      <c r="Z7" s="1" t="s">
        <v>24</v>
      </c>
      <c r="AA7" s="2">
        <f>AA$9*AA$10</f>
        <v>4.6666666666666666E-4</v>
      </c>
    </row>
    <row r="8" spans="1:31" x14ac:dyDescent="0.35">
      <c r="A8" s="2">
        <v>30</v>
      </c>
      <c r="B8" s="2">
        <f>AVERAGEA(' 1 MMSHE P80'!B8, ' 2 MMSHE P80'!B8,  ' 3 MMSHE P80'!B8 )</f>
        <v>2233.3333333333335</v>
      </c>
      <c r="C8" s="19">
        <f t="shared" si="4"/>
        <v>37.222296666666665</v>
      </c>
      <c r="D8" s="19">
        <f t="shared" si="5"/>
        <v>0.62037086666666674</v>
      </c>
      <c r="E8" s="3">
        <f t="shared" si="6"/>
        <v>6.2037086666666679E-4</v>
      </c>
      <c r="F8" s="19">
        <f t="shared" si="7"/>
        <v>1.3293661428571431</v>
      </c>
      <c r="G8" s="19">
        <f t="shared" si="0"/>
        <v>1.767214341774878</v>
      </c>
      <c r="H8" s="19">
        <f t="shared" si="8"/>
        <v>2.5840750831314288</v>
      </c>
      <c r="I8" s="2">
        <f>AVERAGEA(' 1 MMSHE P80'!I8,' 2 MMSHE P80'!I8, ' 3 MMSHE P80'!I8)</f>
        <v>3.1146004302043018</v>
      </c>
      <c r="J8" s="20">
        <f t="shared" si="1"/>
        <v>31.146004302043018</v>
      </c>
      <c r="K8" s="21">
        <f t="shared" si="9"/>
        <v>3114.6004302043016</v>
      </c>
      <c r="L8" s="3">
        <f t="shared" si="2"/>
        <v>18801.896461659773</v>
      </c>
      <c r="M8" s="4">
        <f t="shared" ref="M8:M12" si="13">(AA$15*G8*N8)/8</f>
        <v>15.310535822633506</v>
      </c>
      <c r="N8" s="4">
        <f>(K8*2*AA$11)/(AA$13*AA$15*G8)</f>
        <v>6.7618772738752497E-2</v>
      </c>
      <c r="O8" s="4">
        <f t="shared" ref="O8:O12" si="14">N8/4</f>
        <v>1.6904693184688124E-2</v>
      </c>
      <c r="P8" s="4">
        <f t="shared" si="11"/>
        <v>4.2297392116918589E-2</v>
      </c>
      <c r="Q8" s="2">
        <f>AVERAGEA(' 1 MMSHE P80'!Q8,' 2 MMSHE P80'!Q8, ' 3 MMSHE P80'!Q8)</f>
        <v>1025928.3693333335</v>
      </c>
      <c r="R8" s="2">
        <f>AVERAGEA(' 1 MMSHE P80'!R8,' 2 MMSHE P80'!R8, ' 3 MMSHE P80'!R8)</f>
        <v>20440.242444444444</v>
      </c>
      <c r="S8" s="2">
        <f>AVERAGEA(' 1 MMSHE P80'!S8,' 2 MMSHE P80'!S8, ' 3 MMSHE P80'!S8)</f>
        <v>45.570444444444441</v>
      </c>
      <c r="U8" s="22">
        <v>0.2</v>
      </c>
      <c r="V8" s="23">
        <f t="shared" si="3"/>
        <v>2828.7009658978914</v>
      </c>
      <c r="W8" s="23">
        <f t="shared" si="12"/>
        <v>4.0039264558859394E-2</v>
      </c>
      <c r="X8" s="23">
        <f t="shared" ref="X8:X31" si="15">0.0791/(V8^0.25)</f>
        <v>1.0846252830841707E-2</v>
      </c>
      <c r="Y8" s="25"/>
      <c r="Z8" s="2" t="s">
        <v>25</v>
      </c>
    </row>
    <row r="9" spans="1:31" ht="19" x14ac:dyDescent="0.4">
      <c r="A9" s="2">
        <v>35</v>
      </c>
      <c r="B9" s="2">
        <f>AVERAGEA(' 1 MMSHE P80'!B9, ' 2 MMSHE P80'!B9,  ' 3 MMSHE P80'!B9 )</f>
        <v>2950</v>
      </c>
      <c r="C9" s="19">
        <f t="shared" si="4"/>
        <v>49.166764999999998</v>
      </c>
      <c r="D9" s="19">
        <f t="shared" si="5"/>
        <v>0.81944510000000004</v>
      </c>
      <c r="E9" s="3">
        <f t="shared" si="6"/>
        <v>8.1944510000000006E-4</v>
      </c>
      <c r="F9" s="19">
        <f t="shared" si="7"/>
        <v>1.755953785714286</v>
      </c>
      <c r="G9" s="19">
        <f t="shared" si="0"/>
        <v>3.0833736975643324</v>
      </c>
      <c r="H9" s="19">
        <f t="shared" si="8"/>
        <v>3.4132932068228574</v>
      </c>
      <c r="I9" s="2">
        <f>AVERAGEA(' 1 MMSHE P80'!I9,' 2 MMSHE P80'!I9, ' 3 MMSHE P80'!I9)</f>
        <v>5.1972298387096769</v>
      </c>
      <c r="J9" s="20">
        <f t="shared" si="1"/>
        <v>51.972298387096771</v>
      </c>
      <c r="K9" s="21">
        <f t="shared" si="9"/>
        <v>5197.2298387096771</v>
      </c>
      <c r="L9" s="3">
        <f t="shared" si="2"/>
        <v>24835.340848610296</v>
      </c>
      <c r="M9" s="4">
        <f t="shared" si="13"/>
        <v>25.548180386915551</v>
      </c>
      <c r="N9" s="4">
        <f t="shared" si="10"/>
        <v>6.4669563875969671E-2</v>
      </c>
      <c r="O9" s="4">
        <f t="shared" si="14"/>
        <v>1.6167390968992418E-2</v>
      </c>
      <c r="P9" s="4">
        <f t="shared" si="11"/>
        <v>3.852735755532527E-2</v>
      </c>
      <c r="Q9" s="2">
        <f>AVERAGEA(' 1 MMSHE P80'!Q9,' 2 MMSHE P80'!Q9, ' 3 MMSHE P80'!Q9)</f>
        <v>1037970.4456111112</v>
      </c>
      <c r="R9" s="2">
        <f>AVERAGEA(' 1 MMSHE P80'!R9,' 2 MMSHE P80'!R9, ' 3 MMSHE P80'!R9)</f>
        <v>20415.755499999999</v>
      </c>
      <c r="S9" s="2">
        <f>AVERAGEA(' 1 MMSHE P80'!S9,' 2 MMSHE P80'!S9, ' 3 MMSHE P80'!S9)</f>
        <v>45.556777777777775</v>
      </c>
      <c r="U9" s="22">
        <v>0.3</v>
      </c>
      <c r="V9" s="23">
        <f t="shared" si="3"/>
        <v>4243.051448846837</v>
      </c>
      <c r="W9" s="23">
        <f t="shared" si="12"/>
        <v>3.6179559678450005E-2</v>
      </c>
      <c r="X9" s="23">
        <f t="shared" si="15"/>
        <v>9.8006957896075199E-3</v>
      </c>
      <c r="Y9" s="25"/>
      <c r="Z9" s="1" t="s">
        <v>26</v>
      </c>
      <c r="AA9" s="19">
        <v>0.05</v>
      </c>
      <c r="AD9" s="27" t="s">
        <v>27</v>
      </c>
    </row>
    <row r="10" spans="1:31" ht="18.5" x14ac:dyDescent="0.35">
      <c r="A10" s="2">
        <v>40</v>
      </c>
      <c r="B10" s="2">
        <f>AVERAGEA(' 1 MMSHE P80'!B10, ' 2 MMSHE P80'!B10,  ' 3 MMSHE P80'!B10 )</f>
        <v>3616.6666666666665</v>
      </c>
      <c r="C10" s="19">
        <f t="shared" si="4"/>
        <v>60.277898333333326</v>
      </c>
      <c r="D10" s="19">
        <f t="shared" si="5"/>
        <v>1.0046304333333334</v>
      </c>
      <c r="E10" s="3">
        <f t="shared" si="6"/>
        <v>1.0046304333333335E-3</v>
      </c>
      <c r="F10" s="19">
        <f t="shared" si="7"/>
        <v>2.1527795000000003</v>
      </c>
      <c r="G10" s="19">
        <f t="shared" si="0"/>
        <v>4.6344595756202516</v>
      </c>
      <c r="H10" s="19">
        <f t="shared" si="8"/>
        <v>4.1846589032800008</v>
      </c>
      <c r="I10" s="2">
        <f>AVERAGEA(' 1 MMSHE P80'!I10,' 2 MMSHE P80'!I10, ' 3 MMSHE P80'!I10)</f>
        <v>7.3517452150537634</v>
      </c>
      <c r="J10" s="20">
        <f t="shared" si="1"/>
        <v>73.517452150537636</v>
      </c>
      <c r="K10" s="21">
        <f t="shared" si="9"/>
        <v>7351.7452150537638</v>
      </c>
      <c r="L10" s="3">
        <f t="shared" si="2"/>
        <v>30447.8472550759</v>
      </c>
      <c r="M10" s="4">
        <f t="shared" si="13"/>
        <v>36.139196984112608</v>
      </c>
      <c r="N10" s="4">
        <f t="shared" si="10"/>
        <v>6.0861902156974755E-2</v>
      </c>
      <c r="O10" s="4">
        <f t="shared" si="14"/>
        <v>1.5215475539243689E-2</v>
      </c>
      <c r="P10" s="4">
        <f t="shared" si="11"/>
        <v>3.3554518465189913E-2</v>
      </c>
      <c r="Q10" s="2">
        <f>AVERAGEA(' 1 MMSHE P80'!Q10,' 2 MMSHE P80'!Q10, ' 3 MMSHE P80'!Q10)</f>
        <v>1020420.8881111112</v>
      </c>
      <c r="R10" s="2">
        <f>AVERAGEA(' 1 MMSHE P80'!R10,' 2 MMSHE P80'!R10, ' 3 MMSHE P80'!R10)</f>
        <v>20517.468611111111</v>
      </c>
      <c r="S10" s="2">
        <f>AVERAGEA(' 1 MMSHE P80'!S10,' 2 MMSHE P80'!S10, ' 3 MMSHE P80'!S10)</f>
        <v>46.690722222222227</v>
      </c>
      <c r="U10" s="22">
        <v>0.4</v>
      </c>
      <c r="V10" s="23">
        <f t="shared" si="3"/>
        <v>5657.4019317957827</v>
      </c>
      <c r="W10" s="23">
        <f t="shared" si="12"/>
        <v>3.3668874036939966E-2</v>
      </c>
      <c r="X10" s="23">
        <f t="shared" si="15"/>
        <v>9.1205751243902452E-3</v>
      </c>
      <c r="Y10" s="25"/>
      <c r="Z10" s="1" t="s">
        <v>28</v>
      </c>
      <c r="AA10" s="19">
        <f>AVERAGE(' 1 MMSHE P80'!AA10,' 2 MMSHE P80'!AA10,' 3 MMSHE P80'!AA10)</f>
        <v>9.3333333333333324E-3</v>
      </c>
      <c r="AD10" s="28" t="s">
        <v>29</v>
      </c>
      <c r="AE10" s="2" t="s">
        <v>30</v>
      </c>
    </row>
    <row r="11" spans="1:31" ht="16.5" x14ac:dyDescent="0.4">
      <c r="A11" s="2">
        <v>45</v>
      </c>
      <c r="B11" s="2">
        <f>AVERAGEA(' 1 MMSHE P80'!B11,  ' 3 MMSHE P80'!B11)</f>
        <v>4125</v>
      </c>
      <c r="C11" s="19">
        <f t="shared" si="4"/>
        <v>68.750137499999994</v>
      </c>
      <c r="D11" s="19">
        <f t="shared" si="5"/>
        <v>1.1458342500000001</v>
      </c>
      <c r="E11" s="3">
        <f t="shared" si="6"/>
        <v>1.1458342500000002E-3</v>
      </c>
      <c r="F11" s="19">
        <f t="shared" si="7"/>
        <v>2.4553591071428573</v>
      </c>
      <c r="G11" s="19">
        <f t="shared" si="0"/>
        <v>6.0287883450293691</v>
      </c>
      <c r="H11" s="19">
        <f t="shared" si="8"/>
        <v>4.7728252468285719</v>
      </c>
      <c r="I11" s="2">
        <f>AVERAGEA(' 1 MMSHE P80'!I11,, ' 3 MMSHE P80'!I11)</f>
        <v>5.7991701612903226</v>
      </c>
      <c r="J11" s="20">
        <f t="shared" si="1"/>
        <v>57.991701612903228</v>
      </c>
      <c r="K11" s="21">
        <f t="shared" si="9"/>
        <v>5799.1701612903225</v>
      </c>
      <c r="L11" s="3">
        <f t="shared" si="2"/>
        <v>34727.383390005925</v>
      </c>
      <c r="M11" s="4">
        <f t="shared" si="13"/>
        <v>28.507156691736142</v>
      </c>
      <c r="N11" s="4">
        <f t="shared" si="10"/>
        <v>3.6905405989235029E-2</v>
      </c>
      <c r="O11" s="4">
        <f t="shared" si="14"/>
        <v>9.2263514973087574E-3</v>
      </c>
      <c r="P11" s="4">
        <f t="shared" si="11"/>
        <v>7.8442026209324129E-3</v>
      </c>
      <c r="Q11" s="2">
        <f>AVERAGEA(' 1 MMSHE P80'!Q11,' 2 MMSHE P80'!Q11, ' 3 MMSHE P80'!Q11)</f>
        <v>921675.71508333343</v>
      </c>
      <c r="R11" s="2">
        <f>AVERAGEA(' 1 MMSHE P80'!R11,' 2 MMSHE P80'!R11, ' 3 MMSHE P80'!R11)</f>
        <v>20703.696583333338</v>
      </c>
      <c r="S11" s="2">
        <f>AVERAGEA(' 1 MMSHE P80'!S11,' 2 MMSHE P80'!S11, ' 3 MMSHE P80'!S11)</f>
        <v>50.249250000000004</v>
      </c>
      <c r="U11" s="22">
        <v>0.5</v>
      </c>
      <c r="V11" s="23">
        <f t="shared" si="3"/>
        <v>7071.7524147447284</v>
      </c>
      <c r="W11" s="23">
        <f t="shared" si="12"/>
        <v>3.1842055105020861E-2</v>
      </c>
      <c r="X11" s="23">
        <f t="shared" si="15"/>
        <v>8.6257073931751728E-3</v>
      </c>
      <c r="Y11" s="25"/>
      <c r="Z11" s="1" t="s">
        <v>31</v>
      </c>
      <c r="AA11" s="4">
        <f>2*(AA9*AA10)/(AA9+AA10)</f>
        <v>1.5730337078651686E-2</v>
      </c>
      <c r="AB11" s="1">
        <f>10*AA11*100</f>
        <v>15.730337078651685</v>
      </c>
      <c r="AD11" s="27" t="s">
        <v>32</v>
      </c>
      <c r="AE11" s="2" t="s">
        <v>33</v>
      </c>
    </row>
    <row r="12" spans="1:31" ht="18.5" x14ac:dyDescent="0.35">
      <c r="A12" s="26" t="s">
        <v>68</v>
      </c>
      <c r="B12" s="2">
        <f xml:space="preserve">  ' 3 MMSHE P80'!B12</f>
        <v>4700</v>
      </c>
      <c r="C12" s="19">
        <f t="shared" si="4"/>
        <v>78.333489999999998</v>
      </c>
      <c r="D12" s="19">
        <f t="shared" si="5"/>
        <v>1.3055566000000001</v>
      </c>
      <c r="E12" s="3">
        <f t="shared" si="6"/>
        <v>1.3055566E-3</v>
      </c>
      <c r="F12" s="19">
        <f>E12/AA$7</f>
        <v>2.7976212857142859</v>
      </c>
      <c r="G12" s="19">
        <f t="shared" si="0"/>
        <v>7.8266848582816539</v>
      </c>
      <c r="H12" s="19">
        <f t="shared" si="8"/>
        <v>5.4381281600228579</v>
      </c>
      <c r="I12" s="2">
        <f>' 3 MMSHE P80'!I12</f>
        <v>8.6936993548387118</v>
      </c>
      <c r="J12" s="20">
        <f t="shared" si="1"/>
        <v>86.936993548387122</v>
      </c>
      <c r="K12" s="21">
        <f t="shared" si="9"/>
        <v>8693.6993548387127</v>
      </c>
      <c r="L12" s="3">
        <f>(F12*AA$11)/AA$12</f>
        <v>39568.170165582502</v>
      </c>
      <c r="M12" s="4">
        <f t="shared" si="13"/>
        <v>42.735881660021768</v>
      </c>
      <c r="N12" s="4">
        <f t="shared" si="10"/>
        <v>4.2616810399699029E-2</v>
      </c>
      <c r="O12" s="4">
        <f t="shared" si="14"/>
        <v>1.0654202599924757E-2</v>
      </c>
      <c r="P12" s="4">
        <f t="shared" si="11"/>
        <v>1.2864461895089229E-2</v>
      </c>
      <c r="Q12" s="2">
        <f>AVERAGEA(' 1 MMSHE P80'!Q12,' 2 MMSHE P80'!Q12, ' 3 MMSHE P80'!Q12)</f>
        <v>854356.73933333333</v>
      </c>
      <c r="R12" s="2">
        <f>AVERAGEA(' 1 MMSHE P80'!R12,' 2 MMSHE P80'!R12, ' 3 MMSHE P80'!R12)</f>
        <v>20241.991333333335</v>
      </c>
      <c r="S12" s="2">
        <f>AVERAGEA(' 1 MMSHE P80'!S12,' 2 MMSHE P80'!S12, ' 3 MMSHE P80'!S12)</f>
        <v>56.551666666666669</v>
      </c>
      <c r="U12" s="22">
        <v>0.6</v>
      </c>
      <c r="V12" s="23">
        <f t="shared" si="3"/>
        <v>8486.1028976936741</v>
      </c>
      <c r="W12" s="23">
        <f t="shared" si="12"/>
        <v>3.0423262039066444E-2</v>
      </c>
      <c r="X12" s="23">
        <f t="shared" si="15"/>
        <v>8.2413699564731369E-3</v>
      </c>
      <c r="Y12" s="25"/>
      <c r="Z12" s="1" t="s">
        <v>34</v>
      </c>
      <c r="AA12" s="31">
        <f>AA$16/AA$15</f>
        <v>1.1121951219512194E-6</v>
      </c>
    </row>
    <row r="13" spans="1:31" ht="16.5" x14ac:dyDescent="0.4">
      <c r="A13" s="32"/>
      <c r="B13" s="29"/>
      <c r="C13" s="132"/>
      <c r="D13" s="132"/>
      <c r="E13" s="130"/>
      <c r="F13" s="132"/>
      <c r="G13" s="132"/>
      <c r="H13" s="132"/>
      <c r="I13" s="30"/>
      <c r="J13" s="34"/>
      <c r="K13" s="133"/>
      <c r="L13" s="130"/>
      <c r="M13" s="5"/>
      <c r="N13" s="5"/>
      <c r="Q13" s="2"/>
      <c r="S13" s="2"/>
      <c r="U13" s="22">
        <v>0.7</v>
      </c>
      <c r="V13" s="23">
        <f t="shared" si="3"/>
        <v>9900.4533806426189</v>
      </c>
      <c r="W13" s="23">
        <f t="shared" si="12"/>
        <v>2.9273124557489247E-2</v>
      </c>
      <c r="X13" s="23">
        <f t="shared" si="15"/>
        <v>7.9298087414294508E-3</v>
      </c>
      <c r="Y13" s="25"/>
      <c r="Z13" s="1" t="s">
        <v>35</v>
      </c>
      <c r="AA13" s="32">
        <v>0.8</v>
      </c>
      <c r="AD13" s="27" t="s">
        <v>36</v>
      </c>
      <c r="AE13" s="1" t="s">
        <v>37</v>
      </c>
    </row>
    <row r="14" spans="1:31" x14ac:dyDescent="0.35">
      <c r="A14" s="32"/>
      <c r="B14" s="33"/>
      <c r="C14" s="132"/>
      <c r="D14" s="132"/>
      <c r="E14" s="130"/>
      <c r="F14" s="132"/>
      <c r="G14" s="132"/>
      <c r="H14" s="132"/>
      <c r="I14" s="30"/>
      <c r="J14" s="34"/>
      <c r="K14" s="133"/>
      <c r="L14" s="130"/>
      <c r="M14" s="5"/>
      <c r="N14" s="5"/>
      <c r="U14" s="22">
        <v>0.8</v>
      </c>
      <c r="V14" s="23">
        <f t="shared" si="3"/>
        <v>11314.803863591565</v>
      </c>
      <c r="W14" s="23">
        <f t="shared" si="12"/>
        <v>2.8312035483291677E-2</v>
      </c>
      <c r="X14" s="23">
        <f t="shared" si="15"/>
        <v>7.669458927151959E-3</v>
      </c>
      <c r="Y14" s="25"/>
      <c r="AA14" s="32"/>
    </row>
    <row r="15" spans="1:31" x14ac:dyDescent="0.35">
      <c r="A15" s="32"/>
      <c r="B15" s="33"/>
      <c r="C15" s="132"/>
      <c r="D15" s="132"/>
      <c r="E15" s="130"/>
      <c r="F15" s="132"/>
      <c r="G15" s="132"/>
      <c r="H15" s="132"/>
      <c r="I15" s="30"/>
      <c r="J15" s="34"/>
      <c r="K15" s="133"/>
      <c r="L15" s="130"/>
      <c r="M15" s="5"/>
      <c r="N15" s="5"/>
      <c r="T15" s="34"/>
      <c r="U15" s="22">
        <v>0.9</v>
      </c>
      <c r="V15" s="23">
        <f t="shared" si="3"/>
        <v>12729.15434654051</v>
      </c>
      <c r="W15" s="23">
        <f t="shared" si="12"/>
        <v>2.7490520534847778E-2</v>
      </c>
      <c r="X15" s="23">
        <f t="shared" si="15"/>
        <v>7.4469184051591071E-3</v>
      </c>
      <c r="Y15" s="25"/>
      <c r="Z15" s="2" t="s">
        <v>38</v>
      </c>
      <c r="AA15" s="32">
        <f>VLOOKUP(AA17, SW!$A$4:$F$34, 3, FALSE)</f>
        <v>1025</v>
      </c>
      <c r="AB15" s="32"/>
    </row>
    <row r="16" spans="1:31" x14ac:dyDescent="0.35">
      <c r="A16" s="32"/>
      <c r="B16" s="35"/>
      <c r="C16" s="132"/>
      <c r="D16" s="132"/>
      <c r="E16" s="130"/>
      <c r="F16" s="132"/>
      <c r="G16" s="135"/>
      <c r="H16" s="132"/>
      <c r="I16" s="35"/>
      <c r="J16" s="34"/>
      <c r="K16" s="133"/>
      <c r="L16" s="130"/>
      <c r="M16" s="5"/>
      <c r="N16" s="5"/>
      <c r="Q16" s="2"/>
      <c r="S16" s="2"/>
      <c r="U16" s="22">
        <v>1</v>
      </c>
      <c r="V16" s="23">
        <f t="shared" si="3"/>
        <v>14143.504829489457</v>
      </c>
      <c r="W16" s="23">
        <f t="shared" si="12"/>
        <v>2.6775869992123284E-2</v>
      </c>
      <c r="X16" s="23">
        <f t="shared" si="15"/>
        <v>7.2533264259484649E-3</v>
      </c>
      <c r="Y16" s="25"/>
      <c r="Z16" s="2" t="s">
        <v>39</v>
      </c>
      <c r="AA16" s="32">
        <f>VLOOKUP(AA17, SW!$A$4:$F$34, 5, FALSE)</f>
        <v>1.14E-3</v>
      </c>
    </row>
    <row r="17" spans="1:33" x14ac:dyDescent="0.35">
      <c r="A17" s="32"/>
      <c r="B17" s="131"/>
      <c r="C17" s="132"/>
      <c r="D17" s="132"/>
      <c r="E17" s="130"/>
      <c r="F17" s="132"/>
      <c r="G17" s="132"/>
      <c r="H17" s="132"/>
      <c r="I17" s="34"/>
      <c r="J17" s="34"/>
      <c r="K17" s="133"/>
      <c r="L17" s="130"/>
      <c r="M17" s="5"/>
      <c r="N17" s="5"/>
      <c r="Q17" s="2"/>
      <c r="S17" s="2"/>
      <c r="T17" s="14"/>
      <c r="U17" s="22">
        <v>1.1000000000000001</v>
      </c>
      <c r="V17" s="23">
        <f t="shared" si="3"/>
        <v>15557.855312438403</v>
      </c>
      <c r="W17" s="23">
        <f t="shared" si="12"/>
        <v>2.6145407758449975E-2</v>
      </c>
      <c r="X17" s="23">
        <f t="shared" si="15"/>
        <v>7.0825402523746342E-3</v>
      </c>
      <c r="Y17" s="25"/>
      <c r="Z17" s="2" t="s">
        <v>161</v>
      </c>
      <c r="AA17" s="2">
        <v>18</v>
      </c>
    </row>
    <row r="18" spans="1:33" x14ac:dyDescent="0.35">
      <c r="A18" s="32"/>
      <c r="B18" s="131"/>
      <c r="C18" s="132"/>
      <c r="D18" s="132"/>
      <c r="E18" s="130"/>
      <c r="F18" s="132"/>
      <c r="G18" s="132"/>
      <c r="H18" s="132"/>
      <c r="I18" s="34"/>
      <c r="J18" s="34"/>
      <c r="K18" s="133"/>
      <c r="L18" s="130"/>
      <c r="M18" s="5"/>
      <c r="N18" s="5"/>
      <c r="Q18" s="2"/>
      <c r="S18" s="2"/>
      <c r="U18" s="22">
        <v>1.2</v>
      </c>
      <c r="V18" s="23">
        <f t="shared" si="3"/>
        <v>16972.205795387348</v>
      </c>
      <c r="W18" s="23">
        <f t="shared" si="12"/>
        <v>2.5582811988975385E-2</v>
      </c>
      <c r="X18" s="23">
        <f t="shared" si="15"/>
        <v>6.9301384531779212E-3</v>
      </c>
      <c r="Y18" s="25"/>
      <c r="Z18" s="1"/>
      <c r="AA18" s="1">
        <f>AVERAGE(' 1 MMSHE P80'!AA17,' 2 MMSHE P80'!AA17,' 3 MMSHE P80'!AA17)</f>
        <v>18.333333333333332</v>
      </c>
      <c r="AD18" s="36" t="s">
        <v>40</v>
      </c>
      <c r="AE18" s="37"/>
      <c r="AF18" s="37"/>
      <c r="AG18" s="37"/>
    </row>
    <row r="19" spans="1:33" x14ac:dyDescent="0.35">
      <c r="A19" s="24"/>
      <c r="B19" s="131"/>
      <c r="C19" s="132"/>
      <c r="D19" s="132"/>
      <c r="E19" s="130"/>
      <c r="F19" s="132"/>
      <c r="G19" s="132"/>
      <c r="H19" s="132"/>
      <c r="I19" s="34"/>
      <c r="J19" s="34"/>
      <c r="K19" s="133"/>
      <c r="L19" s="130"/>
      <c r="M19" s="5"/>
      <c r="N19" s="5"/>
      <c r="Q19" s="70"/>
      <c r="R19" s="25"/>
      <c r="S19" s="73"/>
      <c r="U19" s="22">
        <v>1.3</v>
      </c>
      <c r="V19" s="23">
        <f t="shared" si="3"/>
        <v>18386.556278336291</v>
      </c>
      <c r="W19" s="23">
        <f t="shared" si="12"/>
        <v>2.5075970635528657E-2</v>
      </c>
      <c r="X19" s="23">
        <f t="shared" si="15"/>
        <v>6.7928399906517709E-3</v>
      </c>
      <c r="Y19" s="25"/>
      <c r="AD19" s="38" t="s">
        <v>41</v>
      </c>
      <c r="AE19" s="37" t="s">
        <v>42</v>
      </c>
      <c r="AF19" s="37" t="s">
        <v>43</v>
      </c>
      <c r="AG19" s="37" t="s">
        <v>44</v>
      </c>
    </row>
    <row r="20" spans="1:33" x14ac:dyDescent="0.35">
      <c r="A20" s="24"/>
      <c r="B20" s="131"/>
      <c r="C20" s="132"/>
      <c r="D20" s="132"/>
      <c r="E20" s="130"/>
      <c r="F20" s="132"/>
      <c r="G20" s="132"/>
      <c r="H20" s="132"/>
      <c r="I20" s="34"/>
      <c r="J20" s="34"/>
      <c r="K20" s="133"/>
      <c r="L20" s="130"/>
      <c r="M20" s="5"/>
      <c r="N20" s="5"/>
      <c r="Q20" s="70"/>
      <c r="R20" s="25"/>
      <c r="S20" s="73"/>
      <c r="U20" s="22">
        <v>1.4</v>
      </c>
      <c r="V20" s="23">
        <f t="shared" si="3"/>
        <v>19800.906761285238</v>
      </c>
      <c r="W20" s="23">
        <f t="shared" si="12"/>
        <v>2.4615665503668189E-2</v>
      </c>
      <c r="X20" s="23">
        <f t="shared" si="15"/>
        <v>6.6681477443155954E-3</v>
      </c>
      <c r="Y20" s="25"/>
      <c r="Z20" s="1" t="s">
        <v>45</v>
      </c>
      <c r="AA20" s="1">
        <f>4*10^(-6)</f>
        <v>3.9999999999999998E-6</v>
      </c>
      <c r="AD20" s="38" t="s">
        <v>46</v>
      </c>
      <c r="AE20" s="37" t="s">
        <v>47</v>
      </c>
      <c r="AF20" s="37" t="s">
        <v>48</v>
      </c>
      <c r="AG20" s="37" t="s">
        <v>49</v>
      </c>
    </row>
    <row r="21" spans="1:33" x14ac:dyDescent="0.35">
      <c r="A21" s="24"/>
      <c r="B21" s="131"/>
      <c r="C21" s="132"/>
      <c r="D21" s="132"/>
      <c r="E21" s="130"/>
      <c r="F21" s="132"/>
      <c r="G21" s="132"/>
      <c r="H21" s="132"/>
      <c r="I21" s="34"/>
      <c r="J21" s="34"/>
      <c r="K21" s="133"/>
      <c r="L21" s="130"/>
      <c r="M21" s="5"/>
      <c r="N21" s="5"/>
      <c r="Q21" s="70"/>
      <c r="R21" s="25"/>
      <c r="S21" s="73"/>
      <c r="U21" s="22">
        <v>1.5</v>
      </c>
      <c r="V21" s="23">
        <f t="shared" si="3"/>
        <v>21215.257244234184</v>
      </c>
      <c r="W21" s="23">
        <f t="shared" si="12"/>
        <v>2.419472977327931E-2</v>
      </c>
      <c r="X21" s="23">
        <f t="shared" si="15"/>
        <v>6.5541202913232659E-3</v>
      </c>
      <c r="Y21" s="25"/>
      <c r="Z21" s="1" t="s">
        <v>50</v>
      </c>
      <c r="AA21" s="2">
        <f>AA20/AA11</f>
        <v>2.5428571428571427E-4</v>
      </c>
      <c r="AD21" s="37">
        <v>0</v>
      </c>
      <c r="AE21" s="37">
        <v>1.792E-3</v>
      </c>
      <c r="AF21" s="37">
        <v>999.87</v>
      </c>
      <c r="AG21" s="39">
        <v>1.7922329902887374E-6</v>
      </c>
    </row>
    <row r="22" spans="1:33" x14ac:dyDescent="0.35">
      <c r="A22" s="24"/>
      <c r="B22" s="131"/>
      <c r="C22" s="132"/>
      <c r="D22" s="132"/>
      <c r="E22" s="130"/>
      <c r="F22" s="132"/>
      <c r="G22" s="132"/>
      <c r="H22" s="132"/>
      <c r="I22" s="34"/>
      <c r="J22" s="34"/>
      <c r="K22" s="133"/>
      <c r="L22" s="130"/>
      <c r="M22" s="5"/>
      <c r="N22" s="5"/>
      <c r="Q22" s="70"/>
      <c r="R22" s="25"/>
      <c r="S22" s="73"/>
      <c r="U22" s="22">
        <v>1.6</v>
      </c>
      <c r="V22" s="23">
        <f t="shared" si="3"/>
        <v>22629.607727183131</v>
      </c>
      <c r="W22" s="23">
        <f t="shared" si="12"/>
        <v>2.3807489146435937E-2</v>
      </c>
      <c r="X22" s="23">
        <f t="shared" si="15"/>
        <v>6.4492205187776817E-3</v>
      </c>
      <c r="Y22" s="25"/>
      <c r="AD22" s="37">
        <v>5</v>
      </c>
      <c r="AE22" s="37">
        <v>1.519E-3</v>
      </c>
      <c r="AF22" s="37">
        <v>999.99</v>
      </c>
      <c r="AG22" s="39">
        <v>1.5190151901519014E-6</v>
      </c>
    </row>
    <row r="23" spans="1:33" x14ac:dyDescent="0.35">
      <c r="A23" s="32"/>
      <c r="B23" s="131"/>
      <c r="C23" s="132"/>
      <c r="D23" s="132"/>
      <c r="E23" s="130"/>
      <c r="F23" s="130"/>
      <c r="G23" s="132"/>
      <c r="H23" s="132"/>
      <c r="I23" s="132"/>
      <c r="J23" s="34"/>
      <c r="K23" s="133"/>
      <c r="L23" s="130"/>
      <c r="M23" s="5"/>
      <c r="N23" s="5"/>
      <c r="Q23" s="70"/>
      <c r="R23" s="25"/>
      <c r="S23" s="73"/>
      <c r="U23" s="22">
        <v>1.7</v>
      </c>
      <c r="V23" s="23">
        <f t="shared" si="3"/>
        <v>24043.958210132078</v>
      </c>
      <c r="W23" s="23">
        <f t="shared" si="12"/>
        <v>2.3449379775661056E-2</v>
      </c>
      <c r="X23" s="23">
        <f t="shared" si="15"/>
        <v>6.3522121241602388E-3</v>
      </c>
      <c r="Y23" s="25"/>
      <c r="Z23" s="40"/>
      <c r="AD23" s="37">
        <f>AD22+5</f>
        <v>10</v>
      </c>
      <c r="AE23" s="37">
        <v>1.3079999999999999E-3</v>
      </c>
      <c r="AF23" s="37">
        <v>999.73</v>
      </c>
      <c r="AG23" s="39">
        <v>1.3083532553789522E-6</v>
      </c>
    </row>
    <row r="24" spans="1:33" x14ac:dyDescent="0.35">
      <c r="A24" s="32"/>
      <c r="B24" s="131"/>
      <c r="C24" s="132"/>
      <c r="D24" s="132"/>
      <c r="E24" s="130"/>
      <c r="F24" s="130"/>
      <c r="G24" s="132"/>
      <c r="H24" s="132"/>
      <c r="I24" s="132"/>
      <c r="J24" s="34"/>
      <c r="K24" s="133"/>
      <c r="L24" s="130"/>
      <c r="M24" s="5"/>
      <c r="N24" s="5"/>
      <c r="Q24" s="71"/>
      <c r="R24" s="4"/>
      <c r="S24" s="74"/>
      <c r="U24" s="22">
        <v>1.8</v>
      </c>
      <c r="V24" s="23">
        <f t="shared" si="3"/>
        <v>25458.30869308102</v>
      </c>
      <c r="W24" s="23">
        <f t="shared" si="12"/>
        <v>2.3116680171212121E-2</v>
      </c>
      <c r="X24" s="23">
        <f t="shared" si="15"/>
        <v>6.262086991585202E-3</v>
      </c>
      <c r="Y24" s="4"/>
      <c r="Z24" s="40"/>
      <c r="AD24" s="37" t="e">
        <f>#REF!+5</f>
        <v>#REF!</v>
      </c>
      <c r="AE24" s="37">
        <v>1.005E-3</v>
      </c>
      <c r="AF24" s="37">
        <v>998.23</v>
      </c>
      <c r="AG24" s="39">
        <v>1.0067820041473407E-6</v>
      </c>
    </row>
    <row r="25" spans="1:33" x14ac:dyDescent="0.35">
      <c r="A25" s="32"/>
      <c r="B25" s="131"/>
      <c r="C25" s="132"/>
      <c r="D25" s="132"/>
      <c r="E25" s="130"/>
      <c r="F25" s="130"/>
      <c r="G25" s="132"/>
      <c r="H25" s="132"/>
      <c r="I25" s="132"/>
      <c r="J25" s="34"/>
      <c r="K25" s="133"/>
      <c r="L25" s="130"/>
      <c r="M25" s="5"/>
      <c r="N25" s="5"/>
      <c r="Q25" s="71"/>
      <c r="R25" s="4"/>
      <c r="S25" s="74"/>
      <c r="U25" s="22">
        <v>1.9</v>
      </c>
      <c r="V25" s="23">
        <f t="shared" si="3"/>
        <v>26872.659176029967</v>
      </c>
      <c r="W25" s="23">
        <f t="shared" si="12"/>
        <v>2.2806318778353957E-2</v>
      </c>
      <c r="X25" s="23">
        <f t="shared" si="15"/>
        <v>6.1780130663280754E-3</v>
      </c>
      <c r="Y25" s="4"/>
      <c r="Z25" s="40"/>
      <c r="AD25" s="37">
        <v>25</v>
      </c>
      <c r="AE25" s="37">
        <v>8.9400000000000005E-4</v>
      </c>
      <c r="AF25" s="37">
        <v>997.07</v>
      </c>
      <c r="AG25" s="39">
        <v>8.9662711745414066E-7</v>
      </c>
    </row>
    <row r="26" spans="1:33" x14ac:dyDescent="0.35">
      <c r="A26" s="32"/>
      <c r="B26" s="32"/>
      <c r="C26" s="32"/>
      <c r="D26" s="32"/>
      <c r="E26" s="32"/>
      <c r="F26" s="32"/>
      <c r="G26" s="32"/>
      <c r="H26" s="32"/>
      <c r="I26" s="32"/>
      <c r="J26" s="32"/>
      <c r="K26" s="32"/>
      <c r="L26" s="130"/>
      <c r="M26" s="5"/>
      <c r="N26" s="89"/>
      <c r="Q26" s="71"/>
      <c r="R26" s="4"/>
      <c r="S26" s="74"/>
      <c r="U26" s="22">
        <v>2</v>
      </c>
      <c r="V26" s="23">
        <f t="shared" si="3"/>
        <v>28287.009658978914</v>
      </c>
      <c r="W26" s="23">
        <f t="shared" si="12"/>
        <v>2.2515733091675975E-2</v>
      </c>
      <c r="X26" s="23">
        <f t="shared" si="15"/>
        <v>6.0992961902451024E-3</v>
      </c>
      <c r="Y26" s="4"/>
      <c r="Z26" s="40"/>
      <c r="AD26" s="32"/>
      <c r="AE26" s="32"/>
      <c r="AF26" s="32"/>
      <c r="AG26" s="32"/>
    </row>
    <row r="27" spans="1:33" x14ac:dyDescent="0.35">
      <c r="A27" s="32"/>
      <c r="B27" s="32"/>
      <c r="C27" s="32"/>
      <c r="D27" s="32"/>
      <c r="E27" s="32"/>
      <c r="F27" s="32"/>
      <c r="G27" s="32"/>
      <c r="H27" s="32"/>
      <c r="I27" s="32"/>
      <c r="J27" s="32"/>
      <c r="K27" s="136"/>
      <c r="L27" s="5"/>
      <c r="M27" s="5"/>
      <c r="N27" s="89"/>
      <c r="Q27" s="71"/>
      <c r="R27" s="4"/>
      <c r="S27" s="74"/>
      <c r="U27" s="22">
        <v>2.1</v>
      </c>
      <c r="V27" s="23">
        <f t="shared" si="3"/>
        <v>29701.36014192786</v>
      </c>
      <c r="W27" s="23">
        <f t="shared" si="12"/>
        <v>2.2242764669304319E-2</v>
      </c>
      <c r="X27" s="23">
        <f t="shared" si="15"/>
        <v>6.02535166213004E-3</v>
      </c>
      <c r="Y27" s="4"/>
      <c r="Z27" s="40"/>
      <c r="AD27" s="32"/>
      <c r="AE27" s="32"/>
      <c r="AF27" s="32"/>
      <c r="AG27" s="32"/>
    </row>
    <row r="28" spans="1:33" x14ac:dyDescent="0.35">
      <c r="A28" s="32"/>
      <c r="B28" s="32"/>
      <c r="C28" s="32"/>
      <c r="D28" s="32"/>
      <c r="E28" s="32"/>
      <c r="F28" s="32"/>
      <c r="G28" s="32"/>
      <c r="H28" s="32"/>
      <c r="I28" s="32"/>
      <c r="J28" s="32"/>
      <c r="K28" s="32"/>
      <c r="L28" s="130"/>
      <c r="M28" s="5"/>
      <c r="N28" s="5"/>
      <c r="Q28" s="71"/>
      <c r="R28" s="4"/>
      <c r="S28" s="74"/>
      <c r="U28" s="22">
        <v>2.2000000000000002</v>
      </c>
      <c r="V28" s="23">
        <f t="shared" si="3"/>
        <v>31115.710624876807</v>
      </c>
      <c r="W28" s="23">
        <f t="shared" si="12"/>
        <v>2.198557965942724E-2</v>
      </c>
      <c r="X28" s="23">
        <f t="shared" si="15"/>
        <v>5.9556827091119683E-3</v>
      </c>
      <c r="Y28" s="4"/>
      <c r="Z28" s="40"/>
      <c r="AD28" s="32"/>
      <c r="AE28" s="32"/>
      <c r="AF28" s="32"/>
      <c r="AG28" s="32"/>
    </row>
    <row r="29" spans="1:33" x14ac:dyDescent="0.35">
      <c r="A29" s="32"/>
      <c r="B29" s="32"/>
      <c r="C29" s="32"/>
      <c r="D29" s="32"/>
      <c r="E29" s="32"/>
      <c r="F29" s="32"/>
      <c r="G29" s="32"/>
      <c r="H29" s="32"/>
      <c r="I29" s="32"/>
      <c r="J29" s="32"/>
      <c r="K29" s="32"/>
      <c r="L29" s="137"/>
      <c r="M29" s="5"/>
      <c r="N29" s="5"/>
      <c r="Q29" s="71"/>
      <c r="R29" s="4"/>
      <c r="S29" s="74"/>
      <c r="U29" s="22">
        <v>2.2999999999999998</v>
      </c>
      <c r="V29" s="23">
        <f t="shared" si="3"/>
        <v>32530.06110782575</v>
      </c>
      <c r="W29" s="23">
        <f t="shared" si="12"/>
        <v>2.174260778421877E-2</v>
      </c>
      <c r="X29" s="23">
        <f t="shared" si="15"/>
        <v>5.8898639579852913E-3</v>
      </c>
      <c r="Y29" s="4"/>
      <c r="Z29" s="40"/>
      <c r="AD29" s="32"/>
      <c r="AE29" s="32"/>
      <c r="AF29" s="32"/>
      <c r="AG29" s="32"/>
    </row>
    <row r="30" spans="1:33" x14ac:dyDescent="0.35">
      <c r="A30" s="32"/>
      <c r="B30" s="32"/>
      <c r="C30" s="32"/>
      <c r="D30" s="32"/>
      <c r="E30" s="32"/>
      <c r="F30" s="32"/>
      <c r="G30" s="32"/>
      <c r="H30" s="32"/>
      <c r="I30" s="32"/>
      <c r="J30" s="32"/>
      <c r="K30" s="32"/>
      <c r="L30" s="130"/>
      <c r="M30" s="5"/>
      <c r="N30" s="5"/>
      <c r="Q30" s="71"/>
      <c r="R30" s="4"/>
      <c r="S30" s="74"/>
      <c r="U30" s="22">
        <v>2.4</v>
      </c>
      <c r="V30" s="23">
        <f t="shared" si="3"/>
        <v>33944.411590774696</v>
      </c>
      <c r="W30" s="23">
        <f t="shared" si="12"/>
        <v>2.1512494893639152E-2</v>
      </c>
      <c r="X30" s="23">
        <f t="shared" si="15"/>
        <v>5.8275285824892368E-3</v>
      </c>
      <c r="Y30" s="4"/>
      <c r="Z30" s="40"/>
      <c r="AD30" s="32"/>
      <c r="AE30" s="32"/>
      <c r="AF30" s="32"/>
      <c r="AG30" s="32"/>
    </row>
    <row r="31" spans="1:33" x14ac:dyDescent="0.35">
      <c r="A31" s="32"/>
      <c r="B31" s="32"/>
      <c r="C31" s="32"/>
      <c r="D31" s="32"/>
      <c r="E31" s="32"/>
      <c r="F31" s="136"/>
      <c r="G31" s="136"/>
      <c r="H31" s="32"/>
      <c r="I31" s="32"/>
      <c r="J31" s="32"/>
      <c r="K31" s="32"/>
      <c r="L31" s="130"/>
      <c r="M31" s="5"/>
      <c r="N31" s="5"/>
      <c r="Q31" s="71"/>
      <c r="R31" s="4"/>
      <c r="S31" s="74"/>
      <c r="U31" s="22">
        <v>2.5</v>
      </c>
      <c r="V31" s="23">
        <f t="shared" si="3"/>
        <v>35358.762073723636</v>
      </c>
      <c r="W31" s="23">
        <f t="shared" si="12"/>
        <v>2.1294065642007681E-2</v>
      </c>
      <c r="X31" s="23">
        <f t="shared" si="15"/>
        <v>5.768358192749342E-3</v>
      </c>
      <c r="Y31" s="4"/>
      <c r="Z31" s="40"/>
      <c r="AD31" s="32"/>
      <c r="AE31" s="32"/>
      <c r="AF31" s="32"/>
      <c r="AG31" s="32"/>
    </row>
    <row r="32" spans="1:33" x14ac:dyDescent="0.35">
      <c r="A32" s="32"/>
      <c r="B32" s="32"/>
      <c r="C32" s="32"/>
      <c r="D32" s="32"/>
      <c r="E32" s="32"/>
      <c r="F32" s="32"/>
      <c r="G32" s="132"/>
      <c r="H32" s="32"/>
      <c r="I32" s="32"/>
      <c r="J32" s="32"/>
      <c r="K32" s="32"/>
      <c r="L32" s="130"/>
      <c r="M32" s="5"/>
      <c r="N32" s="5"/>
      <c r="Q32" s="71"/>
      <c r="R32" s="4"/>
      <c r="S32" s="74"/>
      <c r="Y32" s="4"/>
      <c r="Z32" s="40"/>
    </row>
    <row r="33" spans="1:27" x14ac:dyDescent="0.35">
      <c r="A33" s="32"/>
      <c r="B33" s="32"/>
      <c r="C33" s="32"/>
      <c r="D33" s="32"/>
      <c r="E33" s="32"/>
      <c r="F33" s="32"/>
      <c r="G33" s="132"/>
      <c r="H33" s="32"/>
      <c r="I33" s="32"/>
      <c r="J33" s="32"/>
      <c r="K33" s="32"/>
      <c r="L33" s="130"/>
      <c r="M33" s="5"/>
      <c r="N33" s="5"/>
      <c r="Q33" s="71"/>
      <c r="R33" s="4"/>
      <c r="S33" s="74"/>
      <c r="Y33" s="4"/>
      <c r="Z33" s="40"/>
      <c r="AA33" s="1" t="s">
        <v>51</v>
      </c>
    </row>
    <row r="34" spans="1:27" x14ac:dyDescent="0.35">
      <c r="A34" s="32"/>
      <c r="B34" s="32"/>
      <c r="C34" s="32"/>
      <c r="D34" s="32"/>
      <c r="E34" s="32"/>
      <c r="F34" s="32"/>
      <c r="G34" s="132"/>
      <c r="H34" s="32"/>
      <c r="I34" s="32"/>
      <c r="J34" s="32"/>
      <c r="K34" s="32"/>
      <c r="L34" s="130"/>
      <c r="M34" s="5"/>
      <c r="N34" s="5"/>
      <c r="Q34" s="71"/>
      <c r="R34" s="4"/>
      <c r="S34" s="74"/>
      <c r="Y34" s="4"/>
      <c r="Z34" s="40"/>
    </row>
    <row r="35" spans="1:27" x14ac:dyDescent="0.35">
      <c r="A35" s="32"/>
      <c r="B35" s="32"/>
      <c r="C35" s="32"/>
      <c r="D35" s="32"/>
      <c r="E35" s="32"/>
      <c r="F35" s="32"/>
      <c r="G35" s="132"/>
      <c r="H35" s="32"/>
      <c r="I35" s="32"/>
      <c r="J35" s="32"/>
      <c r="K35" s="32"/>
      <c r="L35" s="130"/>
      <c r="M35" s="5"/>
      <c r="N35" s="5"/>
      <c r="Q35" s="71"/>
      <c r="R35" s="4"/>
      <c r="S35" s="74"/>
      <c r="Y35" s="4"/>
      <c r="Z35" s="40"/>
    </row>
    <row r="36" spans="1:27" x14ac:dyDescent="0.35">
      <c r="A36" s="32"/>
      <c r="B36" s="32"/>
      <c r="C36" s="32"/>
      <c r="D36" s="32"/>
      <c r="E36" s="32"/>
      <c r="F36" s="32"/>
      <c r="G36" s="132"/>
      <c r="H36" s="32"/>
      <c r="I36" s="32"/>
      <c r="J36" s="32"/>
      <c r="K36" s="32"/>
      <c r="L36" s="130"/>
      <c r="M36" s="5"/>
      <c r="N36" s="5"/>
      <c r="Q36" s="71"/>
      <c r="R36" s="4"/>
      <c r="S36" s="74"/>
      <c r="Y36" s="4"/>
    </row>
    <row r="37" spans="1:27" x14ac:dyDescent="0.35">
      <c r="A37" s="32"/>
      <c r="B37" s="32"/>
      <c r="C37" s="32"/>
      <c r="D37" s="32"/>
      <c r="E37" s="32"/>
      <c r="F37" s="32"/>
      <c r="G37" s="132"/>
      <c r="H37" s="32"/>
      <c r="I37" s="32"/>
      <c r="J37" s="32"/>
      <c r="K37" s="32"/>
      <c r="L37" s="130"/>
      <c r="M37" s="5"/>
      <c r="N37" s="5"/>
      <c r="Q37" s="71"/>
      <c r="R37" s="4"/>
      <c r="S37" s="74"/>
      <c r="Y37" s="4"/>
    </row>
    <row r="38" spans="1:27" x14ac:dyDescent="0.35">
      <c r="A38" s="32"/>
      <c r="B38" s="32"/>
      <c r="C38" s="32"/>
      <c r="D38" s="32"/>
      <c r="E38" s="32"/>
      <c r="F38" s="32"/>
      <c r="G38" s="32"/>
      <c r="H38" s="32"/>
      <c r="I38" s="32"/>
      <c r="J38" s="32"/>
      <c r="K38" s="32"/>
      <c r="L38" s="130"/>
      <c r="M38" s="5"/>
      <c r="N38" s="5"/>
      <c r="R38" s="68"/>
      <c r="S38" s="2"/>
      <c r="Y38" s="4"/>
    </row>
    <row r="39" spans="1:27" x14ac:dyDescent="0.35">
      <c r="A39" s="32"/>
      <c r="B39" s="32"/>
      <c r="C39" s="32"/>
      <c r="D39" s="32"/>
      <c r="E39" s="32"/>
      <c r="F39" s="32"/>
      <c r="G39" s="32"/>
      <c r="H39" s="32"/>
      <c r="I39" s="32"/>
      <c r="J39" s="32"/>
      <c r="K39" s="32"/>
      <c r="L39" s="130"/>
      <c r="M39" s="5"/>
      <c r="N39" s="5"/>
      <c r="R39" s="92"/>
      <c r="S39" s="88"/>
      <c r="U39" s="4"/>
      <c r="V39" s="16"/>
      <c r="W39" s="16"/>
      <c r="X39" s="4"/>
      <c r="Y39" s="4"/>
    </row>
    <row r="40" spans="1:27" x14ac:dyDescent="0.35">
      <c r="A40" s="32"/>
      <c r="B40" s="32"/>
      <c r="C40" s="32"/>
      <c r="D40" s="32"/>
      <c r="E40" s="32"/>
      <c r="F40" s="32"/>
      <c r="G40" s="32"/>
      <c r="H40" s="32"/>
      <c r="I40" s="32"/>
      <c r="J40" s="32"/>
      <c r="K40" s="32"/>
      <c r="L40" s="130"/>
      <c r="M40" s="5"/>
      <c r="N40" s="5"/>
      <c r="R40" s="92"/>
      <c r="S40" s="88"/>
      <c r="U40" s="4"/>
      <c r="V40" s="16"/>
      <c r="W40" s="16"/>
      <c r="X40" s="4"/>
      <c r="Y40" s="4"/>
    </row>
    <row r="41" spans="1:27" x14ac:dyDescent="0.35">
      <c r="A41" s="32"/>
      <c r="B41" s="32"/>
      <c r="C41" s="32"/>
      <c r="D41" s="32"/>
      <c r="E41" s="32"/>
      <c r="F41" s="32"/>
      <c r="G41" s="32"/>
      <c r="H41" s="32"/>
      <c r="I41" s="32"/>
      <c r="J41" s="32"/>
      <c r="K41" s="32"/>
      <c r="L41" s="130"/>
      <c r="M41" s="5"/>
      <c r="N41" s="5"/>
      <c r="R41" s="92"/>
      <c r="S41" s="88"/>
      <c r="U41" s="4"/>
      <c r="V41" s="16"/>
      <c r="W41" s="16"/>
      <c r="X41" s="4"/>
      <c r="Y41" s="4"/>
    </row>
    <row r="42" spans="1:27" x14ac:dyDescent="0.35">
      <c r="A42" s="32"/>
      <c r="B42" s="32"/>
      <c r="C42" s="32"/>
      <c r="D42" s="32"/>
      <c r="E42" s="32"/>
      <c r="F42" s="32"/>
      <c r="G42" s="32"/>
      <c r="H42" s="32"/>
      <c r="I42" s="32"/>
      <c r="J42" s="32"/>
      <c r="K42" s="32"/>
      <c r="L42" s="130"/>
      <c r="M42" s="5"/>
      <c r="N42" s="5"/>
      <c r="Q42" s="71"/>
      <c r="R42" s="4"/>
      <c r="S42" s="74"/>
      <c r="U42" s="4"/>
      <c r="V42" s="16"/>
      <c r="W42" s="16"/>
      <c r="X42" s="4"/>
      <c r="Y42" s="4"/>
    </row>
    <row r="43" spans="1:27" x14ac:dyDescent="0.35">
      <c r="Q43" s="71"/>
      <c r="R43" s="4"/>
      <c r="S43" s="74"/>
      <c r="U43" s="4"/>
      <c r="V43" s="16"/>
      <c r="W43" s="16"/>
      <c r="X43" s="4"/>
      <c r="Y43" s="4"/>
    </row>
    <row r="44" spans="1:27" x14ac:dyDescent="0.35">
      <c r="U44" s="4"/>
      <c r="V44" s="16"/>
      <c r="W44" s="16"/>
    </row>
    <row r="45" spans="1:27" x14ac:dyDescent="0.35">
      <c r="U45" s="4"/>
      <c r="V45" s="16"/>
      <c r="W45" s="16"/>
    </row>
    <row r="46" spans="1:27" x14ac:dyDescent="0.35">
      <c r="U46" s="4"/>
      <c r="V46" s="16"/>
      <c r="W46" s="16"/>
    </row>
    <row r="47" spans="1:27" x14ac:dyDescent="0.35">
      <c r="U47" s="4"/>
      <c r="V47" s="16"/>
      <c r="W47" s="16"/>
    </row>
    <row r="48" spans="1:27" x14ac:dyDescent="0.35">
      <c r="R48" s="40"/>
      <c r="S48" s="87"/>
      <c r="U48" s="4"/>
      <c r="V48" s="16"/>
      <c r="W48" s="16"/>
    </row>
    <row r="49" spans="21:23" x14ac:dyDescent="0.35">
      <c r="U49" s="4"/>
      <c r="V49" s="16"/>
      <c r="W49" s="16"/>
    </row>
    <row r="50" spans="21:23" x14ac:dyDescent="0.35">
      <c r="U50" s="4"/>
      <c r="V50" s="16"/>
      <c r="W50" s="16"/>
    </row>
    <row r="51" spans="21:23" x14ac:dyDescent="0.35">
      <c r="U51" s="4"/>
      <c r="V51" s="16"/>
      <c r="W51" s="16"/>
    </row>
    <row r="52" spans="21:23" x14ac:dyDescent="0.35">
      <c r="U52" s="4"/>
      <c r="V52" s="16"/>
      <c r="W52" s="16"/>
    </row>
    <row r="53" spans="21:23" x14ac:dyDescent="0.35">
      <c r="U53" s="4"/>
      <c r="V53" s="16"/>
      <c r="W53" s="16"/>
    </row>
    <row r="54" spans="21:23" x14ac:dyDescent="0.35">
      <c r="U54" s="4"/>
    </row>
    <row r="112" spans="17:17" x14ac:dyDescent="0.35">
      <c r="Q112" s="85"/>
    </row>
  </sheetData>
  <mergeCells count="3">
    <mergeCell ref="A3:N3"/>
    <mergeCell ref="Z5:AA5"/>
    <mergeCell ref="Q4:S4"/>
  </mergeCell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1BD38-C07B-41C3-8AD0-D8704B48672A}">
  <dimension ref="A1:J28"/>
  <sheetViews>
    <sheetView topLeftCell="A13" zoomScale="60" zoomScaleNormal="60" workbookViewId="0">
      <selection activeCell="T16" sqref="T16"/>
    </sheetView>
  </sheetViews>
  <sheetFormatPr defaultRowHeight="15.5" x14ac:dyDescent="0.35"/>
  <cols>
    <col min="1" max="1" width="34.69140625" customWidth="1"/>
    <col min="2" max="2" width="12.07421875" bestFit="1" customWidth="1"/>
    <col min="7" max="7" width="12.07421875" bestFit="1" customWidth="1"/>
  </cols>
  <sheetData>
    <row r="1" spans="1:1" x14ac:dyDescent="0.35">
      <c r="A1" t="s">
        <v>70</v>
      </c>
    </row>
    <row r="21" spans="1:10" x14ac:dyDescent="0.35">
      <c r="A21" s="105"/>
      <c r="B21" s="105"/>
      <c r="C21" s="105"/>
      <c r="D21" s="105"/>
      <c r="E21" s="105"/>
      <c r="F21" s="105"/>
      <c r="G21" s="105"/>
      <c r="H21" s="105"/>
      <c r="I21" s="105"/>
      <c r="J21" s="105"/>
    </row>
    <row r="22" spans="1:10" x14ac:dyDescent="0.35">
      <c r="A22" s="105" t="s">
        <v>121</v>
      </c>
      <c r="B22" s="105"/>
      <c r="C22" s="105"/>
      <c r="D22" s="105"/>
      <c r="E22" s="105"/>
      <c r="F22" s="105"/>
      <c r="G22" s="105"/>
      <c r="H22" s="105"/>
      <c r="I22" s="105"/>
      <c r="J22" s="105"/>
    </row>
    <row r="23" spans="1:10" x14ac:dyDescent="0.35">
      <c r="A23" s="105"/>
      <c r="B23" s="105" t="s">
        <v>65</v>
      </c>
      <c r="C23" s="105" t="s">
        <v>77</v>
      </c>
      <c r="D23" s="105"/>
      <c r="E23" s="105"/>
      <c r="F23" s="105" t="s">
        <v>66</v>
      </c>
      <c r="G23" s="105" t="s">
        <v>67</v>
      </c>
      <c r="H23" s="105"/>
      <c r="I23" s="105"/>
      <c r="J23" s="105"/>
    </row>
    <row r="24" spans="1:10" x14ac:dyDescent="0.35">
      <c r="A24" s="105">
        <v>1</v>
      </c>
      <c r="B24" s="105">
        <f>0.6275*(22000^-0.34)</f>
        <v>2.0950289020694297E-2</v>
      </c>
      <c r="C24" s="105"/>
      <c r="D24" s="105"/>
      <c r="E24" s="105"/>
      <c r="F24" s="105">
        <f>AVERAGEA(B24:B25)</f>
        <v>2.060335558386071E-2</v>
      </c>
      <c r="G24" s="105">
        <f>_xlfn.STDEV.P(B24:B25)</f>
        <v>3.4693343683358732E-4</v>
      </c>
      <c r="H24" s="105"/>
      <c r="I24" s="105"/>
      <c r="J24" s="105"/>
    </row>
    <row r="25" spans="1:10" x14ac:dyDescent="0.35">
      <c r="A25" s="105">
        <v>2</v>
      </c>
      <c r="B25" s="105">
        <f>0.0926*(22000^-0.152)</f>
        <v>2.0256422147027123E-2</v>
      </c>
      <c r="C25" s="105"/>
      <c r="D25" s="105"/>
      <c r="E25" s="105"/>
      <c r="F25" s="105"/>
      <c r="G25" s="105"/>
      <c r="H25" s="105"/>
      <c r="I25" s="105"/>
      <c r="J25" s="105"/>
    </row>
    <row r="26" spans="1:10" x14ac:dyDescent="0.35">
      <c r="A26" s="105">
        <v>3</v>
      </c>
      <c r="B26" s="106">
        <f>0.1829*(22000^-0.241)</f>
        <v>1.6431977795725659E-2</v>
      </c>
      <c r="C26" s="105"/>
      <c r="D26" s="105"/>
      <c r="E26" s="105"/>
      <c r="F26" s="105"/>
      <c r="G26" s="105"/>
      <c r="H26" s="105"/>
      <c r="I26" s="105"/>
      <c r="J26" s="105"/>
    </row>
    <row r="27" spans="1:10" x14ac:dyDescent="0.35">
      <c r="A27" s="105"/>
      <c r="B27" s="105"/>
      <c r="C27" s="105"/>
      <c r="D27" s="105"/>
      <c r="E27" s="105"/>
      <c r="F27" s="105"/>
      <c r="G27" s="105"/>
      <c r="H27" s="105"/>
      <c r="I27" s="105"/>
      <c r="J27" s="105"/>
    </row>
    <row r="28" spans="1:10" x14ac:dyDescent="0.35">
      <c r="A28" s="105"/>
      <c r="B28" s="105"/>
      <c r="C28" s="105"/>
      <c r="D28" s="105"/>
      <c r="E28" s="105"/>
      <c r="F28" s="105"/>
      <c r="G28" s="105"/>
      <c r="H28" s="105"/>
      <c r="I28" s="105"/>
      <c r="J28" s="105"/>
    </row>
  </sheetData>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1F0A8-4998-4FF4-A437-562D8E982EDA}">
  <dimension ref="A1:AG66"/>
  <sheetViews>
    <sheetView topLeftCell="A33" zoomScale="50" zoomScaleNormal="50" zoomScalePageLayoutView="90" workbookViewId="0">
      <selection activeCell="A81" sqref="A36:XFD81"/>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6.765625" style="4" customWidth="1"/>
    <col min="14" max="15" width="8.4609375" style="4" customWidth="1"/>
    <col min="16" max="16" width="27.23046875" style="4" customWidth="1"/>
    <col min="17" max="17" width="12.765625" style="68" customWidth="1"/>
    <col min="18" max="18" width="10" style="2" customWidth="1"/>
    <col min="19" max="19" width="13.3046875" style="72" bestFit="1" customWidth="1"/>
    <col min="20" max="20" width="8.4609375" style="5" customWidth="1"/>
    <col min="21" max="21" width="10.23046875" style="2" customWidth="1"/>
    <col min="22" max="22" width="13.84375" style="2" customWidth="1"/>
    <col min="23" max="25" width="10" style="2" customWidth="1"/>
    <col min="26" max="26" width="21" style="2" customWidth="1"/>
    <col min="27" max="27" width="8.69140625" style="2" customWidth="1"/>
    <col min="28" max="28" width="8.69140625" style="2"/>
    <col min="29" max="29" width="22" style="2" customWidth="1"/>
    <col min="30" max="30" width="35.84375" style="2" customWidth="1"/>
    <col min="31" max="31" width="16.84375" style="2" customWidth="1"/>
    <col min="32" max="16384" width="8.69140625" style="2"/>
  </cols>
  <sheetData>
    <row r="1" spans="1:31" x14ac:dyDescent="0.35">
      <c r="A1" s="1"/>
      <c r="I1" s="1"/>
      <c r="J1" s="1"/>
      <c r="Q1" s="69" t="s">
        <v>140</v>
      </c>
    </row>
    <row r="2" spans="1:31" x14ac:dyDescent="0.35">
      <c r="A2" s="1"/>
      <c r="I2" s="1"/>
      <c r="J2" s="1"/>
      <c r="Q2" s="69" t="s">
        <v>85</v>
      </c>
    </row>
    <row r="3" spans="1:31" x14ac:dyDescent="0.35">
      <c r="A3" s="150" t="s">
        <v>3</v>
      </c>
      <c r="B3" s="150"/>
      <c r="C3" s="150"/>
      <c r="D3" s="150"/>
      <c r="E3" s="150"/>
      <c r="F3" s="150"/>
      <c r="G3" s="150"/>
      <c r="H3" s="150"/>
      <c r="I3" s="150"/>
      <c r="J3" s="150"/>
      <c r="K3" s="150"/>
      <c r="L3" s="150"/>
      <c r="M3" s="150"/>
      <c r="N3" s="150"/>
      <c r="O3" s="58"/>
      <c r="P3" s="58"/>
      <c r="T3" s="7"/>
    </row>
    <row r="4" spans="1:31" x14ac:dyDescent="0.35">
      <c r="Q4" s="152" t="s">
        <v>112</v>
      </c>
      <c r="R4" s="153"/>
      <c r="S4" s="154"/>
    </row>
    <row r="5" spans="1:31"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T5" s="14"/>
      <c r="U5" s="15" t="s">
        <v>19</v>
      </c>
      <c r="V5" s="16" t="s">
        <v>14</v>
      </c>
      <c r="W5" s="15" t="s">
        <v>20</v>
      </c>
      <c r="X5" s="16" t="s">
        <v>21</v>
      </c>
      <c r="Y5" s="1"/>
      <c r="Z5" s="151" t="s">
        <v>22</v>
      </c>
      <c r="AA5" s="151"/>
    </row>
    <row r="6" spans="1:31" x14ac:dyDescent="0.35">
      <c r="A6" s="17" t="s">
        <v>23</v>
      </c>
      <c r="B6" s="18">
        <v>0</v>
      </c>
      <c r="C6" s="19">
        <f>B6*0.0166667</f>
        <v>0</v>
      </c>
      <c r="D6" s="19">
        <f>B6*0.000277778</f>
        <v>0</v>
      </c>
      <c r="E6" s="3">
        <f>0.001*D6</f>
        <v>0</v>
      </c>
      <c r="F6" s="19">
        <f>E6/AA$7</f>
        <v>0</v>
      </c>
      <c r="G6" s="19">
        <f t="shared" ref="G6:G9" si="0">F6^(2)</f>
        <v>0</v>
      </c>
      <c r="H6" s="19">
        <f>F6*1.94384</f>
        <v>0</v>
      </c>
      <c r="I6" s="20">
        <v>0</v>
      </c>
      <c r="J6" s="20">
        <f t="shared" ref="J6:J9" si="1">I6 * 10</f>
        <v>0</v>
      </c>
      <c r="K6" s="21">
        <f>J6*100</f>
        <v>0</v>
      </c>
      <c r="L6" s="3">
        <f>(F6*AA$11)/AA$12</f>
        <v>0</v>
      </c>
      <c r="U6" s="22">
        <v>0</v>
      </c>
      <c r="V6" s="23">
        <f t="shared" ref="V6:V31" si="2">(U6*AA$11)/AA$12</f>
        <v>0</v>
      </c>
      <c r="W6" s="23"/>
      <c r="X6" s="23"/>
    </row>
    <row r="7" spans="1:31" x14ac:dyDescent="0.35">
      <c r="A7" s="2">
        <v>25</v>
      </c>
      <c r="B7" s="2">
        <v>1400</v>
      </c>
      <c r="C7" s="19">
        <f t="shared" ref="C7:C9" si="3">B7*0.0166667</f>
        <v>23.333379999999998</v>
      </c>
      <c r="D7" s="19">
        <f t="shared" ref="D7:D9" si="4">B7*0.000277778</f>
        <v>0.38888919999999999</v>
      </c>
      <c r="E7" s="3">
        <f t="shared" ref="E7:E9" si="5">0.001*D7</f>
        <v>3.8888920000000002E-4</v>
      </c>
      <c r="F7" s="19">
        <f t="shared" ref="F7:F9" si="6">E7/AA$7</f>
        <v>0.91503341176470587</v>
      </c>
      <c r="G7" s="19">
        <f t="shared" si="0"/>
        <v>0.83728614464575779</v>
      </c>
      <c r="H7" s="19">
        <f t="shared" ref="H7:H9" si="7">F7*1.94384</f>
        <v>1.778678547124706</v>
      </c>
      <c r="I7" s="2">
        <v>1.5063096774193545</v>
      </c>
      <c r="J7" s="20">
        <f t="shared" si="1"/>
        <v>15.063096774193545</v>
      </c>
      <c r="K7" s="21">
        <f t="shared" ref="K7:K9" si="8">J7*100</f>
        <v>1506.3096774193546</v>
      </c>
      <c r="L7" s="3">
        <f>(F7*AA$11)/AA$12</f>
        <v>12618.27888572333</v>
      </c>
      <c r="M7" s="4">
        <f>(AA$15*G7*N7)/8</f>
        <v>6.8395471464019852</v>
      </c>
      <c r="N7" s="4">
        <f>(K7*2*AA$11)/(AA$13*AA$15*G7)</f>
        <v>6.3755780180904664E-2</v>
      </c>
      <c r="O7" s="4">
        <f>N7/4</f>
        <v>1.5938945045226166E-2</v>
      </c>
      <c r="P7" s="4">
        <f>3.7*(10^(-1/(2*SQRT(N7)))-2.51/(L7*SQRT(N7)))</f>
        <v>3.5810598705951387E-2</v>
      </c>
      <c r="Q7" s="2">
        <v>1058455.4033333333</v>
      </c>
      <c r="R7" s="2">
        <v>21473.686333333331</v>
      </c>
      <c r="S7" s="2">
        <v>53.338333333333331</v>
      </c>
      <c r="U7" s="22">
        <v>0.1</v>
      </c>
      <c r="V7" s="23">
        <f>(U7*AA$11)/AA$12</f>
        <v>1378.9965178854068</v>
      </c>
      <c r="W7" s="23">
        <f t="shared" ref="W7:W31" si="9">0.292/(V7^(0.25))</f>
        <v>4.7917269130858933E-2</v>
      </c>
      <c r="X7" s="23">
        <f>0.0791/(V7^0.25)</f>
        <v>1.2980328726886788E-2</v>
      </c>
      <c r="Y7" s="25"/>
      <c r="Z7" s="1" t="s">
        <v>24</v>
      </c>
      <c r="AA7" s="2">
        <f>AA$9*AA$10</f>
        <v>4.2500000000000003E-4</v>
      </c>
    </row>
    <row r="8" spans="1:31" x14ac:dyDescent="0.35">
      <c r="A8" s="2">
        <v>30</v>
      </c>
      <c r="B8" s="2">
        <v>2150</v>
      </c>
      <c r="C8" s="19">
        <f t="shared" si="3"/>
        <v>35.833404999999999</v>
      </c>
      <c r="D8" s="19">
        <f t="shared" si="4"/>
        <v>0.5972227</v>
      </c>
      <c r="E8" s="3">
        <f t="shared" si="5"/>
        <v>5.9722270000000003E-4</v>
      </c>
      <c r="F8" s="19">
        <f t="shared" si="6"/>
        <v>1.4052298823529412</v>
      </c>
      <c r="G8" s="19">
        <f t="shared" si="0"/>
        <v>1.9746710222576611</v>
      </c>
      <c r="H8" s="19">
        <f t="shared" si="7"/>
        <v>2.7315420545129414</v>
      </c>
      <c r="I8" s="2">
        <v>3.4518774193548394</v>
      </c>
      <c r="J8" s="20">
        <f t="shared" si="1"/>
        <v>34.518774193548396</v>
      </c>
      <c r="K8" s="21">
        <f t="shared" si="8"/>
        <v>3451.8774193548397</v>
      </c>
      <c r="L8" s="3">
        <f t="shared" ref="L8:L9" si="10">(F8*AA$11)/AA$12</f>
        <v>19378.071145932256</v>
      </c>
      <c r="M8" s="4">
        <f t="shared" ref="M8:M9" si="11">(AA$15*G8*N8)/8</f>
        <v>15.673588709677423</v>
      </c>
      <c r="N8" s="4">
        <f t="shared" ref="N8:N9" si="12">(K8*2*AA$11)/(AA$13*AA$15*G8)</f>
        <v>6.1949786616057892E-2</v>
      </c>
      <c r="O8" s="4">
        <f t="shared" ref="O8:O9" si="13">N8/4</f>
        <v>1.5487446654014473E-2</v>
      </c>
      <c r="P8" s="4">
        <f t="shared" ref="P8:P9" si="14">3.7*(10^(-1/(2*SQRT(N8)))-2.51/(L8*SQRT(N8)))</f>
        <v>3.4327143231939972E-2</v>
      </c>
      <c r="Q8" s="2">
        <v>1561513.3219999999</v>
      </c>
      <c r="R8" s="2">
        <v>23042.315999999999</v>
      </c>
      <c r="S8" s="2">
        <v>44.506999999999998</v>
      </c>
      <c r="U8" s="22">
        <v>0.2</v>
      </c>
      <c r="V8" s="23">
        <f t="shared" si="2"/>
        <v>2757.9930357708135</v>
      </c>
      <c r="W8" s="23">
        <f t="shared" si="9"/>
        <v>4.0293459840886753E-2</v>
      </c>
      <c r="X8" s="23">
        <f t="shared" ref="X8:X31" si="15">0.0791/(V8^0.25)</f>
        <v>1.0915111895253913E-2</v>
      </c>
      <c r="Y8" s="25"/>
      <c r="Z8" s="2" t="s">
        <v>25</v>
      </c>
    </row>
    <row r="9" spans="1:31" ht="19" x14ac:dyDescent="0.4">
      <c r="A9" s="2">
        <v>35</v>
      </c>
      <c r="B9" s="50">
        <v>2800</v>
      </c>
      <c r="C9" s="19">
        <f t="shared" si="3"/>
        <v>46.666759999999996</v>
      </c>
      <c r="D9" s="19">
        <f t="shared" si="4"/>
        <v>0.77777839999999998</v>
      </c>
      <c r="E9" s="3">
        <f t="shared" si="5"/>
        <v>7.7777840000000005E-4</v>
      </c>
      <c r="F9" s="19">
        <f t="shared" si="6"/>
        <v>1.8300668235294117</v>
      </c>
      <c r="G9" s="19">
        <f t="shared" si="0"/>
        <v>3.3491445785830312</v>
      </c>
      <c r="H9" s="19">
        <f t="shared" si="7"/>
        <v>3.5573570942494119</v>
      </c>
      <c r="I9" s="2">
        <v>5.7667967741935486</v>
      </c>
      <c r="J9" s="20">
        <f t="shared" si="1"/>
        <v>57.667967741935485</v>
      </c>
      <c r="K9" s="21">
        <f t="shared" si="8"/>
        <v>5766.7967741935481</v>
      </c>
      <c r="L9" s="3">
        <f t="shared" si="10"/>
        <v>25236.55777144666</v>
      </c>
      <c r="M9" s="4">
        <f t="shared" si="11"/>
        <v>26.184707575130965</v>
      </c>
      <c r="N9" s="4">
        <f t="shared" si="12"/>
        <v>6.1021088989039941E-2</v>
      </c>
      <c r="O9" s="4">
        <f t="shared" si="13"/>
        <v>1.5255272247259985E-2</v>
      </c>
      <c r="P9" s="4">
        <f t="shared" si="14"/>
        <v>3.3513719741210903E-2</v>
      </c>
      <c r="Q9" s="2">
        <v>1534375.6669999999</v>
      </c>
      <c r="R9" s="2">
        <v>22413.942999999999</v>
      </c>
      <c r="S9" s="2">
        <v>46.125999999999998</v>
      </c>
      <c r="U9" s="22">
        <v>0.3</v>
      </c>
      <c r="V9" s="23">
        <f t="shared" si="2"/>
        <v>4136.9895536562199</v>
      </c>
      <c r="W9" s="23">
        <f t="shared" si="9"/>
        <v>3.6409251044598093E-2</v>
      </c>
      <c r="X9" s="23">
        <f t="shared" si="15"/>
        <v>9.8629169781770873E-3</v>
      </c>
      <c r="Y9" s="25"/>
      <c r="Z9" s="1" t="s">
        <v>26</v>
      </c>
      <c r="AA9" s="19">
        <v>0.05</v>
      </c>
      <c r="AD9" s="27" t="s">
        <v>27</v>
      </c>
    </row>
    <row r="10" spans="1:31" ht="18.5" x14ac:dyDescent="0.35">
      <c r="A10" s="2">
        <v>40</v>
      </c>
      <c r="C10" s="19"/>
      <c r="D10" s="19"/>
      <c r="E10" s="3"/>
      <c r="F10" s="19"/>
      <c r="G10" s="19"/>
      <c r="H10" s="19"/>
      <c r="J10" s="20"/>
      <c r="K10" s="21"/>
      <c r="Q10" s="2"/>
      <c r="S10" s="2"/>
      <c r="U10" s="22">
        <v>0.4</v>
      </c>
      <c r="V10" s="23">
        <f t="shared" si="2"/>
        <v>5515.9860715416271</v>
      </c>
      <c r="W10" s="23">
        <f t="shared" si="9"/>
        <v>3.3882625938371172E-2</v>
      </c>
      <c r="X10" s="23">
        <f t="shared" si="15"/>
        <v>9.1784784648121925E-3</v>
      </c>
      <c r="Y10" s="25"/>
      <c r="Z10" s="1" t="s">
        <v>28</v>
      </c>
      <c r="AA10" s="19">
        <v>8.5000000000000006E-3</v>
      </c>
      <c r="AD10" s="28" t="s">
        <v>29</v>
      </c>
      <c r="AE10" s="2" t="s">
        <v>30</v>
      </c>
    </row>
    <row r="11" spans="1:31" ht="16.5" x14ac:dyDescent="0.4">
      <c r="A11" s="2">
        <v>45</v>
      </c>
      <c r="C11" s="19"/>
      <c r="D11" s="19"/>
      <c r="E11" s="3"/>
      <c r="F11" s="19"/>
      <c r="G11" s="19"/>
      <c r="H11" s="19"/>
      <c r="J11" s="20"/>
      <c r="K11" s="21"/>
      <c r="Q11" s="2"/>
      <c r="S11" s="2"/>
      <c r="U11" s="22">
        <v>0.5</v>
      </c>
      <c r="V11" s="23">
        <f t="shared" si="2"/>
        <v>6894.9825894270334</v>
      </c>
      <c r="W11" s="23">
        <f t="shared" si="9"/>
        <v>3.2044209172207905E-2</v>
      </c>
      <c r="X11" s="23">
        <f t="shared" si="15"/>
        <v>8.6804689915124834E-3</v>
      </c>
      <c r="Y11" s="25"/>
      <c r="Z11" s="1" t="s">
        <v>31</v>
      </c>
      <c r="AA11" s="4">
        <f>2*(AA9*AA10)/(AA9+AA10)</f>
        <v>1.452991452991453E-2</v>
      </c>
      <c r="AB11" s="1">
        <f>10*AA11*100</f>
        <v>14.529914529914532</v>
      </c>
      <c r="AD11" s="27" t="s">
        <v>32</v>
      </c>
      <c r="AE11" s="2" t="s">
        <v>33</v>
      </c>
    </row>
    <row r="12" spans="1:31" ht="18.5" x14ac:dyDescent="0.35">
      <c r="A12" s="26" t="s">
        <v>68</v>
      </c>
      <c r="B12" s="29"/>
      <c r="C12" s="19"/>
      <c r="D12" s="19"/>
      <c r="E12" s="3"/>
      <c r="F12" s="19"/>
      <c r="G12" s="19"/>
      <c r="H12" s="19"/>
      <c r="I12" s="30"/>
      <c r="J12" s="20"/>
      <c r="K12" s="21"/>
      <c r="Q12" s="2"/>
      <c r="S12" s="2"/>
      <c r="U12" s="22">
        <v>0.6</v>
      </c>
      <c r="V12" s="23">
        <f t="shared" si="2"/>
        <v>8273.9791073124397</v>
      </c>
      <c r="W12" s="23">
        <f t="shared" si="9"/>
        <v>3.0616408685475098E-2</v>
      </c>
      <c r="X12" s="23">
        <f t="shared" si="15"/>
        <v>8.2936915308941105E-3</v>
      </c>
      <c r="Y12" s="25"/>
      <c r="Z12" s="1" t="s">
        <v>34</v>
      </c>
      <c r="AA12" s="31">
        <f>AA$16/AA$15</f>
        <v>1.053658536585366E-6</v>
      </c>
    </row>
    <row r="13" spans="1:31" ht="16.5" x14ac:dyDescent="0.4">
      <c r="B13" s="29"/>
      <c r="C13" s="19"/>
      <c r="D13" s="19"/>
      <c r="E13" s="3"/>
      <c r="F13" s="19"/>
      <c r="G13" s="19"/>
      <c r="H13" s="19"/>
      <c r="I13" s="30"/>
      <c r="J13" s="20"/>
      <c r="K13" s="21"/>
      <c r="Q13" s="2"/>
      <c r="S13" s="2"/>
      <c r="U13" s="22">
        <v>0.7</v>
      </c>
      <c r="V13" s="23">
        <f t="shared" si="2"/>
        <v>9652.9756251978451</v>
      </c>
      <c r="W13" s="23">
        <f t="shared" si="9"/>
        <v>2.9458969383429404E-2</v>
      </c>
      <c r="X13" s="23">
        <f t="shared" si="15"/>
        <v>7.9801523227029658E-3</v>
      </c>
      <c r="Y13" s="25"/>
      <c r="Z13" s="1" t="s">
        <v>35</v>
      </c>
      <c r="AA13" s="32">
        <v>0.8</v>
      </c>
      <c r="AD13" s="27" t="s">
        <v>36</v>
      </c>
      <c r="AE13" s="1" t="s">
        <v>37</v>
      </c>
    </row>
    <row r="14" spans="1:31" x14ac:dyDescent="0.35">
      <c r="B14" s="33"/>
      <c r="C14" s="19"/>
      <c r="D14" s="19"/>
      <c r="E14" s="3"/>
      <c r="F14" s="19"/>
      <c r="G14" s="19"/>
      <c r="H14" s="19"/>
      <c r="I14" s="30"/>
      <c r="J14" s="20"/>
      <c r="K14" s="21"/>
      <c r="U14" s="22">
        <v>0.8</v>
      </c>
      <c r="V14" s="23">
        <f t="shared" si="2"/>
        <v>11031.972143083254</v>
      </c>
      <c r="W14" s="23">
        <f t="shared" si="9"/>
        <v>2.8491778690958845E-2</v>
      </c>
      <c r="X14" s="23">
        <f t="shared" si="15"/>
        <v>7.7181496385439899E-3</v>
      </c>
      <c r="Y14" s="25"/>
      <c r="AA14" s="32"/>
    </row>
    <row r="15" spans="1:31" x14ac:dyDescent="0.35">
      <c r="B15" s="33"/>
      <c r="C15" s="19"/>
      <c r="D15" s="19"/>
      <c r="E15" s="3"/>
      <c r="F15" s="19"/>
      <c r="G15" s="19"/>
      <c r="H15" s="19"/>
      <c r="I15" s="30"/>
      <c r="J15" s="20"/>
      <c r="K15" s="21"/>
      <c r="T15" s="34"/>
      <c r="U15" s="22">
        <v>0.9</v>
      </c>
      <c r="V15" s="23">
        <f t="shared" si="2"/>
        <v>12410.968660968661</v>
      </c>
      <c r="W15" s="23">
        <f t="shared" si="9"/>
        <v>2.7665048231533144E-2</v>
      </c>
      <c r="X15" s="23">
        <f t="shared" si="15"/>
        <v>7.4941962846379181E-3</v>
      </c>
      <c r="Y15" s="25"/>
      <c r="Z15" s="2" t="s">
        <v>38</v>
      </c>
      <c r="AA15" s="32">
        <f>VLOOKUP(AA17, SW!$A$4:$F$34, 3, FALSE)</f>
        <v>1025</v>
      </c>
      <c r="AB15" s="32"/>
    </row>
    <row r="16" spans="1:31" x14ac:dyDescent="0.35">
      <c r="B16" s="35"/>
      <c r="C16" s="19"/>
      <c r="D16" s="19"/>
      <c r="E16" s="3"/>
      <c r="F16" s="19"/>
      <c r="G16" s="19"/>
      <c r="H16" s="19"/>
      <c r="I16" s="35"/>
      <c r="J16" s="20"/>
      <c r="K16" s="21"/>
      <c r="Q16" s="2"/>
      <c r="S16" s="2"/>
      <c r="U16" s="22">
        <v>1</v>
      </c>
      <c r="V16" s="23">
        <f t="shared" si="2"/>
        <v>13789.965178854067</v>
      </c>
      <c r="W16" s="23">
        <f t="shared" si="9"/>
        <v>2.6945860622549826E-2</v>
      </c>
      <c r="X16" s="23">
        <f t="shared" si="15"/>
        <v>7.2993752576838745E-3</v>
      </c>
      <c r="Y16" s="25"/>
      <c r="Z16" s="2" t="s">
        <v>39</v>
      </c>
      <c r="AA16" s="32">
        <f>VLOOKUP(AA17, SW!$A$4:$F$34, 5, FALSE)</f>
        <v>1.08E-3</v>
      </c>
    </row>
    <row r="17" spans="1:33" x14ac:dyDescent="0.35">
      <c r="B17" s="18"/>
      <c r="C17" s="19"/>
      <c r="D17" s="19"/>
      <c r="E17" s="3"/>
      <c r="F17" s="19"/>
      <c r="G17" s="19"/>
      <c r="H17" s="19"/>
      <c r="I17" s="20"/>
      <c r="J17" s="20"/>
      <c r="K17" s="21"/>
      <c r="Q17" s="2"/>
      <c r="S17" s="2"/>
      <c r="T17" s="14"/>
      <c r="U17" s="22">
        <v>1.1000000000000001</v>
      </c>
      <c r="V17" s="23">
        <f t="shared" si="2"/>
        <v>15168.961696739474</v>
      </c>
      <c r="W17" s="23">
        <f t="shared" si="9"/>
        <v>2.6311395804736626E-2</v>
      </c>
      <c r="X17" s="23">
        <f t="shared" si="15"/>
        <v>7.127504822447491E-3</v>
      </c>
      <c r="Y17" s="25"/>
      <c r="Z17" s="2" t="s">
        <v>161</v>
      </c>
      <c r="AA17" s="2">
        <v>20</v>
      </c>
    </row>
    <row r="18" spans="1:33" x14ac:dyDescent="0.35">
      <c r="B18" s="18"/>
      <c r="C18" s="19"/>
      <c r="D18" s="19"/>
      <c r="E18" s="3"/>
      <c r="F18" s="19"/>
      <c r="G18" s="19"/>
      <c r="H18" s="19"/>
      <c r="I18" s="20"/>
      <c r="J18" s="20"/>
      <c r="K18" s="21"/>
      <c r="Q18" s="2"/>
      <c r="S18" s="2"/>
      <c r="U18" s="22">
        <v>1.2</v>
      </c>
      <c r="V18" s="23">
        <f t="shared" si="2"/>
        <v>16547.958214624879</v>
      </c>
      <c r="W18" s="23">
        <f t="shared" si="9"/>
        <v>2.5745228311558701E-2</v>
      </c>
      <c r="X18" s="23">
        <f t="shared" si="15"/>
        <v>6.9741354775489503E-3</v>
      </c>
      <c r="Y18" s="25"/>
      <c r="Z18" s="1"/>
      <c r="AA18" s="1"/>
      <c r="AD18" s="36" t="s">
        <v>40</v>
      </c>
      <c r="AE18" s="37"/>
      <c r="AF18" s="37"/>
      <c r="AG18" s="37"/>
    </row>
    <row r="19" spans="1:33" x14ac:dyDescent="0.35">
      <c r="A19" s="24"/>
      <c r="B19" s="18"/>
      <c r="C19" s="19"/>
      <c r="D19" s="19"/>
      <c r="E19" s="3"/>
      <c r="F19" s="19"/>
      <c r="G19" s="19"/>
      <c r="H19" s="19"/>
      <c r="I19" s="20"/>
      <c r="J19" s="20"/>
      <c r="K19" s="21"/>
      <c r="Q19" s="70"/>
      <c r="R19" s="25"/>
      <c r="S19" s="73"/>
      <c r="U19" s="22">
        <v>1.3</v>
      </c>
      <c r="V19" s="23">
        <f t="shared" si="2"/>
        <v>17926.954732510287</v>
      </c>
      <c r="W19" s="23">
        <f t="shared" si="9"/>
        <v>2.5235169199689034E-2</v>
      </c>
      <c r="X19" s="23">
        <f t="shared" si="15"/>
        <v>6.8359653551212426E-3</v>
      </c>
      <c r="Y19" s="25"/>
      <c r="AD19" s="38" t="s">
        <v>41</v>
      </c>
      <c r="AE19" s="37" t="s">
        <v>42</v>
      </c>
      <c r="AF19" s="37" t="s">
        <v>43</v>
      </c>
      <c r="AG19" s="37" t="s">
        <v>44</v>
      </c>
    </row>
    <row r="20" spans="1:33" x14ac:dyDescent="0.35">
      <c r="A20" s="24"/>
      <c r="B20" s="18"/>
      <c r="C20" s="19"/>
      <c r="D20" s="19"/>
      <c r="E20" s="3"/>
      <c r="F20" s="19"/>
      <c r="G20" s="19"/>
      <c r="H20" s="19"/>
      <c r="I20" s="20"/>
      <c r="J20" s="20"/>
      <c r="K20" s="21"/>
      <c r="Q20" s="70"/>
      <c r="R20" s="25"/>
      <c r="S20" s="73"/>
      <c r="U20" s="22">
        <v>1.4</v>
      </c>
      <c r="V20" s="23">
        <f t="shared" si="2"/>
        <v>19305.95125039569</v>
      </c>
      <c r="W20" s="23">
        <f t="shared" si="9"/>
        <v>2.4771941751594709E-2</v>
      </c>
      <c r="X20" s="23">
        <f t="shared" si="15"/>
        <v>6.7104814813395272E-3</v>
      </c>
      <c r="Y20" s="25"/>
      <c r="Z20" s="1" t="s">
        <v>45</v>
      </c>
      <c r="AA20" s="1">
        <f>4*10^(-6)</f>
        <v>3.9999999999999998E-6</v>
      </c>
      <c r="AD20" s="38" t="s">
        <v>46</v>
      </c>
      <c r="AE20" s="37" t="s">
        <v>47</v>
      </c>
      <c r="AF20" s="37" t="s">
        <v>48</v>
      </c>
      <c r="AG20" s="37" t="s">
        <v>49</v>
      </c>
    </row>
    <row r="21" spans="1:33" x14ac:dyDescent="0.35">
      <c r="A21" s="24"/>
      <c r="B21" s="18"/>
      <c r="C21" s="19"/>
      <c r="D21" s="19"/>
      <c r="E21" s="3"/>
      <c r="F21" s="19"/>
      <c r="G21" s="19"/>
      <c r="H21" s="19"/>
      <c r="I21" s="20"/>
      <c r="J21" s="20"/>
      <c r="K21" s="21"/>
      <c r="Q21" s="70"/>
      <c r="R21" s="25"/>
      <c r="S21" s="73"/>
      <c r="U21" s="22">
        <v>1.5</v>
      </c>
      <c r="V21" s="23">
        <f t="shared" si="2"/>
        <v>20684.947768281098</v>
      </c>
      <c r="W21" s="23">
        <f t="shared" si="9"/>
        <v>2.4348333647527635E-2</v>
      </c>
      <c r="X21" s="23">
        <f t="shared" si="15"/>
        <v>6.5957301079432751E-3</v>
      </c>
      <c r="Y21" s="25"/>
      <c r="Z21" s="1" t="s">
        <v>50</v>
      </c>
      <c r="AA21" s="2">
        <f>AA20/AA11</f>
        <v>2.752941176470588E-4</v>
      </c>
      <c r="AD21" s="37">
        <v>0</v>
      </c>
      <c r="AE21" s="37">
        <v>1.792E-3</v>
      </c>
      <c r="AF21" s="37">
        <v>999.87</v>
      </c>
      <c r="AG21" s="39">
        <v>1.7922329902887374E-6</v>
      </c>
    </row>
    <row r="22" spans="1:33" x14ac:dyDescent="0.35">
      <c r="A22" s="24"/>
      <c r="B22" s="18"/>
      <c r="C22" s="19"/>
      <c r="D22" s="19"/>
      <c r="E22" s="3"/>
      <c r="F22" s="19"/>
      <c r="G22" s="19"/>
      <c r="H22" s="19"/>
      <c r="I22" s="20"/>
      <c r="J22" s="20"/>
      <c r="K22" s="21"/>
      <c r="Q22" s="70"/>
      <c r="R22" s="25"/>
      <c r="S22" s="73"/>
      <c r="U22" s="22">
        <v>1.6</v>
      </c>
      <c r="V22" s="23">
        <f t="shared" si="2"/>
        <v>22063.944286166508</v>
      </c>
      <c r="W22" s="23">
        <f t="shared" si="9"/>
        <v>2.3958634565429467E-2</v>
      </c>
      <c r="X22" s="23">
        <f t="shared" si="15"/>
        <v>6.490164363443394E-3</v>
      </c>
      <c r="Y22" s="25"/>
      <c r="AD22" s="37">
        <v>5</v>
      </c>
      <c r="AE22" s="37">
        <v>1.519E-3</v>
      </c>
      <c r="AF22" s="37">
        <v>999.99</v>
      </c>
      <c r="AG22" s="39">
        <v>1.5190151901519014E-6</v>
      </c>
    </row>
    <row r="23" spans="1:33" x14ac:dyDescent="0.35">
      <c r="B23" s="18"/>
      <c r="C23" s="19"/>
      <c r="D23" s="19"/>
      <c r="E23" s="3"/>
      <c r="F23" s="3"/>
      <c r="G23" s="19"/>
      <c r="H23" s="19"/>
      <c r="I23" s="19"/>
      <c r="J23" s="20"/>
      <c r="K23" s="21"/>
      <c r="Q23" s="70"/>
      <c r="R23" s="25"/>
      <c r="S23" s="73"/>
      <c r="U23" s="22">
        <v>1.7</v>
      </c>
      <c r="V23" s="23">
        <f t="shared" si="2"/>
        <v>23442.940804051916</v>
      </c>
      <c r="W23" s="23">
        <f t="shared" si="9"/>
        <v>2.3598251683552316E-2</v>
      </c>
      <c r="X23" s="23">
        <f t="shared" si="15"/>
        <v>6.3925400964691377E-3</v>
      </c>
      <c r="Y23" s="25"/>
      <c r="Z23" s="40"/>
      <c r="AD23" s="37">
        <f>AD22+5</f>
        <v>10</v>
      </c>
      <c r="AE23" s="37">
        <v>1.3079999999999999E-3</v>
      </c>
      <c r="AF23" s="37">
        <v>999.73</v>
      </c>
      <c r="AG23" s="39">
        <v>1.3083532553789522E-6</v>
      </c>
    </row>
    <row r="24" spans="1:33" x14ac:dyDescent="0.35">
      <c r="B24" s="18"/>
      <c r="C24" s="19"/>
      <c r="D24" s="19"/>
      <c r="E24" s="3"/>
      <c r="F24" s="3"/>
      <c r="G24" s="19"/>
      <c r="H24" s="19"/>
      <c r="I24" s="19"/>
      <c r="J24" s="20"/>
      <c r="K24" s="21"/>
      <c r="Q24" s="71"/>
      <c r="R24" s="4"/>
      <c r="S24" s="74"/>
      <c r="U24" s="22">
        <v>1.8</v>
      </c>
      <c r="V24" s="23">
        <f t="shared" si="2"/>
        <v>24821.937321937323</v>
      </c>
      <c r="W24" s="23">
        <f t="shared" si="9"/>
        <v>2.3263439885717337E-2</v>
      </c>
      <c r="X24" s="23">
        <f t="shared" si="15"/>
        <v>6.3018427909597319E-3</v>
      </c>
      <c r="Y24" s="4"/>
      <c r="Z24" s="40"/>
      <c r="AD24" s="37" t="e">
        <f>#REF!+5</f>
        <v>#REF!</v>
      </c>
      <c r="AE24" s="37">
        <v>1.005E-3</v>
      </c>
      <c r="AF24" s="37">
        <v>998.23</v>
      </c>
      <c r="AG24" s="39">
        <v>1.0067820041473407E-6</v>
      </c>
    </row>
    <row r="25" spans="1:33" x14ac:dyDescent="0.35">
      <c r="B25" s="18"/>
      <c r="C25" s="19"/>
      <c r="D25" s="19"/>
      <c r="E25" s="3"/>
      <c r="F25" s="3"/>
      <c r="G25" s="19"/>
      <c r="H25" s="19"/>
      <c r="I25" s="19"/>
      <c r="J25" s="20"/>
      <c r="K25" s="21"/>
      <c r="Q25" s="71"/>
      <c r="R25" s="4"/>
      <c r="S25" s="74"/>
      <c r="U25" s="22">
        <v>1.9</v>
      </c>
      <c r="V25" s="23">
        <f t="shared" si="2"/>
        <v>26200.933839822726</v>
      </c>
      <c r="W25" s="23">
        <f t="shared" si="9"/>
        <v>2.2951108116962993E-2</v>
      </c>
      <c r="X25" s="23">
        <f t="shared" si="15"/>
        <v>6.217235109766346E-3</v>
      </c>
      <c r="Y25" s="4"/>
      <c r="Z25" s="40"/>
      <c r="AD25" s="37">
        <v>25</v>
      </c>
      <c r="AE25" s="37">
        <v>8.9400000000000005E-4</v>
      </c>
      <c r="AF25" s="37">
        <v>997.07</v>
      </c>
      <c r="AG25" s="39">
        <v>8.9662711745414066E-7</v>
      </c>
    </row>
    <row r="26" spans="1:33" x14ac:dyDescent="0.35">
      <c r="N26" s="22"/>
      <c r="Q26" s="71"/>
      <c r="R26" s="4"/>
      <c r="S26" s="74"/>
      <c r="U26" s="22">
        <v>2</v>
      </c>
      <c r="V26" s="23">
        <f t="shared" si="2"/>
        <v>27579.930357708134</v>
      </c>
      <c r="W26" s="23">
        <f t="shared" si="9"/>
        <v>2.2658677603428372E-2</v>
      </c>
      <c r="X26" s="23">
        <f t="shared" si="15"/>
        <v>6.1380184877780292E-3</v>
      </c>
      <c r="Y26" s="4"/>
      <c r="Z26" s="40"/>
      <c r="AD26" s="32"/>
      <c r="AE26" s="32"/>
      <c r="AF26" s="32"/>
      <c r="AG26" s="32"/>
    </row>
    <row r="27" spans="1:33" x14ac:dyDescent="0.35">
      <c r="K27" s="1"/>
      <c r="L27" s="4"/>
      <c r="N27" s="22"/>
      <c r="Q27" s="71"/>
      <c r="R27" s="4"/>
      <c r="S27" s="74"/>
      <c r="U27" s="22">
        <v>2.1</v>
      </c>
      <c r="V27" s="23">
        <f t="shared" si="2"/>
        <v>28958.926875593541</v>
      </c>
      <c r="W27" s="23">
        <f t="shared" si="9"/>
        <v>2.2383976200047354E-2</v>
      </c>
      <c r="X27" s="23">
        <f t="shared" si="15"/>
        <v>6.0636045117251573E-3</v>
      </c>
      <c r="Y27" s="4"/>
      <c r="Z27" s="40"/>
      <c r="AD27" s="32"/>
      <c r="AE27" s="32"/>
      <c r="AF27" s="32"/>
      <c r="AG27" s="32"/>
    </row>
    <row r="28" spans="1:33" x14ac:dyDescent="0.35">
      <c r="Q28" s="71"/>
      <c r="R28" s="4"/>
      <c r="S28" s="74"/>
      <c r="U28" s="22">
        <v>2.2000000000000002</v>
      </c>
      <c r="V28" s="23">
        <f t="shared" si="2"/>
        <v>30337.923393478948</v>
      </c>
      <c r="W28" s="23">
        <f t="shared" si="9"/>
        <v>2.2125158412524652E-2</v>
      </c>
      <c r="X28" s="23">
        <f t="shared" si="15"/>
        <v>5.9934932548996586E-3</v>
      </c>
      <c r="Y28" s="4"/>
      <c r="Z28" s="40"/>
      <c r="AD28" s="32"/>
      <c r="AE28" s="32"/>
      <c r="AF28" s="32"/>
      <c r="AG28" s="32"/>
    </row>
    <row r="29" spans="1:33" x14ac:dyDescent="0.35">
      <c r="L29" s="41"/>
      <c r="Q29" s="71"/>
      <c r="R29" s="4"/>
      <c r="S29" s="74"/>
      <c r="U29" s="22">
        <v>2.2999999999999998</v>
      </c>
      <c r="V29" s="23">
        <f t="shared" si="2"/>
        <v>31716.919911364352</v>
      </c>
      <c r="W29" s="23">
        <f t="shared" si="9"/>
        <v>2.1880643993889781E-2</v>
      </c>
      <c r="X29" s="23">
        <f t="shared" si="15"/>
        <v>5.9272566435502804E-3</v>
      </c>
      <c r="Y29" s="4"/>
      <c r="Z29" s="40"/>
      <c r="AD29" s="32"/>
      <c r="AE29" s="32"/>
      <c r="AF29" s="32"/>
      <c r="AG29" s="32"/>
    </row>
    <row r="30" spans="1:33" x14ac:dyDescent="0.35">
      <c r="Q30" s="71"/>
      <c r="R30" s="4"/>
      <c r="S30" s="74"/>
      <c r="U30" s="22">
        <v>2.4</v>
      </c>
      <c r="V30" s="23">
        <f t="shared" si="2"/>
        <v>33095.916429249759</v>
      </c>
      <c r="W30" s="23">
        <f t="shared" si="9"/>
        <v>2.1649070197078152E-2</v>
      </c>
      <c r="X30" s="23">
        <f t="shared" si="15"/>
        <v>5.8645255225646649E-3</v>
      </c>
      <c r="Y30" s="4"/>
      <c r="Z30" s="40"/>
      <c r="AD30" s="32"/>
      <c r="AE30" s="32"/>
      <c r="AF30" s="32"/>
      <c r="AG30" s="32"/>
    </row>
    <row r="31" spans="1:33" x14ac:dyDescent="0.35">
      <c r="F31" s="1"/>
      <c r="G31" s="1"/>
      <c r="Q31" s="71"/>
      <c r="R31" s="4"/>
      <c r="S31" s="74"/>
      <c r="U31" s="22">
        <v>2.5</v>
      </c>
      <c r="V31" s="23">
        <f t="shared" si="2"/>
        <v>34474.91294713517</v>
      </c>
      <c r="W31" s="23">
        <f t="shared" si="9"/>
        <v>2.142925421455057E-2</v>
      </c>
      <c r="X31" s="23">
        <f t="shared" si="15"/>
        <v>5.8049794807224324E-3</v>
      </c>
      <c r="Y31" s="4"/>
      <c r="Z31" s="40"/>
      <c r="AD31" s="32"/>
      <c r="AE31" s="32"/>
      <c r="AF31" s="32"/>
      <c r="AG31" s="32"/>
    </row>
    <row r="32" spans="1:33" x14ac:dyDescent="0.35">
      <c r="G32" s="19"/>
      <c r="Q32" s="71"/>
      <c r="R32" s="4"/>
      <c r="S32" s="74"/>
      <c r="Y32" s="4"/>
      <c r="Z32" s="40"/>
    </row>
    <row r="33" spans="7:27" x14ac:dyDescent="0.35">
      <c r="G33" s="19"/>
      <c r="Q33" s="71"/>
      <c r="R33" s="4"/>
      <c r="S33" s="74"/>
      <c r="Y33" s="4"/>
      <c r="Z33" s="40"/>
      <c r="AA33" s="1" t="s">
        <v>51</v>
      </c>
    </row>
    <row r="34" spans="7:27" x14ac:dyDescent="0.35">
      <c r="G34" s="19"/>
      <c r="Q34" s="71"/>
      <c r="R34" s="4"/>
      <c r="S34" s="74"/>
      <c r="Y34" s="4"/>
      <c r="Z34" s="40"/>
    </row>
    <row r="35" spans="7:27" x14ac:dyDescent="0.35">
      <c r="G35" s="19"/>
      <c r="Q35" s="71"/>
      <c r="R35" s="4"/>
      <c r="S35" s="74"/>
      <c r="Y35" s="4"/>
      <c r="Z35" s="40"/>
    </row>
    <row r="66" spans="17:17" x14ac:dyDescent="0.35">
      <c r="Q66" s="85"/>
    </row>
  </sheetData>
  <mergeCells count="3">
    <mergeCell ref="A3:N3"/>
    <mergeCell ref="Z5:AA5"/>
    <mergeCell ref="Q4:S4"/>
  </mergeCells>
  <pageMargins left="0.7" right="0.7" top="0.75" bottom="0.75" header="0.3" footer="0.3"/>
  <pageSetup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4694C-99DB-42F5-AD8C-DC9C344E9BB9}">
  <dimension ref="A1:AG113"/>
  <sheetViews>
    <sheetView topLeftCell="A2" zoomScale="60" zoomScaleNormal="60" zoomScalePageLayoutView="90" workbookViewId="0">
      <selection activeCell="A2" sqref="A2:N2"/>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6.765625" style="4" customWidth="1"/>
    <col min="14" max="15" width="8.4609375" style="4" customWidth="1"/>
    <col min="16" max="16" width="27.23046875" style="4" customWidth="1"/>
    <col min="17" max="17" width="12.765625" style="68" customWidth="1"/>
    <col min="18" max="18" width="10" style="2" customWidth="1"/>
    <col min="19" max="19" width="13.3046875" style="72" bestFit="1" customWidth="1"/>
    <col min="20" max="20" width="8.4609375" style="5" customWidth="1"/>
    <col min="21" max="21" width="10.23046875" style="2" customWidth="1"/>
    <col min="22" max="22" width="13.84375" style="2" customWidth="1"/>
    <col min="23" max="25" width="10" style="2" customWidth="1"/>
    <col min="26" max="26" width="21" style="2" customWidth="1"/>
    <col min="27" max="27" width="8.69140625" style="2" customWidth="1"/>
    <col min="28" max="28" width="8.69140625" style="2"/>
    <col min="29" max="29" width="22" style="2" customWidth="1"/>
    <col min="30" max="30" width="35.84375" style="2" customWidth="1"/>
    <col min="31" max="31" width="16.84375" style="2" customWidth="1"/>
    <col min="32" max="16384" width="8.69140625" style="2"/>
  </cols>
  <sheetData>
    <row r="1" spans="1:31" x14ac:dyDescent="0.35">
      <c r="A1" s="1" t="s">
        <v>141</v>
      </c>
    </row>
    <row r="2" spans="1:31" x14ac:dyDescent="0.35">
      <c r="A2" s="1"/>
      <c r="I2" s="1"/>
      <c r="J2" s="1"/>
      <c r="Q2" s="69" t="s">
        <v>142</v>
      </c>
    </row>
    <row r="3" spans="1:31" x14ac:dyDescent="0.35">
      <c r="A3" s="1"/>
      <c r="I3" s="1"/>
      <c r="J3" s="1"/>
      <c r="Q3" s="69" t="s">
        <v>85</v>
      </c>
    </row>
    <row r="4" spans="1:31" x14ac:dyDescent="0.35">
      <c r="A4" s="150" t="s">
        <v>3</v>
      </c>
      <c r="B4" s="150"/>
      <c r="C4" s="150"/>
      <c r="D4" s="150"/>
      <c r="E4" s="150"/>
      <c r="F4" s="150"/>
      <c r="G4" s="150"/>
      <c r="H4" s="150"/>
      <c r="I4" s="150"/>
      <c r="J4" s="150"/>
      <c r="K4" s="150"/>
      <c r="L4" s="150"/>
      <c r="M4" s="150"/>
      <c r="N4" s="150"/>
      <c r="O4" s="64"/>
      <c r="P4" s="64"/>
      <c r="T4" s="7"/>
    </row>
    <row r="5" spans="1:31" x14ac:dyDescent="0.35">
      <c r="Q5" s="152" t="s">
        <v>112</v>
      </c>
      <c r="R5" s="153"/>
      <c r="S5" s="154"/>
    </row>
    <row r="6" spans="1:31" ht="19" x14ac:dyDescent="0.4">
      <c r="A6" s="8"/>
      <c r="B6" s="9" t="s">
        <v>4</v>
      </c>
      <c r="C6" s="9" t="s">
        <v>5</v>
      </c>
      <c r="D6" s="10" t="s">
        <v>6</v>
      </c>
      <c r="E6" s="10" t="s">
        <v>7</v>
      </c>
      <c r="F6" s="10" t="s">
        <v>8</v>
      </c>
      <c r="G6" s="10" t="s">
        <v>9</v>
      </c>
      <c r="H6" s="10" t="s">
        <v>10</v>
      </c>
      <c r="I6" s="9" t="s">
        <v>11</v>
      </c>
      <c r="J6" s="9" t="s">
        <v>12</v>
      </c>
      <c r="K6" s="9" t="s">
        <v>13</v>
      </c>
      <c r="L6" s="11" t="s">
        <v>14</v>
      </c>
      <c r="M6" s="12" t="s">
        <v>15</v>
      </c>
      <c r="N6" s="13" t="s">
        <v>16</v>
      </c>
      <c r="O6" s="14" t="s">
        <v>17</v>
      </c>
      <c r="P6" s="14" t="s">
        <v>18</v>
      </c>
      <c r="Q6" s="75" t="s">
        <v>83</v>
      </c>
      <c r="R6" s="67" t="s">
        <v>82</v>
      </c>
      <c r="S6" s="76" t="s">
        <v>84</v>
      </c>
      <c r="T6" s="14"/>
      <c r="U6" s="15" t="s">
        <v>19</v>
      </c>
      <c r="V6" s="16" t="s">
        <v>14</v>
      </c>
      <c r="W6" s="15" t="s">
        <v>20</v>
      </c>
      <c r="X6" s="16" t="s">
        <v>21</v>
      </c>
      <c r="Y6" s="1"/>
      <c r="Z6" s="151" t="s">
        <v>22</v>
      </c>
      <c r="AA6" s="151"/>
    </row>
    <row r="7" spans="1:31" x14ac:dyDescent="0.35">
      <c r="A7" s="17" t="s">
        <v>23</v>
      </c>
      <c r="B7" s="18">
        <v>0</v>
      </c>
      <c r="C7" s="19">
        <f>B7*0.0166667</f>
        <v>0</v>
      </c>
      <c r="D7" s="19">
        <f>B7*0.000277778</f>
        <v>0</v>
      </c>
      <c r="E7" s="3">
        <f>0.001*D7</f>
        <v>0</v>
      </c>
      <c r="F7" s="19">
        <f>E7/AA$8</f>
        <v>0</v>
      </c>
      <c r="G7" s="19">
        <f t="shared" ref="G7" si="0">F7^(2)</f>
        <v>0</v>
      </c>
      <c r="H7" s="19">
        <f>F7*1.94384</f>
        <v>0</v>
      </c>
      <c r="I7" s="20">
        <v>0</v>
      </c>
      <c r="J7" s="20">
        <f t="shared" ref="J7" si="1">I7 * 10</f>
        <v>0</v>
      </c>
      <c r="K7" s="21">
        <f>J7*100</f>
        <v>0</v>
      </c>
      <c r="L7" s="3">
        <f>(F7*AA$12)/AA$13</f>
        <v>0</v>
      </c>
      <c r="U7" s="22">
        <v>0</v>
      </c>
      <c r="V7" s="23">
        <f t="shared" ref="V7:V32" si="2">(U7*AA$12)/AA$13</f>
        <v>0</v>
      </c>
      <c r="W7" s="23"/>
      <c r="X7" s="23"/>
    </row>
    <row r="8" spans="1:31" x14ac:dyDescent="0.35">
      <c r="A8" s="2">
        <v>25</v>
      </c>
      <c r="B8" s="2">
        <v>1100</v>
      </c>
      <c r="C8" s="19">
        <f>B8*0.0166667</f>
        <v>18.333369999999999</v>
      </c>
      <c r="D8" s="19">
        <f>B8*0.000277778</f>
        <v>0.30555579999999999</v>
      </c>
      <c r="E8" s="3">
        <f>0.001*D8</f>
        <v>3.055558E-4</v>
      </c>
      <c r="F8" s="19">
        <f>E8/AA$8</f>
        <v>0.67901288888888889</v>
      </c>
      <c r="G8" s="19">
        <f>F8^(2)</f>
        <v>0.46105850327723458</v>
      </c>
      <c r="H8" s="19">
        <f>F8*1.94384</f>
        <v>1.3198924139377777</v>
      </c>
      <c r="I8" s="2">
        <v>0.8159032258064518</v>
      </c>
      <c r="J8" s="20">
        <f>I8* 10</f>
        <v>8.1590322580645172</v>
      </c>
      <c r="K8" s="21">
        <f t="shared" ref="K8" si="3">J8*100</f>
        <v>815.9032258064517</v>
      </c>
      <c r="L8" s="3">
        <f>(F8*AA$12)/AA$13</f>
        <v>10822.868875821514</v>
      </c>
      <c r="M8" s="4">
        <f>(AA$16*G8*N8)/8</f>
        <v>3.8893691908146524</v>
      </c>
      <c r="N8" s="4">
        <f>(K8*2*AA$12)/(AA$14*AA$16*G8)</f>
        <v>6.5904210826296258E-2</v>
      </c>
      <c r="O8" s="4">
        <f>N8/4</f>
        <v>1.6476052706574065E-2</v>
      </c>
      <c r="P8" s="4">
        <f>3.7*(10^(-1/(2*SQRT(N8)))-2.51/(L8*SQRT(N8)))</f>
        <v>3.8396311242654413E-2</v>
      </c>
      <c r="Q8" s="2">
        <v>1105271.3363333333</v>
      </c>
      <c r="R8" s="2">
        <v>21339.29966666667</v>
      </c>
      <c r="S8" s="2">
        <v>56.473666666666666</v>
      </c>
      <c r="U8" s="22">
        <v>0.1</v>
      </c>
      <c r="V8" s="23">
        <f>(U8*AA$12)/AA$13</f>
        <v>1593.9121411276376</v>
      </c>
      <c r="W8" s="23">
        <f t="shared" ref="W8:W32" si="4">0.292/(V8^(0.25))</f>
        <v>4.6213276060891886E-2</v>
      </c>
      <c r="X8" s="23">
        <f>0.0791/(V8^0.25)</f>
        <v>1.251873334389229E-2</v>
      </c>
      <c r="Y8" s="25"/>
      <c r="Z8" s="1" t="s">
        <v>24</v>
      </c>
      <c r="AA8" s="2">
        <f>AA$10*AA$11</f>
        <v>4.4999999999999999E-4</v>
      </c>
    </row>
    <row r="9" spans="1:31" x14ac:dyDescent="0.35">
      <c r="A9" s="2">
        <v>30</v>
      </c>
      <c r="B9" s="50">
        <v>1850</v>
      </c>
      <c r="C9" s="19">
        <f>B9*0.0166667</f>
        <v>30.833394999999999</v>
      </c>
      <c r="D9" s="19">
        <f>B9*0.000277778</f>
        <v>0.51388929999999999</v>
      </c>
      <c r="E9" s="3">
        <f>0.001*D9</f>
        <v>5.1388930000000001E-4</v>
      </c>
      <c r="F9" s="19">
        <f>E9/AA$8</f>
        <v>1.1419762222222223</v>
      </c>
      <c r="G9" s="19">
        <f>F9^(2)</f>
        <v>1.3041096921209383</v>
      </c>
      <c r="H9" s="19">
        <f>F9*1.94384</f>
        <v>2.2198190598044447</v>
      </c>
      <c r="I9" s="2">
        <v>1.8422032258064513</v>
      </c>
      <c r="J9" s="20">
        <f>I9* 10</f>
        <v>18.422032258064512</v>
      </c>
      <c r="K9" s="21">
        <f>J9*100</f>
        <v>1842.2032258064512</v>
      </c>
      <c r="L9" s="3">
        <f>(F9*AA$12)/AA$13</f>
        <v>18202.09765479073</v>
      </c>
      <c r="M9" s="4">
        <f>(AA$16*G8*N9)/8</f>
        <v>3.1047023574414472</v>
      </c>
      <c r="N9" s="4">
        <f>(K9*2*AA$12)/(AA$14*AA$16*G9)</f>
        <v>5.260826336593228E-2</v>
      </c>
      <c r="O9" s="4">
        <f t="shared" ref="O9:O11" si="5">N9/4</f>
        <v>1.315206584148307E-2</v>
      </c>
      <c r="P9" s="4">
        <f t="shared" ref="P9:P11" si="6">3.7*(10^(-1/(2*SQRT(N9)))-2.51/(L9*SQRT(N9)))</f>
        <v>2.2224991902726577E-2</v>
      </c>
      <c r="Q9" s="2">
        <v>1119463.4353333334</v>
      </c>
      <c r="R9" s="2">
        <v>21325.158333333336</v>
      </c>
      <c r="S9" s="2">
        <v>55.909333333333336</v>
      </c>
      <c r="U9" s="22">
        <v>0.2</v>
      </c>
      <c r="V9" s="23">
        <f t="shared" si="2"/>
        <v>3187.8242822552752</v>
      </c>
      <c r="W9" s="23">
        <f t="shared" si="4"/>
        <v>3.8860578176734294E-2</v>
      </c>
      <c r="X9" s="23">
        <f t="shared" ref="X9:X32" si="7">0.0791/(V9^0.25)</f>
        <v>1.0526957992396174E-2</v>
      </c>
      <c r="Y9" s="25"/>
      <c r="Z9" s="2" t="s">
        <v>25</v>
      </c>
    </row>
    <row r="10" spans="1:31" ht="19" x14ac:dyDescent="0.4">
      <c r="A10" s="2">
        <v>35</v>
      </c>
      <c r="B10" s="2">
        <v>2500</v>
      </c>
      <c r="C10" s="19">
        <f>B10*0.0166667</f>
        <v>41.66675</v>
      </c>
      <c r="D10" s="19">
        <f>B10*0.000277778</f>
        <v>0.69444499999999998</v>
      </c>
      <c r="E10" s="3">
        <f>0.001*D10</f>
        <v>6.9444500000000002E-4</v>
      </c>
      <c r="F10" s="19">
        <f>E10/AA$8</f>
        <v>1.5432111111111113</v>
      </c>
      <c r="G10" s="19">
        <f>F10^(2)</f>
        <v>2.3815005334567907</v>
      </c>
      <c r="H10" s="19">
        <f>F10*1.94384</f>
        <v>2.9997554862222224</v>
      </c>
      <c r="I10" s="2">
        <v>3.2323870967741928</v>
      </c>
      <c r="J10" s="20">
        <f>I10* 10</f>
        <v>32.323870967741925</v>
      </c>
      <c r="K10" s="21">
        <f>J10*100</f>
        <v>3232.3870967741923</v>
      </c>
      <c r="L10" s="3">
        <f>(F10*AA$12)/AA$13</f>
        <v>24597.429263230719</v>
      </c>
      <c r="M10" s="4">
        <f>(AA$16*G9*N10)/8</f>
        <v>8.4377630125751715</v>
      </c>
      <c r="N10" s="4">
        <f>(K10*2*AA$12)/(AA$14*AA$16*G10)</f>
        <v>5.0547913211606094E-2</v>
      </c>
      <c r="O10" s="4">
        <f t="shared" si="5"/>
        <v>1.2636978302901523E-2</v>
      </c>
      <c r="P10" s="4">
        <f t="shared" si="6"/>
        <v>2.0415253709512228E-2</v>
      </c>
      <c r="Q10" s="2">
        <v>1100714.4649999999</v>
      </c>
      <c r="R10" s="2">
        <v>21418.131999999998</v>
      </c>
      <c r="S10" s="2">
        <v>56.048999999999999</v>
      </c>
      <c r="U10" s="22">
        <v>0.3</v>
      </c>
      <c r="V10" s="23">
        <f t="shared" si="2"/>
        <v>4781.7364233829121</v>
      </c>
      <c r="W10" s="23">
        <f t="shared" si="4"/>
        <v>3.5114496301934119E-2</v>
      </c>
      <c r="X10" s="23">
        <f t="shared" si="7"/>
        <v>9.512180333845854E-3</v>
      </c>
      <c r="Y10" s="25"/>
      <c r="Z10" s="1" t="s">
        <v>26</v>
      </c>
      <c r="AA10" s="19">
        <v>0.05</v>
      </c>
      <c r="AD10" s="27" t="s">
        <v>27</v>
      </c>
    </row>
    <row r="11" spans="1:31" ht="18.5" x14ac:dyDescent="0.35">
      <c r="A11" s="2">
        <v>40</v>
      </c>
      <c r="B11" s="2">
        <v>3300</v>
      </c>
      <c r="C11" s="19">
        <f>B11*0.0166667</f>
        <v>55.000109999999999</v>
      </c>
      <c r="D11" s="19">
        <f>B11*0.000277778</f>
        <v>0.91666740000000002</v>
      </c>
      <c r="E11" s="3">
        <f>0.001*D11</f>
        <v>9.1666740000000005E-4</v>
      </c>
      <c r="F11" s="19">
        <f>E11/AA$8</f>
        <v>2.0370386666666667</v>
      </c>
      <c r="G11" s="19">
        <f>F11^(2)</f>
        <v>4.1495265294951107</v>
      </c>
      <c r="H11" s="19">
        <f>F11*1.94384</f>
        <v>3.9596772418133335</v>
      </c>
      <c r="I11" s="2">
        <v>4.5478709677419378</v>
      </c>
      <c r="J11" s="20">
        <f>I11* 10</f>
        <v>45.478709677419374</v>
      </c>
      <c r="K11" s="21">
        <f>J11*100</f>
        <v>4547.8709677419374</v>
      </c>
      <c r="L11" s="3">
        <f>(F11*AA$12)/AA$13</f>
        <v>32468.606627464545</v>
      </c>
      <c r="M11" s="4">
        <f>(AA$16*G10*N11)/8</f>
        <v>12.442303521320877</v>
      </c>
      <c r="N11" s="4">
        <f>(K11*2*AA$12)/(AA$14*AA$16*G11)</f>
        <v>4.0816911394608774E-2</v>
      </c>
      <c r="O11" s="4">
        <f t="shared" si="5"/>
        <v>1.0204227848652193E-2</v>
      </c>
      <c r="P11" s="4">
        <f t="shared" si="6"/>
        <v>1.0982064458565508E-2</v>
      </c>
      <c r="Q11" s="2"/>
      <c r="S11" s="2"/>
      <c r="U11" s="22">
        <v>0.4</v>
      </c>
      <c r="V11" s="23">
        <f t="shared" si="2"/>
        <v>6375.6485645105504</v>
      </c>
      <c r="W11" s="23">
        <f t="shared" si="4"/>
        <v>3.2677720883502591E-2</v>
      </c>
      <c r="X11" s="23">
        <f t="shared" si="7"/>
        <v>8.8520812393323815E-3</v>
      </c>
      <c r="Y11" s="25"/>
      <c r="Z11" s="1" t="s">
        <v>28</v>
      </c>
      <c r="AA11" s="19">
        <v>8.9999999999999993E-3</v>
      </c>
      <c r="AD11" s="28" t="s">
        <v>29</v>
      </c>
      <c r="AE11" s="2" t="s">
        <v>30</v>
      </c>
    </row>
    <row r="12" spans="1:31" ht="16.5" x14ac:dyDescent="0.4">
      <c r="J12" s="20"/>
      <c r="K12" s="21"/>
      <c r="Q12" s="2"/>
      <c r="S12" s="2"/>
      <c r="U12" s="22">
        <v>0.5</v>
      </c>
      <c r="V12" s="23">
        <f t="shared" si="2"/>
        <v>7969.5607056381868</v>
      </c>
      <c r="W12" s="23">
        <f t="shared" si="4"/>
        <v>3.0904680326920415E-2</v>
      </c>
      <c r="X12" s="23">
        <f t="shared" si="7"/>
        <v>8.3717815543130313E-3</v>
      </c>
      <c r="Y12" s="25"/>
      <c r="Z12" s="1" t="s">
        <v>31</v>
      </c>
      <c r="AA12" s="4">
        <f>2*(AA10*AA11)/(AA10+AA11)</f>
        <v>1.5254237288135592E-2</v>
      </c>
      <c r="AB12" s="1">
        <f>10*AA12*100</f>
        <v>15.254237288135592</v>
      </c>
      <c r="AD12" s="27" t="s">
        <v>32</v>
      </c>
      <c r="AE12" s="2" t="s">
        <v>33</v>
      </c>
    </row>
    <row r="13" spans="1:31" ht="18.5" x14ac:dyDescent="0.35">
      <c r="A13" s="26"/>
      <c r="B13" s="29"/>
      <c r="C13" s="19"/>
      <c r="D13" s="19"/>
      <c r="E13" s="3"/>
      <c r="F13" s="19"/>
      <c r="G13" s="19"/>
      <c r="H13" s="19"/>
      <c r="I13" s="30"/>
      <c r="J13" s="20"/>
      <c r="K13" s="21"/>
      <c r="Q13" s="2"/>
      <c r="S13" s="2"/>
      <c r="U13" s="22">
        <v>0.6</v>
      </c>
      <c r="V13" s="23">
        <f t="shared" si="2"/>
        <v>9563.4728467658242</v>
      </c>
      <c r="W13" s="23">
        <f t="shared" si="4"/>
        <v>2.9527654063736222E-2</v>
      </c>
      <c r="X13" s="23">
        <f t="shared" si="7"/>
        <v>7.99875834397786E-3</v>
      </c>
      <c r="Y13" s="25"/>
      <c r="Z13" s="1" t="s">
        <v>34</v>
      </c>
      <c r="AA13" s="31">
        <f>AA$17/AA$16</f>
        <v>9.5703124999999997E-7</v>
      </c>
    </row>
    <row r="14" spans="1:31" ht="16.5" x14ac:dyDescent="0.4">
      <c r="B14" s="29"/>
      <c r="C14" s="19"/>
      <c r="D14" s="19"/>
      <c r="E14" s="3"/>
      <c r="F14" s="19"/>
      <c r="G14" s="19"/>
      <c r="H14" s="19"/>
      <c r="I14" s="30"/>
      <c r="J14" s="20"/>
      <c r="K14" s="21"/>
      <c r="Q14" s="2"/>
      <c r="S14" s="2"/>
      <c r="U14" s="22">
        <v>0.7</v>
      </c>
      <c r="V14" s="23">
        <f t="shared" si="2"/>
        <v>11157.384987893462</v>
      </c>
      <c r="W14" s="23">
        <f t="shared" si="4"/>
        <v>2.8411374631302604E-2</v>
      </c>
      <c r="X14" s="23">
        <f t="shared" si="7"/>
        <v>7.6963689497809452E-3</v>
      </c>
      <c r="Y14" s="25"/>
      <c r="Z14" s="1" t="s">
        <v>35</v>
      </c>
      <c r="AA14" s="32">
        <v>0.8</v>
      </c>
      <c r="AD14" s="27" t="s">
        <v>36</v>
      </c>
      <c r="AE14" s="1" t="s">
        <v>37</v>
      </c>
    </row>
    <row r="15" spans="1:31" x14ac:dyDescent="0.35">
      <c r="B15" s="33"/>
      <c r="C15" s="19"/>
      <c r="D15" s="19"/>
      <c r="E15" s="3"/>
      <c r="F15" s="19"/>
      <c r="G15" s="19"/>
      <c r="H15" s="19"/>
      <c r="I15" s="30"/>
      <c r="J15" s="20"/>
      <c r="K15" s="21"/>
      <c r="U15" s="22">
        <v>0.8</v>
      </c>
      <c r="V15" s="23">
        <f t="shared" si="2"/>
        <v>12751.297129021101</v>
      </c>
      <c r="W15" s="23">
        <f t="shared" si="4"/>
        <v>2.7478578349598777E-2</v>
      </c>
      <c r="X15" s="23">
        <f t="shared" si="7"/>
        <v>7.4436833816892587E-3</v>
      </c>
      <c r="Y15" s="25"/>
      <c r="AA15" s="32"/>
    </row>
    <row r="16" spans="1:31" x14ac:dyDescent="0.35">
      <c r="B16" s="33"/>
      <c r="C16" s="19"/>
      <c r="D16" s="19"/>
      <c r="E16" s="3"/>
      <c r="F16" s="19"/>
      <c r="G16" s="19"/>
      <c r="H16" s="19"/>
      <c r="I16" s="30"/>
      <c r="J16" s="20"/>
      <c r="K16" s="21"/>
      <c r="T16" s="34"/>
      <c r="U16" s="22">
        <v>0.9</v>
      </c>
      <c r="V16" s="23">
        <f t="shared" si="2"/>
        <v>14345.209270148736</v>
      </c>
      <c r="W16" s="23">
        <f t="shared" si="4"/>
        <v>2.6681247373890417E-2</v>
      </c>
      <c r="X16" s="23">
        <f t="shared" si="7"/>
        <v>7.2276940660093566E-3</v>
      </c>
      <c r="Y16" s="25"/>
      <c r="Z16" s="2" t="s">
        <v>38</v>
      </c>
      <c r="AA16" s="32">
        <f>VLOOKUP(AA18, SW!$A$4:$F$34, 3, FALSE)</f>
        <v>1024</v>
      </c>
      <c r="AB16" s="32"/>
    </row>
    <row r="17" spans="1:33" x14ac:dyDescent="0.35">
      <c r="B17" s="35"/>
      <c r="C17" s="19"/>
      <c r="D17" s="19"/>
      <c r="E17" s="3"/>
      <c r="F17" s="19"/>
      <c r="G17" s="19"/>
      <c r="H17" s="19"/>
      <c r="I17" s="35"/>
      <c r="J17" s="20"/>
      <c r="K17" s="21"/>
      <c r="Q17" s="2"/>
      <c r="S17" s="2"/>
      <c r="U17" s="22">
        <v>1</v>
      </c>
      <c r="V17" s="23">
        <f t="shared" si="2"/>
        <v>15939.121411276374</v>
      </c>
      <c r="W17" s="23">
        <f t="shared" si="4"/>
        <v>2.5987634901469381E-2</v>
      </c>
      <c r="X17" s="23">
        <f t="shared" si="7"/>
        <v>7.0398010983090016E-3</v>
      </c>
      <c r="Y17" s="25"/>
      <c r="Z17" s="2" t="s">
        <v>39</v>
      </c>
      <c r="AA17" s="32">
        <f>VLOOKUP(AA18, SW!$A$4:$F$34, 5, FALSE)</f>
        <v>9.7999999999999997E-4</v>
      </c>
    </row>
    <row r="18" spans="1:33" x14ac:dyDescent="0.35">
      <c r="B18" s="18"/>
      <c r="C18" s="19"/>
      <c r="D18" s="19"/>
      <c r="E18" s="3"/>
      <c r="F18" s="19"/>
      <c r="G18" s="19"/>
      <c r="H18" s="19"/>
      <c r="I18" s="20"/>
      <c r="J18" s="20"/>
      <c r="K18" s="21"/>
      <c r="Q18" s="2"/>
      <c r="S18" s="2"/>
      <c r="T18" s="14"/>
      <c r="U18" s="22">
        <v>1.1000000000000001</v>
      </c>
      <c r="V18" s="23">
        <f t="shared" si="2"/>
        <v>17533.033552404013</v>
      </c>
      <c r="W18" s="23">
        <f t="shared" si="4"/>
        <v>2.53757323805546E-2</v>
      </c>
      <c r="X18" s="23">
        <f t="shared" si="7"/>
        <v>6.8740425729516058E-3</v>
      </c>
      <c r="Y18" s="25"/>
      <c r="Z18" s="2" t="s">
        <v>161</v>
      </c>
      <c r="AA18" s="2">
        <v>24</v>
      </c>
    </row>
    <row r="19" spans="1:33" x14ac:dyDescent="0.35">
      <c r="B19" s="18"/>
      <c r="C19" s="19"/>
      <c r="D19" s="19"/>
      <c r="E19" s="3"/>
      <c r="F19" s="19"/>
      <c r="G19" s="19"/>
      <c r="H19" s="19"/>
      <c r="I19" s="20"/>
      <c r="J19" s="20"/>
      <c r="K19" s="21"/>
      <c r="Q19" s="2"/>
      <c r="S19" s="2"/>
      <c r="U19" s="22">
        <v>1.2</v>
      </c>
      <c r="V19" s="23">
        <f t="shared" si="2"/>
        <v>19126.945693531648</v>
      </c>
      <c r="W19" s="23">
        <f t="shared" si="4"/>
        <v>2.4829698453047562E-2</v>
      </c>
      <c r="X19" s="23">
        <f t="shared" si="7"/>
        <v>6.7261272179317206E-3</v>
      </c>
      <c r="Y19" s="25"/>
      <c r="Z19" s="1"/>
      <c r="AA19" s="1"/>
      <c r="AD19" s="36" t="s">
        <v>40</v>
      </c>
      <c r="AE19" s="37"/>
      <c r="AF19" s="37"/>
      <c r="AG19" s="37"/>
    </row>
    <row r="20" spans="1:33" x14ac:dyDescent="0.35">
      <c r="A20" s="24"/>
      <c r="B20" s="18"/>
      <c r="C20" s="19"/>
      <c r="D20" s="19"/>
      <c r="E20" s="3"/>
      <c r="F20" s="19"/>
      <c r="G20" s="19"/>
      <c r="H20" s="19"/>
      <c r="I20" s="20"/>
      <c r="J20" s="20"/>
      <c r="K20" s="21"/>
      <c r="Q20" s="70"/>
      <c r="R20" s="25"/>
      <c r="S20" s="73"/>
      <c r="U20" s="22">
        <v>1.3</v>
      </c>
      <c r="V20" s="23">
        <f t="shared" si="2"/>
        <v>20720.857834659288</v>
      </c>
      <c r="W20" s="23">
        <f t="shared" si="4"/>
        <v>2.4337777628431409E-2</v>
      </c>
      <c r="X20" s="23">
        <f t="shared" si="7"/>
        <v>6.5928705835922074E-3</v>
      </c>
      <c r="Y20" s="25"/>
      <c r="AD20" s="38" t="s">
        <v>41</v>
      </c>
      <c r="AE20" s="37" t="s">
        <v>42</v>
      </c>
      <c r="AF20" s="37" t="s">
        <v>43</v>
      </c>
      <c r="AG20" s="37" t="s">
        <v>44</v>
      </c>
    </row>
    <row r="21" spans="1:33" x14ac:dyDescent="0.35">
      <c r="A21" s="24"/>
      <c r="B21" s="18"/>
      <c r="C21" s="19"/>
      <c r="D21" s="19"/>
      <c r="E21" s="3"/>
      <c r="F21" s="19"/>
      <c r="G21" s="19"/>
      <c r="H21" s="19"/>
      <c r="I21" s="20"/>
      <c r="J21" s="20"/>
      <c r="K21" s="21"/>
      <c r="Q21" s="70"/>
      <c r="R21" s="25"/>
      <c r="S21" s="73"/>
      <c r="U21" s="22">
        <v>1.4</v>
      </c>
      <c r="V21" s="23">
        <f t="shared" si="2"/>
        <v>22314.769975786923</v>
      </c>
      <c r="W21" s="23">
        <f t="shared" si="4"/>
        <v>2.3891023079892687E-2</v>
      </c>
      <c r="X21" s="23">
        <f t="shared" si="7"/>
        <v>6.471849060340794E-3</v>
      </c>
      <c r="Y21" s="25"/>
      <c r="Z21" s="1" t="s">
        <v>45</v>
      </c>
      <c r="AA21" s="1">
        <f>4*10^(-6)</f>
        <v>3.9999999999999998E-6</v>
      </c>
      <c r="AD21" s="38" t="s">
        <v>46</v>
      </c>
      <c r="AE21" s="37" t="s">
        <v>47</v>
      </c>
      <c r="AF21" s="37" t="s">
        <v>48</v>
      </c>
      <c r="AG21" s="37" t="s">
        <v>49</v>
      </c>
    </row>
    <row r="22" spans="1:33" x14ac:dyDescent="0.35">
      <c r="A22" s="24"/>
      <c r="B22" s="18"/>
      <c r="C22" s="19"/>
      <c r="D22" s="19"/>
      <c r="E22" s="3"/>
      <c r="F22" s="19"/>
      <c r="G22" s="19"/>
      <c r="H22" s="19"/>
      <c r="I22" s="20"/>
      <c r="J22" s="20"/>
      <c r="K22" s="21"/>
      <c r="Q22" s="70"/>
      <c r="R22" s="25"/>
      <c r="S22" s="73"/>
      <c r="U22" s="22">
        <v>1.5</v>
      </c>
      <c r="V22" s="23">
        <f t="shared" si="2"/>
        <v>23908.682116914562</v>
      </c>
      <c r="W22" s="23">
        <f t="shared" si="4"/>
        <v>2.3482478966048864E-2</v>
      </c>
      <c r="X22" s="23">
        <f t="shared" si="7"/>
        <v>6.361178377446799E-3</v>
      </c>
      <c r="Y22" s="25"/>
      <c r="Z22" s="1" t="s">
        <v>50</v>
      </c>
      <c r="AA22" s="2">
        <f>AA21/AA12</f>
        <v>2.6222222222222223E-4</v>
      </c>
      <c r="AD22" s="37">
        <v>0</v>
      </c>
      <c r="AE22" s="37">
        <v>1.792E-3</v>
      </c>
      <c r="AF22" s="37">
        <v>999.87</v>
      </c>
      <c r="AG22" s="39">
        <v>1.7922329902887374E-6</v>
      </c>
    </row>
    <row r="23" spans="1:33" x14ac:dyDescent="0.35">
      <c r="A23" s="24"/>
      <c r="B23" s="18"/>
      <c r="C23" s="19"/>
      <c r="D23" s="19"/>
      <c r="E23" s="3"/>
      <c r="F23" s="19"/>
      <c r="G23" s="19"/>
      <c r="H23" s="19"/>
      <c r="I23" s="20"/>
      <c r="J23" s="20"/>
      <c r="K23" s="21"/>
      <c r="Q23" s="70"/>
      <c r="R23" s="25"/>
      <c r="S23" s="73"/>
      <c r="U23" s="22">
        <v>1.6</v>
      </c>
      <c r="V23" s="23">
        <f t="shared" si="2"/>
        <v>25502.594258042202</v>
      </c>
      <c r="W23" s="23">
        <f t="shared" si="4"/>
        <v>2.310663803044594E-2</v>
      </c>
      <c r="X23" s="23">
        <f t="shared" si="7"/>
        <v>6.2593666719461443E-3</v>
      </c>
      <c r="Y23" s="25"/>
      <c r="AD23" s="37">
        <v>5</v>
      </c>
      <c r="AE23" s="37">
        <v>1.519E-3</v>
      </c>
      <c r="AF23" s="37">
        <v>999.99</v>
      </c>
      <c r="AG23" s="39">
        <v>1.5190151901519014E-6</v>
      </c>
    </row>
    <row r="24" spans="1:33" x14ac:dyDescent="0.35">
      <c r="B24" s="18"/>
      <c r="C24" s="19"/>
      <c r="D24" s="19"/>
      <c r="E24" s="3"/>
      <c r="F24" s="3"/>
      <c r="G24" s="19"/>
      <c r="H24" s="19"/>
      <c r="I24" s="19"/>
      <c r="J24" s="20"/>
      <c r="K24" s="21"/>
      <c r="Q24" s="70"/>
      <c r="R24" s="25"/>
      <c r="S24" s="73"/>
      <c r="U24" s="22">
        <v>1.7</v>
      </c>
      <c r="V24" s="23">
        <f t="shared" si="2"/>
        <v>27096.506399169833</v>
      </c>
      <c r="W24" s="23">
        <f t="shared" si="4"/>
        <v>2.2759070777347141E-2</v>
      </c>
      <c r="X24" s="23">
        <f t="shared" si="7"/>
        <v>6.165214035918353E-3</v>
      </c>
      <c r="Y24" s="25"/>
      <c r="Z24" s="40"/>
      <c r="AD24" s="37">
        <f>AD23+5</f>
        <v>10</v>
      </c>
      <c r="AE24" s="37">
        <v>1.3079999999999999E-3</v>
      </c>
      <c r="AF24" s="37">
        <v>999.73</v>
      </c>
      <c r="AG24" s="39">
        <v>1.3083532553789522E-6</v>
      </c>
    </row>
    <row r="25" spans="1:33" x14ac:dyDescent="0.35">
      <c r="B25" s="18"/>
      <c r="C25" s="19"/>
      <c r="D25" s="19"/>
      <c r="E25" s="3"/>
      <c r="F25" s="3"/>
      <c r="G25" s="19"/>
      <c r="H25" s="19"/>
      <c r="I25" s="19"/>
      <c r="J25" s="20"/>
      <c r="K25" s="21"/>
      <c r="Q25" s="71"/>
      <c r="R25" s="4"/>
      <c r="S25" s="74"/>
      <c r="U25" s="22">
        <v>1.8</v>
      </c>
      <c r="V25" s="23">
        <f t="shared" si="2"/>
        <v>28690.418540297473</v>
      </c>
      <c r="W25" s="23">
        <f t="shared" si="4"/>
        <v>2.2436165271202034E-2</v>
      </c>
      <c r="X25" s="23">
        <f t="shared" si="7"/>
        <v>6.0777420306578119E-3</v>
      </c>
      <c r="Y25" s="4"/>
      <c r="Z25" s="40"/>
      <c r="AD25" s="37" t="e">
        <f>#REF!+5</f>
        <v>#REF!</v>
      </c>
      <c r="AE25" s="37">
        <v>1.005E-3</v>
      </c>
      <c r="AF25" s="37">
        <v>998.23</v>
      </c>
      <c r="AG25" s="39">
        <v>1.0067820041473407E-6</v>
      </c>
    </row>
    <row r="26" spans="1:33" x14ac:dyDescent="0.35">
      <c r="B26" s="18"/>
      <c r="C26" s="19"/>
      <c r="D26" s="19"/>
      <c r="E26" s="3"/>
      <c r="F26" s="3"/>
      <c r="G26" s="19"/>
      <c r="H26" s="19"/>
      <c r="I26" s="19"/>
      <c r="J26" s="20"/>
      <c r="K26" s="21"/>
      <c r="Q26" s="71"/>
      <c r="R26" s="4"/>
      <c r="S26" s="74"/>
      <c r="U26" s="22">
        <v>1.9</v>
      </c>
      <c r="V26" s="23">
        <f t="shared" si="2"/>
        <v>30284.330681425112</v>
      </c>
      <c r="W26" s="23">
        <f t="shared" si="4"/>
        <v>2.2134940378510149E-2</v>
      </c>
      <c r="X26" s="23">
        <f t="shared" si="7"/>
        <v>5.996143095685455E-3</v>
      </c>
      <c r="Y26" s="4"/>
      <c r="Z26" s="40"/>
      <c r="AD26" s="37">
        <v>25</v>
      </c>
      <c r="AE26" s="37">
        <v>8.9400000000000005E-4</v>
      </c>
      <c r="AF26" s="37">
        <v>997.07</v>
      </c>
      <c r="AG26" s="39">
        <v>8.9662711745414066E-7</v>
      </c>
    </row>
    <row r="27" spans="1:33" x14ac:dyDescent="0.35">
      <c r="N27" s="22"/>
      <c r="Q27" s="71"/>
      <c r="R27" s="4"/>
      <c r="S27" s="74"/>
      <c r="U27" s="22">
        <v>2</v>
      </c>
      <c r="V27" s="23">
        <f t="shared" si="2"/>
        <v>31878.242822552747</v>
      </c>
      <c r="W27" s="23">
        <f t="shared" si="4"/>
        <v>2.1852909029567925E-2</v>
      </c>
      <c r="X27" s="23">
        <f t="shared" si="7"/>
        <v>5.9197435076672016E-3</v>
      </c>
      <c r="Y27" s="4"/>
      <c r="Z27" s="40"/>
      <c r="AD27" s="32"/>
      <c r="AE27" s="32"/>
      <c r="AF27" s="32"/>
      <c r="AG27" s="32"/>
    </row>
    <row r="28" spans="1:33" x14ac:dyDescent="0.35">
      <c r="K28" s="1"/>
      <c r="L28" s="4"/>
      <c r="N28" s="22"/>
      <c r="Q28" s="71"/>
      <c r="R28" s="4"/>
      <c r="S28" s="74"/>
      <c r="U28" s="22">
        <v>2.1</v>
      </c>
      <c r="V28" s="23">
        <f t="shared" si="2"/>
        <v>33472.15496368039</v>
      </c>
      <c r="W28" s="23">
        <f t="shared" si="4"/>
        <v>2.1587976323280082E-2</v>
      </c>
      <c r="X28" s="23">
        <f t="shared" si="7"/>
        <v>5.8479757779844339E-3</v>
      </c>
      <c r="Y28" s="4"/>
      <c r="Z28" s="40"/>
      <c r="AD28" s="32"/>
      <c r="AE28" s="32"/>
      <c r="AF28" s="32"/>
      <c r="AG28" s="32"/>
    </row>
    <row r="29" spans="1:33" x14ac:dyDescent="0.35">
      <c r="Q29" s="71"/>
      <c r="R29" s="4"/>
      <c r="S29" s="74"/>
      <c r="U29" s="22">
        <v>2.2000000000000002</v>
      </c>
      <c r="V29" s="23">
        <f t="shared" si="2"/>
        <v>35066.067104808026</v>
      </c>
      <c r="W29" s="23">
        <f t="shared" si="4"/>
        <v>2.1338362393245967E-2</v>
      </c>
      <c r="X29" s="23">
        <f t="shared" si="7"/>
        <v>5.7803577578964252E-3</v>
      </c>
      <c r="Y29" s="4"/>
      <c r="Z29" s="40"/>
      <c r="AD29" s="32"/>
      <c r="AE29" s="32"/>
      <c r="AF29" s="32"/>
      <c r="AG29" s="32"/>
    </row>
    <row r="30" spans="1:33" x14ac:dyDescent="0.35">
      <c r="L30" s="41"/>
      <c r="Q30" s="71"/>
      <c r="R30" s="4"/>
      <c r="S30" s="74"/>
      <c r="U30" s="22">
        <v>2.2999999999999998</v>
      </c>
      <c r="V30" s="23">
        <f t="shared" si="2"/>
        <v>36659.979245935661</v>
      </c>
      <c r="W30" s="23">
        <f t="shared" si="4"/>
        <v>2.1102543187890531E-2</v>
      </c>
      <c r="X30" s="23">
        <f t="shared" si="7"/>
        <v>5.7164765964456887E-3</v>
      </c>
      <c r="Y30" s="4"/>
      <c r="Z30" s="40"/>
      <c r="AD30" s="32"/>
      <c r="AE30" s="32"/>
      <c r="AF30" s="32"/>
      <c r="AG30" s="32"/>
    </row>
    <row r="31" spans="1:33" x14ac:dyDescent="0.35">
      <c r="Q31" s="71"/>
      <c r="R31" s="4"/>
      <c r="S31" s="74"/>
      <c r="U31" s="22">
        <v>2.4</v>
      </c>
      <c r="V31" s="23">
        <f t="shared" si="2"/>
        <v>38253.891387063297</v>
      </c>
      <c r="W31" s="23">
        <f t="shared" si="4"/>
        <v>2.0879204420998394E-2</v>
      </c>
      <c r="X31" s="23">
        <f t="shared" si="7"/>
        <v>5.6559762660992234E-3</v>
      </c>
      <c r="Y31" s="4"/>
      <c r="Z31" s="40"/>
      <c r="AD31" s="32"/>
      <c r="AE31" s="32"/>
      <c r="AF31" s="32"/>
      <c r="AG31" s="32"/>
    </row>
    <row r="32" spans="1:33" x14ac:dyDescent="0.35">
      <c r="F32" s="1"/>
      <c r="G32" s="1"/>
      <c r="Q32" s="71"/>
      <c r="R32" s="4"/>
      <c r="S32" s="74"/>
      <c r="U32" s="22">
        <v>2.5</v>
      </c>
      <c r="V32" s="23">
        <f t="shared" si="2"/>
        <v>39847.803528190932</v>
      </c>
      <c r="W32" s="23">
        <f t="shared" si="4"/>
        <v>2.0667205347023591E-2</v>
      </c>
      <c r="X32" s="23">
        <f t="shared" si="7"/>
        <v>5.5985477498272825E-3</v>
      </c>
      <c r="Y32" s="4"/>
      <c r="Z32" s="40"/>
      <c r="AD32" s="32"/>
      <c r="AE32" s="32"/>
      <c r="AF32" s="32"/>
      <c r="AG32" s="32"/>
    </row>
    <row r="33" spans="7:27" x14ac:dyDescent="0.35">
      <c r="G33" s="19"/>
      <c r="Q33" s="71"/>
      <c r="R33" s="4"/>
      <c r="S33" s="74"/>
      <c r="Y33" s="4"/>
      <c r="Z33" s="40"/>
    </row>
    <row r="34" spans="7:27" x14ac:dyDescent="0.35">
      <c r="G34" s="19"/>
      <c r="Q34" s="71"/>
      <c r="R34" s="4"/>
      <c r="S34" s="74"/>
      <c r="Y34" s="4"/>
      <c r="Z34" s="40"/>
      <c r="AA34" s="1" t="s">
        <v>51</v>
      </c>
    </row>
    <row r="35" spans="7:27" x14ac:dyDescent="0.35">
      <c r="G35" s="19"/>
      <c r="Q35" s="71"/>
      <c r="R35" s="4"/>
      <c r="S35" s="74"/>
      <c r="Y35" s="4"/>
      <c r="Z35" s="40"/>
    </row>
    <row r="36" spans="7:27" x14ac:dyDescent="0.35">
      <c r="G36" s="19"/>
      <c r="Q36" s="71"/>
      <c r="R36" s="4"/>
      <c r="S36" s="74"/>
      <c r="Y36" s="4"/>
      <c r="Z36" s="40"/>
    </row>
    <row r="37" spans="7:27" x14ac:dyDescent="0.35">
      <c r="G37" s="19"/>
      <c r="Q37" s="95"/>
      <c r="R37" s="4"/>
      <c r="S37" s="74"/>
      <c r="Y37" s="4"/>
    </row>
    <row r="38" spans="7:27" x14ac:dyDescent="0.35">
      <c r="G38" s="19"/>
      <c r="Y38" s="4"/>
    </row>
    <row r="39" spans="7:27" x14ac:dyDescent="0.35">
      <c r="Q39" s="95"/>
      <c r="R39" s="96"/>
      <c r="S39" s="97"/>
      <c r="Y39" s="4"/>
    </row>
    <row r="40" spans="7:27" x14ac:dyDescent="0.35">
      <c r="Q40" s="93"/>
      <c r="R40" s="93"/>
      <c r="S40" s="98"/>
      <c r="U40" s="4"/>
      <c r="V40" s="16"/>
      <c r="W40" s="16"/>
      <c r="X40" s="4"/>
      <c r="Y40" s="4"/>
    </row>
    <row r="41" spans="7:27" x14ac:dyDescent="0.35">
      <c r="Q41" s="93"/>
      <c r="R41" s="93"/>
      <c r="S41" s="91"/>
      <c r="U41" s="4"/>
      <c r="V41" s="16"/>
      <c r="W41" s="16"/>
      <c r="X41" s="4"/>
      <c r="Y41" s="4"/>
    </row>
    <row r="42" spans="7:27" x14ac:dyDescent="0.35">
      <c r="Q42" s="93"/>
      <c r="R42" s="93"/>
      <c r="S42" s="91"/>
      <c r="U42" s="4"/>
      <c r="V42" s="16"/>
      <c r="W42" s="16"/>
      <c r="X42" s="4"/>
      <c r="Y42" s="4"/>
    </row>
    <row r="43" spans="7:27" x14ac:dyDescent="0.35">
      <c r="Q43" s="95"/>
      <c r="R43" s="96"/>
      <c r="S43" s="97"/>
      <c r="U43" s="4"/>
      <c r="V43" s="16"/>
      <c r="W43" s="16"/>
      <c r="X43" s="4"/>
      <c r="Y43" s="4"/>
    </row>
    <row r="44" spans="7:27" x14ac:dyDescent="0.35">
      <c r="Q44" s="71"/>
      <c r="R44" s="4"/>
      <c r="S44" s="74"/>
      <c r="U44" s="4"/>
      <c r="V44" s="16"/>
      <c r="W44" s="16"/>
      <c r="X44" s="4"/>
      <c r="Y44" s="4"/>
    </row>
    <row r="45" spans="7:27" x14ac:dyDescent="0.35">
      <c r="U45" s="4"/>
      <c r="V45" s="16"/>
      <c r="W45" s="16"/>
    </row>
    <row r="46" spans="7:27" x14ac:dyDescent="0.35">
      <c r="U46" s="4"/>
      <c r="V46" s="16"/>
      <c r="W46" s="16"/>
    </row>
    <row r="47" spans="7:27" x14ac:dyDescent="0.35">
      <c r="U47" s="4"/>
      <c r="V47" s="16"/>
      <c r="W47" s="16"/>
    </row>
    <row r="48" spans="7:27" x14ac:dyDescent="0.35">
      <c r="U48" s="4"/>
      <c r="V48" s="16"/>
      <c r="W48" s="16"/>
    </row>
    <row r="49" spans="18:23" x14ac:dyDescent="0.35">
      <c r="R49" s="40"/>
      <c r="S49" s="87"/>
      <c r="U49" s="4"/>
      <c r="V49" s="16"/>
      <c r="W49" s="16"/>
    </row>
    <row r="50" spans="18:23" x14ac:dyDescent="0.35">
      <c r="U50" s="4"/>
      <c r="V50" s="16"/>
      <c r="W50" s="16"/>
    </row>
    <row r="51" spans="18:23" x14ac:dyDescent="0.35">
      <c r="U51" s="4"/>
      <c r="V51" s="16"/>
      <c r="W51" s="16"/>
    </row>
    <row r="52" spans="18:23" x14ac:dyDescent="0.35">
      <c r="U52" s="4"/>
      <c r="V52" s="16"/>
      <c r="W52" s="16"/>
    </row>
    <row r="53" spans="18:23" x14ac:dyDescent="0.35">
      <c r="U53" s="4"/>
      <c r="V53" s="16"/>
      <c r="W53" s="16"/>
    </row>
    <row r="54" spans="18:23" x14ac:dyDescent="0.35">
      <c r="U54" s="4"/>
      <c r="V54" s="16"/>
      <c r="W54" s="16"/>
    </row>
    <row r="55" spans="18:23" x14ac:dyDescent="0.35">
      <c r="U55" s="4"/>
    </row>
    <row r="113" spans="17:17" x14ac:dyDescent="0.35">
      <c r="Q113" s="85"/>
    </row>
  </sheetData>
  <mergeCells count="3">
    <mergeCell ref="A4:N4"/>
    <mergeCell ref="Z6:AA6"/>
    <mergeCell ref="Q5:S5"/>
  </mergeCells>
  <pageMargins left="0.7" right="0.7" top="0.75" bottom="0.75" header="0.3" footer="0.3"/>
  <pageSetup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F7BCA-FA9F-4CCB-B4AE-EB6136322C8F}">
  <dimension ref="A1:AG52"/>
  <sheetViews>
    <sheetView zoomScale="60" zoomScaleNormal="60" zoomScalePageLayoutView="90" workbookViewId="0">
      <selection activeCell="A35" sqref="A35:XFD95"/>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6.765625" style="4" customWidth="1"/>
    <col min="14" max="15" width="8.4609375" style="4" customWidth="1"/>
    <col min="16" max="16" width="27.23046875" style="4" customWidth="1"/>
    <col min="17" max="17" width="12.765625" style="68" customWidth="1"/>
    <col min="18" max="18" width="10" style="2" customWidth="1"/>
    <col min="19" max="19" width="13.3046875" style="72" bestFit="1" customWidth="1"/>
    <col min="20" max="20" width="8.4609375" style="5" customWidth="1"/>
    <col min="21" max="21" width="10.23046875" style="2" customWidth="1"/>
    <col min="22" max="22" width="13.84375" style="2" customWidth="1"/>
    <col min="23" max="25" width="10" style="2" customWidth="1"/>
    <col min="26" max="26" width="21" style="2" customWidth="1"/>
    <col min="27" max="27" width="11.3046875" style="2" customWidth="1"/>
    <col min="28" max="28" width="8.69140625" style="2"/>
    <col min="29" max="29" width="22" style="2" customWidth="1"/>
    <col min="30" max="30" width="35.84375" style="2" customWidth="1"/>
    <col min="31" max="31" width="16.84375" style="2" customWidth="1"/>
    <col min="32" max="16384" width="8.69140625" style="2"/>
  </cols>
  <sheetData>
    <row r="1" spans="1:31" x14ac:dyDescent="0.35">
      <c r="A1" s="1" t="s">
        <v>187</v>
      </c>
      <c r="Q1" s="69"/>
    </row>
    <row r="2" spans="1:31" x14ac:dyDescent="0.35">
      <c r="A2" s="1"/>
      <c r="I2" s="1"/>
      <c r="J2" s="1"/>
      <c r="Q2" s="69"/>
    </row>
    <row r="3" spans="1:31" x14ac:dyDescent="0.35">
      <c r="A3" s="1"/>
      <c r="I3" s="1"/>
      <c r="J3" s="1"/>
      <c r="Q3" s="69" t="s">
        <v>85</v>
      </c>
    </row>
    <row r="4" spans="1:31" x14ac:dyDescent="0.35">
      <c r="A4" s="150" t="s">
        <v>3</v>
      </c>
      <c r="B4" s="150"/>
      <c r="C4" s="150"/>
      <c r="D4" s="150"/>
      <c r="E4" s="150"/>
      <c r="F4" s="150"/>
      <c r="G4" s="150"/>
      <c r="H4" s="150"/>
      <c r="I4" s="150"/>
      <c r="J4" s="150"/>
      <c r="K4" s="150"/>
      <c r="L4" s="150"/>
      <c r="M4" s="150"/>
      <c r="N4" s="150"/>
      <c r="O4" s="64"/>
      <c r="P4" s="64"/>
      <c r="T4" s="7"/>
    </row>
    <row r="5" spans="1:31" x14ac:dyDescent="0.35">
      <c r="Q5" s="152" t="s">
        <v>112</v>
      </c>
      <c r="R5" s="153"/>
      <c r="S5" s="154"/>
    </row>
    <row r="6" spans="1:31" ht="19" x14ac:dyDescent="0.4">
      <c r="A6" s="8"/>
      <c r="B6" s="9" t="s">
        <v>4</v>
      </c>
      <c r="C6" s="9" t="s">
        <v>5</v>
      </c>
      <c r="D6" s="10" t="s">
        <v>6</v>
      </c>
      <c r="E6" s="10" t="s">
        <v>7</v>
      </c>
      <c r="F6" s="10" t="s">
        <v>8</v>
      </c>
      <c r="G6" s="10" t="s">
        <v>9</v>
      </c>
      <c r="H6" s="10" t="s">
        <v>10</v>
      </c>
      <c r="I6" s="9" t="s">
        <v>11</v>
      </c>
      <c r="J6" s="9" t="s">
        <v>12</v>
      </c>
      <c r="K6" s="9" t="s">
        <v>13</v>
      </c>
      <c r="L6" s="11" t="s">
        <v>14</v>
      </c>
      <c r="M6" s="12" t="s">
        <v>15</v>
      </c>
      <c r="N6" s="13" t="s">
        <v>16</v>
      </c>
      <c r="O6" s="14" t="s">
        <v>17</v>
      </c>
      <c r="P6" s="14" t="s">
        <v>18</v>
      </c>
      <c r="Q6" s="75" t="s">
        <v>83</v>
      </c>
      <c r="R6" s="67" t="s">
        <v>82</v>
      </c>
      <c r="S6" s="76" t="s">
        <v>84</v>
      </c>
      <c r="T6" s="14"/>
      <c r="U6" s="15" t="s">
        <v>19</v>
      </c>
      <c r="V6" s="16" t="s">
        <v>14</v>
      </c>
      <c r="W6" s="15" t="s">
        <v>20</v>
      </c>
      <c r="X6" s="16" t="s">
        <v>21</v>
      </c>
      <c r="Y6" s="1"/>
      <c r="Z6" s="151" t="s">
        <v>22</v>
      </c>
      <c r="AA6" s="151"/>
    </row>
    <row r="7" spans="1:31" x14ac:dyDescent="0.35">
      <c r="A7" s="17" t="s">
        <v>23</v>
      </c>
      <c r="B7" s="18">
        <v>0</v>
      </c>
      <c r="C7" s="19">
        <f>B7*0.0166667</f>
        <v>0</v>
      </c>
      <c r="D7" s="19">
        <f>B7*0.000277778</f>
        <v>0</v>
      </c>
      <c r="E7" s="3">
        <f>0.001*D7</f>
        <v>0</v>
      </c>
      <c r="F7" s="19">
        <f>E7/AA$8</f>
        <v>0</v>
      </c>
      <c r="G7" s="19">
        <f t="shared" ref="G7" si="0">F7^(2)</f>
        <v>0</v>
      </c>
      <c r="H7" s="19">
        <f t="shared" ref="H7:H12" si="1">F7*1.94384</f>
        <v>0</v>
      </c>
      <c r="I7" s="20">
        <v>0</v>
      </c>
      <c r="J7" s="20">
        <f t="shared" ref="J7" si="2">I7 * 10</f>
        <v>0</v>
      </c>
      <c r="K7" s="21">
        <f>J7*100</f>
        <v>0</v>
      </c>
      <c r="L7" s="3">
        <f t="shared" ref="L7:L12" si="3">(F7*AA$12)/AA$13</f>
        <v>0</v>
      </c>
      <c r="U7" s="22">
        <v>0</v>
      </c>
      <c r="V7" s="23">
        <f t="shared" ref="V7:V32" si="4">(U7*AA$12)/AA$13</f>
        <v>0</v>
      </c>
      <c r="W7" s="23"/>
      <c r="X7" s="23"/>
    </row>
    <row r="8" spans="1:31" x14ac:dyDescent="0.35">
      <c r="A8" s="2">
        <v>25</v>
      </c>
      <c r="B8" s="2">
        <v>1200</v>
      </c>
      <c r="C8" s="19">
        <f t="shared" ref="C8:C12" si="5">B8*0.0166667</f>
        <v>20.000039999999998</v>
      </c>
      <c r="D8" s="19">
        <f t="shared" ref="D8:D12" si="6">B8*0.000277778</f>
        <v>0.33333360000000001</v>
      </c>
      <c r="E8" s="3">
        <f t="shared" ref="E8:E12" si="7">0.001*D8</f>
        <v>3.3333359999999999E-4</v>
      </c>
      <c r="F8" s="19">
        <f t="shared" ref="F8" si="8">E8/AA$8</f>
        <v>0.74074133333333336</v>
      </c>
      <c r="G8" s="19">
        <f>F8^(2)</f>
        <v>0.54869772290844454</v>
      </c>
      <c r="H8" s="19">
        <f t="shared" si="1"/>
        <v>1.4398826333866668</v>
      </c>
      <c r="I8" s="2">
        <v>1.008174193548387</v>
      </c>
      <c r="J8" s="20">
        <f>I8 * 10</f>
        <v>10.081741935483869</v>
      </c>
      <c r="K8" s="21">
        <f t="shared" ref="K8" si="9">J8*100</f>
        <v>1008.1741935483869</v>
      </c>
      <c r="L8" s="3">
        <f>(F8*AA$12)/AA$13</f>
        <v>11806.766046350744</v>
      </c>
      <c r="M8" s="4">
        <f>(AA$16*G8*N8)/8</f>
        <v>4.8059151175505725</v>
      </c>
      <c r="N8" s="4">
        <f>(K8*2*AA$12)/(AA$14*AA$16*G8)</f>
        <v>6.8427861622689462E-2</v>
      </c>
      <c r="O8" s="4">
        <f>N8/4</f>
        <v>1.7106965405672366E-2</v>
      </c>
      <c r="P8" s="4">
        <f>3.7*(10^(-1/(2*SQRT(N8)))-2.51/(L8*SQRT(N8)))</f>
        <v>4.2365588059265158E-2</v>
      </c>
      <c r="Q8" s="2">
        <v>1189666.044</v>
      </c>
      <c r="R8" s="2">
        <v>21298.12833333333</v>
      </c>
      <c r="S8" s="2">
        <v>56.034666666666659</v>
      </c>
      <c r="U8" s="22">
        <v>0.1</v>
      </c>
      <c r="V8" s="23">
        <f>(U8*AA$12)/AA$13</f>
        <v>1593.9121411276376</v>
      </c>
      <c r="W8" s="23">
        <f t="shared" ref="W8:W32" si="10">0.292/(V8^(0.25))</f>
        <v>4.6213276060891886E-2</v>
      </c>
      <c r="X8" s="23">
        <f>0.0791/(V8^0.25)</f>
        <v>1.251873334389229E-2</v>
      </c>
      <c r="Y8" s="25"/>
      <c r="Z8" s="1" t="s">
        <v>24</v>
      </c>
      <c r="AA8" s="2">
        <f>AA$10*AA$11</f>
        <v>4.4999999999999999E-4</v>
      </c>
    </row>
    <row r="9" spans="1:31" x14ac:dyDescent="0.35">
      <c r="A9" s="2">
        <v>30</v>
      </c>
      <c r="B9" s="2">
        <v>1900</v>
      </c>
      <c r="C9" s="19">
        <f t="shared" si="5"/>
        <v>31.666729999999998</v>
      </c>
      <c r="D9" s="19">
        <f t="shared" si="6"/>
        <v>0.52777819999999998</v>
      </c>
      <c r="E9" s="3">
        <f t="shared" si="7"/>
        <v>5.2777819999999997E-4</v>
      </c>
      <c r="F9" s="19">
        <f>E9/AA$8</f>
        <v>1.1728404444444445</v>
      </c>
      <c r="G9" s="19">
        <f>F9^(2)</f>
        <v>1.375554708124642</v>
      </c>
      <c r="H9" s="19">
        <f t="shared" si="1"/>
        <v>2.2798141695288892</v>
      </c>
      <c r="I9" s="2">
        <v>1.910941935483871</v>
      </c>
      <c r="J9" s="20">
        <f>I9 * 10</f>
        <v>19.10941935483871</v>
      </c>
      <c r="K9" s="21">
        <f>J9*100</f>
        <v>1910.941935483871</v>
      </c>
      <c r="L9" s="3">
        <f t="shared" si="3"/>
        <v>18694.046240055344</v>
      </c>
      <c r="M9" s="4">
        <f>(AA$16*G9*N9)/8</f>
        <v>9.1093630399125214</v>
      </c>
      <c r="N9" s="4">
        <f>(K9*2*AA$12)/(AA$14*AA$16*G9)</f>
        <v>5.1736872644158029E-2</v>
      </c>
      <c r="O9" s="4">
        <f t="shared" ref="O9:O12" si="11">N9/4</f>
        <v>1.2934218161039507E-2</v>
      </c>
      <c r="P9" s="4">
        <f t="shared" ref="P9:P11" si="12">3.7*(10^(-1/(2*SQRT(N9)))-2.51/(L9*SQRT(N9)))</f>
        <v>2.1257542050610638E-2</v>
      </c>
      <c r="Q9" s="2">
        <v>1132073.8976666667</v>
      </c>
      <c r="R9" s="2">
        <v>21291.278000000002</v>
      </c>
      <c r="S9" s="2">
        <v>56.891333333333336</v>
      </c>
      <c r="U9" s="22">
        <v>0.2</v>
      </c>
      <c r="V9" s="23">
        <f t="shared" si="4"/>
        <v>3187.8242822552752</v>
      </c>
      <c r="W9" s="23">
        <f t="shared" si="10"/>
        <v>3.8860578176734294E-2</v>
      </c>
      <c r="X9" s="23">
        <f t="shared" ref="X9:X32" si="13">0.0791/(V9^0.25)</f>
        <v>1.0526957992396174E-2</v>
      </c>
      <c r="Y9" s="25"/>
      <c r="Z9" s="2" t="s">
        <v>25</v>
      </c>
    </row>
    <row r="10" spans="1:31" ht="19" x14ac:dyDescent="0.4">
      <c r="A10" s="2">
        <v>35</v>
      </c>
      <c r="B10" s="50">
        <v>2500</v>
      </c>
      <c r="C10" s="19">
        <f t="shared" si="5"/>
        <v>41.66675</v>
      </c>
      <c r="D10" s="19">
        <f t="shared" si="6"/>
        <v>0.69444499999999998</v>
      </c>
      <c r="E10" s="3">
        <f t="shared" si="7"/>
        <v>6.9444500000000002E-4</v>
      </c>
      <c r="F10" s="19">
        <f>E10/AA$8</f>
        <v>1.5432111111111113</v>
      </c>
      <c r="G10" s="19">
        <f>F10^(2)</f>
        <v>2.3815005334567907</v>
      </c>
      <c r="H10" s="19">
        <f t="shared" si="1"/>
        <v>2.9997554862222224</v>
      </c>
      <c r="I10" s="2">
        <v>2.9699161290322582</v>
      </c>
      <c r="J10" s="20">
        <f>I10 * 10</f>
        <v>29.699161290322582</v>
      </c>
      <c r="K10" s="21">
        <f>J10*100</f>
        <v>2969.9161290322581</v>
      </c>
      <c r="L10" s="3">
        <f t="shared" si="3"/>
        <v>24597.429263230719</v>
      </c>
      <c r="M10" s="4">
        <f>(AA$16*G10*N10)/8</f>
        <v>14.157439174412248</v>
      </c>
      <c r="N10" s="4">
        <f>(K10*2*AA$12)/(AA$14*AA$16*G10)</f>
        <v>4.6443404902181802E-2</v>
      </c>
      <c r="O10" s="4">
        <f t="shared" si="11"/>
        <v>1.1610851225545451E-2</v>
      </c>
      <c r="P10" s="4">
        <f t="shared" si="12"/>
        <v>1.5953000569479604E-2</v>
      </c>
      <c r="Q10" s="2">
        <v>1112733.7619999999</v>
      </c>
      <c r="R10" s="2">
        <v>21092.711666666666</v>
      </c>
      <c r="S10" s="2">
        <v>56.93866666666667</v>
      </c>
      <c r="U10" s="22">
        <v>0.3</v>
      </c>
      <c r="V10" s="23">
        <f t="shared" si="4"/>
        <v>4781.7364233829121</v>
      </c>
      <c r="W10" s="23">
        <f t="shared" si="10"/>
        <v>3.5114496301934119E-2</v>
      </c>
      <c r="X10" s="23">
        <f t="shared" si="13"/>
        <v>9.512180333845854E-3</v>
      </c>
      <c r="Y10" s="25"/>
      <c r="Z10" s="1" t="s">
        <v>26</v>
      </c>
      <c r="AA10" s="19">
        <v>0.05</v>
      </c>
      <c r="AD10" s="27" t="s">
        <v>27</v>
      </c>
    </row>
    <row r="11" spans="1:31" ht="18.5" x14ac:dyDescent="0.35">
      <c r="A11" s="2">
        <v>40</v>
      </c>
      <c r="B11" s="2">
        <v>3350</v>
      </c>
      <c r="C11" s="19">
        <f t="shared" si="5"/>
        <v>55.833444999999998</v>
      </c>
      <c r="D11" s="19">
        <f t="shared" si="6"/>
        <v>0.9305563</v>
      </c>
      <c r="E11" s="3">
        <f t="shared" si="7"/>
        <v>9.3055630000000002E-4</v>
      </c>
      <c r="F11" s="19">
        <f>E11/AA$8</f>
        <v>2.0679028888888888</v>
      </c>
      <c r="G11" s="19">
        <f>F11^(2)</f>
        <v>4.276222357875012</v>
      </c>
      <c r="H11" s="19">
        <f t="shared" si="1"/>
        <v>4.0196723515377775</v>
      </c>
      <c r="I11" s="2">
        <v>4.9226903225806451</v>
      </c>
      <c r="J11" s="20">
        <f>I11 * 10</f>
        <v>49.226903225806453</v>
      </c>
      <c r="K11" s="21">
        <f>J11*100</f>
        <v>4922.6903225806454</v>
      </c>
      <c r="L11" s="3">
        <f t="shared" si="3"/>
        <v>32960.555212729159</v>
      </c>
      <c r="M11" s="4">
        <f>(AA$16*G11*N11)/8</f>
        <v>23.466214461454342</v>
      </c>
      <c r="N11" s="4">
        <f>(K11*2*AA$12)/(AA$14*AA$16*G11)</f>
        <v>4.2871905419627043E-2</v>
      </c>
      <c r="O11" s="4">
        <f t="shared" si="11"/>
        <v>1.0717976354906761E-2</v>
      </c>
      <c r="P11" s="4">
        <f t="shared" si="12"/>
        <v>1.2875204327538005E-2</v>
      </c>
      <c r="Q11" s="2">
        <v>1119243.578</v>
      </c>
      <c r="R11" s="2">
        <v>21010.785</v>
      </c>
      <c r="S11" s="2">
        <v>56.688333333333333</v>
      </c>
      <c r="U11" s="22">
        <v>0.4</v>
      </c>
      <c r="V11" s="23">
        <f t="shared" si="4"/>
        <v>6375.6485645105504</v>
      </c>
      <c r="W11" s="23">
        <f t="shared" si="10"/>
        <v>3.2677720883502591E-2</v>
      </c>
      <c r="X11" s="23">
        <f t="shared" si="13"/>
        <v>8.8520812393323815E-3</v>
      </c>
      <c r="Y11" s="25"/>
      <c r="Z11" s="1" t="s">
        <v>28</v>
      </c>
      <c r="AA11" s="19">
        <v>8.9999999999999993E-3</v>
      </c>
      <c r="AD11" s="28" t="s">
        <v>29</v>
      </c>
      <c r="AE11" s="2" t="s">
        <v>30</v>
      </c>
    </row>
    <row r="12" spans="1:31" ht="16.5" x14ac:dyDescent="0.4">
      <c r="A12" s="2">
        <v>45</v>
      </c>
      <c r="B12" s="2">
        <v>3950</v>
      </c>
      <c r="C12" s="19">
        <f t="shared" si="5"/>
        <v>65.833465000000004</v>
      </c>
      <c r="D12" s="19">
        <f t="shared" si="6"/>
        <v>1.0972231000000001</v>
      </c>
      <c r="E12" s="3">
        <f t="shared" si="7"/>
        <v>1.0972231000000001E-3</v>
      </c>
      <c r="F12" s="19">
        <f>E12/AA$8</f>
        <v>2.4382735555555559</v>
      </c>
      <c r="G12" s="19">
        <f>F12^(2)</f>
        <v>5.945177931721533</v>
      </c>
      <c r="H12" s="19">
        <f t="shared" si="1"/>
        <v>4.7396136682311116</v>
      </c>
      <c r="I12" s="2">
        <v>6.7390096774193555</v>
      </c>
      <c r="J12" s="20">
        <f>I12 * 10</f>
        <v>67.390096774193552</v>
      </c>
      <c r="K12" s="21">
        <f>J12*100</f>
        <v>6739.0096774193553</v>
      </c>
      <c r="L12" s="3">
        <f t="shared" si="3"/>
        <v>38863.938235904534</v>
      </c>
      <c r="M12" s="4">
        <f>(AA$16*G12*N12)/8</f>
        <v>32.124516470749043</v>
      </c>
      <c r="N12" s="4">
        <f>(K12*2*AA$12)/(AA$14*AA$16*G12)</f>
        <v>4.2214511964161386E-2</v>
      </c>
      <c r="O12" s="4">
        <f t="shared" si="11"/>
        <v>1.0553627991040346E-2</v>
      </c>
      <c r="P12" s="4">
        <f>3.7*(10^(-1/(2*SQRT(N12)))-2.51/(L12*SQRT(N12)))</f>
        <v>1.2472047715744467E-2</v>
      </c>
      <c r="Q12" s="2"/>
      <c r="S12" s="2"/>
      <c r="U12" s="22">
        <v>0.5</v>
      </c>
      <c r="V12" s="23">
        <f t="shared" si="4"/>
        <v>7969.5607056381868</v>
      </c>
      <c r="W12" s="23">
        <f t="shared" si="10"/>
        <v>3.0904680326920415E-2</v>
      </c>
      <c r="X12" s="23">
        <f t="shared" si="13"/>
        <v>8.3717815543130313E-3</v>
      </c>
      <c r="Y12" s="25"/>
      <c r="Z12" s="1" t="s">
        <v>31</v>
      </c>
      <c r="AA12" s="4">
        <f>2*(AA10*AA11)/(AA10+AA11)</f>
        <v>1.5254237288135592E-2</v>
      </c>
      <c r="AB12" s="1">
        <f>10*AA12*100</f>
        <v>15.254237288135592</v>
      </c>
      <c r="AD12" s="27" t="s">
        <v>32</v>
      </c>
      <c r="AE12" s="2" t="s">
        <v>33</v>
      </c>
    </row>
    <row r="13" spans="1:31" ht="18.5" x14ac:dyDescent="0.35">
      <c r="A13" s="26"/>
      <c r="B13" s="29"/>
      <c r="C13" s="19"/>
      <c r="D13" s="19"/>
      <c r="E13" s="3"/>
      <c r="F13" s="19"/>
      <c r="G13" s="19"/>
      <c r="H13" s="19"/>
      <c r="I13" s="30"/>
      <c r="J13" s="20"/>
      <c r="K13" s="21"/>
      <c r="Q13" s="2"/>
      <c r="S13" s="2"/>
      <c r="U13" s="22">
        <v>0.6</v>
      </c>
      <c r="V13" s="23">
        <f t="shared" si="4"/>
        <v>9563.4728467658242</v>
      </c>
      <c r="W13" s="23">
        <f t="shared" si="10"/>
        <v>2.9527654063736222E-2</v>
      </c>
      <c r="X13" s="23">
        <f t="shared" si="13"/>
        <v>7.99875834397786E-3</v>
      </c>
      <c r="Y13" s="25"/>
      <c r="Z13" s="1" t="s">
        <v>34</v>
      </c>
      <c r="AA13" s="31">
        <f>AA$17/AA$16</f>
        <v>9.5703124999999997E-7</v>
      </c>
    </row>
    <row r="14" spans="1:31" ht="16.5" x14ac:dyDescent="0.4">
      <c r="B14" s="29"/>
      <c r="C14" s="19"/>
      <c r="D14" s="19"/>
      <c r="E14" s="3"/>
      <c r="F14" s="19"/>
      <c r="G14" s="19"/>
      <c r="H14" s="19"/>
      <c r="I14" s="30"/>
      <c r="J14" s="20"/>
      <c r="K14" s="21"/>
      <c r="Q14" s="2"/>
      <c r="S14" s="2"/>
      <c r="U14" s="22">
        <v>0.7</v>
      </c>
      <c r="V14" s="23">
        <f t="shared" si="4"/>
        <v>11157.384987893462</v>
      </c>
      <c r="W14" s="23">
        <f t="shared" si="10"/>
        <v>2.8411374631302604E-2</v>
      </c>
      <c r="X14" s="23">
        <f t="shared" si="13"/>
        <v>7.6963689497809452E-3</v>
      </c>
      <c r="Y14" s="25"/>
      <c r="Z14" s="1" t="s">
        <v>35</v>
      </c>
      <c r="AA14" s="32">
        <v>0.8</v>
      </c>
      <c r="AD14" s="27" t="s">
        <v>36</v>
      </c>
      <c r="AE14" s="1" t="s">
        <v>37</v>
      </c>
    </row>
    <row r="15" spans="1:31" x14ac:dyDescent="0.35">
      <c r="B15" s="33"/>
      <c r="C15" s="19"/>
      <c r="D15" s="19"/>
      <c r="E15" s="3"/>
      <c r="F15" s="19"/>
      <c r="G15" s="19"/>
      <c r="H15" s="19"/>
      <c r="I15" s="30"/>
      <c r="J15" s="20"/>
      <c r="K15" s="21"/>
      <c r="U15" s="22">
        <v>0.8</v>
      </c>
      <c r="V15" s="23">
        <f t="shared" si="4"/>
        <v>12751.297129021101</v>
      </c>
      <c r="W15" s="23">
        <f t="shared" si="10"/>
        <v>2.7478578349598777E-2</v>
      </c>
      <c r="X15" s="23">
        <f t="shared" si="13"/>
        <v>7.4436833816892587E-3</v>
      </c>
      <c r="Y15" s="25"/>
      <c r="AA15" s="32"/>
    </row>
    <row r="16" spans="1:31" x14ac:dyDescent="0.35">
      <c r="B16" s="33"/>
      <c r="C16" s="19"/>
      <c r="D16" s="19"/>
      <c r="E16" s="3"/>
      <c r="F16" s="19"/>
      <c r="G16" s="19"/>
      <c r="H16" s="19"/>
      <c r="I16" s="30"/>
      <c r="J16" s="20"/>
      <c r="K16" s="21"/>
      <c r="T16" s="34"/>
      <c r="U16" s="22">
        <v>0.9</v>
      </c>
      <c r="V16" s="23">
        <f t="shared" si="4"/>
        <v>14345.209270148736</v>
      </c>
      <c r="W16" s="23">
        <f t="shared" si="10"/>
        <v>2.6681247373890417E-2</v>
      </c>
      <c r="X16" s="23">
        <f t="shared" si="13"/>
        <v>7.2276940660093566E-3</v>
      </c>
      <c r="Y16" s="25"/>
      <c r="Z16" s="2" t="s">
        <v>38</v>
      </c>
      <c r="AA16" s="32">
        <f>VLOOKUP(AA18, SW!$A$4:$F$34, 3, FALSE)</f>
        <v>1024</v>
      </c>
      <c r="AB16" s="32"/>
    </row>
    <row r="17" spans="1:33" x14ac:dyDescent="0.35">
      <c r="B17" s="35"/>
      <c r="C17" s="19"/>
      <c r="D17" s="19"/>
      <c r="E17" s="3"/>
      <c r="F17" s="19"/>
      <c r="G17" s="19"/>
      <c r="H17" s="19"/>
      <c r="I17" s="35"/>
      <c r="J17" s="20"/>
      <c r="K17" s="21"/>
      <c r="Q17" s="2"/>
      <c r="S17" s="2"/>
      <c r="U17" s="22">
        <v>1</v>
      </c>
      <c r="V17" s="23">
        <f t="shared" si="4"/>
        <v>15939.121411276374</v>
      </c>
      <c r="W17" s="23">
        <f t="shared" si="10"/>
        <v>2.5987634901469381E-2</v>
      </c>
      <c r="X17" s="23">
        <f t="shared" si="13"/>
        <v>7.0398010983090016E-3</v>
      </c>
      <c r="Y17" s="25"/>
      <c r="Z17" s="2" t="s">
        <v>39</v>
      </c>
      <c r="AA17" s="32">
        <f>VLOOKUP(AA18, SW!$A$4:$F$34, 5, FALSE)</f>
        <v>9.7999999999999997E-4</v>
      </c>
    </row>
    <row r="18" spans="1:33" x14ac:dyDescent="0.35">
      <c r="B18" s="18"/>
      <c r="C18" s="19"/>
      <c r="D18" s="19"/>
      <c r="E18" s="3"/>
      <c r="F18" s="19"/>
      <c r="G18" s="19"/>
      <c r="H18" s="19"/>
      <c r="I18" s="20"/>
      <c r="J18" s="20"/>
      <c r="K18" s="21"/>
      <c r="Q18" s="2"/>
      <c r="S18" s="2"/>
      <c r="T18" s="14"/>
      <c r="U18" s="22">
        <v>1.1000000000000001</v>
      </c>
      <c r="V18" s="23">
        <f t="shared" si="4"/>
        <v>17533.033552404013</v>
      </c>
      <c r="W18" s="23">
        <f t="shared" si="10"/>
        <v>2.53757323805546E-2</v>
      </c>
      <c r="X18" s="23">
        <f t="shared" si="13"/>
        <v>6.8740425729516058E-3</v>
      </c>
      <c r="Y18" s="25"/>
      <c r="Z18" s="2" t="s">
        <v>161</v>
      </c>
      <c r="AA18" s="2">
        <v>24</v>
      </c>
    </row>
    <row r="19" spans="1:33" x14ac:dyDescent="0.35">
      <c r="B19" s="18"/>
      <c r="C19" s="19"/>
      <c r="D19" s="19"/>
      <c r="E19" s="3"/>
      <c r="F19" s="19"/>
      <c r="G19" s="19"/>
      <c r="H19" s="19"/>
      <c r="I19" s="20"/>
      <c r="J19" s="20"/>
      <c r="K19" s="21"/>
      <c r="Q19" s="2"/>
      <c r="S19" s="2"/>
      <c r="U19" s="22">
        <v>1.2</v>
      </c>
      <c r="V19" s="23">
        <f t="shared" si="4"/>
        <v>19126.945693531648</v>
      </c>
      <c r="W19" s="23">
        <f t="shared" si="10"/>
        <v>2.4829698453047562E-2</v>
      </c>
      <c r="X19" s="23">
        <f t="shared" si="13"/>
        <v>6.7261272179317206E-3</v>
      </c>
      <c r="Y19" s="25"/>
      <c r="Z19" s="1"/>
      <c r="AA19" s="1"/>
      <c r="AD19" s="36" t="s">
        <v>40</v>
      </c>
      <c r="AE19" s="37"/>
      <c r="AF19" s="37"/>
      <c r="AG19" s="37"/>
    </row>
    <row r="20" spans="1:33" x14ac:dyDescent="0.35">
      <c r="A20" s="24"/>
      <c r="B20" s="18"/>
      <c r="C20" s="19"/>
      <c r="D20" s="19"/>
      <c r="E20" s="3"/>
      <c r="F20" s="19"/>
      <c r="G20" s="19"/>
      <c r="H20" s="19"/>
      <c r="I20" s="20"/>
      <c r="J20" s="20"/>
      <c r="K20" s="21"/>
      <c r="Q20" s="70"/>
      <c r="R20" s="25"/>
      <c r="S20" s="73"/>
      <c r="U20" s="22">
        <v>1.3</v>
      </c>
      <c r="V20" s="23">
        <f t="shared" si="4"/>
        <v>20720.857834659288</v>
      </c>
      <c r="W20" s="23">
        <f t="shared" si="10"/>
        <v>2.4337777628431409E-2</v>
      </c>
      <c r="X20" s="23">
        <f t="shared" si="13"/>
        <v>6.5928705835922074E-3</v>
      </c>
      <c r="Y20" s="25"/>
      <c r="AD20" s="38" t="s">
        <v>41</v>
      </c>
      <c r="AE20" s="37" t="s">
        <v>42</v>
      </c>
      <c r="AF20" s="37" t="s">
        <v>43</v>
      </c>
      <c r="AG20" s="37" t="s">
        <v>44</v>
      </c>
    </row>
    <row r="21" spans="1:33" x14ac:dyDescent="0.35">
      <c r="A21" s="24"/>
      <c r="B21" s="18"/>
      <c r="C21" s="19"/>
      <c r="D21" s="19"/>
      <c r="E21" s="3"/>
      <c r="F21" s="19"/>
      <c r="G21" s="19"/>
      <c r="H21" s="19"/>
      <c r="I21" s="20"/>
      <c r="J21" s="20"/>
      <c r="K21" s="21"/>
      <c r="Q21" s="70"/>
      <c r="R21" s="25"/>
      <c r="S21" s="73"/>
      <c r="U21" s="22">
        <v>1.4</v>
      </c>
      <c r="V21" s="23">
        <f t="shared" si="4"/>
        <v>22314.769975786923</v>
      </c>
      <c r="W21" s="23">
        <f t="shared" si="10"/>
        <v>2.3891023079892687E-2</v>
      </c>
      <c r="X21" s="23">
        <f t="shared" si="13"/>
        <v>6.471849060340794E-3</v>
      </c>
      <c r="Y21" s="25"/>
      <c r="Z21" s="1" t="s">
        <v>45</v>
      </c>
      <c r="AA21" s="1">
        <f>4*10^(-6)</f>
        <v>3.9999999999999998E-6</v>
      </c>
      <c r="AD21" s="38" t="s">
        <v>46</v>
      </c>
      <c r="AE21" s="37" t="s">
        <v>47</v>
      </c>
      <c r="AF21" s="37" t="s">
        <v>48</v>
      </c>
      <c r="AG21" s="37" t="s">
        <v>49</v>
      </c>
    </row>
    <row r="22" spans="1:33" x14ac:dyDescent="0.35">
      <c r="A22" s="24"/>
      <c r="B22" s="18"/>
      <c r="C22" s="19"/>
      <c r="D22" s="19"/>
      <c r="E22" s="3"/>
      <c r="F22" s="19"/>
      <c r="G22" s="19"/>
      <c r="H22" s="19"/>
      <c r="I22" s="20"/>
      <c r="J22" s="20"/>
      <c r="K22" s="21"/>
      <c r="Q22" s="70"/>
      <c r="R22" s="25"/>
      <c r="S22" s="73"/>
      <c r="U22" s="22">
        <v>1.5</v>
      </c>
      <c r="V22" s="23">
        <f t="shared" si="4"/>
        <v>23908.682116914562</v>
      </c>
      <c r="W22" s="23">
        <f t="shared" si="10"/>
        <v>2.3482478966048864E-2</v>
      </c>
      <c r="X22" s="23">
        <f t="shared" si="13"/>
        <v>6.361178377446799E-3</v>
      </c>
      <c r="Y22" s="25"/>
      <c r="Z22" s="1" t="s">
        <v>50</v>
      </c>
      <c r="AA22" s="2">
        <f>AA21/AA12</f>
        <v>2.6222222222222223E-4</v>
      </c>
      <c r="AD22" s="37">
        <v>0</v>
      </c>
      <c r="AE22" s="37">
        <v>1.792E-3</v>
      </c>
      <c r="AF22" s="37">
        <v>999.87</v>
      </c>
      <c r="AG22" s="39">
        <v>1.7922329902887374E-6</v>
      </c>
    </row>
    <row r="23" spans="1:33" x14ac:dyDescent="0.35">
      <c r="A23" s="24"/>
      <c r="B23" s="18"/>
      <c r="C23" s="19"/>
      <c r="D23" s="19"/>
      <c r="E23" s="3"/>
      <c r="F23" s="19"/>
      <c r="G23" s="19"/>
      <c r="H23" s="19"/>
      <c r="I23" s="20"/>
      <c r="J23" s="20"/>
      <c r="K23" s="21"/>
      <c r="Q23" s="70"/>
      <c r="R23" s="25"/>
      <c r="S23" s="73"/>
      <c r="U23" s="22">
        <v>1.6</v>
      </c>
      <c r="V23" s="23">
        <f t="shared" si="4"/>
        <v>25502.594258042202</v>
      </c>
      <c r="W23" s="23">
        <f t="shared" si="10"/>
        <v>2.310663803044594E-2</v>
      </c>
      <c r="X23" s="23">
        <f t="shared" si="13"/>
        <v>6.2593666719461443E-3</v>
      </c>
      <c r="Y23" s="25"/>
      <c r="AD23" s="37">
        <v>5</v>
      </c>
      <c r="AE23" s="37">
        <v>1.519E-3</v>
      </c>
      <c r="AF23" s="37">
        <v>999.99</v>
      </c>
      <c r="AG23" s="39">
        <v>1.5190151901519014E-6</v>
      </c>
    </row>
    <row r="24" spans="1:33" x14ac:dyDescent="0.35">
      <c r="B24" s="18"/>
      <c r="C24" s="19"/>
      <c r="D24" s="19"/>
      <c r="E24" s="3"/>
      <c r="F24" s="3"/>
      <c r="G24" s="19"/>
      <c r="H24" s="19"/>
      <c r="I24" s="19"/>
      <c r="J24" s="20"/>
      <c r="K24" s="21"/>
      <c r="Q24" s="70"/>
      <c r="R24" s="25"/>
      <c r="S24" s="73"/>
      <c r="U24" s="22">
        <v>1.7</v>
      </c>
      <c r="V24" s="23">
        <f t="shared" si="4"/>
        <v>27096.506399169833</v>
      </c>
      <c r="W24" s="23">
        <f t="shared" si="10"/>
        <v>2.2759070777347141E-2</v>
      </c>
      <c r="X24" s="23">
        <f t="shared" si="13"/>
        <v>6.165214035918353E-3</v>
      </c>
      <c r="Y24" s="25"/>
      <c r="Z24" s="40"/>
      <c r="AD24" s="37">
        <f>AD23+5</f>
        <v>10</v>
      </c>
      <c r="AE24" s="37">
        <v>1.3079999999999999E-3</v>
      </c>
      <c r="AF24" s="37">
        <v>999.73</v>
      </c>
      <c r="AG24" s="39">
        <v>1.3083532553789522E-6</v>
      </c>
    </row>
    <row r="25" spans="1:33" x14ac:dyDescent="0.35">
      <c r="B25" s="18"/>
      <c r="C25" s="19"/>
      <c r="D25" s="19"/>
      <c r="E25" s="3"/>
      <c r="F25" s="3"/>
      <c r="G25" s="19"/>
      <c r="H25" s="19"/>
      <c r="I25" s="19"/>
      <c r="J25" s="20"/>
      <c r="K25" s="21"/>
      <c r="Q25" s="71"/>
      <c r="R25" s="4"/>
      <c r="S25" s="74"/>
      <c r="U25" s="22">
        <v>1.8</v>
      </c>
      <c r="V25" s="23">
        <f t="shared" si="4"/>
        <v>28690.418540297473</v>
      </c>
      <c r="W25" s="23">
        <f t="shared" si="10"/>
        <v>2.2436165271202034E-2</v>
      </c>
      <c r="X25" s="23">
        <f t="shared" si="13"/>
        <v>6.0777420306578119E-3</v>
      </c>
      <c r="Y25" s="4"/>
      <c r="Z25" s="40"/>
      <c r="AD25" s="37" t="e">
        <f>#REF!+5</f>
        <v>#REF!</v>
      </c>
      <c r="AE25" s="37">
        <v>1.005E-3</v>
      </c>
      <c r="AF25" s="37">
        <v>998.23</v>
      </c>
      <c r="AG25" s="39">
        <v>1.0067820041473407E-6</v>
      </c>
    </row>
    <row r="26" spans="1:33" x14ac:dyDescent="0.35">
      <c r="B26" s="18"/>
      <c r="C26" s="19"/>
      <c r="D26" s="19"/>
      <c r="E26" s="3"/>
      <c r="F26" s="3"/>
      <c r="G26" s="19"/>
      <c r="H26" s="19"/>
      <c r="I26" s="19"/>
      <c r="J26" s="20"/>
      <c r="K26" s="21"/>
      <c r="Q26" s="71"/>
      <c r="R26" s="4"/>
      <c r="S26" s="74"/>
      <c r="U26" s="22">
        <v>1.9</v>
      </c>
      <c r="V26" s="23">
        <f t="shared" si="4"/>
        <v>30284.330681425112</v>
      </c>
      <c r="W26" s="23">
        <f t="shared" si="10"/>
        <v>2.2134940378510149E-2</v>
      </c>
      <c r="X26" s="23">
        <f t="shared" si="13"/>
        <v>5.996143095685455E-3</v>
      </c>
      <c r="Y26" s="4"/>
      <c r="Z26" s="40"/>
      <c r="AD26" s="37">
        <v>25</v>
      </c>
      <c r="AE26" s="37">
        <v>8.9400000000000005E-4</v>
      </c>
      <c r="AF26" s="37">
        <v>997.07</v>
      </c>
      <c r="AG26" s="39">
        <v>8.9662711745414066E-7</v>
      </c>
    </row>
    <row r="27" spans="1:33" x14ac:dyDescent="0.35">
      <c r="N27" s="22"/>
      <c r="Q27" s="71"/>
      <c r="R27" s="4"/>
      <c r="S27" s="74"/>
      <c r="U27" s="22">
        <v>2</v>
      </c>
      <c r="V27" s="23">
        <f t="shared" si="4"/>
        <v>31878.242822552747</v>
      </c>
      <c r="W27" s="23">
        <f t="shared" si="10"/>
        <v>2.1852909029567925E-2</v>
      </c>
      <c r="X27" s="23">
        <f t="shared" si="13"/>
        <v>5.9197435076672016E-3</v>
      </c>
      <c r="Y27" s="4"/>
      <c r="Z27" s="40"/>
      <c r="AD27" s="32"/>
      <c r="AE27" s="32"/>
      <c r="AF27" s="32"/>
      <c r="AG27" s="32"/>
    </row>
    <row r="28" spans="1:33" x14ac:dyDescent="0.35">
      <c r="K28" s="1"/>
      <c r="L28" s="4"/>
      <c r="N28" s="22"/>
      <c r="Q28" s="71"/>
      <c r="R28" s="4"/>
      <c r="S28" s="74"/>
      <c r="U28" s="22">
        <v>2.1</v>
      </c>
      <c r="V28" s="23">
        <f t="shared" si="4"/>
        <v>33472.15496368039</v>
      </c>
      <c r="W28" s="23">
        <f t="shared" si="10"/>
        <v>2.1587976323280082E-2</v>
      </c>
      <c r="X28" s="23">
        <f t="shared" si="13"/>
        <v>5.8479757779844339E-3</v>
      </c>
      <c r="Y28" s="4"/>
      <c r="Z28" s="40"/>
      <c r="AD28" s="32"/>
      <c r="AE28" s="32"/>
      <c r="AF28" s="32"/>
      <c r="AG28" s="32"/>
    </row>
    <row r="29" spans="1:33" x14ac:dyDescent="0.35">
      <c r="Q29" s="71"/>
      <c r="R29" s="4"/>
      <c r="S29" s="74"/>
      <c r="U29" s="22">
        <v>2.2000000000000002</v>
      </c>
      <c r="V29" s="23">
        <f t="shared" si="4"/>
        <v>35066.067104808026</v>
      </c>
      <c r="W29" s="23">
        <f t="shared" si="10"/>
        <v>2.1338362393245967E-2</v>
      </c>
      <c r="X29" s="23">
        <f t="shared" si="13"/>
        <v>5.7803577578964252E-3</v>
      </c>
      <c r="Y29" s="4"/>
      <c r="Z29" s="40"/>
      <c r="AD29" s="32"/>
      <c r="AE29" s="32"/>
      <c r="AF29" s="32"/>
      <c r="AG29" s="32"/>
    </row>
    <row r="30" spans="1:33" x14ac:dyDescent="0.35">
      <c r="L30" s="41"/>
      <c r="Q30" s="71"/>
      <c r="R30" s="4"/>
      <c r="S30" s="74"/>
      <c r="U30" s="22">
        <v>2.2999999999999998</v>
      </c>
      <c r="V30" s="23">
        <f t="shared" si="4"/>
        <v>36659.979245935661</v>
      </c>
      <c r="W30" s="23">
        <f t="shared" si="10"/>
        <v>2.1102543187890531E-2</v>
      </c>
      <c r="X30" s="23">
        <f t="shared" si="13"/>
        <v>5.7164765964456887E-3</v>
      </c>
      <c r="Y30" s="4"/>
      <c r="Z30" s="40"/>
      <c r="AD30" s="32"/>
      <c r="AE30" s="32"/>
      <c r="AF30" s="32"/>
      <c r="AG30" s="32"/>
    </row>
    <row r="31" spans="1:33" x14ac:dyDescent="0.35">
      <c r="Q31" s="71"/>
      <c r="R31" s="4"/>
      <c r="S31" s="74"/>
      <c r="U31" s="22">
        <v>2.4</v>
      </c>
      <c r="V31" s="23">
        <f t="shared" si="4"/>
        <v>38253.891387063297</v>
      </c>
      <c r="W31" s="23">
        <f t="shared" si="10"/>
        <v>2.0879204420998394E-2</v>
      </c>
      <c r="X31" s="23">
        <f t="shared" si="13"/>
        <v>5.6559762660992234E-3</v>
      </c>
      <c r="Y31" s="4"/>
      <c r="Z31" s="40"/>
      <c r="AD31" s="32"/>
      <c r="AE31" s="32"/>
      <c r="AF31" s="32"/>
      <c r="AG31" s="32"/>
    </row>
    <row r="32" spans="1:33" x14ac:dyDescent="0.35">
      <c r="F32" s="1"/>
      <c r="G32" s="1"/>
      <c r="Q32" s="71"/>
      <c r="R32" s="4"/>
      <c r="S32" s="74"/>
      <c r="U32" s="22">
        <v>2.5</v>
      </c>
      <c r="V32" s="23">
        <f t="shared" si="4"/>
        <v>39847.803528190932</v>
      </c>
      <c r="W32" s="23">
        <f t="shared" si="10"/>
        <v>2.0667205347023591E-2</v>
      </c>
      <c r="X32" s="23">
        <f t="shared" si="13"/>
        <v>5.5985477498272825E-3</v>
      </c>
      <c r="Y32" s="4"/>
      <c r="Z32" s="40"/>
      <c r="AD32" s="32"/>
      <c r="AE32" s="32"/>
      <c r="AF32" s="32"/>
      <c r="AG32" s="32"/>
    </row>
    <row r="33" spans="7:27" x14ac:dyDescent="0.35">
      <c r="G33" s="19"/>
      <c r="Q33" s="71"/>
      <c r="R33" s="4"/>
      <c r="S33" s="74"/>
      <c r="Y33" s="4"/>
      <c r="Z33" s="40"/>
    </row>
    <row r="34" spans="7:27" x14ac:dyDescent="0.35">
      <c r="G34" s="19"/>
      <c r="Q34" s="71"/>
      <c r="R34" s="4"/>
      <c r="S34" s="74"/>
      <c r="Y34" s="4"/>
      <c r="Z34" s="40"/>
      <c r="AA34" s="1" t="s">
        <v>51</v>
      </c>
    </row>
    <row r="52" spans="17:17" x14ac:dyDescent="0.35">
      <c r="Q52" s="85"/>
    </row>
  </sheetData>
  <mergeCells count="3">
    <mergeCell ref="A4:N4"/>
    <mergeCell ref="Z6:AA6"/>
    <mergeCell ref="Q5:S5"/>
  </mergeCells>
  <pageMargins left="0.7" right="0.7" top="0.75" bottom="0.75" header="0.3" footer="0.3"/>
  <pageSetup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11642-3223-45FE-8D8A-19B7C7A4D197}">
  <dimension ref="A1:AH112"/>
  <sheetViews>
    <sheetView zoomScale="60" zoomScaleNormal="60" zoomScalePageLayoutView="90" workbookViewId="0">
      <selection activeCell="R37" sqref="R37:U46"/>
    </sheetView>
  </sheetViews>
  <sheetFormatPr defaultColWidth="8.69140625" defaultRowHeight="15.5" x14ac:dyDescent="0.35"/>
  <cols>
    <col min="1" max="2" width="8.69140625" style="2"/>
    <col min="3" max="3" width="9.07421875" style="2" bestFit="1" customWidth="1"/>
    <col min="4"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6.765625" style="4" customWidth="1"/>
    <col min="14" max="14" width="8.4609375" style="4" customWidth="1"/>
    <col min="15" max="16" width="9.07421875" style="4" customWidth="1"/>
    <col min="17" max="17" width="27.23046875" style="4" customWidth="1"/>
    <col min="18" max="18" width="12.765625" style="68" customWidth="1"/>
    <col min="19" max="19" width="10" style="2" customWidth="1"/>
    <col min="20" max="20" width="13.3046875" style="72" bestFit="1" customWidth="1"/>
    <col min="21" max="21" width="8.4609375" style="5" customWidth="1"/>
    <col min="22" max="22" width="10.23046875" style="2" customWidth="1"/>
    <col min="23" max="23" width="13.84375" style="2" customWidth="1"/>
    <col min="24" max="26" width="10" style="2" customWidth="1"/>
    <col min="27" max="27" width="21" style="2" customWidth="1"/>
    <col min="28" max="28" width="8.69140625" style="2" customWidth="1"/>
    <col min="29" max="29" width="8.69140625" style="2"/>
    <col min="30" max="30" width="22" style="2" customWidth="1"/>
    <col min="31" max="31" width="35.84375" style="2" customWidth="1"/>
    <col min="32" max="32" width="16.84375" style="2" customWidth="1"/>
    <col min="33" max="16384" width="8.69140625" style="2"/>
  </cols>
  <sheetData>
    <row r="1" spans="1:32" x14ac:dyDescent="0.35">
      <c r="A1" s="1"/>
      <c r="I1" s="1"/>
      <c r="J1" s="1"/>
      <c r="R1" s="69" t="s">
        <v>113</v>
      </c>
    </row>
    <row r="2" spans="1:32" x14ac:dyDescent="0.35">
      <c r="A2" s="1"/>
      <c r="I2" s="1"/>
      <c r="J2" s="1"/>
      <c r="R2" s="69" t="s">
        <v>85</v>
      </c>
    </row>
    <row r="3" spans="1:32" x14ac:dyDescent="0.35">
      <c r="A3" s="150" t="s">
        <v>3</v>
      </c>
      <c r="B3" s="150"/>
      <c r="C3" s="150"/>
      <c r="D3" s="150"/>
      <c r="E3" s="150"/>
      <c r="F3" s="150"/>
      <c r="G3" s="150"/>
      <c r="H3" s="150"/>
      <c r="I3" s="150"/>
      <c r="J3" s="150"/>
      <c r="K3" s="150"/>
      <c r="L3" s="150"/>
      <c r="M3" s="150"/>
      <c r="N3" s="150"/>
      <c r="O3" s="64"/>
      <c r="P3" s="64"/>
      <c r="Q3" s="64"/>
      <c r="U3" s="7"/>
    </row>
    <row r="4" spans="1:32" x14ac:dyDescent="0.35">
      <c r="R4" s="152" t="s">
        <v>112</v>
      </c>
      <c r="S4" s="153"/>
      <c r="T4" s="154"/>
    </row>
    <row r="5" spans="1:32"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64</v>
      </c>
      <c r="Q5" s="14" t="s">
        <v>18</v>
      </c>
      <c r="R5" s="75" t="s">
        <v>83</v>
      </c>
      <c r="S5" s="67" t="s">
        <v>82</v>
      </c>
      <c r="T5" s="76" t="s">
        <v>84</v>
      </c>
      <c r="U5" s="14"/>
      <c r="V5" s="15" t="s">
        <v>19</v>
      </c>
      <c r="W5" s="16" t="s">
        <v>14</v>
      </c>
      <c r="X5" s="15" t="s">
        <v>20</v>
      </c>
      <c r="Y5" s="16" t="s">
        <v>21</v>
      </c>
      <c r="Z5" s="1"/>
      <c r="AA5" s="151" t="s">
        <v>22</v>
      </c>
      <c r="AB5" s="151"/>
    </row>
    <row r="6" spans="1:32" x14ac:dyDescent="0.35">
      <c r="A6" s="17" t="s">
        <v>23</v>
      </c>
      <c r="B6" s="18">
        <v>0</v>
      </c>
      <c r="C6" s="19">
        <f t="shared" ref="C6:C11" si="0">B6*0.0166667</f>
        <v>0</v>
      </c>
      <c r="D6" s="19">
        <f t="shared" ref="D6:D11" si="1">B6*0.000277778</f>
        <v>0</v>
      </c>
      <c r="E6" s="3">
        <f t="shared" ref="E6:E11" si="2">0.001*D6</f>
        <v>0</v>
      </c>
      <c r="F6" s="19">
        <f t="shared" ref="F6:F11" si="3">E6/AB$7</f>
        <v>0</v>
      </c>
      <c r="G6" s="19">
        <f t="shared" ref="G6:G11" si="4">F6^(2)</f>
        <v>0</v>
      </c>
      <c r="H6" s="19">
        <f t="shared" ref="H6:H11" si="5">F6*1.94384</f>
        <v>0</v>
      </c>
      <c r="I6" s="20">
        <v>0</v>
      </c>
      <c r="J6" s="20">
        <f t="shared" ref="J6:J11" si="6">I6 * 10</f>
        <v>0</v>
      </c>
      <c r="K6" s="21">
        <f t="shared" ref="K6:K11" si="7">J6*100</f>
        <v>0</v>
      </c>
      <c r="L6" s="3">
        <f t="shared" ref="L6:L11" si="8">(F6*AB$11)/AB$12</f>
        <v>0</v>
      </c>
      <c r="V6" s="22">
        <v>0</v>
      </c>
      <c r="W6" s="23">
        <f t="shared" ref="W6:W31" si="9">(V6*AB$11)/AB$12</f>
        <v>0</v>
      </c>
      <c r="X6" s="23"/>
      <c r="Y6" s="23"/>
    </row>
    <row r="7" spans="1:32" x14ac:dyDescent="0.35">
      <c r="A7" s="2" t="s">
        <v>52</v>
      </c>
      <c r="B7" s="2">
        <f>AVERAGEA('1MMHSE P240'!B7,'2 MMHSE P240'!B8,'3 MMHSE P240'!B8)</f>
        <v>1233.3333333333333</v>
      </c>
      <c r="C7" s="19">
        <f t="shared" si="0"/>
        <v>20.555596666666666</v>
      </c>
      <c r="D7" s="19">
        <f t="shared" si="1"/>
        <v>0.34259286666666666</v>
      </c>
      <c r="E7" s="3">
        <f t="shared" si="2"/>
        <v>3.4259286666666667E-4</v>
      </c>
      <c r="F7" s="19">
        <f t="shared" si="3"/>
        <v>0.77568196226415087</v>
      </c>
      <c r="G7" s="19">
        <f t="shared" si="4"/>
        <v>0.60168250658196354</v>
      </c>
      <c r="H7" s="19">
        <f t="shared" si="5"/>
        <v>1.507801625527547</v>
      </c>
      <c r="I7" s="2">
        <f>AVERAGEA('1MMHSE P240'!I7,'2 MMHSE P240'!I8,'3 MMHSE P240'!I8)</f>
        <v>1.1101290322580646</v>
      </c>
      <c r="J7" s="20">
        <f t="shared" si="6"/>
        <v>11.101290322580645</v>
      </c>
      <c r="K7" s="21">
        <f t="shared" si="7"/>
        <v>1110.1290322580646</v>
      </c>
      <c r="L7" s="3">
        <f t="shared" si="8"/>
        <v>11807.649133593246</v>
      </c>
      <c r="M7" s="4">
        <f>(AB$15*G7*N7)/8</f>
        <v>5.2086436534771092</v>
      </c>
      <c r="N7" s="4">
        <f>(K7*2*AB$11)/(AB$13*AB$15*G7)</f>
        <v>6.7631230919369636E-2</v>
      </c>
      <c r="O7" s="4">
        <f>N7/4</f>
        <v>1.6907807729842409E-2</v>
      </c>
      <c r="Q7" s="4">
        <f>3.7*(10^(-1/(2*SQRT(N7)))-2.51/(L7*SQRT(N7)))</f>
        <v>4.1190529142628447E-2</v>
      </c>
      <c r="R7" s="2">
        <f>AVERAGEA('1MMHSE P240'!Q7,'2 MMHSE P240'!Q8,'3 MMHSE P240'!Q8)</f>
        <v>1117797.5945555556</v>
      </c>
      <c r="S7" s="2">
        <f>AVERAGEA('1MMHSE P240'!R7,'2 MMHSE P240'!R8,'3 MMHSE P240'!R8)</f>
        <v>21370.371444444445</v>
      </c>
      <c r="T7" s="2">
        <f>AVERAGEA('1MMHSE P240'!S7,'2 MMHSE P240'!S8,'3 MMHSE P240'!S8)</f>
        <v>55.282222222222224</v>
      </c>
      <c r="V7" s="22">
        <v>0.1</v>
      </c>
      <c r="W7" s="23">
        <f>(V7*AB$11)/AB$12</f>
        <v>1522.2281434942363</v>
      </c>
      <c r="X7" s="23">
        <f t="shared" ref="X7:X31" si="10">0.292/(W7^(0.25))</f>
        <v>4.6747987009087055E-2</v>
      </c>
      <c r="Y7" s="23">
        <f>0.0791/(W7^0.25)</f>
        <v>1.2663581412393104E-2</v>
      </c>
      <c r="Z7" s="25"/>
      <c r="AA7" s="1" t="s">
        <v>24</v>
      </c>
      <c r="AB7" s="2">
        <f>AB$9*AB$10</f>
        <v>4.416666666666667E-4</v>
      </c>
    </row>
    <row r="8" spans="1:32" x14ac:dyDescent="0.35">
      <c r="A8" s="2" t="s">
        <v>53</v>
      </c>
      <c r="B8" s="2">
        <f>AVERAGEA('1MMHSE P240'!B8,'2 MMHSE P240'!B9,'3 MMHSE P240'!B9)</f>
        <v>1966.6666666666667</v>
      </c>
      <c r="C8" s="19">
        <f t="shared" si="0"/>
        <v>32.777843333333337</v>
      </c>
      <c r="D8" s="19">
        <f t="shared" si="1"/>
        <v>0.5462967333333334</v>
      </c>
      <c r="E8" s="3">
        <f t="shared" si="2"/>
        <v>5.4629673333333345E-4</v>
      </c>
      <c r="F8" s="19">
        <f t="shared" si="3"/>
        <v>1.2368982641509436</v>
      </c>
      <c r="G8" s="19">
        <f t="shared" si="4"/>
        <v>1.5299173158596175</v>
      </c>
      <c r="H8" s="19">
        <f t="shared" si="5"/>
        <v>2.4043323217871704</v>
      </c>
      <c r="I8" s="2">
        <f>AVERAGEA('1MMHSE P240'!I8,'2 MMHSE P240'!I9,'3 MMHSE P240'!I9)</f>
        <v>2.4016741935483874</v>
      </c>
      <c r="J8" s="20">
        <f t="shared" si="6"/>
        <v>24.016741935483875</v>
      </c>
      <c r="K8" s="21">
        <f t="shared" si="7"/>
        <v>2401.6741935483874</v>
      </c>
      <c r="L8" s="3">
        <f t="shared" si="8"/>
        <v>18828.41348329734</v>
      </c>
      <c r="M8" s="4">
        <f>(AB$15*G8*N8)/8</f>
        <v>11.268478422279083</v>
      </c>
      <c r="N8" s="4">
        <f>(K8*2*AB$11)/(AB$13*AB$15*G8)</f>
        <v>5.7542317327515802E-2</v>
      </c>
      <c r="O8" s="4">
        <f>N8/4</f>
        <v>1.438557933187895E-2</v>
      </c>
      <c r="Q8" s="4">
        <f>3.7*(10^(-1/(2*SQRT(N8)))-2.51/(L8*SQRT(N8)))</f>
        <v>2.8410419123207516E-2</v>
      </c>
      <c r="R8" s="2">
        <f>AVERAGEA('1MMHSE P240'!Q8,'2 MMHSE P240'!Q9,'3 MMHSE P240'!Q9)</f>
        <v>1271016.885</v>
      </c>
      <c r="S8" s="2">
        <f>AVERAGEA('1MMHSE P240'!R8,'2 MMHSE P240'!R9,'3 MMHSE P240'!R9)</f>
        <v>21886.250777777779</v>
      </c>
      <c r="T8" s="2">
        <f>AVERAGEA('1MMHSE P240'!S8,'2 MMHSE P240'!S9,'3 MMHSE P240'!S9)</f>
        <v>52.43588888888889</v>
      </c>
      <c r="V8" s="22">
        <v>0.2</v>
      </c>
      <c r="W8" s="23">
        <f t="shared" si="9"/>
        <v>3044.4562869884726</v>
      </c>
      <c r="X8" s="23">
        <f t="shared" si="10"/>
        <v>3.9310214696268518E-2</v>
      </c>
      <c r="Y8" s="23">
        <f t="shared" ref="Y8:Y31" si="11">0.0791/(W8^0.25)</f>
        <v>1.0648760213954932E-2</v>
      </c>
      <c r="Z8" s="25"/>
      <c r="AA8" s="2" t="s">
        <v>25</v>
      </c>
    </row>
    <row r="9" spans="1:32" ht="19" x14ac:dyDescent="0.4">
      <c r="A9" s="2" t="s">
        <v>54</v>
      </c>
      <c r="B9" s="2">
        <f>AVERAGEA('1MMHSE P240'!B9,'2 MMHSE P240'!B10,'3 MMHSE P240'!B10)</f>
        <v>2600</v>
      </c>
      <c r="C9" s="19">
        <f t="shared" si="0"/>
        <v>43.333419999999997</v>
      </c>
      <c r="D9" s="19">
        <f t="shared" si="1"/>
        <v>0.72222280000000005</v>
      </c>
      <c r="E9" s="3">
        <f t="shared" si="2"/>
        <v>7.2222280000000007E-4</v>
      </c>
      <c r="F9" s="19">
        <f t="shared" si="3"/>
        <v>1.6352214339622642</v>
      </c>
      <c r="G9" s="19">
        <f t="shared" si="4"/>
        <v>2.6739491380896037</v>
      </c>
      <c r="H9" s="19">
        <f t="shared" si="5"/>
        <v>3.1786088321932078</v>
      </c>
      <c r="I9" s="2">
        <f>AVERAGEA('1MMHSE P240'!I9,'2 MMHSE P240'!I10,'3 MMHSE P240'!I10)</f>
        <v>3.9896999999999996</v>
      </c>
      <c r="J9" s="20">
        <f t="shared" si="6"/>
        <v>39.896999999999998</v>
      </c>
      <c r="K9" s="21">
        <f t="shared" si="7"/>
        <v>3989.7</v>
      </c>
      <c r="L9" s="3">
        <f t="shared" si="8"/>
        <v>24891.800876223599</v>
      </c>
      <c r="M9" s="4">
        <f>(AB$15*G9*N9)/8</f>
        <v>18.719378541076487</v>
      </c>
      <c r="N9" s="4">
        <f>(K9*2*AB$11)/(AB$13*AB$15*G9)</f>
        <v>5.4692567920960736E-2</v>
      </c>
      <c r="O9" s="4">
        <f>N9/4</f>
        <v>1.3673141980240184E-2</v>
      </c>
      <c r="Q9" s="4">
        <f>3.7*(10^(-1/(2*SQRT(N9)))-2.51/(L9*SQRT(N9)))</f>
        <v>2.5333072367251679E-2</v>
      </c>
      <c r="R9" s="2">
        <f>AVERAGEA('1MMHSE P240'!Q9,'2 MMHSE P240'!Q10,'3 MMHSE P240'!Q10)</f>
        <v>1249274.6313333332</v>
      </c>
      <c r="S9" s="2">
        <f>AVERAGEA('1MMHSE P240'!R9,'2 MMHSE P240'!R10,'3 MMHSE P240'!R10)</f>
        <v>21641.595555555556</v>
      </c>
      <c r="T9" s="2">
        <f>AVERAGEA('1MMHSE P240'!S9,'2 MMHSE P240'!S10,'3 MMHSE P240'!S10)</f>
        <v>53.037888888888887</v>
      </c>
      <c r="V9" s="22">
        <v>0.3</v>
      </c>
      <c r="W9" s="23">
        <f t="shared" si="9"/>
        <v>4566.6844304827082</v>
      </c>
      <c r="X9" s="23">
        <f t="shared" si="10"/>
        <v>3.5520788761881403E-2</v>
      </c>
      <c r="Y9" s="23">
        <f t="shared" si="11"/>
        <v>9.6222410652904763E-3</v>
      </c>
      <c r="Z9" s="25"/>
      <c r="AA9" s="1" t="s">
        <v>26</v>
      </c>
      <c r="AB9" s="19">
        <v>0.05</v>
      </c>
      <c r="AE9" s="27" t="s">
        <v>27</v>
      </c>
    </row>
    <row r="10" spans="1:32" ht="18.5" x14ac:dyDescent="0.35">
      <c r="A10" s="2" t="s">
        <v>55</v>
      </c>
      <c r="B10" s="2">
        <f>AVERAGEA('1MMHSE P240'!B10,'2 MMHSE P240'!B11,'3 MMHSE P240'!B11)</f>
        <v>3325</v>
      </c>
      <c r="C10" s="19">
        <f t="shared" si="0"/>
        <v>55.416777500000002</v>
      </c>
      <c r="D10" s="19">
        <f t="shared" si="1"/>
        <v>0.92361185000000001</v>
      </c>
      <c r="E10" s="3">
        <f t="shared" si="2"/>
        <v>9.2361185000000004E-4</v>
      </c>
      <c r="F10" s="19">
        <f t="shared" si="3"/>
        <v>2.0911966415094341</v>
      </c>
      <c r="G10" s="19">
        <f t="shared" si="4"/>
        <v>4.3731033934603367</v>
      </c>
      <c r="H10" s="19">
        <f t="shared" si="5"/>
        <v>4.0649516796316982</v>
      </c>
      <c r="I10" s="2">
        <f>AVERAGEA('1MMHSE P240'!I10,'2 MMHSE P240'!I11,'3 MMHSE P240'!I11)</f>
        <v>4.735280645161291</v>
      </c>
      <c r="J10" s="20">
        <f t="shared" si="6"/>
        <v>47.352806451612906</v>
      </c>
      <c r="K10" s="21">
        <f t="shared" si="7"/>
        <v>4735.2806451612905</v>
      </c>
      <c r="L10" s="3">
        <f t="shared" si="8"/>
        <v>31832.783812862872</v>
      </c>
      <c r="M10" s="4">
        <f>(AB$15*G10*N10)/8</f>
        <v>22.217588012884949</v>
      </c>
      <c r="N10" s="4">
        <f>(K10*2*AB$11)/(AB$13*AB$15*G10)</f>
        <v>3.9691470960927316E-2</v>
      </c>
      <c r="O10" s="4">
        <f>N10/4</f>
        <v>9.9228677402318291E-3</v>
      </c>
      <c r="Q10" s="4">
        <f>3.7*(10^(-1/(2*SQRT(N10)))-2.51/(L10*SQRT(N10)))</f>
        <v>9.9776808967793566E-3</v>
      </c>
      <c r="R10" s="2">
        <f>AVERAGEA('1MMHSE P240'!Q10,'2 MMHSE P240'!Q11,'3 MMHSE P240'!Q11)</f>
        <v>1119243.578</v>
      </c>
      <c r="S10" s="2">
        <f>AVERAGEA('1MMHSE P240'!R10,'2 MMHSE P240'!R11,'3 MMHSE P240'!R11)</f>
        <v>21010.785</v>
      </c>
      <c r="T10" s="2">
        <f>AVERAGEA('1MMHSE P240'!S10,'2 MMHSE P240'!S11,'3 MMHSE P240'!S11)</f>
        <v>56.688333333333333</v>
      </c>
      <c r="V10" s="22">
        <v>0.4</v>
      </c>
      <c r="W10" s="23">
        <f t="shared" si="9"/>
        <v>6088.9125739769452</v>
      </c>
      <c r="X10" s="23">
        <f t="shared" si="10"/>
        <v>3.305581862094608E-2</v>
      </c>
      <c r="Y10" s="23">
        <f t="shared" si="11"/>
        <v>8.9545042908110804E-3</v>
      </c>
      <c r="Z10" s="25"/>
      <c r="AA10" s="1" t="s">
        <v>28</v>
      </c>
      <c r="AB10" s="19">
        <f>AVERAGE('1MMHSE P240'!AA10,'2 MMHSE P240'!AA11,'3 MMHSE P240'!AA11)</f>
        <v>8.8333333333333337E-3</v>
      </c>
      <c r="AE10" s="28" t="s">
        <v>29</v>
      </c>
      <c r="AF10" s="2" t="s">
        <v>30</v>
      </c>
    </row>
    <row r="11" spans="1:32" ht="16.5" x14ac:dyDescent="0.4">
      <c r="A11" s="2" t="s">
        <v>56</v>
      </c>
      <c r="B11" s="2">
        <f>AVERAGEA('1MMHSE P240'!B11,'2 MMHSE P240'!B12,'3 MMHSE P240'!B12)</f>
        <v>3950</v>
      </c>
      <c r="C11" s="19">
        <f t="shared" si="0"/>
        <v>65.833465000000004</v>
      </c>
      <c r="D11" s="19">
        <f t="shared" si="1"/>
        <v>1.0972231000000001</v>
      </c>
      <c r="E11" s="3">
        <f t="shared" si="2"/>
        <v>1.0972231000000001E-3</v>
      </c>
      <c r="F11" s="19">
        <f t="shared" si="3"/>
        <v>2.484278716981132</v>
      </c>
      <c r="G11" s="19">
        <f t="shared" si="4"/>
        <v>6.171640743645419</v>
      </c>
      <c r="H11" s="19">
        <f t="shared" si="5"/>
        <v>4.8290403412166034</v>
      </c>
      <c r="I11" s="2">
        <f>AVERAGEA('1MMHSE P240'!I11,'2 MMHSE P240'!I12,'3 MMHSE P240'!I12)</f>
        <v>6.7390096774193555</v>
      </c>
      <c r="J11" s="20">
        <f t="shared" si="6"/>
        <v>67.390096774193552</v>
      </c>
      <c r="K11" s="21">
        <f t="shared" si="7"/>
        <v>6739.0096774193553</v>
      </c>
      <c r="L11" s="3">
        <f t="shared" si="8"/>
        <v>37816.389792724316</v>
      </c>
      <c r="M11" s="4">
        <f>(AB$15*G11*N11)/8</f>
        <v>31.618937048798326</v>
      </c>
      <c r="N11" s="4">
        <f>(K11*2*AB$11)/(AB$13*AB$15*G11)</f>
        <v>4.0025490133735041E-2</v>
      </c>
      <c r="O11" s="4">
        <f>N11/4</f>
        <v>1.000637253343376E-2</v>
      </c>
      <c r="Q11" s="4">
        <f>3.7*(10^(-1/(2*SQRT(N11)))-2.51/(L11*SQRT(N11)))</f>
        <v>1.0494381565794944E-2</v>
      </c>
      <c r="R11" s="2"/>
      <c r="T11" s="2"/>
      <c r="V11" s="22">
        <v>0.5</v>
      </c>
      <c r="W11" s="23">
        <f t="shared" si="9"/>
        <v>7611.1407174711803</v>
      </c>
      <c r="X11" s="23">
        <f t="shared" si="10"/>
        <v>3.1262263089490698E-2</v>
      </c>
      <c r="Y11" s="23">
        <f t="shared" si="11"/>
        <v>8.4686472958175139E-3</v>
      </c>
      <c r="Z11" s="25"/>
      <c r="AA11" s="1" t="s">
        <v>31</v>
      </c>
      <c r="AB11" s="4">
        <f>2*(AB9*AB10)/(AB9+AB10)</f>
        <v>1.5014164305949009E-2</v>
      </c>
      <c r="AC11" s="1">
        <f>10*AB11*100</f>
        <v>15.014164305949009</v>
      </c>
      <c r="AE11" s="27" t="s">
        <v>32</v>
      </c>
      <c r="AF11" s="2" t="s">
        <v>33</v>
      </c>
    </row>
    <row r="12" spans="1:32" ht="18.5" x14ac:dyDescent="0.35">
      <c r="A12" s="32"/>
      <c r="B12" s="32"/>
      <c r="C12" s="132"/>
      <c r="D12" s="132"/>
      <c r="E12" s="130"/>
      <c r="F12" s="132"/>
      <c r="G12" s="132"/>
      <c r="H12" s="132"/>
      <c r="I12" s="32"/>
      <c r="J12" s="34"/>
      <c r="K12" s="133"/>
      <c r="L12" s="130"/>
      <c r="M12" s="5"/>
      <c r="N12" s="5"/>
      <c r="O12" s="5"/>
      <c r="R12" s="2"/>
      <c r="T12" s="2"/>
      <c r="V12" s="22">
        <v>0.6</v>
      </c>
      <c r="W12" s="23">
        <f t="shared" si="9"/>
        <v>9133.3688609654164</v>
      </c>
      <c r="X12" s="23">
        <f t="shared" si="10"/>
        <v>2.98693039368505E-2</v>
      </c>
      <c r="Y12" s="23">
        <f t="shared" si="11"/>
        <v>8.0913080185098449E-3</v>
      </c>
      <c r="Z12" s="25"/>
      <c r="AA12" s="1" t="s">
        <v>34</v>
      </c>
      <c r="AB12" s="31">
        <f>AB$16/AB$15</f>
        <v>9.8632812500000005E-7</v>
      </c>
    </row>
    <row r="13" spans="1:32" ht="16.5" x14ac:dyDescent="0.4">
      <c r="A13" s="32"/>
      <c r="B13" s="32"/>
      <c r="C13" s="32"/>
      <c r="D13" s="132"/>
      <c r="E13" s="130"/>
      <c r="F13" s="132"/>
      <c r="G13" s="132"/>
      <c r="H13" s="132"/>
      <c r="I13" s="32"/>
      <c r="J13" s="34"/>
      <c r="K13" s="133"/>
      <c r="L13" s="130"/>
      <c r="M13" s="5"/>
      <c r="N13" s="5"/>
      <c r="O13" s="5"/>
      <c r="R13" s="2"/>
      <c r="T13" s="2"/>
      <c r="V13" s="22">
        <v>0.7</v>
      </c>
      <c r="W13" s="23">
        <f t="shared" si="9"/>
        <v>10655.597004459651</v>
      </c>
      <c r="X13" s="23">
        <f t="shared" si="10"/>
        <v>2.8740108587506329E-2</v>
      </c>
      <c r="Y13" s="23">
        <f t="shared" si="11"/>
        <v>7.7854198262731194E-3</v>
      </c>
      <c r="Z13" s="25"/>
      <c r="AA13" s="1" t="s">
        <v>35</v>
      </c>
      <c r="AB13" s="32">
        <v>0.8</v>
      </c>
      <c r="AE13" s="27" t="s">
        <v>36</v>
      </c>
      <c r="AF13" s="1" t="s">
        <v>37</v>
      </c>
    </row>
    <row r="14" spans="1:32" x14ac:dyDescent="0.35">
      <c r="A14" s="32"/>
      <c r="B14" s="32"/>
      <c r="C14" s="32"/>
      <c r="D14" s="132"/>
      <c r="E14" s="130"/>
      <c r="F14" s="132"/>
      <c r="G14" s="132"/>
      <c r="H14" s="132"/>
      <c r="I14" s="32"/>
      <c r="J14" s="34"/>
      <c r="K14" s="133"/>
      <c r="L14" s="130"/>
      <c r="M14" s="5"/>
      <c r="N14" s="5"/>
      <c r="O14" s="5"/>
      <c r="V14" s="22">
        <v>0.8</v>
      </c>
      <c r="W14" s="23">
        <f t="shared" si="9"/>
        <v>12177.82514795389</v>
      </c>
      <c r="X14" s="23">
        <f t="shared" si="10"/>
        <v>2.7796519381630545E-2</v>
      </c>
      <c r="Y14" s="23">
        <f t="shared" si="11"/>
        <v>7.5298105585170421E-3</v>
      </c>
      <c r="Z14" s="25"/>
      <c r="AB14" s="32"/>
    </row>
    <row r="15" spans="1:32" x14ac:dyDescent="0.35">
      <c r="A15" s="32"/>
      <c r="B15" s="32"/>
      <c r="C15" s="32"/>
      <c r="D15" s="132"/>
      <c r="E15" s="130"/>
      <c r="F15" s="132"/>
      <c r="G15" s="132"/>
      <c r="H15" s="132"/>
      <c r="I15" s="32"/>
      <c r="J15" s="34"/>
      <c r="K15" s="133"/>
      <c r="L15" s="130"/>
      <c r="M15" s="5"/>
      <c r="N15" s="5"/>
      <c r="O15" s="5"/>
      <c r="U15" s="34"/>
      <c r="V15" s="22">
        <v>0.9</v>
      </c>
      <c r="W15" s="23">
        <f t="shared" si="9"/>
        <v>13700.053291448126</v>
      </c>
      <c r="X15" s="23">
        <f t="shared" si="10"/>
        <v>2.6989962883769536E-2</v>
      </c>
      <c r="Y15" s="23">
        <f t="shared" si="11"/>
        <v>7.3113221373498983E-3</v>
      </c>
      <c r="Z15" s="25"/>
      <c r="AA15" s="2" t="s">
        <v>38</v>
      </c>
      <c r="AB15" s="32">
        <f>VLOOKUP(AB17, SW!$A$4:$F$34, 3, FALSE)</f>
        <v>1024</v>
      </c>
      <c r="AC15" s="32"/>
    </row>
    <row r="16" spans="1:32" x14ac:dyDescent="0.35">
      <c r="A16" s="32"/>
      <c r="B16" s="32"/>
      <c r="C16" s="32"/>
      <c r="D16" s="132"/>
      <c r="E16" s="130"/>
      <c r="F16" s="132"/>
      <c r="G16" s="132"/>
      <c r="H16" s="132"/>
      <c r="I16" s="32"/>
      <c r="J16" s="34"/>
      <c r="K16" s="133"/>
      <c r="L16" s="130"/>
      <c r="M16" s="5"/>
      <c r="N16" s="5"/>
      <c r="O16" s="5"/>
      <c r="R16" s="2"/>
      <c r="T16" s="2"/>
      <c r="V16" s="22">
        <v>1</v>
      </c>
      <c r="W16" s="23">
        <f t="shared" si="9"/>
        <v>15222.281434942361</v>
      </c>
      <c r="X16" s="23">
        <f t="shared" si="10"/>
        <v>2.6288324964671241E-2</v>
      </c>
      <c r="Y16" s="23">
        <f t="shared" si="11"/>
        <v>7.121255153101011E-3</v>
      </c>
      <c r="Z16" s="25"/>
      <c r="AA16" s="2" t="s">
        <v>39</v>
      </c>
      <c r="AB16" s="32">
        <f>VLOOKUP(AB17, SW!$A$4:$F$34, 5, FALSE)</f>
        <v>1.01E-3</v>
      </c>
    </row>
    <row r="17" spans="1:34" x14ac:dyDescent="0.35">
      <c r="A17" s="32"/>
      <c r="B17" s="32"/>
      <c r="C17" s="32"/>
      <c r="D17" s="132"/>
      <c r="E17" s="130"/>
      <c r="F17" s="132"/>
      <c r="G17" s="132"/>
      <c r="H17" s="132"/>
      <c r="I17" s="32"/>
      <c r="J17" s="34"/>
      <c r="K17" s="133"/>
      <c r="L17" s="130"/>
      <c r="M17" s="5"/>
      <c r="N17" s="5"/>
      <c r="O17" s="5"/>
      <c r="R17" s="2"/>
      <c r="T17" s="2"/>
      <c r="U17" s="14"/>
      <c r="V17" s="22">
        <v>1.1000000000000001</v>
      </c>
      <c r="W17" s="23">
        <f t="shared" si="9"/>
        <v>16744.509578436599</v>
      </c>
      <c r="X17" s="23">
        <f t="shared" si="10"/>
        <v>2.566934242249308E-2</v>
      </c>
      <c r="Y17" s="23">
        <f t="shared" si="11"/>
        <v>6.9535787178739818E-3</v>
      </c>
      <c r="Z17" s="25"/>
      <c r="AA17" s="2" t="s">
        <v>161</v>
      </c>
      <c r="AB17" s="2">
        <v>23</v>
      </c>
    </row>
    <row r="18" spans="1:34" x14ac:dyDescent="0.35">
      <c r="A18" s="32"/>
      <c r="B18" s="32"/>
      <c r="C18" s="132"/>
      <c r="D18" s="132"/>
      <c r="E18" s="130"/>
      <c r="F18" s="132"/>
      <c r="G18" s="132"/>
      <c r="H18" s="132"/>
      <c r="I18" s="32"/>
      <c r="J18" s="34"/>
      <c r="K18" s="133"/>
      <c r="L18" s="130"/>
      <c r="M18" s="5"/>
      <c r="N18" s="5"/>
      <c r="O18" s="5"/>
      <c r="R18" s="2"/>
      <c r="T18" s="2"/>
      <c r="V18" s="22">
        <v>1.2</v>
      </c>
      <c r="W18" s="23">
        <f t="shared" si="9"/>
        <v>18266.737721930833</v>
      </c>
      <c r="X18" s="23">
        <f t="shared" si="10"/>
        <v>2.5116990606621252E-2</v>
      </c>
      <c r="Y18" s="23">
        <f t="shared" si="11"/>
        <v>6.8039519074785662E-3</v>
      </c>
      <c r="Z18" s="25"/>
      <c r="AA18" s="1"/>
      <c r="AB18" s="1">
        <f>AVERAGE('1MMHSE P240'!AA17,'2 MMHSE P240'!AA18,'3 MMHSE P240'!AA18)</f>
        <v>22.666666666666668</v>
      </c>
      <c r="AE18" s="36" t="s">
        <v>40</v>
      </c>
      <c r="AF18" s="37"/>
      <c r="AG18" s="37"/>
      <c r="AH18" s="37"/>
    </row>
    <row r="19" spans="1:34" x14ac:dyDescent="0.35">
      <c r="A19" s="24"/>
      <c r="B19" s="131"/>
      <c r="C19" s="132"/>
      <c r="D19" s="132"/>
      <c r="E19" s="130"/>
      <c r="F19" s="132"/>
      <c r="G19" s="132"/>
      <c r="H19" s="132"/>
      <c r="I19" s="34"/>
      <c r="J19" s="34"/>
      <c r="K19" s="133"/>
      <c r="L19" s="130"/>
      <c r="M19" s="5"/>
      <c r="N19" s="5"/>
      <c r="O19" s="5"/>
      <c r="R19" s="70"/>
      <c r="S19" s="25"/>
      <c r="T19" s="73"/>
      <c r="V19" s="22">
        <v>1.3</v>
      </c>
      <c r="W19" s="23">
        <f t="shared" si="9"/>
        <v>19788.965865425071</v>
      </c>
      <c r="X19" s="23">
        <f t="shared" si="10"/>
        <v>2.4619378009575445E-2</v>
      </c>
      <c r="Y19" s="23">
        <f t="shared" si="11"/>
        <v>6.6691534265664997E-3</v>
      </c>
      <c r="Z19" s="25"/>
      <c r="AE19" s="38" t="s">
        <v>41</v>
      </c>
      <c r="AF19" s="37" t="s">
        <v>42</v>
      </c>
      <c r="AG19" s="37" t="s">
        <v>43</v>
      </c>
      <c r="AH19" s="37" t="s">
        <v>44</v>
      </c>
    </row>
    <row r="20" spans="1:34" x14ac:dyDescent="0.35">
      <c r="A20" s="24"/>
      <c r="B20" s="131"/>
      <c r="C20" s="132"/>
      <c r="D20" s="132"/>
      <c r="E20" s="130"/>
      <c r="F20" s="132"/>
      <c r="G20" s="132"/>
      <c r="H20" s="132"/>
      <c r="I20" s="34"/>
      <c r="J20" s="34"/>
      <c r="K20" s="133"/>
      <c r="L20" s="130"/>
      <c r="M20" s="5"/>
      <c r="N20" s="5"/>
      <c r="O20" s="5"/>
      <c r="R20" s="70"/>
      <c r="S20" s="25"/>
      <c r="T20" s="73"/>
      <c r="V20" s="22">
        <v>1.4</v>
      </c>
      <c r="W20" s="23">
        <f t="shared" si="9"/>
        <v>21311.194008919301</v>
      </c>
      <c r="X20" s="23">
        <f t="shared" si="10"/>
        <v>2.4167454285236568E-2</v>
      </c>
      <c r="Y20" s="23">
        <f t="shared" si="11"/>
        <v>6.5467316231582629E-3</v>
      </c>
      <c r="Z20" s="25"/>
      <c r="AA20" s="1" t="s">
        <v>45</v>
      </c>
      <c r="AB20" s="1">
        <f>4*10^(-6)</f>
        <v>3.9999999999999998E-6</v>
      </c>
      <c r="AE20" s="38" t="s">
        <v>46</v>
      </c>
      <c r="AF20" s="37" t="s">
        <v>47</v>
      </c>
      <c r="AG20" s="37" t="s">
        <v>48</v>
      </c>
      <c r="AH20" s="37" t="s">
        <v>49</v>
      </c>
    </row>
    <row r="21" spans="1:34" x14ac:dyDescent="0.35">
      <c r="A21" s="24"/>
      <c r="B21" s="131"/>
      <c r="C21" s="132"/>
      <c r="D21" s="132"/>
      <c r="E21" s="134"/>
      <c r="F21" s="132"/>
      <c r="G21" s="132"/>
      <c r="H21" s="132"/>
      <c r="I21" s="34"/>
      <c r="J21" s="34"/>
      <c r="K21" s="133"/>
      <c r="L21" s="130"/>
      <c r="M21" s="5"/>
      <c r="N21" s="5"/>
      <c r="O21" s="5"/>
      <c r="R21" s="70"/>
      <c r="S21" s="25"/>
      <c r="T21" s="73"/>
      <c r="V21" s="22">
        <v>1.5</v>
      </c>
      <c r="W21" s="23">
        <f t="shared" si="9"/>
        <v>22833.422152413539</v>
      </c>
      <c r="X21" s="23">
        <f t="shared" si="10"/>
        <v>2.3754183109623631E-2</v>
      </c>
      <c r="Y21" s="23">
        <f t="shared" si="11"/>
        <v>6.4347804245590045E-3</v>
      </c>
      <c r="Z21" s="25"/>
      <c r="AA21" s="1" t="s">
        <v>50</v>
      </c>
      <c r="AB21" s="2">
        <f>AB20/AB11</f>
        <v>2.6641509433962264E-4</v>
      </c>
      <c r="AE21" s="37">
        <v>0</v>
      </c>
      <c r="AF21" s="37">
        <v>1.792E-3</v>
      </c>
      <c r="AG21" s="37">
        <v>999.87</v>
      </c>
      <c r="AH21" s="39">
        <v>1.7922329902887374E-6</v>
      </c>
    </row>
    <row r="22" spans="1:34" x14ac:dyDescent="0.35">
      <c r="A22" s="24"/>
      <c r="B22" s="131"/>
      <c r="C22" s="132"/>
      <c r="D22" s="132"/>
      <c r="E22" s="130"/>
      <c r="F22" s="132"/>
      <c r="G22" s="132"/>
      <c r="H22" s="132"/>
      <c r="I22" s="34"/>
      <c r="J22" s="34"/>
      <c r="K22" s="133"/>
      <c r="L22" s="130"/>
      <c r="M22" s="5"/>
      <c r="N22" s="5"/>
      <c r="O22" s="5"/>
      <c r="Q22" s="43"/>
      <c r="R22" s="70"/>
      <c r="S22" s="25"/>
      <c r="T22" s="73"/>
      <c r="V22" s="22">
        <v>1.6</v>
      </c>
      <c r="W22" s="23">
        <f t="shared" si="9"/>
        <v>24355.650295907781</v>
      </c>
      <c r="X22" s="23">
        <f t="shared" si="10"/>
        <v>2.3373993504543524E-2</v>
      </c>
      <c r="Y22" s="23">
        <f t="shared" si="11"/>
        <v>6.3317907061965512E-3</v>
      </c>
      <c r="Z22" s="25"/>
      <c r="AE22" s="37">
        <v>5</v>
      </c>
      <c r="AF22" s="37">
        <v>1.519E-3</v>
      </c>
      <c r="AG22" s="37">
        <v>999.99</v>
      </c>
      <c r="AH22" s="39">
        <v>1.5190151901519014E-6</v>
      </c>
    </row>
    <row r="23" spans="1:34" x14ac:dyDescent="0.35">
      <c r="A23" s="32"/>
      <c r="B23" s="131"/>
      <c r="C23" s="132"/>
      <c r="D23" s="132"/>
      <c r="E23" s="130"/>
      <c r="F23" s="130"/>
      <c r="G23" s="132"/>
      <c r="H23" s="132"/>
      <c r="I23" s="132"/>
      <c r="J23" s="34"/>
      <c r="K23" s="133"/>
      <c r="L23" s="130"/>
      <c r="M23" s="5"/>
      <c r="N23" s="5"/>
      <c r="O23" s="5"/>
      <c r="R23" s="70"/>
      <c r="S23" s="25"/>
      <c r="T23" s="73"/>
      <c r="V23" s="22">
        <v>1.7</v>
      </c>
      <c r="W23" s="23">
        <f t="shared" si="9"/>
        <v>25877.878439402015</v>
      </c>
      <c r="X23" s="23">
        <f t="shared" si="10"/>
        <v>2.3022404722756289E-2</v>
      </c>
      <c r="Y23" s="23">
        <f t="shared" si="11"/>
        <v>6.2365486766096665E-3</v>
      </c>
      <c r="Z23" s="25"/>
      <c r="AA23" s="40"/>
      <c r="AE23" s="37">
        <f>AE22+5</f>
        <v>10</v>
      </c>
      <c r="AF23" s="37">
        <v>1.3079999999999999E-3</v>
      </c>
      <c r="AG23" s="37">
        <v>999.73</v>
      </c>
      <c r="AH23" s="39">
        <v>1.3083532553789522E-6</v>
      </c>
    </row>
    <row r="24" spans="1:34" x14ac:dyDescent="0.35">
      <c r="B24" s="18"/>
      <c r="C24" s="19"/>
      <c r="D24" s="19"/>
      <c r="E24" s="3"/>
      <c r="F24" s="3"/>
      <c r="G24" s="19"/>
      <c r="H24" s="19"/>
      <c r="I24" s="19"/>
      <c r="J24" s="20"/>
      <c r="K24" s="21"/>
      <c r="R24" s="71"/>
      <c r="S24" s="4"/>
      <c r="T24" s="74"/>
      <c r="V24" s="22">
        <v>1.8</v>
      </c>
      <c r="W24" s="23">
        <f t="shared" si="9"/>
        <v>27400.106582896253</v>
      </c>
      <c r="X24" s="23">
        <f t="shared" si="10"/>
        <v>2.2695763036792618E-2</v>
      </c>
      <c r="Y24" s="23">
        <f t="shared" si="11"/>
        <v>6.1480645760626585E-3</v>
      </c>
      <c r="Z24" s="4"/>
      <c r="AA24" s="40"/>
      <c r="AE24" s="37" t="e">
        <f>#REF!+5</f>
        <v>#REF!</v>
      </c>
      <c r="AF24" s="37">
        <v>1.005E-3</v>
      </c>
      <c r="AG24" s="37">
        <v>998.23</v>
      </c>
      <c r="AH24" s="39">
        <v>1.0067820041473407E-6</v>
      </c>
    </row>
    <row r="25" spans="1:34" x14ac:dyDescent="0.35">
      <c r="B25" s="18"/>
      <c r="C25" s="19"/>
      <c r="D25" s="19"/>
      <c r="E25" s="3"/>
      <c r="F25" s="3"/>
      <c r="G25" s="19"/>
      <c r="H25" s="19"/>
      <c r="I25" s="19"/>
      <c r="J25" s="20"/>
      <c r="K25" s="21"/>
      <c r="R25" s="71"/>
      <c r="S25" s="4"/>
      <c r="T25" s="74"/>
      <c r="V25" s="22">
        <v>1.9</v>
      </c>
      <c r="W25" s="23">
        <f t="shared" si="9"/>
        <v>28922.334726390483</v>
      </c>
      <c r="X25" s="23">
        <f t="shared" si="10"/>
        <v>2.2391052819931558E-2</v>
      </c>
      <c r="Y25" s="23">
        <f t="shared" si="11"/>
        <v>6.0655215001937891E-3</v>
      </c>
      <c r="Z25" s="4"/>
      <c r="AA25" s="40"/>
      <c r="AE25" s="37">
        <v>25</v>
      </c>
      <c r="AF25" s="37">
        <v>8.9400000000000005E-4</v>
      </c>
      <c r="AG25" s="37">
        <v>997.07</v>
      </c>
      <c r="AH25" s="39">
        <v>8.9662711745414066E-7</v>
      </c>
    </row>
    <row r="26" spans="1:34" x14ac:dyDescent="0.35">
      <c r="N26" s="22"/>
      <c r="R26" s="71"/>
      <c r="S26" s="4"/>
      <c r="T26" s="74"/>
      <c r="V26" s="22">
        <v>2</v>
      </c>
      <c r="W26" s="23">
        <f t="shared" si="9"/>
        <v>30444.562869884721</v>
      </c>
      <c r="X26" s="23">
        <f t="shared" si="10"/>
        <v>2.2105758225816778E-2</v>
      </c>
      <c r="Y26" s="23">
        <f t="shared" si="11"/>
        <v>5.9882379303496823E-3</v>
      </c>
      <c r="Z26" s="4"/>
      <c r="AA26" s="40"/>
      <c r="AE26" s="32"/>
      <c r="AF26" s="32"/>
      <c r="AG26" s="32"/>
      <c r="AH26" s="32"/>
    </row>
    <row r="27" spans="1:34" x14ac:dyDescent="0.35">
      <c r="K27" s="1"/>
      <c r="L27" s="4"/>
      <c r="N27" s="22"/>
      <c r="R27" s="71"/>
      <c r="S27" s="4"/>
      <c r="T27" s="74"/>
      <c r="V27" s="22">
        <v>2.1</v>
      </c>
      <c r="W27" s="23">
        <f t="shared" si="9"/>
        <v>31966.791013378963</v>
      </c>
      <c r="X27" s="23">
        <f t="shared" si="10"/>
        <v>2.1837760114289097E-2</v>
      </c>
      <c r="Y27" s="23">
        <f t="shared" si="11"/>
        <v>5.9156398117817385E-3</v>
      </c>
      <c r="Z27" s="4"/>
      <c r="AA27" s="40"/>
      <c r="AE27" s="32"/>
      <c r="AF27" s="32"/>
      <c r="AG27" s="32"/>
      <c r="AH27" s="32"/>
    </row>
    <row r="28" spans="1:34" x14ac:dyDescent="0.35">
      <c r="R28" s="71"/>
      <c r="S28" s="4"/>
      <c r="T28" s="74"/>
      <c r="V28" s="22">
        <v>2.2000000000000002</v>
      </c>
      <c r="W28" s="23">
        <f t="shared" si="9"/>
        <v>33489.019156873197</v>
      </c>
      <c r="X28" s="23">
        <f t="shared" si="10"/>
        <v>2.158525802499453E-2</v>
      </c>
      <c r="Y28" s="23">
        <f t="shared" si="11"/>
        <v>5.8472394170447518E-3</v>
      </c>
      <c r="Z28" s="4"/>
      <c r="AA28" s="40"/>
      <c r="AE28" s="32"/>
      <c r="AF28" s="32"/>
      <c r="AG28" s="32"/>
      <c r="AH28" s="32"/>
    </row>
    <row r="29" spans="1:34" x14ac:dyDescent="0.35">
      <c r="L29" s="41"/>
      <c r="R29" s="71"/>
      <c r="S29" s="4"/>
      <c r="T29" s="74"/>
      <c r="V29" s="22">
        <v>2.2999999999999998</v>
      </c>
      <c r="W29" s="23">
        <f t="shared" si="9"/>
        <v>35011.247300367431</v>
      </c>
      <c r="X29" s="23">
        <f t="shared" si="10"/>
        <v>2.1346710272311439E-2</v>
      </c>
      <c r="Y29" s="23">
        <f t="shared" si="11"/>
        <v>5.7826191182871059E-3</v>
      </c>
      <c r="Z29" s="4"/>
      <c r="AA29" s="40"/>
      <c r="AE29" s="32"/>
      <c r="AF29" s="32"/>
      <c r="AG29" s="32"/>
      <c r="AH29" s="32"/>
    </row>
    <row r="30" spans="1:34" x14ac:dyDescent="0.35">
      <c r="R30" s="71"/>
      <c r="S30" s="4"/>
      <c r="T30" s="74"/>
      <c r="V30" s="22">
        <v>2.4</v>
      </c>
      <c r="W30" s="23">
        <f t="shared" si="9"/>
        <v>36533.475443861666</v>
      </c>
      <c r="X30" s="23">
        <f t="shared" si="10"/>
        <v>2.1120787363069032E-2</v>
      </c>
      <c r="Y30" s="23">
        <f t="shared" si="11"/>
        <v>5.721418768557399E-3</v>
      </c>
      <c r="Z30" s="4"/>
      <c r="AA30" s="40"/>
      <c r="AE30" s="32"/>
      <c r="AF30" s="32"/>
      <c r="AG30" s="32"/>
      <c r="AH30" s="32"/>
    </row>
    <row r="31" spans="1:34" x14ac:dyDescent="0.35">
      <c r="F31" s="1"/>
      <c r="G31" s="1"/>
      <c r="R31" s="71"/>
      <c r="S31" s="4"/>
      <c r="T31" s="74"/>
      <c r="V31" s="22">
        <v>2.5</v>
      </c>
      <c r="W31" s="23">
        <f t="shared" si="9"/>
        <v>38055.703587355907</v>
      </c>
      <c r="X31" s="23">
        <f t="shared" si="10"/>
        <v>2.0906335352719144E-2</v>
      </c>
      <c r="Y31" s="23">
        <f t="shared" si="11"/>
        <v>5.6633257753427547E-3</v>
      </c>
      <c r="Z31" s="4"/>
      <c r="AA31" s="40"/>
      <c r="AE31" s="32"/>
      <c r="AF31" s="32"/>
      <c r="AG31" s="32"/>
      <c r="AH31" s="32"/>
    </row>
    <row r="32" spans="1:34" x14ac:dyDescent="0.35">
      <c r="G32" s="19"/>
      <c r="R32" s="71"/>
      <c r="S32" s="4"/>
      <c r="T32" s="74"/>
      <c r="Z32" s="4"/>
      <c r="AA32" s="40"/>
    </row>
    <row r="33" spans="7:28" x14ac:dyDescent="0.35">
      <c r="G33" s="19"/>
      <c r="R33" s="71"/>
      <c r="S33" s="4"/>
      <c r="T33" s="74"/>
      <c r="Z33" s="4"/>
      <c r="AA33" s="40"/>
      <c r="AB33" s="1" t="s">
        <v>51</v>
      </c>
    </row>
    <row r="34" spans="7:28" x14ac:dyDescent="0.35">
      <c r="G34" s="19"/>
      <c r="R34" s="71"/>
      <c r="S34" s="4"/>
      <c r="T34" s="74"/>
      <c r="Z34" s="4"/>
      <c r="AA34" s="40"/>
    </row>
    <row r="35" spans="7:28" x14ac:dyDescent="0.35">
      <c r="G35" s="19"/>
      <c r="R35" s="71"/>
      <c r="S35" s="4"/>
      <c r="T35" s="74"/>
      <c r="Z35" s="4"/>
      <c r="AA35" s="40"/>
    </row>
    <row r="36" spans="7:28" x14ac:dyDescent="0.35">
      <c r="G36" s="19"/>
      <c r="R36" s="95"/>
      <c r="S36" s="4"/>
      <c r="T36" s="74"/>
      <c r="Z36" s="4"/>
    </row>
    <row r="37" spans="7:28" x14ac:dyDescent="0.35">
      <c r="G37" s="19"/>
      <c r="R37" s="69"/>
      <c r="S37" s="1"/>
      <c r="T37" s="99"/>
      <c r="Z37" s="4"/>
    </row>
    <row r="38" spans="7:28" x14ac:dyDescent="0.35">
      <c r="R38" s="94"/>
      <c r="S38" s="22"/>
      <c r="T38" s="100"/>
      <c r="Z38" s="4"/>
    </row>
    <row r="39" spans="7:28" x14ac:dyDescent="0.35">
      <c r="R39" s="69"/>
      <c r="S39" s="69"/>
      <c r="T39" s="1"/>
      <c r="V39" s="4"/>
      <c r="W39" s="16"/>
      <c r="X39" s="16"/>
      <c r="Y39" s="4"/>
      <c r="Z39" s="4"/>
    </row>
    <row r="40" spans="7:28" x14ac:dyDescent="0.35">
      <c r="R40" s="69"/>
      <c r="S40" s="69"/>
      <c r="T40" s="1"/>
      <c r="V40" s="4"/>
      <c r="W40" s="16"/>
      <c r="X40" s="16"/>
      <c r="Y40" s="4"/>
      <c r="Z40" s="4"/>
    </row>
    <row r="41" spans="7:28" x14ac:dyDescent="0.35">
      <c r="R41" s="69"/>
      <c r="S41" s="69"/>
      <c r="T41" s="1"/>
      <c r="V41" s="4"/>
      <c r="W41" s="16"/>
      <c r="X41" s="16"/>
      <c r="Y41" s="4"/>
      <c r="Z41" s="4"/>
    </row>
    <row r="42" spans="7:28" x14ac:dyDescent="0.35">
      <c r="R42" s="94"/>
      <c r="S42" s="22"/>
      <c r="T42" s="100"/>
      <c r="V42" s="4"/>
      <c r="W42" s="16"/>
      <c r="X42" s="16"/>
      <c r="Y42" s="4"/>
      <c r="Z42" s="4"/>
    </row>
    <row r="43" spans="7:28" x14ac:dyDescent="0.35">
      <c r="R43" s="71"/>
      <c r="S43" s="4"/>
      <c r="T43" s="74"/>
      <c r="V43" s="4"/>
      <c r="W43" s="16"/>
      <c r="X43" s="16"/>
      <c r="Y43" s="4"/>
      <c r="Z43" s="4"/>
    </row>
    <row r="44" spans="7:28" x14ac:dyDescent="0.35">
      <c r="V44" s="4"/>
      <c r="W44" s="16"/>
      <c r="X44" s="16"/>
    </row>
    <row r="45" spans="7:28" x14ac:dyDescent="0.35">
      <c r="V45" s="4"/>
      <c r="W45" s="16"/>
      <c r="X45" s="16"/>
    </row>
    <row r="46" spans="7:28" x14ac:dyDescent="0.35">
      <c r="V46" s="4"/>
      <c r="W46" s="16"/>
      <c r="X46" s="16"/>
    </row>
    <row r="47" spans="7:28" x14ac:dyDescent="0.35">
      <c r="V47" s="4"/>
      <c r="W47" s="16"/>
      <c r="X47" s="16"/>
    </row>
    <row r="48" spans="7:28" x14ac:dyDescent="0.35">
      <c r="S48" s="40"/>
      <c r="T48" s="87"/>
      <c r="V48" s="4"/>
      <c r="W48" s="16"/>
      <c r="X48" s="16"/>
    </row>
    <row r="49" spans="22:24" x14ac:dyDescent="0.35">
      <c r="V49" s="4"/>
      <c r="W49" s="16"/>
      <c r="X49" s="16"/>
    </row>
    <row r="50" spans="22:24" x14ac:dyDescent="0.35">
      <c r="V50" s="4"/>
      <c r="W50" s="16"/>
      <c r="X50" s="16"/>
    </row>
    <row r="51" spans="22:24" x14ac:dyDescent="0.35">
      <c r="V51" s="4"/>
      <c r="W51" s="16"/>
      <c r="X51" s="16"/>
    </row>
    <row r="52" spans="22:24" x14ac:dyDescent="0.35">
      <c r="V52" s="4"/>
      <c r="W52" s="16"/>
      <c r="X52" s="16"/>
    </row>
    <row r="53" spans="22:24" x14ac:dyDescent="0.35">
      <c r="V53" s="4"/>
      <c r="W53" s="16"/>
      <c r="X53" s="16"/>
    </row>
    <row r="54" spans="22:24" x14ac:dyDescent="0.35">
      <c r="V54" s="4"/>
    </row>
    <row r="112" spans="18:18" x14ac:dyDescent="0.35">
      <c r="R112" s="85"/>
    </row>
  </sheetData>
  <mergeCells count="3">
    <mergeCell ref="A3:N3"/>
    <mergeCell ref="AA5:AB5"/>
    <mergeCell ref="R4:T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ECCA6-5F0E-4349-8E65-5750AB0EF6B6}">
  <dimension ref="A1:AG64"/>
  <sheetViews>
    <sheetView zoomScale="50" zoomScaleNormal="50" zoomScalePageLayoutView="90" workbookViewId="0">
      <selection activeCell="I1" sqref="I1:L1"/>
    </sheetView>
  </sheetViews>
  <sheetFormatPr defaultColWidth="8.69140625" defaultRowHeight="15.5" x14ac:dyDescent="0.35"/>
  <cols>
    <col min="1" max="4" width="8.69140625" style="2"/>
    <col min="5" max="5" width="12.3046875" style="2" customWidth="1"/>
    <col min="6" max="6" width="15.69140625" style="2" bestFit="1" customWidth="1"/>
    <col min="7" max="7" width="8.53515625" style="2" customWidth="1"/>
    <col min="8" max="8" width="8.69140625" style="2"/>
    <col min="9" max="9" width="15.69140625" style="2" bestFit="1" customWidth="1"/>
    <col min="10" max="10" width="12.23046875" style="2" customWidth="1"/>
    <col min="11" max="11" width="10.4609375" style="2" customWidth="1"/>
    <col min="12" max="12" width="8.53515625" style="3" customWidth="1"/>
    <col min="13" max="13" width="6.765625" style="4" customWidth="1"/>
    <col min="14" max="14" width="8.4609375" style="4" customWidth="1"/>
    <col min="15" max="15" width="9.07421875" style="4" customWidth="1"/>
    <col min="16" max="16" width="28.4609375" style="4" customWidth="1"/>
    <col min="17" max="17" width="12.765625" style="68" customWidth="1"/>
    <col min="18" max="18" width="10" style="2" customWidth="1"/>
    <col min="19" max="19" width="10" style="72" customWidth="1"/>
    <col min="20" max="20" width="8.4609375" style="5" customWidth="1"/>
    <col min="21" max="21" width="10.23046875" style="2" customWidth="1"/>
    <col min="22" max="22" width="13.84375" style="2" customWidth="1"/>
    <col min="23" max="25" width="10" style="2" customWidth="1"/>
    <col min="26" max="26" width="26.07421875" style="2" bestFit="1" customWidth="1"/>
    <col min="27" max="27" width="8.69140625" style="2" customWidth="1"/>
    <col min="28" max="28" width="8.69140625" style="2"/>
    <col min="29" max="29" width="22" style="2" customWidth="1"/>
    <col min="30" max="30" width="35.84375" style="2" customWidth="1"/>
    <col min="31" max="31" width="16.84375" style="2" customWidth="1"/>
    <col min="32" max="16384" width="8.69140625" style="2"/>
  </cols>
  <sheetData>
    <row r="1" spans="1:31" x14ac:dyDescent="0.35">
      <c r="A1" s="1"/>
      <c r="I1" s="1"/>
      <c r="J1" s="1"/>
      <c r="Q1" s="69" t="s">
        <v>114</v>
      </c>
    </row>
    <row r="2" spans="1:31" x14ac:dyDescent="0.35">
      <c r="A2" s="1"/>
      <c r="I2" s="1"/>
      <c r="J2" s="1"/>
      <c r="Q2" s="69" t="s">
        <v>85</v>
      </c>
    </row>
    <row r="3" spans="1:31" x14ac:dyDescent="0.35">
      <c r="A3" s="150" t="s">
        <v>3</v>
      </c>
      <c r="B3" s="150"/>
      <c r="C3" s="150"/>
      <c r="D3" s="150"/>
      <c r="E3" s="150"/>
      <c r="F3" s="150"/>
      <c r="G3" s="150"/>
      <c r="H3" s="150"/>
      <c r="I3" s="150"/>
      <c r="J3" s="150"/>
      <c r="K3" s="150"/>
      <c r="L3" s="150"/>
      <c r="M3" s="150"/>
      <c r="N3" s="150"/>
      <c r="O3" s="62"/>
      <c r="P3" s="62"/>
      <c r="T3" s="7"/>
    </row>
    <row r="4" spans="1:31" x14ac:dyDescent="0.35">
      <c r="P4" s="4" t="s">
        <v>75</v>
      </c>
      <c r="Q4" s="152" t="s">
        <v>81</v>
      </c>
      <c r="R4" s="153"/>
      <c r="S4" s="154"/>
    </row>
    <row r="5" spans="1:31"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T5" s="14"/>
      <c r="U5" s="15" t="s">
        <v>19</v>
      </c>
      <c r="V5" s="16" t="s">
        <v>14</v>
      </c>
      <c r="W5" s="15" t="s">
        <v>20</v>
      </c>
      <c r="X5" s="16" t="s">
        <v>21</v>
      </c>
      <c r="Y5" s="1"/>
      <c r="Z5" s="151" t="s">
        <v>22</v>
      </c>
      <c r="AA5" s="151"/>
    </row>
    <row r="6" spans="1:31" x14ac:dyDescent="0.35">
      <c r="A6" s="17" t="s">
        <v>23</v>
      </c>
      <c r="B6" s="18">
        <v>0</v>
      </c>
      <c r="C6" s="19">
        <f t="shared" ref="C6:C18" si="0">B6*0.0166667</f>
        <v>0</v>
      </c>
      <c r="D6" s="19">
        <f t="shared" ref="D6:D18" si="1">B6*0.000277778</f>
        <v>0</v>
      </c>
      <c r="E6" s="3">
        <f t="shared" ref="E6:E18" si="2">0.001*D6</f>
        <v>0</v>
      </c>
      <c r="F6" s="19">
        <f t="shared" ref="F6:F18" si="3">E6/AA$7</f>
        <v>0</v>
      </c>
      <c r="G6" s="19">
        <f t="shared" ref="G6:G18" si="4">F6^(2)</f>
        <v>0</v>
      </c>
      <c r="H6" s="19">
        <f t="shared" ref="H6:H18" si="5">F6*1.94384</f>
        <v>0</v>
      </c>
      <c r="I6" s="20">
        <v>0</v>
      </c>
      <c r="J6" s="20">
        <f t="shared" ref="J6:J18" si="6">I6 * 10</f>
        <v>0</v>
      </c>
      <c r="K6" s="21">
        <f t="shared" ref="K6:K18" si="7">J6*100</f>
        <v>0</v>
      </c>
      <c r="L6" s="3">
        <f t="shared" ref="L6:L18" si="8">(F6*AA$11)/AA$12</f>
        <v>0</v>
      </c>
      <c r="U6" s="22">
        <v>0</v>
      </c>
      <c r="V6" s="23">
        <f t="shared" ref="V6:V31" si="9">(U6*AA$11)/AA$12</f>
        <v>0</v>
      </c>
      <c r="W6" s="23"/>
      <c r="X6" s="23"/>
    </row>
    <row r="7" spans="1:31" x14ac:dyDescent="0.35">
      <c r="A7" s="2" t="s">
        <v>52</v>
      </c>
      <c r="B7" s="2">
        <v>1850</v>
      </c>
      <c r="C7" s="19">
        <f t="shared" si="0"/>
        <v>30.833394999999999</v>
      </c>
      <c r="D7" s="19">
        <f t="shared" si="1"/>
        <v>0.51388929999999999</v>
      </c>
      <c r="E7" s="3">
        <f t="shared" si="2"/>
        <v>5.1388930000000001E-4</v>
      </c>
      <c r="F7" s="19">
        <f t="shared" si="3"/>
        <v>1.0277786</v>
      </c>
      <c r="G7" s="19">
        <f t="shared" si="4"/>
        <v>1.05632885061796</v>
      </c>
      <c r="H7" s="19">
        <f t="shared" si="5"/>
        <v>1.9978371538240001</v>
      </c>
      <c r="I7" s="2">
        <v>1.0610967739999999</v>
      </c>
      <c r="J7" s="20">
        <f t="shared" si="6"/>
        <v>10.61096774</v>
      </c>
      <c r="K7" s="21">
        <f t="shared" si="7"/>
        <v>1061.0967739999999</v>
      </c>
      <c r="L7" s="3">
        <f t="shared" si="8"/>
        <v>18253.776177083331</v>
      </c>
      <c r="M7" s="4">
        <f t="shared" ref="M7:M18" si="10">(AA$15*G7*N7)/8</f>
        <v>5.5265456979166654</v>
      </c>
      <c r="N7" s="4">
        <f t="shared" ref="N7:N18" si="11">(K7*2*AA$11)/(AA$13*AA$15*G7)</f>
        <v>4.0913720810938428E-2</v>
      </c>
      <c r="O7" s="4">
        <f t="shared" ref="O7:O18" si="12">N7/4</f>
        <v>1.0228430202734607E-2</v>
      </c>
      <c r="P7" s="4">
        <f t="shared" ref="P7:P18" si="13">3.7*(10^(-1/(2*SQRT(N7)))-2.51/(L7*SQRT(N7)))</f>
        <v>9.9664578157553085E-3</v>
      </c>
      <c r="Q7" s="68">
        <v>727672.08933333342</v>
      </c>
      <c r="R7" s="2">
        <v>23606.464333333333</v>
      </c>
      <c r="S7" s="72">
        <v>33.562333333333335</v>
      </c>
      <c r="U7" s="22">
        <v>0.1</v>
      </c>
      <c r="V7" s="23">
        <f>(U7*AA$11)/AA$12</f>
        <v>1776.0416666666667</v>
      </c>
      <c r="W7" s="23">
        <f t="shared" ref="W7:W31" si="14">0.292/(V7^(0.25))</f>
        <v>4.498001168030194E-2</v>
      </c>
      <c r="X7" s="23">
        <f>0.0791/(V7^0.25)</f>
        <v>1.2184653849013301E-2</v>
      </c>
      <c r="Y7" s="25"/>
      <c r="Z7" s="1" t="s">
        <v>24</v>
      </c>
      <c r="AA7" s="2">
        <f>AA$9*AA$10</f>
        <v>5.0000000000000001E-4</v>
      </c>
    </row>
    <row r="8" spans="1:31" x14ac:dyDescent="0.35">
      <c r="A8" s="2" t="s">
        <v>53</v>
      </c>
      <c r="B8" s="2">
        <v>2600</v>
      </c>
      <c r="C8" s="19">
        <f t="shared" si="0"/>
        <v>43.333419999999997</v>
      </c>
      <c r="D8" s="19">
        <f t="shared" si="1"/>
        <v>0.72222280000000005</v>
      </c>
      <c r="E8" s="3">
        <f t="shared" si="2"/>
        <v>7.2222280000000007E-4</v>
      </c>
      <c r="F8" s="19">
        <f t="shared" si="3"/>
        <v>1.4444456000000001</v>
      </c>
      <c r="G8" s="19">
        <f t="shared" si="4"/>
        <v>2.0864230913593604</v>
      </c>
      <c r="H8" s="19">
        <f t="shared" si="5"/>
        <v>2.8077711351040002</v>
      </c>
      <c r="I8" s="2">
        <v>2.3064870970000002</v>
      </c>
      <c r="J8" s="20">
        <f t="shared" si="6"/>
        <v>23.064870970000001</v>
      </c>
      <c r="K8" s="21">
        <f t="shared" si="7"/>
        <v>2306.4870970000002</v>
      </c>
      <c r="L8" s="3">
        <f t="shared" si="8"/>
        <v>25653.955708333335</v>
      </c>
      <c r="M8" s="4">
        <f t="shared" si="10"/>
        <v>12.012953630208333</v>
      </c>
      <c r="N8" s="4">
        <f t="shared" si="11"/>
        <v>4.5025834778552584E-2</v>
      </c>
      <c r="O8" s="4">
        <f t="shared" si="12"/>
        <v>1.1256458694638146E-2</v>
      </c>
      <c r="P8" s="4">
        <f t="shared" si="13"/>
        <v>1.45814931969162E-2</v>
      </c>
      <c r="Q8" s="78">
        <v>535013.34766666673</v>
      </c>
      <c r="R8" s="61">
        <v>18942.995999999999</v>
      </c>
      <c r="S8" s="79">
        <v>30.494333333333334</v>
      </c>
      <c r="U8" s="22">
        <v>0.2</v>
      </c>
      <c r="V8" s="23">
        <f t="shared" si="9"/>
        <v>3552.0833333333335</v>
      </c>
      <c r="W8" s="23">
        <f t="shared" si="14"/>
        <v>3.7823530580036124E-2</v>
      </c>
      <c r="X8" s="23">
        <f t="shared" ref="X8:X31" si="15">0.0791/(V8^0.25)</f>
        <v>1.0246031742742663E-2</v>
      </c>
      <c r="Y8" s="25"/>
      <c r="Z8" s="2" t="s">
        <v>25</v>
      </c>
    </row>
    <row r="9" spans="1:31" ht="19" x14ac:dyDescent="0.4">
      <c r="A9" s="2" t="s">
        <v>54</v>
      </c>
      <c r="B9" s="2">
        <v>3450</v>
      </c>
      <c r="C9" s="19">
        <f t="shared" si="0"/>
        <v>57.500115000000001</v>
      </c>
      <c r="D9" s="19">
        <f t="shared" si="1"/>
        <v>0.95833410000000008</v>
      </c>
      <c r="E9" s="3">
        <f t="shared" si="2"/>
        <v>9.5833410000000006E-4</v>
      </c>
      <c r="F9" s="19">
        <f t="shared" si="3"/>
        <v>1.9166682000000002</v>
      </c>
      <c r="G9" s="19">
        <f t="shared" si="4"/>
        <v>3.6736169888912404</v>
      </c>
      <c r="H9" s="19">
        <f t="shared" si="5"/>
        <v>3.7256963138880002</v>
      </c>
      <c r="I9" s="2">
        <v>4.2302387100000001</v>
      </c>
      <c r="J9" s="20">
        <f t="shared" si="6"/>
        <v>42.302387100000004</v>
      </c>
      <c r="K9" s="21">
        <f t="shared" si="7"/>
        <v>4230.2387100000005</v>
      </c>
      <c r="L9" s="3">
        <f t="shared" si="8"/>
        <v>34040.825843750004</v>
      </c>
      <c r="M9" s="4">
        <f t="shared" si="10"/>
        <v>22.032493281249998</v>
      </c>
      <c r="N9" s="4">
        <f t="shared" si="11"/>
        <v>4.6901218385003357E-2</v>
      </c>
      <c r="O9" s="4">
        <f t="shared" si="12"/>
        <v>1.1725304596250839E-2</v>
      </c>
      <c r="P9" s="4">
        <f t="shared" si="13"/>
        <v>1.6914073429823338E-2</v>
      </c>
      <c r="Q9" s="68">
        <v>510334.59</v>
      </c>
      <c r="R9" s="2">
        <v>17779.214333333333</v>
      </c>
      <c r="S9" s="72">
        <v>23.527000000000001</v>
      </c>
      <c r="U9" s="22">
        <v>0.3</v>
      </c>
      <c r="V9" s="23">
        <f t="shared" si="9"/>
        <v>5328.125</v>
      </c>
      <c r="W9" s="23">
        <f t="shared" si="14"/>
        <v>3.4177418015718865E-2</v>
      </c>
      <c r="X9" s="23">
        <f t="shared" si="15"/>
        <v>9.2583348117923365E-3</v>
      </c>
      <c r="Y9" s="25"/>
      <c r="Z9" s="1" t="s">
        <v>26</v>
      </c>
      <c r="AA9" s="19">
        <v>0.05</v>
      </c>
      <c r="AD9" s="27" t="s">
        <v>27</v>
      </c>
    </row>
    <row r="10" spans="1:31" ht="18.5" x14ac:dyDescent="0.35">
      <c r="A10" s="2" t="s">
        <v>55</v>
      </c>
      <c r="B10" s="2">
        <v>4150</v>
      </c>
      <c r="C10" s="19">
        <f t="shared" si="0"/>
        <v>69.166804999999997</v>
      </c>
      <c r="D10" s="19">
        <f t="shared" si="1"/>
        <v>1.1527787</v>
      </c>
      <c r="E10" s="3">
        <f t="shared" si="2"/>
        <v>1.1527787000000002E-3</v>
      </c>
      <c r="F10" s="19">
        <f t="shared" si="3"/>
        <v>2.3055574000000001</v>
      </c>
      <c r="G10" s="19">
        <f t="shared" si="4"/>
        <v>5.3155949246947607</v>
      </c>
      <c r="H10" s="19">
        <f t="shared" si="5"/>
        <v>4.4816346964160001</v>
      </c>
      <c r="I10" s="2">
        <v>6.2771258059999999</v>
      </c>
      <c r="J10" s="20">
        <f t="shared" si="6"/>
        <v>62.771258060000001</v>
      </c>
      <c r="K10" s="21">
        <f t="shared" si="7"/>
        <v>6277.125806</v>
      </c>
      <c r="L10" s="3">
        <f t="shared" si="8"/>
        <v>40947.660072916668</v>
      </c>
      <c r="M10" s="4">
        <f t="shared" si="10"/>
        <v>32.693363572916667</v>
      </c>
      <c r="N10" s="4">
        <f t="shared" si="11"/>
        <v>4.809745304661122E-2</v>
      </c>
      <c r="O10" s="4">
        <f t="shared" si="12"/>
        <v>1.2024363261652805E-2</v>
      </c>
      <c r="P10" s="4">
        <f t="shared" si="13"/>
        <v>1.8389797911330781E-2</v>
      </c>
      <c r="Q10" s="68">
        <v>535924.91266666667</v>
      </c>
      <c r="R10" s="2">
        <v>19056.686666666665</v>
      </c>
      <c r="S10" s="72">
        <v>25.102333333333334</v>
      </c>
      <c r="U10" s="22">
        <v>0.4</v>
      </c>
      <c r="V10" s="23">
        <f t="shared" si="9"/>
        <v>7104.166666666667</v>
      </c>
      <c r="W10" s="23">
        <f t="shared" si="14"/>
        <v>3.1805671276991625E-2</v>
      </c>
      <c r="X10" s="23">
        <f t="shared" si="15"/>
        <v>8.615851363048075E-3</v>
      </c>
      <c r="Y10" s="25"/>
      <c r="Z10" s="1" t="s">
        <v>28</v>
      </c>
      <c r="AA10" s="19">
        <v>0.01</v>
      </c>
      <c r="AD10" s="28" t="s">
        <v>29</v>
      </c>
      <c r="AE10" s="2" t="s">
        <v>30</v>
      </c>
    </row>
    <row r="11" spans="1:31" ht="16.5" x14ac:dyDescent="0.4">
      <c r="A11" s="2" t="s">
        <v>56</v>
      </c>
      <c r="B11" s="2">
        <v>4900</v>
      </c>
      <c r="C11" s="19">
        <f t="shared" si="0"/>
        <v>81.666830000000004</v>
      </c>
      <c r="D11" s="19">
        <f t="shared" si="1"/>
        <v>1.3611122</v>
      </c>
      <c r="E11" s="3">
        <f t="shared" si="2"/>
        <v>1.3611122000000001E-3</v>
      </c>
      <c r="F11" s="19">
        <f t="shared" si="3"/>
        <v>2.7222244</v>
      </c>
      <c r="G11" s="19">
        <f t="shared" si="4"/>
        <v>7.4105056839553596</v>
      </c>
      <c r="H11" s="19">
        <f t="shared" si="5"/>
        <v>5.2915686776959996</v>
      </c>
      <c r="I11" s="2">
        <v>8.1794548389999999</v>
      </c>
      <c r="J11" s="20">
        <f t="shared" si="6"/>
        <v>81.794548390000003</v>
      </c>
      <c r="K11" s="21">
        <f t="shared" si="7"/>
        <v>8179.454839</v>
      </c>
      <c r="L11" s="3">
        <f t="shared" si="8"/>
        <v>48347.839604166664</v>
      </c>
      <c r="M11" s="4">
        <f t="shared" si="10"/>
        <v>42.601327286458329</v>
      </c>
      <c r="N11" s="4">
        <f t="shared" si="11"/>
        <v>4.4956204567129079E-2</v>
      </c>
      <c r="O11" s="4">
        <f t="shared" si="12"/>
        <v>1.123905114178227E-2</v>
      </c>
      <c r="P11" s="4">
        <f t="shared" si="13"/>
        <v>1.5313321932758788E-2</v>
      </c>
      <c r="Q11" s="78">
        <v>561388.92099999997</v>
      </c>
      <c r="R11" s="61">
        <v>18308.754333333334</v>
      </c>
      <c r="S11" s="79">
        <v>29.385000000000002</v>
      </c>
      <c r="U11" s="22">
        <v>0.5</v>
      </c>
      <c r="V11" s="23">
        <f t="shared" si="9"/>
        <v>8880.2083333333321</v>
      </c>
      <c r="W11" s="23">
        <f t="shared" si="14"/>
        <v>3.0079946728928147E-2</v>
      </c>
      <c r="X11" s="23">
        <f t="shared" si="15"/>
        <v>8.1483691310212901E-3</v>
      </c>
      <c r="Y11" s="25"/>
      <c r="Z11" s="1" t="s">
        <v>31</v>
      </c>
      <c r="AA11" s="4">
        <f>2*(AA9*AA10)/(AA9+AA10)</f>
        <v>1.6666666666666666E-2</v>
      </c>
      <c r="AB11" s="1">
        <f>10*AA11*100</f>
        <v>16.666666666666664</v>
      </c>
      <c r="AD11" s="27" t="s">
        <v>32</v>
      </c>
      <c r="AE11" s="2" t="s">
        <v>33</v>
      </c>
    </row>
    <row r="12" spans="1:31" ht="18.5" x14ac:dyDescent="0.35">
      <c r="A12" s="2" t="s">
        <v>63</v>
      </c>
      <c r="B12" s="2">
        <v>5700</v>
      </c>
      <c r="C12" s="19">
        <f t="shared" si="0"/>
        <v>95.000190000000003</v>
      </c>
      <c r="D12" s="19">
        <f t="shared" si="1"/>
        <v>1.5833346000000001</v>
      </c>
      <c r="E12" s="3">
        <f t="shared" si="2"/>
        <v>1.5833346000000002E-3</v>
      </c>
      <c r="F12" s="19">
        <f t="shared" si="3"/>
        <v>3.1666692000000003</v>
      </c>
      <c r="G12" s="19">
        <f t="shared" si="4"/>
        <v>10.027793822228642</v>
      </c>
      <c r="H12" s="19">
        <f t="shared" si="5"/>
        <v>6.1554982577280004</v>
      </c>
      <c r="I12" s="2">
        <v>8.6000032260000001</v>
      </c>
      <c r="J12" s="20">
        <f t="shared" si="6"/>
        <v>86.000032259999998</v>
      </c>
      <c r="K12" s="21">
        <f t="shared" si="7"/>
        <v>8600.0032259999989</v>
      </c>
      <c r="L12" s="3">
        <f t="shared" si="8"/>
        <v>56241.3644375</v>
      </c>
      <c r="M12" s="4">
        <f t="shared" si="10"/>
        <v>44.791683468749994</v>
      </c>
      <c r="N12" s="4">
        <f t="shared" si="11"/>
        <v>3.49306239023702E-2</v>
      </c>
      <c r="O12" s="4">
        <f t="shared" si="12"/>
        <v>8.7326559755925501E-3</v>
      </c>
      <c r="P12" s="4">
        <f t="shared" si="13"/>
        <v>6.9316164361814337E-3</v>
      </c>
      <c r="Q12" s="78">
        <v>506774.23566666665</v>
      </c>
      <c r="R12" s="61">
        <v>16835.628000000001</v>
      </c>
      <c r="S12" s="79">
        <v>28.850999999999999</v>
      </c>
      <c r="U12" s="22">
        <v>0.6</v>
      </c>
      <c r="V12" s="23">
        <f t="shared" si="9"/>
        <v>10656.25</v>
      </c>
      <c r="W12" s="23">
        <f t="shared" si="14"/>
        <v>2.8739668292045713E-2</v>
      </c>
      <c r="X12" s="23">
        <f t="shared" si="15"/>
        <v>7.7853005544548503E-3</v>
      </c>
      <c r="Y12" s="25"/>
      <c r="Z12" s="1" t="s">
        <v>34</v>
      </c>
      <c r="AA12" s="31">
        <f>AA$16/AA$15</f>
        <v>9.3841642228739007E-7</v>
      </c>
    </row>
    <row r="13" spans="1:31" ht="16.5" x14ac:dyDescent="0.4">
      <c r="A13" s="2" t="s">
        <v>62</v>
      </c>
      <c r="B13" s="2">
        <v>5700</v>
      </c>
      <c r="C13" s="19">
        <f t="shared" si="0"/>
        <v>95.000190000000003</v>
      </c>
      <c r="D13" s="19">
        <f t="shared" si="1"/>
        <v>1.5833346000000001</v>
      </c>
      <c r="E13" s="3">
        <f t="shared" si="2"/>
        <v>1.5833346000000002E-3</v>
      </c>
      <c r="F13" s="19">
        <f t="shared" si="3"/>
        <v>3.1666692000000003</v>
      </c>
      <c r="G13" s="19">
        <f t="shared" si="4"/>
        <v>10.027793822228642</v>
      </c>
      <c r="H13" s="19">
        <f t="shared" si="5"/>
        <v>6.1554982577280004</v>
      </c>
      <c r="I13" s="2">
        <v>8.6000032260000001</v>
      </c>
      <c r="J13" s="20">
        <f t="shared" si="6"/>
        <v>86.000032259999998</v>
      </c>
      <c r="K13" s="21">
        <f t="shared" si="7"/>
        <v>8600.0032259999989</v>
      </c>
      <c r="L13" s="3">
        <f t="shared" si="8"/>
        <v>56241.3644375</v>
      </c>
      <c r="M13" s="4">
        <f t="shared" si="10"/>
        <v>44.791683468749994</v>
      </c>
      <c r="N13" s="4">
        <f t="shared" si="11"/>
        <v>3.49306239023702E-2</v>
      </c>
      <c r="O13" s="4">
        <f t="shared" si="12"/>
        <v>8.7326559755925501E-3</v>
      </c>
      <c r="P13" s="4">
        <f t="shared" si="13"/>
        <v>6.9316164361814337E-3</v>
      </c>
      <c r="Q13" s="78">
        <v>506774.23566666665</v>
      </c>
      <c r="R13" s="61">
        <v>16835.628000000001</v>
      </c>
      <c r="S13" s="79">
        <v>28.850999999999999</v>
      </c>
      <c r="U13" s="22">
        <v>0.7</v>
      </c>
      <c r="V13" s="23">
        <f t="shared" si="9"/>
        <v>12432.291666666664</v>
      </c>
      <c r="W13" s="23">
        <f t="shared" si="14"/>
        <v>2.7653178300659133E-2</v>
      </c>
      <c r="X13" s="23">
        <f t="shared" si="15"/>
        <v>7.4909808341854026E-3</v>
      </c>
      <c r="Y13" s="25"/>
      <c r="Z13" s="1" t="s">
        <v>35</v>
      </c>
      <c r="AA13" s="32">
        <v>0.8</v>
      </c>
      <c r="AD13" s="27" t="s">
        <v>36</v>
      </c>
      <c r="AE13" s="1" t="s">
        <v>37</v>
      </c>
    </row>
    <row r="14" spans="1:31" x14ac:dyDescent="0.35">
      <c r="A14" s="2" t="s">
        <v>57</v>
      </c>
      <c r="B14" s="2">
        <v>4800</v>
      </c>
      <c r="C14" s="19">
        <f t="shared" si="0"/>
        <v>80.000159999999994</v>
      </c>
      <c r="D14" s="19">
        <f t="shared" si="1"/>
        <v>1.3333344</v>
      </c>
      <c r="E14" s="3">
        <f t="shared" si="2"/>
        <v>1.3333344E-3</v>
      </c>
      <c r="F14" s="19">
        <f t="shared" si="3"/>
        <v>2.6666688000000001</v>
      </c>
      <c r="G14" s="19">
        <f t="shared" si="4"/>
        <v>7.1111224888934403</v>
      </c>
      <c r="H14" s="19">
        <f t="shared" si="5"/>
        <v>5.1835774801920005</v>
      </c>
      <c r="I14" s="2">
        <v>8.0703064520000005</v>
      </c>
      <c r="J14" s="20">
        <f t="shared" si="6"/>
        <v>80.703064519999998</v>
      </c>
      <c r="K14" s="21">
        <f t="shared" si="7"/>
        <v>8070.3064519999998</v>
      </c>
      <c r="L14" s="3">
        <f t="shared" si="8"/>
        <v>47361.148999999998</v>
      </c>
      <c r="M14" s="4">
        <f t="shared" si="10"/>
        <v>42.032846104166659</v>
      </c>
      <c r="N14" s="4">
        <f t="shared" si="11"/>
        <v>4.6223730408753952E-2</v>
      </c>
      <c r="O14" s="4">
        <f t="shared" si="12"/>
        <v>1.1555932602188488E-2</v>
      </c>
      <c r="P14" s="4">
        <f t="shared" si="13"/>
        <v>1.6569835980151423E-2</v>
      </c>
      <c r="Q14" s="78">
        <v>497436.18166666664</v>
      </c>
      <c r="R14" s="61">
        <v>16774.868666666665</v>
      </c>
      <c r="S14" s="79">
        <v>28.748666666666669</v>
      </c>
      <c r="U14" s="22">
        <v>0.8</v>
      </c>
      <c r="V14" s="23">
        <f t="shared" si="9"/>
        <v>14208.333333333334</v>
      </c>
      <c r="W14" s="23">
        <f t="shared" si="14"/>
        <v>2.6745274961560289E-2</v>
      </c>
      <c r="X14" s="23">
        <f t="shared" si="15"/>
        <v>7.2450385255459562E-3</v>
      </c>
      <c r="Y14" s="25"/>
      <c r="AA14" s="32"/>
    </row>
    <row r="15" spans="1:31" x14ac:dyDescent="0.35">
      <c r="A15" s="2" t="s">
        <v>58</v>
      </c>
      <c r="B15" s="2">
        <v>4100</v>
      </c>
      <c r="C15" s="19">
        <f t="shared" si="0"/>
        <v>68.333469999999991</v>
      </c>
      <c r="D15" s="19">
        <f t="shared" si="1"/>
        <v>1.1388898000000001</v>
      </c>
      <c r="E15" s="3">
        <f t="shared" si="2"/>
        <v>1.1388898000000002E-3</v>
      </c>
      <c r="F15" s="19">
        <f t="shared" si="3"/>
        <v>2.2777796000000001</v>
      </c>
      <c r="G15" s="19">
        <f t="shared" si="4"/>
        <v>5.1882799061761604</v>
      </c>
      <c r="H15" s="19">
        <f t="shared" si="5"/>
        <v>4.4276390976640005</v>
      </c>
      <c r="I15" s="2">
        <v>6.1836774190000003</v>
      </c>
      <c r="J15" s="20">
        <f t="shared" si="6"/>
        <v>61.83677419</v>
      </c>
      <c r="K15" s="21">
        <f t="shared" si="7"/>
        <v>6183.6774189999996</v>
      </c>
      <c r="L15" s="3">
        <f t="shared" si="8"/>
        <v>40454.314770833334</v>
      </c>
      <c r="M15" s="4">
        <f t="shared" si="10"/>
        <v>32.206653223958327</v>
      </c>
      <c r="N15" s="4">
        <f t="shared" si="11"/>
        <v>4.8544111020140578E-2</v>
      </c>
      <c r="O15" s="4">
        <f t="shared" si="12"/>
        <v>1.2136027755035144E-2</v>
      </c>
      <c r="P15" s="4">
        <f t="shared" si="13"/>
        <v>1.8857940015186807E-2</v>
      </c>
      <c r="Q15" s="94">
        <v>551534.15399999998</v>
      </c>
      <c r="R15" s="22">
        <v>17814.46</v>
      </c>
      <c r="S15" s="100">
        <v>25.405000000000001</v>
      </c>
      <c r="T15" s="34"/>
      <c r="U15" s="22">
        <v>0.9</v>
      </c>
      <c r="V15" s="23">
        <f t="shared" si="9"/>
        <v>15984.374999999998</v>
      </c>
      <c r="W15" s="23">
        <f t="shared" si="14"/>
        <v>2.5969221851774842E-2</v>
      </c>
      <c r="X15" s="23">
        <f t="shared" si="15"/>
        <v>7.0348131797102406E-3</v>
      </c>
      <c r="Y15" s="25"/>
      <c r="Z15" s="2" t="s">
        <v>38</v>
      </c>
      <c r="AA15" s="32">
        <f>VLOOKUP(AA17, SW!A4:F34, 3, FALSE)</f>
        <v>1023</v>
      </c>
      <c r="AB15" s="32"/>
    </row>
    <row r="16" spans="1:31" x14ac:dyDescent="0.35">
      <c r="A16" s="2" t="s">
        <v>59</v>
      </c>
      <c r="B16" s="2">
        <v>3350</v>
      </c>
      <c r="C16" s="19">
        <f t="shared" si="0"/>
        <v>55.833444999999998</v>
      </c>
      <c r="D16" s="19">
        <f t="shared" si="1"/>
        <v>0.9305563</v>
      </c>
      <c r="E16" s="3">
        <f t="shared" si="2"/>
        <v>9.3055630000000002E-4</v>
      </c>
      <c r="F16" s="19">
        <f t="shared" si="3"/>
        <v>1.8611126</v>
      </c>
      <c r="G16" s="19">
        <f t="shared" si="4"/>
        <v>3.4637401098787599</v>
      </c>
      <c r="H16" s="19">
        <f t="shared" si="5"/>
        <v>3.6177051163840002</v>
      </c>
      <c r="I16" s="2">
        <v>4.0644903230000002</v>
      </c>
      <c r="J16" s="20">
        <f t="shared" si="6"/>
        <v>40.644903230000004</v>
      </c>
      <c r="K16" s="21">
        <f t="shared" si="7"/>
        <v>4064.4903230000004</v>
      </c>
      <c r="L16" s="3">
        <f t="shared" si="8"/>
        <v>33054.135239583331</v>
      </c>
      <c r="M16" s="4">
        <f t="shared" si="10"/>
        <v>21.169220432291663</v>
      </c>
      <c r="N16" s="4">
        <f t="shared" si="11"/>
        <v>4.7794059481220737E-2</v>
      </c>
      <c r="O16" s="4">
        <f t="shared" si="12"/>
        <v>1.1948514870305184E-2</v>
      </c>
      <c r="P16" s="4">
        <f t="shared" si="13"/>
        <v>1.7818318929395865E-2</v>
      </c>
      <c r="Q16" s="94">
        <v>577721.36899999995</v>
      </c>
      <c r="R16" s="22">
        <v>18302.283666666666</v>
      </c>
      <c r="S16" s="100">
        <v>24.877333333333336</v>
      </c>
      <c r="U16" s="22">
        <v>1</v>
      </c>
      <c r="V16" s="23">
        <f t="shared" si="9"/>
        <v>17760.416666666664</v>
      </c>
      <c r="W16" s="23">
        <f t="shared" si="14"/>
        <v>2.5294119375378375E-2</v>
      </c>
      <c r="X16" s="23">
        <f t="shared" si="15"/>
        <v>6.8519343924398277E-3</v>
      </c>
      <c r="Y16" s="25"/>
      <c r="Z16" s="2" t="s">
        <v>39</v>
      </c>
      <c r="AA16" s="32">
        <f>VLOOKUP(AA17, SW!A4:F34, 5, FALSE)</f>
        <v>9.6000000000000002E-4</v>
      </c>
    </row>
    <row r="17" spans="1:33" x14ac:dyDescent="0.35">
      <c r="A17" s="2" t="s">
        <v>60</v>
      </c>
      <c r="B17" s="2">
        <v>2500</v>
      </c>
      <c r="C17" s="19">
        <f t="shared" si="0"/>
        <v>41.66675</v>
      </c>
      <c r="D17" s="19">
        <f t="shared" si="1"/>
        <v>0.69444499999999998</v>
      </c>
      <c r="E17" s="3">
        <f t="shared" si="2"/>
        <v>6.9444500000000002E-4</v>
      </c>
      <c r="F17" s="19">
        <f t="shared" si="3"/>
        <v>1.38889</v>
      </c>
      <c r="G17" s="19">
        <f t="shared" si="4"/>
        <v>1.9290154320999999</v>
      </c>
      <c r="H17" s="19">
        <f t="shared" si="5"/>
        <v>2.6997799375999998</v>
      </c>
      <c r="I17" s="2">
        <v>2.1331129029999998</v>
      </c>
      <c r="J17" s="20">
        <f t="shared" si="6"/>
        <v>21.33112903</v>
      </c>
      <c r="K17" s="21">
        <f t="shared" si="7"/>
        <v>2133.1129030000002</v>
      </c>
      <c r="L17" s="3">
        <f t="shared" si="8"/>
        <v>24667.265104166661</v>
      </c>
      <c r="M17" s="4">
        <f t="shared" si="10"/>
        <v>11.109963036458334</v>
      </c>
      <c r="N17" s="4">
        <f t="shared" si="11"/>
        <v>4.5039261959439435E-2</v>
      </c>
      <c r="O17" s="4">
        <f t="shared" si="12"/>
        <v>1.1259815489859859E-2</v>
      </c>
      <c r="P17" s="4">
        <f t="shared" si="13"/>
        <v>1.4526694915307985E-2</v>
      </c>
      <c r="Q17" s="94">
        <v>593091.34366666665</v>
      </c>
      <c r="R17" s="22">
        <v>18219.378333333334</v>
      </c>
      <c r="S17" s="100">
        <v>25.089333333333332</v>
      </c>
      <c r="T17" s="14"/>
      <c r="U17" s="22">
        <v>1.1000000000000001</v>
      </c>
      <c r="V17" s="23">
        <f t="shared" si="9"/>
        <v>19536.458333333332</v>
      </c>
      <c r="W17" s="23">
        <f t="shared" si="14"/>
        <v>2.4698546308849025E-2</v>
      </c>
      <c r="X17" s="23">
        <f t="shared" si="15"/>
        <v>6.6905993596916369E-3</v>
      </c>
      <c r="Y17" s="25"/>
      <c r="Z17" s="2" t="s">
        <v>161</v>
      </c>
      <c r="AA17" s="32">
        <v>25</v>
      </c>
    </row>
    <row r="18" spans="1:33" x14ac:dyDescent="0.35">
      <c r="A18" s="2" t="s">
        <v>61</v>
      </c>
      <c r="B18" s="2">
        <v>1800</v>
      </c>
      <c r="C18" s="19">
        <f t="shared" si="0"/>
        <v>30.000059999999998</v>
      </c>
      <c r="D18" s="19">
        <f t="shared" si="1"/>
        <v>0.50000040000000001</v>
      </c>
      <c r="E18" s="3">
        <f t="shared" si="2"/>
        <v>5.0000040000000004E-4</v>
      </c>
      <c r="F18" s="19">
        <f t="shared" si="3"/>
        <v>1.0000008</v>
      </c>
      <c r="G18" s="19">
        <f t="shared" si="4"/>
        <v>1.00000160000064</v>
      </c>
      <c r="H18" s="19">
        <f t="shared" si="5"/>
        <v>1.9438415550720001</v>
      </c>
      <c r="I18" s="2">
        <v>0.93059999999999998</v>
      </c>
      <c r="J18" s="20">
        <f t="shared" si="6"/>
        <v>9.3059999999999992</v>
      </c>
      <c r="K18" s="21">
        <f t="shared" si="7"/>
        <v>930.59999999999991</v>
      </c>
      <c r="L18" s="3">
        <f t="shared" si="8"/>
        <v>17760.430874999998</v>
      </c>
      <c r="M18" s="4">
        <f t="shared" si="10"/>
        <v>4.8468749999999989</v>
      </c>
      <c r="N18" s="4">
        <f t="shared" si="11"/>
        <v>3.7903165161363085E-2</v>
      </c>
      <c r="O18" s="4">
        <f t="shared" si="12"/>
        <v>9.4757912903407713E-3</v>
      </c>
      <c r="P18" s="4">
        <f t="shared" si="13"/>
        <v>7.3137083371792649E-3</v>
      </c>
      <c r="Q18" s="71"/>
      <c r="R18" s="4"/>
      <c r="S18" s="74"/>
      <c r="U18" s="22">
        <v>1.2</v>
      </c>
      <c r="V18" s="23">
        <f t="shared" si="9"/>
        <v>21312.5</v>
      </c>
      <c r="W18" s="23">
        <f t="shared" si="14"/>
        <v>2.4167084042362088E-2</v>
      </c>
      <c r="X18" s="23">
        <f t="shared" si="15"/>
        <v>6.54663132791384E-3</v>
      </c>
      <c r="Y18" s="25"/>
      <c r="Z18" s="1"/>
      <c r="AA18" s="1"/>
      <c r="AD18" s="119" t="s">
        <v>162</v>
      </c>
      <c r="AE18" s="119"/>
      <c r="AF18" s="119"/>
      <c r="AG18" s="119"/>
    </row>
    <row r="19" spans="1:33" x14ac:dyDescent="0.35">
      <c r="A19" s="24"/>
      <c r="B19" s="18"/>
      <c r="C19" s="19"/>
      <c r="D19" s="19"/>
      <c r="E19" s="3"/>
      <c r="F19" s="19"/>
      <c r="G19" s="19"/>
      <c r="H19" s="19"/>
      <c r="I19" s="20"/>
      <c r="J19" s="20"/>
      <c r="K19" s="21"/>
      <c r="Q19" s="71"/>
      <c r="R19" s="4"/>
      <c r="S19" s="74"/>
      <c r="U19" s="22">
        <v>1.3</v>
      </c>
      <c r="V19" s="23">
        <f t="shared" si="9"/>
        <v>23088.541666666668</v>
      </c>
      <c r="W19" s="23">
        <f t="shared" si="14"/>
        <v>2.3688290796718484E-2</v>
      </c>
      <c r="X19" s="23">
        <f t="shared" si="15"/>
        <v>6.4169308288370966E-3</v>
      </c>
      <c r="Y19" s="25"/>
      <c r="AD19" s="120" t="s">
        <v>41</v>
      </c>
      <c r="AE19" s="119" t="s">
        <v>42</v>
      </c>
      <c r="AF19" s="119" t="s">
        <v>43</v>
      </c>
      <c r="AG19" s="119" t="s">
        <v>44</v>
      </c>
    </row>
    <row r="20" spans="1:33" x14ac:dyDescent="0.35">
      <c r="A20" s="24"/>
      <c r="B20" s="18"/>
      <c r="C20" s="19"/>
      <c r="D20" s="19"/>
      <c r="E20" s="3"/>
      <c r="F20" s="19"/>
      <c r="G20" s="19"/>
      <c r="H20" s="19"/>
      <c r="I20" s="20"/>
      <c r="J20" s="20"/>
      <c r="K20" s="21"/>
      <c r="Q20" s="71"/>
      <c r="R20" s="4"/>
      <c r="S20" s="74"/>
      <c r="U20" s="22">
        <v>1.4</v>
      </c>
      <c r="V20" s="23">
        <f t="shared" si="9"/>
        <v>24864.583333333328</v>
      </c>
      <c r="W20" s="23">
        <f t="shared" si="14"/>
        <v>2.3253458503396073E-2</v>
      </c>
      <c r="X20" s="23">
        <f t="shared" si="15"/>
        <v>6.2991389302007855E-3</v>
      </c>
      <c r="Y20" s="25"/>
      <c r="Z20" s="1" t="s">
        <v>45</v>
      </c>
      <c r="AA20" s="1">
        <f>4*10^(-6)</f>
        <v>3.9999999999999998E-6</v>
      </c>
      <c r="AD20" s="120" t="s">
        <v>46</v>
      </c>
      <c r="AE20" s="119" t="s">
        <v>47</v>
      </c>
      <c r="AF20" s="119" t="s">
        <v>48</v>
      </c>
      <c r="AG20" s="119" t="s">
        <v>49</v>
      </c>
    </row>
    <row r="21" spans="1:33" x14ac:dyDescent="0.35">
      <c r="A21" s="24"/>
      <c r="B21" s="18"/>
      <c r="C21" s="19"/>
      <c r="D21" s="19"/>
      <c r="E21" s="43"/>
      <c r="F21" s="19"/>
      <c r="G21" s="19"/>
      <c r="H21" s="19"/>
      <c r="I21" s="20"/>
      <c r="J21" s="20"/>
      <c r="K21" s="21"/>
      <c r="Q21" s="71"/>
      <c r="R21" s="4"/>
      <c r="S21" s="74"/>
      <c r="U21" s="22">
        <v>1.5</v>
      </c>
      <c r="V21" s="23">
        <f t="shared" si="9"/>
        <v>26640.625</v>
      </c>
      <c r="W21" s="23">
        <f t="shared" si="14"/>
        <v>2.2855816947138497E-2</v>
      </c>
      <c r="X21" s="23">
        <f t="shared" si="15"/>
        <v>6.1914216456118339E-3</v>
      </c>
      <c r="Y21" s="25"/>
      <c r="Z21" s="1" t="s">
        <v>50</v>
      </c>
      <c r="AA21" s="2">
        <f>AA20/AA11</f>
        <v>2.3999999999999998E-4</v>
      </c>
      <c r="AD21" s="119">
        <v>0</v>
      </c>
      <c r="AE21" s="119">
        <v>1.792E-3</v>
      </c>
      <c r="AF21" s="119">
        <v>999.87</v>
      </c>
      <c r="AG21" s="121">
        <v>1.7922329902887374E-6</v>
      </c>
    </row>
    <row r="22" spans="1:33" x14ac:dyDescent="0.35">
      <c r="A22" s="24"/>
      <c r="B22" s="18"/>
      <c r="C22" s="19"/>
      <c r="D22" s="19"/>
      <c r="E22" s="3"/>
      <c r="F22" s="19"/>
      <c r="G22" s="19"/>
      <c r="H22" s="19"/>
      <c r="I22" s="20"/>
      <c r="J22" s="20"/>
      <c r="K22" s="21"/>
      <c r="P22" s="43"/>
      <c r="Q22" s="71"/>
      <c r="R22" s="4"/>
      <c r="S22" s="74"/>
      <c r="U22" s="22">
        <v>1.6</v>
      </c>
      <c r="V22" s="23">
        <f t="shared" si="9"/>
        <v>28416.666666666668</v>
      </c>
      <c r="W22" s="23">
        <f t="shared" si="14"/>
        <v>2.2490005840150974E-2</v>
      </c>
      <c r="X22" s="23">
        <f t="shared" si="15"/>
        <v>6.0923269245066513E-3</v>
      </c>
      <c r="Y22" s="25"/>
      <c r="AD22" s="119">
        <v>5</v>
      </c>
      <c r="AE22" s="119">
        <v>1.519E-3</v>
      </c>
      <c r="AF22" s="119">
        <v>999.99</v>
      </c>
      <c r="AG22" s="121">
        <v>1.5190151901519014E-6</v>
      </c>
    </row>
    <row r="23" spans="1:33" x14ac:dyDescent="0.35">
      <c r="B23" s="18"/>
      <c r="C23" s="19"/>
      <c r="D23" s="19"/>
      <c r="E23" s="3"/>
      <c r="F23" s="3"/>
      <c r="G23" s="19"/>
      <c r="H23" s="19"/>
      <c r="I23" s="19"/>
      <c r="J23" s="20"/>
      <c r="K23" s="21"/>
      <c r="Q23" s="71"/>
      <c r="R23" s="4"/>
      <c r="S23" s="74"/>
      <c r="U23" s="22">
        <v>1.7</v>
      </c>
      <c r="V23" s="23">
        <f t="shared" si="9"/>
        <v>30192.708333333332</v>
      </c>
      <c r="W23" s="23">
        <f t="shared" si="14"/>
        <v>2.2151713893839374E-2</v>
      </c>
      <c r="X23" s="23">
        <f t="shared" si="15"/>
        <v>6.0006868801462145E-3</v>
      </c>
      <c r="Y23" s="25"/>
      <c r="Z23" s="40"/>
      <c r="AD23" s="119">
        <f>AD22+5</f>
        <v>10</v>
      </c>
      <c r="AE23" s="119">
        <v>1.3079999999999999E-3</v>
      </c>
      <c r="AF23" s="119">
        <v>999.73</v>
      </c>
      <c r="AG23" s="121">
        <v>1.3083532553789522E-6</v>
      </c>
    </row>
    <row r="24" spans="1:33" x14ac:dyDescent="0.35">
      <c r="B24" s="18"/>
      <c r="C24" s="19"/>
      <c r="D24" s="19"/>
      <c r="E24" s="3"/>
      <c r="F24" s="3"/>
      <c r="G24" s="19"/>
      <c r="H24" s="19"/>
      <c r="I24" s="19"/>
      <c r="J24" s="20"/>
      <c r="K24" s="21"/>
      <c r="Q24" s="71"/>
      <c r="R24" s="4"/>
      <c r="S24" s="74"/>
      <c r="U24" s="22">
        <v>1.8</v>
      </c>
      <c r="V24" s="23">
        <f t="shared" si="9"/>
        <v>31968.749999999996</v>
      </c>
      <c r="W24" s="23">
        <f t="shared" si="14"/>
        <v>2.1837425562085892E-2</v>
      </c>
      <c r="X24" s="23">
        <f t="shared" si="15"/>
        <v>5.9155491847979261E-3</v>
      </c>
      <c r="Y24" s="4"/>
      <c r="Z24" s="40"/>
      <c r="AD24" s="119" t="e">
        <f>#REF!+5</f>
        <v>#REF!</v>
      </c>
      <c r="AE24" s="119">
        <v>1.005E-3</v>
      </c>
      <c r="AF24" s="119">
        <v>998.23</v>
      </c>
      <c r="AG24" s="121">
        <v>1.0067820041473407E-6</v>
      </c>
    </row>
    <row r="25" spans="1:33" x14ac:dyDescent="0.35">
      <c r="B25" s="18"/>
      <c r="C25" s="19"/>
      <c r="D25" s="19"/>
      <c r="E25" s="3"/>
      <c r="F25" s="3"/>
      <c r="G25" s="19"/>
      <c r="H25" s="19"/>
      <c r="I25" s="19"/>
      <c r="J25" s="20"/>
      <c r="K25" s="21"/>
      <c r="Q25" s="71"/>
      <c r="R25" s="4"/>
      <c r="S25" s="74"/>
      <c r="U25" s="22">
        <v>1.9</v>
      </c>
      <c r="V25" s="23">
        <f t="shared" si="9"/>
        <v>33744.791666666657</v>
      </c>
      <c r="W25" s="23">
        <f t="shared" si="14"/>
        <v>2.1544239267008561E-2</v>
      </c>
      <c r="X25" s="23">
        <f t="shared" si="15"/>
        <v>5.8361278288369088E-3</v>
      </c>
      <c r="Y25" s="4"/>
      <c r="Z25" s="40"/>
      <c r="AD25" s="119">
        <v>25</v>
      </c>
      <c r="AE25" s="119">
        <v>8.9400000000000005E-4</v>
      </c>
      <c r="AF25" s="119">
        <v>997.07</v>
      </c>
      <c r="AG25" s="121">
        <v>8.9662711745414066E-7</v>
      </c>
    </row>
    <row r="26" spans="1:33" x14ac:dyDescent="0.35">
      <c r="N26" s="22"/>
      <c r="Q26" s="71"/>
      <c r="R26" s="4"/>
      <c r="S26" s="74"/>
      <c r="U26" s="22">
        <v>2</v>
      </c>
      <c r="V26" s="23">
        <f t="shared" si="9"/>
        <v>35520.833333333328</v>
      </c>
      <c r="W26" s="23">
        <f t="shared" si="14"/>
        <v>2.1269734309755199E-2</v>
      </c>
      <c r="X26" s="23">
        <f t="shared" si="15"/>
        <v>5.7617670681562889E-3</v>
      </c>
      <c r="Y26" s="4"/>
      <c r="Z26" s="40"/>
      <c r="AD26" s="32"/>
      <c r="AE26" s="32"/>
      <c r="AF26" s="32"/>
      <c r="AG26" s="32"/>
    </row>
    <row r="27" spans="1:33" x14ac:dyDescent="0.35">
      <c r="K27" s="1"/>
      <c r="L27" s="4"/>
      <c r="N27" s="22"/>
      <c r="Q27" s="71"/>
      <c r="R27" s="4"/>
      <c r="S27" s="74"/>
      <c r="U27" s="22">
        <v>2.1</v>
      </c>
      <c r="V27" s="23">
        <f t="shared" si="9"/>
        <v>37296.875</v>
      </c>
      <c r="W27" s="23">
        <f t="shared" si="14"/>
        <v>2.1011871694527066E-2</v>
      </c>
      <c r="X27" s="23">
        <f t="shared" si="15"/>
        <v>5.6919145583462028E-3</v>
      </c>
      <c r="Y27" s="4"/>
      <c r="Z27" s="40"/>
      <c r="AD27" s="32"/>
      <c r="AE27" s="32"/>
      <c r="AF27" s="32"/>
      <c r="AG27" s="32"/>
    </row>
    <row r="28" spans="1:33" x14ac:dyDescent="0.35">
      <c r="U28" s="22">
        <v>2.2000000000000002</v>
      </c>
      <c r="V28" s="23">
        <f t="shared" si="9"/>
        <v>39072.916666666664</v>
      </c>
      <c r="W28" s="23">
        <f t="shared" si="14"/>
        <v>2.0768919053089006E-2</v>
      </c>
      <c r="X28" s="23">
        <f t="shared" si="15"/>
        <v>5.6261010174634956E-3</v>
      </c>
      <c r="Y28" s="4"/>
      <c r="Z28" s="40"/>
      <c r="AD28" s="32"/>
      <c r="AE28" s="32"/>
      <c r="AF28" s="32"/>
      <c r="AG28" s="32"/>
    </row>
    <row r="29" spans="1:33" x14ac:dyDescent="0.35">
      <c r="L29" s="41"/>
      <c r="U29" s="22">
        <v>2.2999999999999998</v>
      </c>
      <c r="V29" s="23">
        <f t="shared" si="9"/>
        <v>40848.958333333328</v>
      </c>
      <c r="W29" s="23">
        <f t="shared" si="14"/>
        <v>2.0539393005263466E-2</v>
      </c>
      <c r="X29" s="23">
        <f t="shared" si="15"/>
        <v>5.563924612042262E-3</v>
      </c>
      <c r="Y29" s="4"/>
      <c r="Z29" s="40"/>
      <c r="AD29" s="32"/>
      <c r="AE29" s="32"/>
      <c r="AF29" s="32"/>
      <c r="AG29" s="32"/>
    </row>
    <row r="30" spans="1:33" x14ac:dyDescent="0.35">
      <c r="U30" s="22">
        <v>2.4</v>
      </c>
      <c r="V30" s="23">
        <f t="shared" si="9"/>
        <v>42625</v>
      </c>
      <c r="W30" s="23">
        <f t="shared" si="14"/>
        <v>2.0322014338357525E-2</v>
      </c>
      <c r="X30" s="23">
        <f t="shared" si="15"/>
        <v>5.5050388156304125E-3</v>
      </c>
      <c r="Y30" s="4"/>
      <c r="Z30" s="40"/>
      <c r="AD30" s="32"/>
      <c r="AE30" s="32"/>
      <c r="AF30" s="32"/>
      <c r="AG30" s="32"/>
    </row>
    <row r="31" spans="1:33" x14ac:dyDescent="0.35">
      <c r="F31" s="1"/>
      <c r="G31" s="1"/>
      <c r="U31" s="22">
        <v>2.5</v>
      </c>
      <c r="V31" s="23">
        <f t="shared" si="9"/>
        <v>44401.041666666664</v>
      </c>
      <c r="W31" s="23">
        <f t="shared" si="14"/>
        <v>2.011567274917794E-2</v>
      </c>
      <c r="X31" s="23">
        <f t="shared" si="15"/>
        <v>5.4491428577396412E-3</v>
      </c>
      <c r="Y31" s="4"/>
      <c r="Z31" s="40"/>
      <c r="AD31" s="32"/>
      <c r="AE31" s="32"/>
      <c r="AF31" s="32"/>
      <c r="AG31" s="32"/>
    </row>
    <row r="32" spans="1:33" x14ac:dyDescent="0.35">
      <c r="G32" s="19"/>
      <c r="Y32" s="4"/>
      <c r="Z32" s="40"/>
    </row>
    <row r="33" spans="7:27" x14ac:dyDescent="0.35">
      <c r="G33" s="19"/>
      <c r="Y33" s="4"/>
      <c r="Z33" s="40"/>
      <c r="AA33" s="1" t="s">
        <v>51</v>
      </c>
    </row>
    <row r="34" spans="7:27" x14ac:dyDescent="0.35">
      <c r="G34" s="19"/>
      <c r="Y34" s="4"/>
      <c r="Z34" s="40"/>
    </row>
    <row r="35" spans="7:27" x14ac:dyDescent="0.35">
      <c r="G35" s="19"/>
      <c r="Y35" s="4"/>
      <c r="Z35" s="40"/>
    </row>
    <row r="36" spans="7:27" x14ac:dyDescent="0.35">
      <c r="G36" s="19"/>
      <c r="Y36" s="4"/>
    </row>
    <row r="37" spans="7:27" x14ac:dyDescent="0.35">
      <c r="G37" s="19"/>
      <c r="Y37" s="4"/>
    </row>
    <row r="38" spans="7:27" x14ac:dyDescent="0.35">
      <c r="R38" s="1"/>
      <c r="S38" s="99"/>
      <c r="T38" s="89"/>
      <c r="Y38" s="4"/>
    </row>
    <row r="39" spans="7:27" x14ac:dyDescent="0.35">
      <c r="U39" s="4"/>
      <c r="V39" s="16"/>
      <c r="W39" s="16"/>
      <c r="X39" s="4"/>
      <c r="Y39" s="4"/>
    </row>
    <row r="40" spans="7:27" x14ac:dyDescent="0.35">
      <c r="U40" s="4"/>
      <c r="V40" s="16"/>
      <c r="W40" s="16"/>
      <c r="X40" s="4"/>
      <c r="Y40" s="4"/>
    </row>
    <row r="41" spans="7:27" x14ac:dyDescent="0.35">
      <c r="U41" s="4"/>
      <c r="V41" s="16"/>
      <c r="W41" s="16"/>
      <c r="X41" s="4"/>
      <c r="Y41" s="4"/>
    </row>
    <row r="42" spans="7:27" x14ac:dyDescent="0.35">
      <c r="U42" s="4"/>
      <c r="V42" s="16"/>
      <c r="W42" s="16"/>
      <c r="X42" s="4"/>
      <c r="Y42" s="4"/>
    </row>
    <row r="43" spans="7:27" x14ac:dyDescent="0.35">
      <c r="U43" s="4"/>
      <c r="V43" s="16"/>
      <c r="W43" s="16"/>
      <c r="X43" s="4"/>
      <c r="Y43" s="4"/>
    </row>
    <row r="44" spans="7:27" x14ac:dyDescent="0.35">
      <c r="U44" s="4"/>
      <c r="V44" s="16"/>
      <c r="W44" s="16"/>
    </row>
    <row r="45" spans="7:27" x14ac:dyDescent="0.35">
      <c r="U45" s="4"/>
      <c r="V45" s="16"/>
      <c r="W45" s="16"/>
    </row>
    <row r="46" spans="7:27" x14ac:dyDescent="0.35">
      <c r="U46" s="4"/>
      <c r="V46" s="16"/>
      <c r="W46" s="16"/>
    </row>
    <row r="47" spans="7:27" x14ac:dyDescent="0.35">
      <c r="U47" s="4"/>
      <c r="V47" s="16"/>
      <c r="W47" s="16"/>
    </row>
    <row r="48" spans="7:27" x14ac:dyDescent="0.35">
      <c r="U48" s="4"/>
      <c r="V48" s="16"/>
      <c r="W48" s="16"/>
    </row>
    <row r="49" spans="2:23" x14ac:dyDescent="0.35">
      <c r="U49" s="4"/>
      <c r="V49" s="16"/>
      <c r="W49" s="16"/>
    </row>
    <row r="50" spans="2:23" x14ac:dyDescent="0.35">
      <c r="U50" s="4"/>
      <c r="V50" s="16"/>
      <c r="W50" s="16"/>
    </row>
    <row r="51" spans="2:23" x14ac:dyDescent="0.35">
      <c r="U51" s="4"/>
      <c r="V51" s="16"/>
      <c r="W51" s="16"/>
    </row>
    <row r="52" spans="2:23" x14ac:dyDescent="0.35">
      <c r="U52" s="4"/>
      <c r="V52" s="16"/>
      <c r="W52" s="16"/>
    </row>
    <row r="53" spans="2:23" x14ac:dyDescent="0.35">
      <c r="U53" s="4"/>
      <c r="V53" s="16"/>
      <c r="W53" s="16"/>
    </row>
    <row r="54" spans="2:23" x14ac:dyDescent="0.35">
      <c r="U54" s="4"/>
    </row>
    <row r="64" spans="2:23" x14ac:dyDescent="0.35">
      <c r="B64" s="2">
        <v>0</v>
      </c>
    </row>
  </sheetData>
  <mergeCells count="3">
    <mergeCell ref="A3:N3"/>
    <mergeCell ref="Z5:AA5"/>
    <mergeCell ref="Q4:S4"/>
  </mergeCells>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D3EBC-C77F-455F-AA76-0514DF3B5581}">
  <dimension ref="A1:I25"/>
  <sheetViews>
    <sheetView zoomScale="50" zoomScaleNormal="50" workbookViewId="0">
      <selection activeCell="N14" sqref="N14"/>
    </sheetView>
  </sheetViews>
  <sheetFormatPr defaultRowHeight="15.5" x14ac:dyDescent="0.35"/>
  <cols>
    <col min="1" max="1" width="33.3046875" customWidth="1"/>
    <col min="2" max="2" width="11.84375" bestFit="1" customWidth="1"/>
    <col min="3" max="5" width="9.69140625" customWidth="1"/>
    <col min="7" max="7" width="12.07421875" bestFit="1" customWidth="1"/>
  </cols>
  <sheetData>
    <row r="1" spans="1:1" x14ac:dyDescent="0.35">
      <c r="A1" t="s">
        <v>72</v>
      </c>
    </row>
    <row r="18" spans="1:9" x14ac:dyDescent="0.35">
      <c r="A18" s="105"/>
      <c r="B18" s="105"/>
      <c r="C18" s="105"/>
      <c r="D18" s="105"/>
      <c r="E18" s="105"/>
      <c r="F18" s="105"/>
      <c r="G18" s="105"/>
      <c r="H18" s="105"/>
      <c r="I18" s="105"/>
    </row>
    <row r="19" spans="1:9" x14ac:dyDescent="0.35">
      <c r="A19" s="105" t="s">
        <v>121</v>
      </c>
      <c r="B19" s="105"/>
      <c r="C19" s="105"/>
      <c r="D19" s="105"/>
      <c r="E19" s="105"/>
      <c r="F19" s="105"/>
      <c r="G19" s="105"/>
      <c r="H19" s="105"/>
      <c r="I19" s="105"/>
    </row>
    <row r="20" spans="1:9" x14ac:dyDescent="0.35">
      <c r="A20" s="105"/>
      <c r="B20" s="105" t="s">
        <v>65</v>
      </c>
      <c r="C20" s="105" t="s">
        <v>77</v>
      </c>
      <c r="D20" s="105"/>
      <c r="E20" s="105"/>
      <c r="F20" s="105" t="s">
        <v>66</v>
      </c>
      <c r="G20" s="105" t="s">
        <v>67</v>
      </c>
      <c r="H20" s="105"/>
      <c r="I20" s="105"/>
    </row>
    <row r="21" spans="1:9" x14ac:dyDescent="0.35">
      <c r="A21" s="105">
        <v>1</v>
      </c>
      <c r="B21" s="105">
        <f>0.0247*(22000^-0.064)</f>
        <v>1.3025125055249708E-2</v>
      </c>
      <c r="C21" s="105"/>
      <c r="D21" s="105"/>
      <c r="E21" s="105"/>
      <c r="F21" s="105">
        <f>AVERAGEA(B21:B23)</f>
        <v>1.188506561260555E-2</v>
      </c>
      <c r="G21" s="105">
        <f>_xlfn.STDEV.P(B21:B23)</f>
        <v>8.143179729368247E-4</v>
      </c>
      <c r="H21" s="105"/>
      <c r="I21" s="105"/>
    </row>
    <row r="22" spans="1:9" x14ac:dyDescent="0.35">
      <c r="A22" s="105">
        <v>2</v>
      </c>
      <c r="B22" s="105">
        <f>0.6705*(22000^-0.407)</f>
        <v>1.1455993303292666E-2</v>
      </c>
      <c r="C22" s="105"/>
      <c r="D22" s="105"/>
      <c r="E22" s="105"/>
      <c r="F22" s="105"/>
      <c r="G22" s="105"/>
      <c r="H22" s="105"/>
      <c r="I22" s="105"/>
    </row>
    <row r="23" spans="1:9" x14ac:dyDescent="0.35">
      <c r="A23" s="105">
        <v>3</v>
      </c>
      <c r="B23" s="105">
        <f>0.654*(22000^-0.407)</f>
        <v>1.1174078479274279E-2</v>
      </c>
      <c r="C23" s="105"/>
      <c r="D23" s="105"/>
      <c r="E23" s="105"/>
      <c r="F23" s="105"/>
      <c r="G23" s="105"/>
      <c r="H23" s="105"/>
      <c r="I23" s="105"/>
    </row>
    <row r="24" spans="1:9" x14ac:dyDescent="0.35">
      <c r="A24" s="105"/>
      <c r="B24" s="105"/>
      <c r="C24" s="105"/>
      <c r="D24" s="105"/>
      <c r="E24" s="105"/>
      <c r="F24" s="105"/>
      <c r="G24" s="105"/>
      <c r="H24" s="105"/>
      <c r="I24" s="105"/>
    </row>
    <row r="25" spans="1:9" x14ac:dyDescent="0.35">
      <c r="A25" s="105"/>
      <c r="B25" s="105"/>
      <c r="C25" s="105"/>
      <c r="D25" s="105"/>
      <c r="E25" s="105"/>
      <c r="F25" s="105"/>
      <c r="G25" s="105"/>
      <c r="H25" s="105"/>
      <c r="I25" s="105"/>
    </row>
  </sheetData>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21C84-19A3-4C82-AD98-F067D8EACCFB}">
  <dimension ref="A1:AG62"/>
  <sheetViews>
    <sheetView zoomScale="50" zoomScaleNormal="50" zoomScalePageLayoutView="90" workbookViewId="0">
      <selection activeCell="A41" sqref="A41:XFD90"/>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6.765625" style="4" customWidth="1"/>
    <col min="14" max="15" width="8.4609375" style="4" customWidth="1"/>
    <col min="16" max="16" width="27.23046875" style="4" customWidth="1"/>
    <col min="17" max="17" width="12.765625" style="68" customWidth="1"/>
    <col min="18" max="18" width="10" style="2" customWidth="1"/>
    <col min="19" max="19" width="13.3046875" style="72" bestFit="1" customWidth="1"/>
    <col min="20" max="20" width="8.4609375" style="5" customWidth="1"/>
    <col min="21" max="21" width="10.23046875" style="2" customWidth="1"/>
    <col min="22" max="22" width="13.84375" style="2" customWidth="1"/>
    <col min="23" max="25" width="10" style="2" customWidth="1"/>
    <col min="26" max="26" width="21" style="2" customWidth="1"/>
    <col min="27" max="27" width="8.69140625" style="2" customWidth="1"/>
    <col min="28" max="28" width="8.69140625" style="2"/>
    <col min="29" max="29" width="22" style="2" customWidth="1"/>
    <col min="30" max="30" width="35.84375" style="2" customWidth="1"/>
    <col min="31" max="31" width="16.84375" style="2" customWidth="1"/>
    <col min="32" max="16384" width="8.69140625" style="2"/>
  </cols>
  <sheetData>
    <row r="1" spans="1:31" x14ac:dyDescent="0.35">
      <c r="A1" s="1"/>
      <c r="I1" s="1"/>
      <c r="J1" s="1"/>
      <c r="Q1" s="69" t="s">
        <v>100</v>
      </c>
    </row>
    <row r="2" spans="1:31" x14ac:dyDescent="0.35">
      <c r="A2" s="1"/>
      <c r="I2" s="1"/>
      <c r="J2" s="1"/>
      <c r="Q2" s="69" t="s">
        <v>85</v>
      </c>
    </row>
    <row r="3" spans="1:31" x14ac:dyDescent="0.35">
      <c r="A3" s="150" t="s">
        <v>3</v>
      </c>
      <c r="B3" s="150"/>
      <c r="C3" s="150"/>
      <c r="D3" s="150"/>
      <c r="E3" s="150"/>
      <c r="F3" s="150"/>
      <c r="G3" s="150"/>
      <c r="H3" s="150"/>
      <c r="I3" s="150"/>
      <c r="J3" s="150"/>
      <c r="K3" s="150"/>
      <c r="L3" s="150"/>
      <c r="M3" s="150"/>
      <c r="N3" s="150"/>
      <c r="O3" s="48"/>
      <c r="P3" s="48"/>
      <c r="T3" s="7"/>
    </row>
    <row r="4" spans="1:31" x14ac:dyDescent="0.35">
      <c r="Q4" s="152" t="s">
        <v>81</v>
      </c>
      <c r="R4" s="153"/>
      <c r="S4" s="154"/>
    </row>
    <row r="5" spans="1:31"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T5" s="14"/>
      <c r="U5" s="15" t="s">
        <v>19</v>
      </c>
      <c r="V5" s="16" t="s">
        <v>14</v>
      </c>
      <c r="W5" s="15" t="s">
        <v>20</v>
      </c>
      <c r="X5" s="16" t="s">
        <v>21</v>
      </c>
      <c r="Y5" s="1"/>
      <c r="Z5" s="151" t="s">
        <v>22</v>
      </c>
      <c r="AA5" s="151"/>
    </row>
    <row r="6" spans="1:31" x14ac:dyDescent="0.35">
      <c r="A6" s="17" t="s">
        <v>23</v>
      </c>
      <c r="B6" s="18">
        <v>0</v>
      </c>
      <c r="C6" s="19">
        <f>B6*0.0166667</f>
        <v>0</v>
      </c>
      <c r="D6" s="19">
        <f>B6*0.000277778</f>
        <v>0</v>
      </c>
      <c r="E6" s="3">
        <f>0.001*D6</f>
        <v>0</v>
      </c>
      <c r="F6" s="19">
        <f>E6/AA$7</f>
        <v>0</v>
      </c>
      <c r="G6" s="19">
        <f t="shared" ref="G6:G18" si="0">F6^(2)</f>
        <v>0</v>
      </c>
      <c r="H6" s="19">
        <f>F6*1.94384</f>
        <v>0</v>
      </c>
      <c r="I6" s="20">
        <v>0</v>
      </c>
      <c r="J6" s="20">
        <f t="shared" ref="J6:J18" si="1">I6 * 10</f>
        <v>0</v>
      </c>
      <c r="K6" s="21">
        <f>J6*100</f>
        <v>0</v>
      </c>
      <c r="L6" s="3">
        <f>(F6*AA$11)/AA$12</f>
        <v>0</v>
      </c>
      <c r="U6" s="22">
        <v>0</v>
      </c>
      <c r="V6" s="23">
        <f t="shared" ref="V6:V31" si="2">(U6*AA$11)/AA$12</f>
        <v>0</v>
      </c>
      <c r="W6" s="23"/>
      <c r="X6" s="23"/>
    </row>
    <row r="7" spans="1:31" x14ac:dyDescent="0.35">
      <c r="A7" s="2">
        <v>25</v>
      </c>
      <c r="B7" s="2">
        <v>1750</v>
      </c>
      <c r="C7" s="19">
        <f t="shared" ref="C7:C18" si="3">B7*0.0166667</f>
        <v>29.166725</v>
      </c>
      <c r="D7" s="19">
        <f t="shared" ref="D7:D18" si="4">B7*0.000277778</f>
        <v>0.48611150000000003</v>
      </c>
      <c r="E7" s="3">
        <f t="shared" ref="E7:E18" si="5">0.001*D7</f>
        <v>4.8611150000000002E-4</v>
      </c>
      <c r="F7" s="19">
        <f t="shared" ref="F7:F18" si="6">E7/AA$7</f>
        <v>0.99715179487179484</v>
      </c>
      <c r="G7" s="19">
        <f t="shared" si="0"/>
        <v>0.99431170201604202</v>
      </c>
      <c r="H7" s="19">
        <f t="shared" ref="H7:H18" si="7">F7*1.94384</f>
        <v>1.9383035449435897</v>
      </c>
      <c r="I7" s="2">
        <v>0.68067645200000004</v>
      </c>
      <c r="J7" s="20">
        <f t="shared" si="1"/>
        <v>6.8067645200000007</v>
      </c>
      <c r="K7" s="21">
        <f t="shared" ref="K7:K18" si="8">J7*100</f>
        <v>680.67645200000004</v>
      </c>
      <c r="L7" s="3">
        <f>(F7*AA$11)/AA$12</f>
        <v>16176.729122151355</v>
      </c>
      <c r="M7" s="4">
        <f>(AA$15*G7*N7)/8</f>
        <v>3.4710227024058575</v>
      </c>
      <c r="N7" s="4">
        <f>(K7*2*AA$11)/(AA$13*AA$15*G7)</f>
        <v>2.7272498963416863E-2</v>
      </c>
      <c r="O7" s="4">
        <f>N7/4</f>
        <v>6.8181247408542157E-3</v>
      </c>
      <c r="P7" s="4">
        <f>3.7*(10^(-1/(2*SQRT(N7)))-2.51/(L7*SQRT(N7)))</f>
        <v>-4.6680742583505224E-6</v>
      </c>
      <c r="Q7" s="2">
        <v>1101263.3130000001</v>
      </c>
      <c r="R7" s="2">
        <v>18779.259000000002</v>
      </c>
      <c r="S7" s="2">
        <v>73.341666666666654</v>
      </c>
      <c r="U7" s="22">
        <v>0.1</v>
      </c>
      <c r="V7" s="23">
        <f>(U7*AA$11)/AA$12</f>
        <v>1622.2935369866352</v>
      </c>
      <c r="W7" s="23">
        <f t="shared" ref="W7:W31" si="9">0.292/(V7^(0.25))</f>
        <v>4.6009815521590038E-2</v>
      </c>
      <c r="X7" s="23">
        <f>0.0791/(V7^0.25)</f>
        <v>1.2463617834786892E-2</v>
      </c>
      <c r="Y7" s="25"/>
      <c r="Z7" s="1" t="s">
        <v>24</v>
      </c>
      <c r="AA7" s="2">
        <f>AA$9*AA$10</f>
        <v>4.8750000000000003E-4</v>
      </c>
    </row>
    <row r="8" spans="1:31" x14ac:dyDescent="0.35">
      <c r="A8" s="2">
        <v>30</v>
      </c>
      <c r="B8" s="2">
        <v>2600</v>
      </c>
      <c r="C8" s="19">
        <f t="shared" si="3"/>
        <v>43.333419999999997</v>
      </c>
      <c r="D8" s="19">
        <f t="shared" si="4"/>
        <v>0.72222280000000005</v>
      </c>
      <c r="E8" s="3">
        <f t="shared" si="5"/>
        <v>7.2222280000000007E-4</v>
      </c>
      <c r="F8" s="19">
        <f t="shared" si="6"/>
        <v>1.4814826666666667</v>
      </c>
      <c r="G8" s="19">
        <f t="shared" si="0"/>
        <v>2.1947908916337782</v>
      </c>
      <c r="H8" s="19">
        <f t="shared" si="7"/>
        <v>2.8797652667733336</v>
      </c>
      <c r="I8" s="2">
        <v>1.5749022580000001</v>
      </c>
      <c r="J8" s="20">
        <f t="shared" si="1"/>
        <v>15.74902258</v>
      </c>
      <c r="K8" s="21">
        <f t="shared" si="8"/>
        <v>1574.9022580000001</v>
      </c>
      <c r="L8" s="3">
        <f t="shared" ref="L8:L18" si="10">(F8*AA$11)/AA$12</f>
        <v>24033.997552910587</v>
      </c>
      <c r="M8" s="4">
        <f t="shared" ref="M8:M18" si="11">(AA$15*G8*N8)/8</f>
        <v>8.0310130834205005</v>
      </c>
      <c r="N8" s="4">
        <f t="shared" ref="N8:N18" si="12">(K8*2*AA$11)/(AA$13*AA$15*G8)</f>
        <v>2.8586910011968381E-2</v>
      </c>
      <c r="O8" s="4">
        <f t="shared" ref="O8:O18" si="13">N8/4</f>
        <v>7.1467275029920953E-3</v>
      </c>
      <c r="P8" s="4">
        <f t="shared" ref="P8:P18" si="14">3.7*(10^(-1/(2*SQRT(N8)))-2.51/(L8*SQRT(N8)))</f>
        <v>1.7974262463971689E-3</v>
      </c>
      <c r="Q8" s="2">
        <v>1089485.1913333333</v>
      </c>
      <c r="R8" s="2">
        <v>18833.681666666667</v>
      </c>
      <c r="S8" s="2">
        <v>73.702666666666673</v>
      </c>
      <c r="U8" s="22">
        <v>0.2</v>
      </c>
      <c r="V8" s="23">
        <f t="shared" si="2"/>
        <v>3244.5870739732704</v>
      </c>
      <c r="W8" s="23">
        <f t="shared" si="9"/>
        <v>3.868948893858979E-2</v>
      </c>
      <c r="X8" s="23">
        <f t="shared" ref="X8:X31" si="15">0.0791/(V8^0.25)</f>
        <v>1.0480611558364564E-2</v>
      </c>
      <c r="Y8" s="25"/>
      <c r="Z8" s="2" t="s">
        <v>25</v>
      </c>
    </row>
    <row r="9" spans="1:31" ht="19" x14ac:dyDescent="0.4">
      <c r="A9" s="2">
        <v>35</v>
      </c>
      <c r="B9" s="2">
        <v>3300</v>
      </c>
      <c r="C9" s="19">
        <f t="shared" si="3"/>
        <v>55.000109999999999</v>
      </c>
      <c r="D9" s="19">
        <f t="shared" si="4"/>
        <v>0.91666740000000002</v>
      </c>
      <c r="E9" s="3">
        <f t="shared" si="5"/>
        <v>9.1666740000000005E-4</v>
      </c>
      <c r="F9" s="19">
        <f t="shared" si="6"/>
        <v>1.8803433846153845</v>
      </c>
      <c r="G9" s="19">
        <f t="shared" si="0"/>
        <v>3.53569124406684</v>
      </c>
      <c r="H9" s="19">
        <f t="shared" si="7"/>
        <v>3.6550866847507693</v>
      </c>
      <c r="I9" s="2">
        <v>2.5242990320000001</v>
      </c>
      <c r="J9" s="20">
        <f t="shared" si="1"/>
        <v>25.242990320000001</v>
      </c>
      <c r="K9" s="21">
        <f t="shared" si="8"/>
        <v>2524.2990319999999</v>
      </c>
      <c r="L9" s="3">
        <f t="shared" si="10"/>
        <v>30504.689201771125</v>
      </c>
      <c r="M9" s="4">
        <f t="shared" si="11"/>
        <v>12.872340775104599</v>
      </c>
      <c r="N9" s="4">
        <f t="shared" si="12"/>
        <v>2.8442857524468717E-2</v>
      </c>
      <c r="O9" s="4">
        <f t="shared" si="13"/>
        <v>7.1107143811171792E-3</v>
      </c>
      <c r="P9" s="4">
        <f t="shared" si="14"/>
        <v>2.2079473731759724E-3</v>
      </c>
      <c r="Q9" s="2">
        <v>1062009.6945</v>
      </c>
      <c r="R9" s="2">
        <v>18765.4725</v>
      </c>
      <c r="S9" s="2">
        <v>75.865499999999997</v>
      </c>
      <c r="U9" s="22">
        <v>0.3</v>
      </c>
      <c r="V9" s="23">
        <f t="shared" si="2"/>
        <v>4866.8806109599045</v>
      </c>
      <c r="W9" s="23">
        <f t="shared" si="9"/>
        <v>3.4959899723550646E-2</v>
      </c>
      <c r="X9" s="23">
        <f t="shared" si="15"/>
        <v>9.4703016031947151E-3</v>
      </c>
      <c r="Y9" s="25"/>
      <c r="Z9" s="1" t="s">
        <v>26</v>
      </c>
      <c r="AA9" s="19">
        <v>0.05</v>
      </c>
      <c r="AD9" s="27" t="s">
        <v>27</v>
      </c>
    </row>
    <row r="10" spans="1:31" ht="18.5" x14ac:dyDescent="0.35">
      <c r="A10" s="2">
        <v>40</v>
      </c>
      <c r="B10" s="2">
        <v>4150</v>
      </c>
      <c r="C10" s="19">
        <f t="shared" si="3"/>
        <v>69.166804999999997</v>
      </c>
      <c r="D10" s="19">
        <f t="shared" si="4"/>
        <v>1.1527787</v>
      </c>
      <c r="E10" s="3">
        <f t="shared" si="5"/>
        <v>1.1527787000000002E-3</v>
      </c>
      <c r="F10" s="19">
        <f t="shared" si="6"/>
        <v>2.3646742564102565</v>
      </c>
      <c r="G10" s="19">
        <f t="shared" si="0"/>
        <v>5.5916843389294</v>
      </c>
      <c r="H10" s="19">
        <f t="shared" si="7"/>
        <v>4.5965484065805127</v>
      </c>
      <c r="I10" s="2">
        <v>3.8641635480000001</v>
      </c>
      <c r="J10" s="20">
        <f t="shared" si="1"/>
        <v>38.641635479999998</v>
      </c>
      <c r="K10" s="21">
        <f t="shared" si="8"/>
        <v>3864.163548</v>
      </c>
      <c r="L10" s="3">
        <f t="shared" si="10"/>
        <v>38361.957632530357</v>
      </c>
      <c r="M10" s="4">
        <f t="shared" si="11"/>
        <v>19.7048088875523</v>
      </c>
      <c r="N10" s="4">
        <f t="shared" si="12"/>
        <v>2.7530849401180051E-2</v>
      </c>
      <c r="O10" s="4">
        <f t="shared" si="13"/>
        <v>6.8827123502950126E-3</v>
      </c>
      <c r="P10" s="4">
        <f t="shared" si="14"/>
        <v>2.128353127921691E-3</v>
      </c>
      <c r="Q10" s="2">
        <v>1055224.977</v>
      </c>
      <c r="R10" s="2">
        <v>18861.822</v>
      </c>
      <c r="S10" s="2">
        <v>76.313999999999993</v>
      </c>
      <c r="U10" s="22">
        <v>0.4</v>
      </c>
      <c r="V10" s="23">
        <f t="shared" si="2"/>
        <v>6489.1741479465409</v>
      </c>
      <c r="W10" s="23">
        <f t="shared" si="9"/>
        <v>3.2533852556458395E-2</v>
      </c>
      <c r="X10" s="23">
        <f t="shared" si="15"/>
        <v>8.8131086890954075E-3</v>
      </c>
      <c r="Y10" s="25"/>
      <c r="Z10" s="1" t="s">
        <v>28</v>
      </c>
      <c r="AA10" s="19">
        <v>9.75E-3</v>
      </c>
      <c r="AD10" s="28" t="s">
        <v>29</v>
      </c>
      <c r="AE10" s="2" t="s">
        <v>30</v>
      </c>
    </row>
    <row r="11" spans="1:31" ht="16.5" x14ac:dyDescent="0.4">
      <c r="A11" s="2">
        <v>45</v>
      </c>
      <c r="B11" s="2">
        <v>4950</v>
      </c>
      <c r="C11" s="19">
        <f t="shared" si="3"/>
        <v>82.500164999999996</v>
      </c>
      <c r="D11" s="19">
        <f t="shared" si="4"/>
        <v>1.3750011</v>
      </c>
      <c r="E11" s="3">
        <f t="shared" si="5"/>
        <v>1.3750011000000001E-3</v>
      </c>
      <c r="F11" s="19">
        <f t="shared" si="6"/>
        <v>2.8205150769230767</v>
      </c>
      <c r="G11" s="19">
        <f t="shared" si="0"/>
        <v>7.955305299150389</v>
      </c>
      <c r="H11" s="19">
        <f t="shared" si="7"/>
        <v>5.4826300271261532</v>
      </c>
      <c r="I11" s="2">
        <v>5.3406506450000002</v>
      </c>
      <c r="J11" s="20">
        <f t="shared" si="1"/>
        <v>53.406506450000002</v>
      </c>
      <c r="K11" s="21">
        <f t="shared" si="8"/>
        <v>5340.6506450000006</v>
      </c>
      <c r="L11" s="3">
        <f t="shared" si="10"/>
        <v>45757.033802656682</v>
      </c>
      <c r="M11" s="4">
        <f t="shared" si="11"/>
        <v>27.233966416710253</v>
      </c>
      <c r="N11" s="4">
        <f t="shared" si="12"/>
        <v>2.6745090807925597E-2</v>
      </c>
      <c r="O11" s="4">
        <f t="shared" si="13"/>
        <v>6.6862727019813993E-3</v>
      </c>
      <c r="P11" s="4">
        <f t="shared" si="14"/>
        <v>2.0010735773952461E-3</v>
      </c>
      <c r="Q11" s="2">
        <v>1005121.346</v>
      </c>
      <c r="R11" s="2">
        <v>18750.0085</v>
      </c>
      <c r="S11" s="2">
        <v>79.663000000000011</v>
      </c>
      <c r="U11" s="22">
        <v>0.5</v>
      </c>
      <c r="V11" s="23">
        <f t="shared" si="2"/>
        <v>8111.4676849331745</v>
      </c>
      <c r="W11" s="23">
        <f t="shared" si="9"/>
        <v>3.0768618063817036E-2</v>
      </c>
      <c r="X11" s="23">
        <f t="shared" si="15"/>
        <v>8.3349235919449594E-3</v>
      </c>
      <c r="Y11" s="25"/>
      <c r="Z11" s="1" t="s">
        <v>31</v>
      </c>
      <c r="AA11" s="4">
        <f>2*(AA9*AA10)/(AA9+AA10)</f>
        <v>1.6317991631799162E-2</v>
      </c>
      <c r="AB11" s="1">
        <f>10*AA11*100</f>
        <v>16.31799163179916</v>
      </c>
      <c r="AD11" s="27" t="s">
        <v>32</v>
      </c>
      <c r="AE11" s="2" t="s">
        <v>33</v>
      </c>
    </row>
    <row r="12" spans="1:31" ht="18.5" x14ac:dyDescent="0.35">
      <c r="A12" s="49" t="s">
        <v>68</v>
      </c>
      <c r="B12" s="29">
        <v>5600</v>
      </c>
      <c r="C12" s="19">
        <f t="shared" si="3"/>
        <v>93.333519999999993</v>
      </c>
      <c r="D12" s="19">
        <f t="shared" si="4"/>
        <v>1.5555568</v>
      </c>
      <c r="E12" s="3">
        <f t="shared" si="5"/>
        <v>1.5555568000000001E-3</v>
      </c>
      <c r="F12" s="19">
        <f t="shared" si="6"/>
        <v>3.1908857435897438</v>
      </c>
      <c r="G12" s="19">
        <f t="shared" si="0"/>
        <v>10.181751828644272</v>
      </c>
      <c r="H12" s="19">
        <f t="shared" si="7"/>
        <v>6.2025713438194874</v>
      </c>
      <c r="I12" s="30">
        <v>6.5561635479999998</v>
      </c>
      <c r="J12" s="20">
        <f t="shared" si="1"/>
        <v>65.561635479999993</v>
      </c>
      <c r="K12" s="21">
        <f t="shared" si="8"/>
        <v>6556.1635479999995</v>
      </c>
      <c r="L12" s="3">
        <f t="shared" si="10"/>
        <v>51765.533190884344</v>
      </c>
      <c r="M12" s="4">
        <f t="shared" si="11"/>
        <v>33.432319347803336</v>
      </c>
      <c r="N12" s="4">
        <f t="shared" si="12"/>
        <v>2.565275595992323E-2</v>
      </c>
      <c r="O12" s="4">
        <f t="shared" si="13"/>
        <v>6.4131889899808076E-3</v>
      </c>
      <c r="P12" s="4">
        <f t="shared" si="14"/>
        <v>1.6750964716793243E-3</v>
      </c>
      <c r="Q12" s="2">
        <v>980541.06300000008</v>
      </c>
      <c r="R12" s="2">
        <v>18740.905999999999</v>
      </c>
      <c r="S12" s="2">
        <v>81.88</v>
      </c>
      <c r="U12" s="22">
        <v>0.6</v>
      </c>
      <c r="V12" s="23">
        <f t="shared" si="2"/>
        <v>9733.761221919809</v>
      </c>
      <c r="W12" s="23">
        <f t="shared" si="9"/>
        <v>2.9397654355163068E-2</v>
      </c>
      <c r="X12" s="23">
        <f t="shared" si="15"/>
        <v>7.9635426694979403E-3</v>
      </c>
      <c r="Y12" s="25"/>
      <c r="Z12" s="1" t="s">
        <v>34</v>
      </c>
      <c r="AA12" s="31">
        <f>AA$16/AA$15</f>
        <v>1.0058593750000001E-6</v>
      </c>
    </row>
    <row r="13" spans="1:31" ht="16.5" x14ac:dyDescent="0.4">
      <c r="A13" s="2">
        <v>50</v>
      </c>
      <c r="B13" s="29">
        <v>5600</v>
      </c>
      <c r="C13" s="19">
        <f t="shared" si="3"/>
        <v>93.333519999999993</v>
      </c>
      <c r="D13" s="19">
        <f t="shared" si="4"/>
        <v>1.5555568</v>
      </c>
      <c r="E13" s="3">
        <f t="shared" si="5"/>
        <v>1.5555568000000001E-3</v>
      </c>
      <c r="F13" s="19">
        <f t="shared" si="6"/>
        <v>3.1908857435897438</v>
      </c>
      <c r="G13" s="19">
        <f t="shared" si="0"/>
        <v>10.181751828644272</v>
      </c>
      <c r="H13" s="19">
        <f t="shared" si="7"/>
        <v>6.2025713438194874</v>
      </c>
      <c r="I13" s="30">
        <v>6.5561635479999998</v>
      </c>
      <c r="J13" s="20">
        <f t="shared" si="1"/>
        <v>65.561635479999993</v>
      </c>
      <c r="K13" s="21">
        <f t="shared" si="8"/>
        <v>6556.1635479999995</v>
      </c>
      <c r="L13" s="3">
        <f t="shared" si="10"/>
        <v>51765.533190884344</v>
      </c>
      <c r="M13" s="4">
        <f t="shared" si="11"/>
        <v>33.432319347803336</v>
      </c>
      <c r="N13" s="4">
        <f t="shared" si="12"/>
        <v>2.565275595992323E-2</v>
      </c>
      <c r="O13" s="4">
        <f t="shared" si="13"/>
        <v>6.4131889899808076E-3</v>
      </c>
      <c r="P13" s="4">
        <f t="shared" si="14"/>
        <v>1.6750964716793243E-3</v>
      </c>
      <c r="Q13" s="2">
        <v>980541.06300000008</v>
      </c>
      <c r="R13" s="2">
        <v>18740.905999999999</v>
      </c>
      <c r="S13" s="2">
        <v>81.88</v>
      </c>
      <c r="U13" s="22">
        <v>0.7</v>
      </c>
      <c r="V13" s="23">
        <f t="shared" si="2"/>
        <v>11356.054758906443</v>
      </c>
      <c r="W13" s="23">
        <f t="shared" si="9"/>
        <v>2.8286289502146757E-2</v>
      </c>
      <c r="X13" s="23">
        <f t="shared" si="15"/>
        <v>7.6624845877390716E-3</v>
      </c>
      <c r="Y13" s="25"/>
      <c r="Z13" s="1" t="s">
        <v>35</v>
      </c>
      <c r="AA13" s="32">
        <v>0.8</v>
      </c>
      <c r="AD13" s="27" t="s">
        <v>36</v>
      </c>
      <c r="AE13" s="1" t="s">
        <v>37</v>
      </c>
    </row>
    <row r="14" spans="1:31" x14ac:dyDescent="0.35">
      <c r="A14" s="2">
        <v>45</v>
      </c>
      <c r="B14" s="33">
        <v>4850</v>
      </c>
      <c r="C14" s="19">
        <f t="shared" si="3"/>
        <v>80.833494999999999</v>
      </c>
      <c r="D14" s="19">
        <f t="shared" si="4"/>
        <v>1.3472233</v>
      </c>
      <c r="E14" s="3">
        <f t="shared" si="5"/>
        <v>1.3472233000000001E-3</v>
      </c>
      <c r="F14" s="19">
        <f t="shared" si="6"/>
        <v>2.7635349743589743</v>
      </c>
      <c r="G14" s="19">
        <f t="shared" si="0"/>
        <v>7.637125554505257</v>
      </c>
      <c r="H14" s="19">
        <f t="shared" si="7"/>
        <v>5.3718698245579484</v>
      </c>
      <c r="I14" s="30">
        <v>5.1210022579999999</v>
      </c>
      <c r="J14" s="20">
        <f t="shared" si="1"/>
        <v>51.21002258</v>
      </c>
      <c r="K14" s="21">
        <f t="shared" si="8"/>
        <v>5121.0022580000004</v>
      </c>
      <c r="L14" s="3">
        <f t="shared" si="10"/>
        <v>44832.649281390899</v>
      </c>
      <c r="M14" s="4">
        <f t="shared" si="11"/>
        <v>26.113897497646441</v>
      </c>
      <c r="N14" s="4">
        <f t="shared" si="12"/>
        <v>2.6713561633147614E-2</v>
      </c>
      <c r="O14" s="4">
        <f t="shared" si="13"/>
        <v>6.6783904082869036E-3</v>
      </c>
      <c r="P14" s="4">
        <f t="shared" si="14"/>
        <v>1.9612998234948406E-3</v>
      </c>
      <c r="Q14" s="2">
        <v>918434.52133333322</v>
      </c>
      <c r="R14" s="2">
        <v>18692.916666666668</v>
      </c>
      <c r="S14" s="2">
        <v>86.887666666666675</v>
      </c>
      <c r="U14" s="22">
        <v>0.8</v>
      </c>
      <c r="V14" s="23">
        <f t="shared" si="2"/>
        <v>12978.348295893082</v>
      </c>
      <c r="W14" s="23">
        <f t="shared" si="9"/>
        <v>2.7357599989118755E-2</v>
      </c>
      <c r="X14" s="23">
        <f t="shared" si="15"/>
        <v>7.4109115039016913E-3</v>
      </c>
      <c r="Y14" s="25"/>
      <c r="AA14" s="32"/>
    </row>
    <row r="15" spans="1:31" x14ac:dyDescent="0.35">
      <c r="A15" s="2">
        <v>40</v>
      </c>
      <c r="B15" s="33">
        <v>4150</v>
      </c>
      <c r="C15" s="19">
        <f t="shared" si="3"/>
        <v>69.166804999999997</v>
      </c>
      <c r="D15" s="19">
        <f t="shared" si="4"/>
        <v>1.1527787</v>
      </c>
      <c r="E15" s="3">
        <f t="shared" si="5"/>
        <v>1.1527787000000002E-3</v>
      </c>
      <c r="F15" s="19">
        <f t="shared" si="6"/>
        <v>2.3646742564102565</v>
      </c>
      <c r="G15" s="19">
        <f t="shared" si="0"/>
        <v>5.5916843389294</v>
      </c>
      <c r="H15" s="19">
        <f t="shared" si="7"/>
        <v>4.5965484065805127</v>
      </c>
      <c r="I15" s="30">
        <v>3.9755183870000002</v>
      </c>
      <c r="J15" s="20">
        <f t="shared" si="1"/>
        <v>39.755183870000003</v>
      </c>
      <c r="K15" s="21">
        <f t="shared" si="8"/>
        <v>3975.5183870000005</v>
      </c>
      <c r="L15" s="3">
        <f t="shared" si="10"/>
        <v>38361.957632530357</v>
      </c>
      <c r="M15" s="4">
        <f t="shared" si="11"/>
        <v>20.272648678478035</v>
      </c>
      <c r="N15" s="4">
        <f t="shared" si="12"/>
        <v>2.8324214708967916E-2</v>
      </c>
      <c r="O15" s="4">
        <f t="shared" si="13"/>
        <v>7.081053677241979E-3</v>
      </c>
      <c r="P15" s="4">
        <f t="shared" si="14"/>
        <v>2.517771792736699E-3</v>
      </c>
      <c r="Q15" s="2">
        <v>937978.92366666661</v>
      </c>
      <c r="R15" s="2">
        <v>18704.585999999999</v>
      </c>
      <c r="S15" s="2">
        <v>85.256666666666661</v>
      </c>
      <c r="T15" s="34"/>
      <c r="U15" s="22">
        <v>0.9</v>
      </c>
      <c r="V15" s="23">
        <f t="shared" si="2"/>
        <v>14600.641832879715</v>
      </c>
      <c r="W15" s="23">
        <f t="shared" si="9"/>
        <v>2.6563779376755033E-2</v>
      </c>
      <c r="X15" s="23">
        <f t="shared" si="15"/>
        <v>7.1958731119908335E-3</v>
      </c>
      <c r="Y15" s="25"/>
      <c r="Z15" s="2" t="s">
        <v>38</v>
      </c>
      <c r="AA15" s="32">
        <f>VLOOKUP(AA17, SW!$A$4:$F$34, 3, FALSE)</f>
        <v>1024</v>
      </c>
      <c r="AB15" s="32"/>
    </row>
    <row r="16" spans="1:31" x14ac:dyDescent="0.35">
      <c r="A16" s="2">
        <v>35</v>
      </c>
      <c r="B16" s="35">
        <v>3300</v>
      </c>
      <c r="C16" s="19">
        <f t="shared" si="3"/>
        <v>55.000109999999999</v>
      </c>
      <c r="D16" s="19">
        <f t="shared" si="4"/>
        <v>0.91666740000000002</v>
      </c>
      <c r="E16" s="3">
        <f t="shared" si="5"/>
        <v>9.1666740000000005E-4</v>
      </c>
      <c r="F16" s="19">
        <f t="shared" si="6"/>
        <v>1.8803433846153845</v>
      </c>
      <c r="G16" s="19">
        <f t="shared" si="0"/>
        <v>3.53569124406684</v>
      </c>
      <c r="H16" s="19">
        <f t="shared" si="7"/>
        <v>3.6550866847507693</v>
      </c>
      <c r="I16" s="35">
        <v>2.5484764520000001</v>
      </c>
      <c r="J16" s="20">
        <f t="shared" si="1"/>
        <v>25.484764519999999</v>
      </c>
      <c r="K16" s="21">
        <f t="shared" si="8"/>
        <v>2548.4764519999999</v>
      </c>
      <c r="L16" s="3">
        <f t="shared" si="10"/>
        <v>30504.689201771125</v>
      </c>
      <c r="M16" s="4">
        <f t="shared" si="11"/>
        <v>12.995630442991628</v>
      </c>
      <c r="N16" s="4">
        <f t="shared" si="12"/>
        <v>2.8715279651820403E-2</v>
      </c>
      <c r="O16" s="4">
        <f t="shared" si="13"/>
        <v>7.1788199129551008E-3</v>
      </c>
      <c r="P16" s="4">
        <f t="shared" si="14"/>
        <v>2.3489292496166963E-3</v>
      </c>
      <c r="Q16" s="2">
        <v>954986.21600000001</v>
      </c>
      <c r="R16" s="2">
        <v>18697.020666666664</v>
      </c>
      <c r="S16" s="2">
        <v>83.820666666666668</v>
      </c>
      <c r="U16" s="22">
        <v>1</v>
      </c>
      <c r="V16" s="23">
        <f t="shared" si="2"/>
        <v>16222.935369866349</v>
      </c>
      <c r="W16" s="23">
        <f t="shared" si="9"/>
        <v>2.5873220632174433E-2</v>
      </c>
      <c r="X16" s="23">
        <f t="shared" si="15"/>
        <v>7.0088073698801297E-3</v>
      </c>
      <c r="Y16" s="25"/>
      <c r="Z16" s="2" t="s">
        <v>39</v>
      </c>
      <c r="AA16" s="32">
        <f>VLOOKUP(AA17, SW!$A$4:$F$34, 5, FALSE)</f>
        <v>1.0300000000000001E-3</v>
      </c>
    </row>
    <row r="17" spans="1:33" x14ac:dyDescent="0.35">
      <c r="A17" s="2">
        <v>30</v>
      </c>
      <c r="B17" s="18">
        <v>2600</v>
      </c>
      <c r="C17" s="19">
        <f t="shared" si="3"/>
        <v>43.333419999999997</v>
      </c>
      <c r="D17" s="19">
        <f t="shared" si="4"/>
        <v>0.72222280000000005</v>
      </c>
      <c r="E17" s="3">
        <f t="shared" si="5"/>
        <v>7.2222280000000007E-4</v>
      </c>
      <c r="F17" s="19">
        <f t="shared" si="6"/>
        <v>1.4814826666666667</v>
      </c>
      <c r="G17" s="19">
        <f t="shared" si="0"/>
        <v>2.1947908916337782</v>
      </c>
      <c r="H17" s="19">
        <f t="shared" si="7"/>
        <v>2.8797652667733336</v>
      </c>
      <c r="I17" s="20">
        <v>1.5463990320000001</v>
      </c>
      <c r="J17" s="20">
        <f t="shared" si="1"/>
        <v>15.463990320000001</v>
      </c>
      <c r="K17" s="21">
        <f t="shared" si="8"/>
        <v>1546.399032</v>
      </c>
      <c r="L17" s="3">
        <f t="shared" si="10"/>
        <v>24033.997552910587</v>
      </c>
      <c r="M17" s="4">
        <f t="shared" si="11"/>
        <v>7.8856645198744761</v>
      </c>
      <c r="N17" s="4">
        <f t="shared" si="12"/>
        <v>2.8069532408009929E-2</v>
      </c>
      <c r="O17" s="4">
        <f t="shared" si="13"/>
        <v>7.0173831020024823E-3</v>
      </c>
      <c r="P17" s="4">
        <f t="shared" si="14"/>
        <v>1.5292159800759861E-3</v>
      </c>
      <c r="Q17" s="2">
        <v>982875.01966666675</v>
      </c>
      <c r="R17" s="2">
        <v>18768.525999999998</v>
      </c>
      <c r="S17" s="2">
        <v>81.599000000000004</v>
      </c>
      <c r="T17" s="14"/>
      <c r="U17" s="22">
        <v>1.1000000000000001</v>
      </c>
      <c r="V17" s="23">
        <f t="shared" si="2"/>
        <v>17845.228906852986</v>
      </c>
      <c r="W17" s="23">
        <f t="shared" si="9"/>
        <v>2.5264012099384225E-2</v>
      </c>
      <c r="X17" s="23">
        <f t="shared" si="15"/>
        <v>6.8437786200729201E-3</v>
      </c>
      <c r="Y17" s="25"/>
      <c r="Z17" s="2" t="s">
        <v>161</v>
      </c>
      <c r="AA17" s="2">
        <v>22</v>
      </c>
    </row>
    <row r="18" spans="1:33" x14ac:dyDescent="0.35">
      <c r="A18" s="2">
        <v>25</v>
      </c>
      <c r="B18" s="18">
        <v>1850</v>
      </c>
      <c r="C18" s="19">
        <f t="shared" si="3"/>
        <v>30.833394999999999</v>
      </c>
      <c r="D18" s="19">
        <f t="shared" si="4"/>
        <v>0.51388929999999999</v>
      </c>
      <c r="E18" s="3">
        <f t="shared" si="5"/>
        <v>5.1388930000000001E-4</v>
      </c>
      <c r="F18" s="19">
        <f t="shared" si="6"/>
        <v>1.0541318974358973</v>
      </c>
      <c r="G18" s="19">
        <f t="shared" si="0"/>
        <v>1.1111940571918051</v>
      </c>
      <c r="H18" s="19">
        <f t="shared" si="7"/>
        <v>2.0490637475117945</v>
      </c>
      <c r="I18" s="20">
        <v>0.71584419399999999</v>
      </c>
      <c r="J18" s="20">
        <f t="shared" si="1"/>
        <v>7.1584419399999994</v>
      </c>
      <c r="K18" s="21">
        <f t="shared" si="8"/>
        <v>715.8441939999999</v>
      </c>
      <c r="L18" s="3">
        <f t="shared" si="10"/>
        <v>17101.113643417146</v>
      </c>
      <c r="M18" s="4">
        <f t="shared" si="11"/>
        <v>3.6503561148012542</v>
      </c>
      <c r="N18" s="4">
        <f t="shared" si="12"/>
        <v>2.5664650528239991E-2</v>
      </c>
      <c r="O18" s="4">
        <f t="shared" si="13"/>
        <v>6.4161626320599977E-3</v>
      </c>
      <c r="P18" s="4">
        <f t="shared" si="14"/>
        <v>-5.8998741292492151E-4</v>
      </c>
      <c r="Q18" s="78">
        <v>987188.80733333342</v>
      </c>
      <c r="R18" s="61">
        <v>18723.38966666667</v>
      </c>
      <c r="S18" s="79">
        <v>81.462666666666664</v>
      </c>
      <c r="U18" s="22">
        <v>1.2</v>
      </c>
      <c r="V18" s="23">
        <f t="shared" si="2"/>
        <v>19467.522443839618</v>
      </c>
      <c r="W18" s="23">
        <f t="shared" si="9"/>
        <v>2.4720382164124369E-2</v>
      </c>
      <c r="X18" s="23">
        <f t="shared" si="15"/>
        <v>6.6965144835008147E-3</v>
      </c>
      <c r="Y18" s="25"/>
      <c r="Z18" s="1"/>
      <c r="AA18" s="1"/>
      <c r="AD18" s="36" t="s">
        <v>40</v>
      </c>
      <c r="AE18" s="37"/>
      <c r="AF18" s="37"/>
      <c r="AG18" s="37"/>
    </row>
    <row r="19" spans="1:33" x14ac:dyDescent="0.35">
      <c r="A19" s="24"/>
      <c r="B19" s="18"/>
      <c r="C19" s="19"/>
      <c r="D19" s="19"/>
      <c r="E19" s="3"/>
      <c r="F19" s="19"/>
      <c r="G19" s="19"/>
      <c r="H19" s="19"/>
      <c r="I19" s="20"/>
      <c r="J19" s="20"/>
      <c r="K19" s="21"/>
      <c r="Q19" s="70"/>
      <c r="R19" s="25"/>
      <c r="S19" s="73"/>
      <c r="U19" s="22">
        <v>1.3</v>
      </c>
      <c r="V19" s="23">
        <f t="shared" si="2"/>
        <v>21089.815980826254</v>
      </c>
      <c r="W19" s="23">
        <f t="shared" si="9"/>
        <v>2.4230627091101728E-2</v>
      </c>
      <c r="X19" s="23">
        <f t="shared" si="15"/>
        <v>6.563844530500503E-3</v>
      </c>
      <c r="Y19" s="25"/>
      <c r="AD19" s="38" t="s">
        <v>41</v>
      </c>
      <c r="AE19" s="37" t="s">
        <v>42</v>
      </c>
      <c r="AF19" s="37" t="s">
        <v>43</v>
      </c>
      <c r="AG19" s="37" t="s">
        <v>44</v>
      </c>
    </row>
    <row r="20" spans="1:33" x14ac:dyDescent="0.35">
      <c r="A20" s="24"/>
      <c r="B20" s="18"/>
      <c r="C20" s="19"/>
      <c r="D20" s="19"/>
      <c r="E20" s="3"/>
      <c r="F20" s="19"/>
      <c r="G20" s="19"/>
      <c r="H20" s="19"/>
      <c r="I20" s="20"/>
      <c r="J20" s="20"/>
      <c r="K20" s="21"/>
      <c r="U20" s="22">
        <v>1.4</v>
      </c>
      <c r="V20" s="23">
        <f t="shared" si="2"/>
        <v>22712.109517812885</v>
      </c>
      <c r="W20" s="23">
        <f t="shared" si="9"/>
        <v>2.3785839443183986E-2</v>
      </c>
      <c r="X20" s="23">
        <f t="shared" si="15"/>
        <v>6.4433558217666213E-3</v>
      </c>
      <c r="Y20" s="25"/>
      <c r="Z20" s="1" t="s">
        <v>45</v>
      </c>
      <c r="AA20" s="1">
        <f>4*10^(-6)</f>
        <v>3.9999999999999998E-6</v>
      </c>
      <c r="AD20" s="38" t="s">
        <v>46</v>
      </c>
      <c r="AE20" s="37" t="s">
        <v>47</v>
      </c>
      <c r="AF20" s="37" t="s">
        <v>48</v>
      </c>
      <c r="AG20" s="37" t="s">
        <v>49</v>
      </c>
    </row>
    <row r="21" spans="1:33" x14ac:dyDescent="0.35">
      <c r="A21" s="24"/>
      <c r="B21" s="18"/>
      <c r="C21" s="19"/>
      <c r="D21" s="19"/>
      <c r="E21" s="3"/>
      <c r="F21" s="19"/>
      <c r="G21" s="19"/>
      <c r="H21" s="19"/>
      <c r="I21" s="20"/>
      <c r="J21" s="20"/>
      <c r="K21" s="21"/>
      <c r="Q21" s="70"/>
      <c r="R21" s="25"/>
      <c r="S21" s="73"/>
      <c r="U21" s="22">
        <v>1.5</v>
      </c>
      <c r="V21" s="23">
        <f t="shared" si="2"/>
        <v>24334.403054799528</v>
      </c>
      <c r="W21" s="23">
        <f t="shared" si="9"/>
        <v>2.3379094003072396E-2</v>
      </c>
      <c r="X21" s="23">
        <f t="shared" si="15"/>
        <v>6.3331723823391323E-3</v>
      </c>
      <c r="Y21" s="25"/>
      <c r="Z21" s="1" t="s">
        <v>50</v>
      </c>
      <c r="AA21" s="2">
        <f>AA20/AA11</f>
        <v>2.4512820512820511E-4</v>
      </c>
      <c r="AD21" s="37">
        <v>0</v>
      </c>
      <c r="AE21" s="37">
        <v>1.792E-3</v>
      </c>
      <c r="AF21" s="37">
        <v>999.87</v>
      </c>
      <c r="AG21" s="39">
        <v>1.7922329902887374E-6</v>
      </c>
    </row>
    <row r="22" spans="1:33" x14ac:dyDescent="0.35">
      <c r="A22" s="24"/>
      <c r="B22" s="18"/>
      <c r="C22" s="19"/>
      <c r="D22" s="19"/>
      <c r="E22" s="3"/>
      <c r="F22" s="19"/>
      <c r="G22" s="19"/>
      <c r="H22" s="19"/>
      <c r="I22" s="20"/>
      <c r="J22" s="20"/>
      <c r="K22" s="21"/>
      <c r="Q22" s="70"/>
      <c r="R22" s="25"/>
      <c r="S22" s="73"/>
      <c r="U22" s="22">
        <v>1.6</v>
      </c>
      <c r="V22" s="23">
        <f t="shared" si="2"/>
        <v>25956.696591786163</v>
      </c>
      <c r="W22" s="23">
        <f t="shared" si="9"/>
        <v>2.3004907760795022E-2</v>
      </c>
      <c r="X22" s="23">
        <f t="shared" si="15"/>
        <v>6.2318089173934469E-3</v>
      </c>
      <c r="Y22" s="25"/>
      <c r="AD22" s="37">
        <v>5</v>
      </c>
      <c r="AE22" s="37">
        <v>1.519E-3</v>
      </c>
      <c r="AF22" s="37">
        <v>999.99</v>
      </c>
      <c r="AG22" s="39">
        <v>1.5190151901519014E-6</v>
      </c>
    </row>
    <row r="23" spans="1:33" x14ac:dyDescent="0.35">
      <c r="B23" s="18"/>
      <c r="C23" s="19"/>
      <c r="D23" s="19"/>
      <c r="E23" s="3"/>
      <c r="F23" s="3"/>
      <c r="G23" s="19"/>
      <c r="H23" s="19"/>
      <c r="I23" s="19"/>
      <c r="J23" s="20"/>
      <c r="K23" s="21"/>
      <c r="Q23" s="70"/>
      <c r="R23" s="25"/>
      <c r="S23" s="73"/>
      <c r="U23" s="22">
        <v>1.7</v>
      </c>
      <c r="V23" s="23">
        <f t="shared" si="2"/>
        <v>27578.990128772795</v>
      </c>
      <c r="W23" s="23">
        <f t="shared" si="9"/>
        <v>2.2658870722101841E-2</v>
      </c>
      <c r="X23" s="23">
        <f t="shared" si="15"/>
        <v>6.1380708017748486E-3</v>
      </c>
      <c r="Y23" s="25"/>
      <c r="Z23" s="40"/>
      <c r="AD23" s="37">
        <f>AD22+5</f>
        <v>10</v>
      </c>
      <c r="AE23" s="37">
        <v>1.3079999999999999E-3</v>
      </c>
      <c r="AF23" s="37">
        <v>999.73</v>
      </c>
      <c r="AG23" s="39">
        <v>1.3083532553789522E-6</v>
      </c>
    </row>
    <row r="24" spans="1:33" x14ac:dyDescent="0.35">
      <c r="B24" s="18"/>
      <c r="C24" s="19"/>
      <c r="D24" s="19"/>
      <c r="E24" s="3"/>
      <c r="F24" s="3"/>
      <c r="G24" s="19"/>
      <c r="H24" s="19"/>
      <c r="I24" s="19"/>
      <c r="J24" s="20"/>
      <c r="K24" s="21"/>
      <c r="Q24" s="71"/>
      <c r="R24" s="4"/>
      <c r="S24" s="74"/>
      <c r="U24" s="22">
        <v>1.8</v>
      </c>
      <c r="V24" s="23">
        <f t="shared" si="2"/>
        <v>29201.283665759431</v>
      </c>
      <c r="W24" s="23">
        <f t="shared" si="9"/>
        <v>2.2337386853503855E-2</v>
      </c>
      <c r="X24" s="23">
        <f t="shared" si="15"/>
        <v>6.0509839044936824E-3</v>
      </c>
      <c r="Y24" s="4"/>
      <c r="Z24" s="40"/>
      <c r="AD24" s="37" t="e">
        <f>#REF!+5</f>
        <v>#REF!</v>
      </c>
      <c r="AE24" s="37">
        <v>1.005E-3</v>
      </c>
      <c r="AF24" s="37">
        <v>998.23</v>
      </c>
      <c r="AG24" s="39">
        <v>1.0067820041473407E-6</v>
      </c>
    </row>
    <row r="25" spans="1:33" x14ac:dyDescent="0.35">
      <c r="B25" s="18"/>
      <c r="C25" s="19"/>
      <c r="D25" s="19"/>
      <c r="E25" s="3"/>
      <c r="F25" s="3"/>
      <c r="G25" s="19"/>
      <c r="H25" s="19"/>
      <c r="I25" s="19"/>
      <c r="J25" s="20"/>
      <c r="K25" s="21"/>
      <c r="Q25" s="71"/>
      <c r="R25" s="4"/>
      <c r="S25" s="74"/>
      <c r="U25" s="22">
        <v>1.9</v>
      </c>
      <c r="V25" s="23">
        <f t="shared" si="2"/>
        <v>30823.577202746063</v>
      </c>
      <c r="W25" s="23">
        <f t="shared" si="9"/>
        <v>2.2037488146366042E-2</v>
      </c>
      <c r="X25" s="23">
        <f t="shared" si="15"/>
        <v>5.9697442204710753E-3</v>
      </c>
      <c r="Y25" s="4"/>
      <c r="Z25" s="40"/>
      <c r="AD25" s="37">
        <v>25</v>
      </c>
      <c r="AE25" s="37">
        <v>8.9400000000000005E-4</v>
      </c>
      <c r="AF25" s="37">
        <v>997.07</v>
      </c>
      <c r="AG25" s="39">
        <v>8.9662711745414066E-7</v>
      </c>
    </row>
    <row r="26" spans="1:33" x14ac:dyDescent="0.35">
      <c r="N26" s="22"/>
      <c r="Q26" s="71"/>
      <c r="R26" s="4"/>
      <c r="S26" s="74"/>
      <c r="U26" s="22">
        <v>2</v>
      </c>
      <c r="V26" s="23">
        <f t="shared" si="2"/>
        <v>32445.870739732698</v>
      </c>
      <c r="W26" s="23">
        <f t="shared" si="9"/>
        <v>2.1756698480663927E-2</v>
      </c>
      <c r="X26" s="23">
        <f t="shared" si="15"/>
        <v>5.8936809925360161E-3</v>
      </c>
      <c r="Y26" s="4"/>
      <c r="Z26" s="40"/>
      <c r="AD26" s="32"/>
      <c r="AE26" s="32"/>
      <c r="AF26" s="32"/>
      <c r="AG26" s="32"/>
    </row>
    <row r="27" spans="1:33" x14ac:dyDescent="0.35">
      <c r="K27" s="1"/>
      <c r="L27" s="4"/>
      <c r="N27" s="22"/>
      <c r="Q27" s="71"/>
      <c r="R27" s="4"/>
      <c r="S27" s="74"/>
      <c r="U27" s="22">
        <v>2.1</v>
      </c>
      <c r="V27" s="23">
        <f t="shared" si="2"/>
        <v>34068.164276719333</v>
      </c>
      <c r="W27" s="23">
        <f t="shared" si="9"/>
        <v>2.1492932178403121E-2</v>
      </c>
      <c r="X27" s="23">
        <f t="shared" si="15"/>
        <v>5.8222292305194767E-3</v>
      </c>
      <c r="Y27" s="4"/>
      <c r="Z27" s="40"/>
      <c r="AD27" s="32"/>
      <c r="AE27" s="32"/>
      <c r="AF27" s="32"/>
      <c r="AG27" s="32"/>
    </row>
    <row r="28" spans="1:33" x14ac:dyDescent="0.35">
      <c r="Q28" s="71"/>
      <c r="R28" s="4"/>
      <c r="S28" s="74"/>
      <c r="U28" s="22">
        <v>2.2000000000000002</v>
      </c>
      <c r="V28" s="23">
        <f t="shared" si="2"/>
        <v>35690.457813705973</v>
      </c>
      <c r="W28" s="23">
        <f t="shared" si="9"/>
        <v>2.124441720929867E-2</v>
      </c>
      <c r="X28" s="23">
        <f t="shared" si="15"/>
        <v>5.7549089084093317E-3</v>
      </c>
      <c r="Y28" s="4"/>
      <c r="Z28" s="40"/>
      <c r="AD28" s="32"/>
      <c r="AE28" s="32"/>
      <c r="AF28" s="32"/>
      <c r="AG28" s="32"/>
    </row>
    <row r="29" spans="1:33" x14ac:dyDescent="0.35">
      <c r="L29" s="41"/>
      <c r="Q29" s="71"/>
      <c r="R29" s="4"/>
      <c r="S29" s="74"/>
      <c r="U29" s="22">
        <v>2.2999999999999998</v>
      </c>
      <c r="V29" s="23">
        <f t="shared" si="2"/>
        <v>37312.751350692604</v>
      </c>
      <c r="W29" s="23">
        <f t="shared" si="9"/>
        <v>2.1009636231629929E-2</v>
      </c>
      <c r="X29" s="23">
        <f t="shared" si="15"/>
        <v>5.6913089928833129E-3</v>
      </c>
      <c r="Y29" s="4"/>
      <c r="Z29" s="40"/>
      <c r="AD29" s="32"/>
      <c r="AE29" s="32"/>
      <c r="AF29" s="32"/>
      <c r="AG29" s="32"/>
    </row>
    <row r="30" spans="1:33" x14ac:dyDescent="0.35">
      <c r="Q30" s="71"/>
      <c r="R30" s="4"/>
      <c r="S30" s="74"/>
      <c r="U30" s="22">
        <v>2.4</v>
      </c>
      <c r="V30" s="23">
        <f t="shared" si="2"/>
        <v>38935.044887679236</v>
      </c>
      <c r="W30" s="23">
        <f t="shared" si="9"/>
        <v>2.0787280745514055E-2</v>
      </c>
      <c r="X30" s="23">
        <f t="shared" si="15"/>
        <v>5.6310750238704179E-3</v>
      </c>
      <c r="Y30" s="4"/>
      <c r="Z30" s="40"/>
      <c r="AD30" s="32"/>
      <c r="AE30" s="32"/>
      <c r="AF30" s="32"/>
      <c r="AG30" s="32"/>
    </row>
    <row r="31" spans="1:33" x14ac:dyDescent="0.35">
      <c r="F31" s="1"/>
      <c r="G31" s="1"/>
      <c r="Q31" s="71"/>
      <c r="R31" s="4"/>
      <c r="S31" s="74"/>
      <c r="U31" s="22">
        <v>2.5</v>
      </c>
      <c r="V31" s="23">
        <f t="shared" si="2"/>
        <v>40557.338424665875</v>
      </c>
      <c r="W31" s="23">
        <f t="shared" si="9"/>
        <v>2.0576215027700056E-2</v>
      </c>
      <c r="X31" s="23">
        <f t="shared" si="15"/>
        <v>5.5738993448324475E-3</v>
      </c>
      <c r="Y31" s="4"/>
      <c r="Z31" s="40"/>
      <c r="AD31" s="32"/>
      <c r="AE31" s="32"/>
      <c r="AF31" s="32"/>
      <c r="AG31" s="32"/>
    </row>
    <row r="32" spans="1:33" x14ac:dyDescent="0.35">
      <c r="G32" s="19"/>
      <c r="Q32" s="71"/>
      <c r="R32" s="4"/>
      <c r="S32" s="74"/>
      <c r="Y32" s="4"/>
      <c r="Z32" s="40"/>
    </row>
    <row r="33" spans="7:27" x14ac:dyDescent="0.35">
      <c r="G33" s="19"/>
      <c r="Q33" s="71"/>
      <c r="R33" s="4"/>
      <c r="S33" s="74"/>
      <c r="Y33" s="4"/>
      <c r="Z33" s="40"/>
      <c r="AA33" s="1" t="s">
        <v>51</v>
      </c>
    </row>
    <row r="34" spans="7:27" x14ac:dyDescent="0.35">
      <c r="G34" s="19"/>
      <c r="Q34" s="71"/>
      <c r="R34" s="4"/>
      <c r="S34" s="74"/>
      <c r="Y34" s="4"/>
      <c r="Z34" s="40"/>
    </row>
    <row r="35" spans="7:27" x14ac:dyDescent="0.35">
      <c r="G35" s="19"/>
      <c r="Q35" s="71"/>
      <c r="R35" s="4"/>
      <c r="S35" s="74"/>
      <c r="Y35" s="4"/>
      <c r="Z35" s="40"/>
    </row>
    <row r="36" spans="7:27" x14ac:dyDescent="0.35">
      <c r="G36" s="19"/>
      <c r="Q36" s="71"/>
      <c r="R36" s="4"/>
      <c r="S36" s="74"/>
      <c r="Y36" s="4"/>
    </row>
    <row r="37" spans="7:27" x14ac:dyDescent="0.35">
      <c r="G37" s="19"/>
      <c r="Q37" s="71"/>
      <c r="R37" s="4"/>
      <c r="S37" s="74"/>
      <c r="Y37" s="4"/>
    </row>
    <row r="38" spans="7:27" x14ac:dyDescent="0.35">
      <c r="R38" s="68"/>
      <c r="S38" s="2"/>
      <c r="T38" s="89"/>
      <c r="Y38" s="4"/>
    </row>
    <row r="39" spans="7:27" x14ac:dyDescent="0.35">
      <c r="R39" s="43"/>
      <c r="S39" s="88"/>
      <c r="U39" s="4"/>
      <c r="V39" s="16"/>
      <c r="W39" s="16"/>
      <c r="X39" s="4"/>
      <c r="Y39" s="4"/>
    </row>
    <row r="40" spans="7:27" x14ac:dyDescent="0.35">
      <c r="R40" s="43"/>
      <c r="S40" s="88"/>
      <c r="U40" s="4"/>
      <c r="V40" s="16"/>
      <c r="W40" s="16"/>
      <c r="X40" s="4"/>
      <c r="Y40" s="4"/>
    </row>
    <row r="62" spans="17:17" x14ac:dyDescent="0.35">
      <c r="Q62" s="85"/>
    </row>
  </sheetData>
  <mergeCells count="3">
    <mergeCell ref="A3:N3"/>
    <mergeCell ref="Z5:AA5"/>
    <mergeCell ref="Q4:S4"/>
  </mergeCells>
  <pageMargins left="0.7" right="0.7" top="0.75" bottom="0.75" header="0.3" footer="0.3"/>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B684E-E1F2-4E64-B593-FF0FF8CCDE5B}">
  <dimension ref="A1:AG63"/>
  <sheetViews>
    <sheetView zoomScale="50" zoomScaleNormal="50" zoomScalePageLayoutView="90" workbookViewId="0">
      <selection activeCell="U36" sqref="P36:U44"/>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6.765625" style="4" customWidth="1"/>
    <col min="14" max="15" width="8.4609375" style="4" customWidth="1"/>
    <col min="16" max="16" width="27.23046875" style="4" customWidth="1"/>
    <col min="17" max="17" width="12.765625" style="68" customWidth="1"/>
    <col min="18" max="18" width="10" style="2" customWidth="1"/>
    <col min="19" max="19" width="13.3046875" style="72" bestFit="1" customWidth="1"/>
    <col min="20" max="20" width="8.4609375" style="5" customWidth="1"/>
    <col min="21" max="21" width="10.23046875" style="2" customWidth="1"/>
    <col min="22" max="22" width="13.84375" style="2" customWidth="1"/>
    <col min="23" max="25" width="10" style="2" customWidth="1"/>
    <col min="26" max="26" width="21" style="2" customWidth="1"/>
    <col min="27" max="27" width="8.69140625" style="2" customWidth="1"/>
    <col min="28" max="28" width="8.69140625" style="2"/>
    <col min="29" max="29" width="22" style="2" customWidth="1"/>
    <col min="30" max="30" width="35.84375" style="2" customWidth="1"/>
    <col min="31" max="31" width="16.84375" style="2" customWidth="1"/>
    <col min="32" max="16384" width="8.69140625" style="2"/>
  </cols>
  <sheetData>
    <row r="1" spans="1:31" x14ac:dyDescent="0.35">
      <c r="A1" s="1"/>
      <c r="I1" s="1"/>
      <c r="J1" s="1"/>
      <c r="Q1" s="69" t="s">
        <v>101</v>
      </c>
    </row>
    <row r="2" spans="1:31" x14ac:dyDescent="0.35">
      <c r="A2" s="1"/>
      <c r="I2" s="1"/>
      <c r="J2" s="1"/>
      <c r="Q2" s="69" t="s">
        <v>85</v>
      </c>
    </row>
    <row r="3" spans="1:31" x14ac:dyDescent="0.35">
      <c r="A3" s="150" t="s">
        <v>3</v>
      </c>
      <c r="B3" s="150"/>
      <c r="C3" s="150"/>
      <c r="D3" s="150"/>
      <c r="E3" s="150"/>
      <c r="F3" s="150"/>
      <c r="G3" s="150"/>
      <c r="H3" s="150"/>
      <c r="I3" s="150"/>
      <c r="J3" s="150"/>
      <c r="K3" s="150"/>
      <c r="L3" s="150"/>
      <c r="M3" s="150"/>
      <c r="N3" s="150"/>
      <c r="O3" s="48"/>
      <c r="P3" s="48"/>
      <c r="T3" s="7"/>
    </row>
    <row r="4" spans="1:31" x14ac:dyDescent="0.35">
      <c r="Q4" s="152" t="s">
        <v>81</v>
      </c>
      <c r="R4" s="153"/>
      <c r="S4" s="154"/>
    </row>
    <row r="5" spans="1:31"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T5" s="14"/>
      <c r="U5" s="15" t="s">
        <v>19</v>
      </c>
      <c r="V5" s="16" t="s">
        <v>14</v>
      </c>
      <c r="W5" s="15" t="s">
        <v>20</v>
      </c>
      <c r="X5" s="16" t="s">
        <v>21</v>
      </c>
      <c r="Y5" s="1"/>
      <c r="Z5" s="151" t="s">
        <v>22</v>
      </c>
      <c r="AA5" s="151"/>
    </row>
    <row r="6" spans="1:31" x14ac:dyDescent="0.35">
      <c r="A6" s="17" t="s">
        <v>23</v>
      </c>
      <c r="B6" s="18">
        <v>0</v>
      </c>
      <c r="C6" s="19">
        <f>B6*0.0166667</f>
        <v>0</v>
      </c>
      <c r="D6" s="19">
        <f>B6*0.000277778</f>
        <v>0</v>
      </c>
      <c r="E6" s="3">
        <f>0.001*D6</f>
        <v>0</v>
      </c>
      <c r="F6" s="19">
        <f>E6/AA$7</f>
        <v>0</v>
      </c>
      <c r="G6" s="19">
        <f t="shared" ref="G6:G18" si="0">F6^(2)</f>
        <v>0</v>
      </c>
      <c r="H6" s="19">
        <f>F6*1.94384</f>
        <v>0</v>
      </c>
      <c r="I6" s="20">
        <v>0</v>
      </c>
      <c r="J6" s="20">
        <f t="shared" ref="J6:J18" si="1">I6 * 10</f>
        <v>0</v>
      </c>
      <c r="K6" s="21">
        <f>J6*100</f>
        <v>0</v>
      </c>
      <c r="L6" s="3">
        <f>(F6*AA$11)/AA$12</f>
        <v>0</v>
      </c>
      <c r="U6" s="22">
        <v>0</v>
      </c>
      <c r="V6" s="23">
        <f t="shared" ref="V6:V31" si="2">(U6*AA$11)/AA$12</f>
        <v>0</v>
      </c>
      <c r="W6" s="23"/>
      <c r="X6" s="23"/>
    </row>
    <row r="7" spans="1:31" x14ac:dyDescent="0.35">
      <c r="A7" s="2">
        <v>25</v>
      </c>
      <c r="B7" s="2">
        <v>1950</v>
      </c>
      <c r="C7" s="19">
        <f t="shared" ref="C7:C18" si="3">B7*0.0166667</f>
        <v>32.500064999999999</v>
      </c>
      <c r="D7" s="19">
        <f t="shared" ref="D7:D18" si="4">B7*0.000277778</f>
        <v>0.54166710000000007</v>
      </c>
      <c r="E7" s="3">
        <f t="shared" ref="E7:E18" si="5">0.001*D7</f>
        <v>5.4166710000000005E-4</v>
      </c>
      <c r="F7" s="19">
        <f t="shared" ref="F7:F18" si="6">E7/AA$7</f>
        <v>1.1111120000000001</v>
      </c>
      <c r="G7" s="19">
        <f t="shared" si="0"/>
        <v>1.2345698765440003</v>
      </c>
      <c r="H7" s="19">
        <f t="shared" ref="H7:H18" si="7">F7*1.94384</f>
        <v>2.1598239500800003</v>
      </c>
      <c r="I7" s="2">
        <v>1.4618548387096777</v>
      </c>
      <c r="J7" s="20">
        <f t="shared" si="1"/>
        <v>14.618548387096777</v>
      </c>
      <c r="K7" s="21">
        <f t="shared" ref="K7:K18" si="8">J7*100</f>
        <v>1461.8548387096776</v>
      </c>
      <c r="L7" s="3">
        <f>(F7*AA$11)/AA$12</f>
        <v>17207.772431427242</v>
      </c>
      <c r="M7" s="4">
        <f>(AA$15*G7*N7)/8</f>
        <v>7.4545421953030093</v>
      </c>
      <c r="N7" s="4">
        <f>(K7*2*AA$11)/(AA$13*AA$15*G7)</f>
        <v>4.7127176718988056E-2</v>
      </c>
      <c r="O7" s="4">
        <f>N7/4</f>
        <v>1.1781794179747014E-2</v>
      </c>
      <c r="P7" s="4">
        <f>3.7*(10^(-1/(2*SQRT(N7)))-2.51/(L7*SQRT(N7)))</f>
        <v>1.5921119559112126E-2</v>
      </c>
      <c r="Q7" s="2">
        <v>946956.80666666664</v>
      </c>
      <c r="R7" s="2">
        <v>18618.381333333335</v>
      </c>
      <c r="S7" s="2">
        <v>67.169666666666657</v>
      </c>
      <c r="U7" s="22">
        <v>0.1</v>
      </c>
      <c r="V7" s="23">
        <f>(U7*AA$11)/AA$12</f>
        <v>1548.698279869828</v>
      </c>
      <c r="W7" s="23">
        <f t="shared" ref="W7:W31" si="9">0.292/(V7^(0.25))</f>
        <v>4.6546941259874255E-2</v>
      </c>
      <c r="X7" s="23">
        <f>0.0791/(V7^0.25)</f>
        <v>1.2609120046767308E-2</v>
      </c>
      <c r="Y7" s="25"/>
      <c r="Z7" s="1" t="s">
        <v>24</v>
      </c>
      <c r="AA7" s="2">
        <f>AA$9*AA$10</f>
        <v>4.8750000000000003E-4</v>
      </c>
    </row>
    <row r="8" spans="1:31" x14ac:dyDescent="0.35">
      <c r="A8" s="2">
        <v>30</v>
      </c>
      <c r="B8" s="2">
        <v>2850</v>
      </c>
      <c r="C8" s="19">
        <f t="shared" si="3"/>
        <v>47.500095000000002</v>
      </c>
      <c r="D8" s="19">
        <f t="shared" si="4"/>
        <v>0.79166730000000007</v>
      </c>
      <c r="E8" s="3">
        <f t="shared" si="5"/>
        <v>7.9166730000000012E-4</v>
      </c>
      <c r="F8" s="19">
        <f t="shared" si="6"/>
        <v>1.6239329230769233</v>
      </c>
      <c r="G8" s="19">
        <f t="shared" si="0"/>
        <v>2.6371581386531604</v>
      </c>
      <c r="H8" s="19">
        <f t="shared" si="7"/>
        <v>3.1566657731938466</v>
      </c>
      <c r="I8" s="2">
        <v>2.2980258064516126</v>
      </c>
      <c r="J8" s="20">
        <f t="shared" si="1"/>
        <v>22.980258064516125</v>
      </c>
      <c r="K8" s="21">
        <f t="shared" si="8"/>
        <v>2298.0258064516124</v>
      </c>
      <c r="L8" s="3">
        <f t="shared" ref="L8:L18" si="10">(F8*AA$11)/AA$12</f>
        <v>25149.821245932122</v>
      </c>
      <c r="M8" s="4">
        <f t="shared" ref="M8:M18" si="11">(AA$15*G8*N8)/8</f>
        <v>11.71848933729248</v>
      </c>
      <c r="N8" s="4">
        <f t="shared" ref="N8:N18" si="12">(K8*2*AA$11)/(AA$13*AA$15*G8)</f>
        <v>3.4681795851731929E-2</v>
      </c>
      <c r="O8" s="4">
        <f t="shared" ref="O8:O18" si="13">N8/4</f>
        <v>8.6704489629329824E-3</v>
      </c>
      <c r="P8" s="4">
        <f t="shared" ref="P8:P18" si="14">3.7*(10^(-1/(2*SQRT(N8)))-2.51/(L8*SQRT(N8)))</f>
        <v>5.6617852524318132E-3</v>
      </c>
      <c r="Q8" s="2">
        <v>954944.21766666661</v>
      </c>
      <c r="R8" s="2">
        <v>18633.848666666669</v>
      </c>
      <c r="S8" s="2">
        <v>66.77</v>
      </c>
      <c r="U8" s="22">
        <v>0.2</v>
      </c>
      <c r="V8" s="23">
        <f t="shared" si="2"/>
        <v>3097.3965597396559</v>
      </c>
      <c r="W8" s="23">
        <f t="shared" si="9"/>
        <v>3.914115604645349E-2</v>
      </c>
      <c r="X8" s="23">
        <f t="shared" ref="X8:X31" si="15">0.0791/(V8^0.25)</f>
        <v>1.0602963846830382E-2</v>
      </c>
      <c r="Y8" s="25"/>
      <c r="Z8" s="2" t="s">
        <v>25</v>
      </c>
    </row>
    <row r="9" spans="1:31" ht="19" x14ac:dyDescent="0.4">
      <c r="A9" s="2">
        <v>35</v>
      </c>
      <c r="B9" s="2">
        <v>3650</v>
      </c>
      <c r="C9" s="19">
        <f t="shared" si="3"/>
        <v>60.833455000000001</v>
      </c>
      <c r="D9" s="19">
        <f t="shared" si="4"/>
        <v>1.0138897</v>
      </c>
      <c r="E9" s="3">
        <f t="shared" si="5"/>
        <v>1.0138897E-3</v>
      </c>
      <c r="F9" s="19">
        <f t="shared" si="6"/>
        <v>2.0797737435897434</v>
      </c>
      <c r="G9" s="19">
        <f t="shared" si="0"/>
        <v>4.3254588245252963</v>
      </c>
      <c r="H9" s="19">
        <f t="shared" si="7"/>
        <v>4.0427473937394867</v>
      </c>
      <c r="I9" s="2">
        <v>3.4763225806451614</v>
      </c>
      <c r="J9" s="20">
        <f t="shared" si="1"/>
        <v>34.763225806451615</v>
      </c>
      <c r="K9" s="21">
        <f t="shared" si="8"/>
        <v>3476.3225806451615</v>
      </c>
      <c r="L9" s="3">
        <f t="shared" si="10"/>
        <v>32209.420192158679</v>
      </c>
      <c r="M9" s="4">
        <f t="shared" si="11"/>
        <v>17.72706336887569</v>
      </c>
      <c r="N9" s="4">
        <f t="shared" si="12"/>
        <v>3.1986795706525496E-2</v>
      </c>
      <c r="O9" s="4">
        <f t="shared" si="13"/>
        <v>7.9966989266313741E-3</v>
      </c>
      <c r="P9" s="4">
        <f t="shared" si="14"/>
        <v>4.3108186100672824E-3</v>
      </c>
      <c r="Q9" s="2">
        <v>913564.56766666658</v>
      </c>
      <c r="R9" s="2">
        <v>18618.363000000001</v>
      </c>
      <c r="S9" s="2">
        <v>68.685999999999993</v>
      </c>
      <c r="U9" s="22">
        <v>0.3</v>
      </c>
      <c r="V9" s="23">
        <f t="shared" si="2"/>
        <v>4646.0948396094827</v>
      </c>
      <c r="W9" s="23">
        <f t="shared" si="9"/>
        <v>3.5368027027180969E-2</v>
      </c>
      <c r="X9" s="23">
        <f t="shared" si="15"/>
        <v>9.5808593761986822E-3</v>
      </c>
      <c r="Y9" s="25"/>
      <c r="Z9" s="1" t="s">
        <v>26</v>
      </c>
      <c r="AA9" s="19">
        <v>0.05</v>
      </c>
      <c r="AD9" s="27" t="s">
        <v>27</v>
      </c>
    </row>
    <row r="10" spans="1:31" ht="18.5" x14ac:dyDescent="0.35">
      <c r="A10" s="2">
        <v>40</v>
      </c>
      <c r="B10" s="2">
        <v>4400</v>
      </c>
      <c r="C10" s="19">
        <f t="shared" si="3"/>
        <v>73.333479999999994</v>
      </c>
      <c r="D10" s="19">
        <f t="shared" si="4"/>
        <v>1.2222232</v>
      </c>
      <c r="E10" s="3">
        <f t="shared" si="5"/>
        <v>1.2222232E-3</v>
      </c>
      <c r="F10" s="19">
        <f t="shared" si="6"/>
        <v>2.5071245128205129</v>
      </c>
      <c r="G10" s="19">
        <f t="shared" si="0"/>
        <v>6.2856733227854935</v>
      </c>
      <c r="H10" s="19">
        <f t="shared" si="7"/>
        <v>4.8734489130010257</v>
      </c>
      <c r="I10" s="2">
        <v>4.8065419354838692</v>
      </c>
      <c r="J10" s="20">
        <f t="shared" si="1"/>
        <v>48.065419354838696</v>
      </c>
      <c r="K10" s="21">
        <f t="shared" si="8"/>
        <v>4806.5419354838696</v>
      </c>
      <c r="L10" s="3">
        <f t="shared" si="10"/>
        <v>38827.794204246078</v>
      </c>
      <c r="M10" s="4">
        <f t="shared" si="11"/>
        <v>24.510347212849229</v>
      </c>
      <c r="N10" s="4">
        <f t="shared" si="12"/>
        <v>3.043433234687741E-2</v>
      </c>
      <c r="O10" s="4">
        <f t="shared" si="13"/>
        <v>7.6085830867193525E-3</v>
      </c>
      <c r="P10" s="4">
        <f t="shared" si="14"/>
        <v>3.6653900714761771E-3</v>
      </c>
      <c r="Q10" s="2">
        <v>941060.74600000004</v>
      </c>
      <c r="R10" s="2">
        <v>18685.9355</v>
      </c>
      <c r="S10" s="2">
        <v>67.413999999999987</v>
      </c>
      <c r="U10" s="22">
        <v>0.4</v>
      </c>
      <c r="V10" s="23">
        <f t="shared" si="2"/>
        <v>6194.7931194793118</v>
      </c>
      <c r="W10" s="23">
        <f t="shared" si="9"/>
        <v>3.2913657808348991E-2</v>
      </c>
      <c r="X10" s="23">
        <f t="shared" si="15"/>
        <v>8.9159942898644016E-3</v>
      </c>
      <c r="Y10" s="25"/>
      <c r="Z10" s="1" t="s">
        <v>28</v>
      </c>
      <c r="AA10" s="19">
        <v>9.75E-3</v>
      </c>
      <c r="AD10" s="28" t="s">
        <v>29</v>
      </c>
      <c r="AE10" s="2" t="s">
        <v>30</v>
      </c>
    </row>
    <row r="11" spans="1:31" ht="16.5" x14ac:dyDescent="0.4">
      <c r="A11" s="2">
        <v>45</v>
      </c>
      <c r="B11" s="2">
        <v>5400</v>
      </c>
      <c r="C11" s="19">
        <f t="shared" si="3"/>
        <v>90.00018</v>
      </c>
      <c r="D11" s="19">
        <f t="shared" si="4"/>
        <v>1.5000012</v>
      </c>
      <c r="E11" s="3">
        <f t="shared" si="5"/>
        <v>1.5000012E-3</v>
      </c>
      <c r="F11" s="19">
        <f t="shared" si="6"/>
        <v>3.0769255384615382</v>
      </c>
      <c r="G11" s="19">
        <f t="shared" si="0"/>
        <v>9.4674707692368258</v>
      </c>
      <c r="H11" s="19">
        <f t="shared" si="7"/>
        <v>5.9810509386830768</v>
      </c>
      <c r="I11" s="2">
        <v>6.6487774193548397</v>
      </c>
      <c r="J11" s="20">
        <f t="shared" si="1"/>
        <v>66.487774193548404</v>
      </c>
      <c r="K11" s="21">
        <f t="shared" si="8"/>
        <v>6648.7774193548403</v>
      </c>
      <c r="L11" s="3">
        <f t="shared" si="10"/>
        <v>47652.292887029282</v>
      </c>
      <c r="M11" s="4">
        <f t="shared" si="11"/>
        <v>33.904591965852347</v>
      </c>
      <c r="N11" s="4">
        <f t="shared" si="12"/>
        <v>2.7950570119211617E-2</v>
      </c>
      <c r="O11" s="4">
        <f t="shared" si="13"/>
        <v>6.9876425298029043E-3</v>
      </c>
      <c r="P11" s="4">
        <f t="shared" si="14"/>
        <v>2.6142518695078717E-3</v>
      </c>
      <c r="Q11" s="2">
        <v>917468.86633333343</v>
      </c>
      <c r="R11" s="2">
        <v>18629.252333333334</v>
      </c>
      <c r="S11" s="2">
        <v>68.566000000000003</v>
      </c>
      <c r="U11" s="22">
        <v>0.5</v>
      </c>
      <c r="V11" s="23">
        <f t="shared" si="2"/>
        <v>7743.4913993491391</v>
      </c>
      <c r="W11" s="23">
        <f t="shared" si="9"/>
        <v>3.1127815693847909E-2</v>
      </c>
      <c r="X11" s="23">
        <f t="shared" si="15"/>
        <v>8.4322267855594865E-3</v>
      </c>
      <c r="Y11" s="25"/>
      <c r="Z11" s="1" t="s">
        <v>31</v>
      </c>
      <c r="AA11" s="4">
        <f>2*(AA9*AA10)/(AA9+AA10)</f>
        <v>1.6317991631799162E-2</v>
      </c>
      <c r="AB11" s="1">
        <f>10*AA11*100</f>
        <v>16.31799163179916</v>
      </c>
      <c r="AD11" s="27" t="s">
        <v>32</v>
      </c>
      <c r="AE11" s="2" t="s">
        <v>33</v>
      </c>
    </row>
    <row r="12" spans="1:31" ht="18.5" x14ac:dyDescent="0.35">
      <c r="A12" s="49" t="s">
        <v>68</v>
      </c>
      <c r="B12" s="29">
        <v>6050</v>
      </c>
      <c r="C12" s="19">
        <f t="shared" si="3"/>
        <v>100.833535</v>
      </c>
      <c r="D12" s="19">
        <f t="shared" si="4"/>
        <v>1.6805569</v>
      </c>
      <c r="E12" s="3">
        <f t="shared" si="5"/>
        <v>1.6805569E-3</v>
      </c>
      <c r="F12" s="19">
        <f t="shared" si="6"/>
        <v>3.4472962051282048</v>
      </c>
      <c r="G12" s="19">
        <f t="shared" si="0"/>
        <v>11.883851125891322</v>
      </c>
      <c r="H12" s="19">
        <f t="shared" si="7"/>
        <v>6.7009922553764092</v>
      </c>
      <c r="I12" s="30">
        <v>7.9661903225806467</v>
      </c>
      <c r="J12" s="20">
        <f t="shared" si="1"/>
        <v>79.661903225806469</v>
      </c>
      <c r="K12" s="21">
        <f t="shared" si="8"/>
        <v>7966.1903225806473</v>
      </c>
      <c r="L12" s="3">
        <f t="shared" si="10"/>
        <v>53388.217030838357</v>
      </c>
      <c r="M12" s="4">
        <f t="shared" si="11"/>
        <v>40.622570944122025</v>
      </c>
      <c r="N12" s="4">
        <f t="shared" si="12"/>
        <v>2.667941636832194E-2</v>
      </c>
      <c r="O12" s="4">
        <f t="shared" si="13"/>
        <v>6.669854092080485E-3</v>
      </c>
      <c r="P12" s="4">
        <f t="shared" si="14"/>
        <v>2.1492067420518348E-3</v>
      </c>
      <c r="Q12" s="2">
        <v>910938.68766666669</v>
      </c>
      <c r="R12" s="2">
        <v>18533.560666666668</v>
      </c>
      <c r="S12" s="2">
        <v>68.655000000000001</v>
      </c>
      <c r="U12" s="22">
        <v>0.6</v>
      </c>
      <c r="V12" s="23">
        <f t="shared" si="2"/>
        <v>9292.1896792189655</v>
      </c>
      <c r="W12" s="23">
        <f t="shared" si="9"/>
        <v>2.9740847141752971E-2</v>
      </c>
      <c r="X12" s="23">
        <f t="shared" si="15"/>
        <v>8.0565103044954109E-3</v>
      </c>
      <c r="Y12" s="25"/>
      <c r="Z12" s="1" t="s">
        <v>34</v>
      </c>
      <c r="AA12" s="31">
        <f>AA$16/AA$15</f>
        <v>1.053658536585366E-6</v>
      </c>
    </row>
    <row r="13" spans="1:31" ht="16.5" x14ac:dyDescent="0.4">
      <c r="A13" s="2">
        <v>50</v>
      </c>
      <c r="B13" s="29">
        <v>6050</v>
      </c>
      <c r="C13" s="19">
        <f t="shared" si="3"/>
        <v>100.833535</v>
      </c>
      <c r="D13" s="19">
        <f t="shared" si="4"/>
        <v>1.6805569</v>
      </c>
      <c r="E13" s="3">
        <f t="shared" si="5"/>
        <v>1.6805569E-3</v>
      </c>
      <c r="F13" s="19">
        <f t="shared" si="6"/>
        <v>3.4472962051282048</v>
      </c>
      <c r="G13" s="19">
        <f t="shared" si="0"/>
        <v>11.883851125891322</v>
      </c>
      <c r="H13" s="19">
        <f t="shared" si="7"/>
        <v>6.7009922553764092</v>
      </c>
      <c r="I13" s="30">
        <v>7.9661903225806467</v>
      </c>
      <c r="J13" s="20">
        <f t="shared" si="1"/>
        <v>79.661903225806469</v>
      </c>
      <c r="K13" s="21">
        <f t="shared" si="8"/>
        <v>7966.1903225806473</v>
      </c>
      <c r="L13" s="3">
        <f t="shared" si="10"/>
        <v>53388.217030838357</v>
      </c>
      <c r="M13" s="4">
        <f t="shared" si="11"/>
        <v>40.622570944122025</v>
      </c>
      <c r="N13" s="4">
        <f t="shared" si="12"/>
        <v>2.667941636832194E-2</v>
      </c>
      <c r="O13" s="4">
        <f t="shared" si="13"/>
        <v>6.669854092080485E-3</v>
      </c>
      <c r="P13" s="4">
        <f t="shared" si="14"/>
        <v>2.1492067420518348E-3</v>
      </c>
      <c r="Q13" s="2">
        <v>910938.68766666669</v>
      </c>
      <c r="R13" s="2">
        <v>18533.560666666668</v>
      </c>
      <c r="S13" s="2">
        <v>68.655000000000001</v>
      </c>
      <c r="U13" s="22">
        <v>0.7</v>
      </c>
      <c r="V13" s="23">
        <f t="shared" si="2"/>
        <v>10840.887959088794</v>
      </c>
      <c r="W13" s="23">
        <f t="shared" si="9"/>
        <v>2.8616508042689098E-2</v>
      </c>
      <c r="X13" s="23">
        <f t="shared" si="15"/>
        <v>7.7519376238928345E-3</v>
      </c>
      <c r="Y13" s="25"/>
      <c r="Z13" s="1" t="s">
        <v>35</v>
      </c>
      <c r="AA13" s="32">
        <v>0.8</v>
      </c>
      <c r="AD13" s="27" t="s">
        <v>36</v>
      </c>
      <c r="AE13" s="1" t="s">
        <v>37</v>
      </c>
    </row>
    <row r="14" spans="1:31" x14ac:dyDescent="0.35">
      <c r="A14" s="2">
        <v>45</v>
      </c>
      <c r="B14" s="33">
        <v>5250</v>
      </c>
      <c r="C14" s="19">
        <f t="shared" si="3"/>
        <v>87.500174999999999</v>
      </c>
      <c r="D14" s="19">
        <f t="shared" si="4"/>
        <v>1.4583345000000001</v>
      </c>
      <c r="E14" s="3">
        <f t="shared" si="5"/>
        <v>1.4583345000000001E-3</v>
      </c>
      <c r="F14" s="19">
        <f t="shared" si="6"/>
        <v>2.9914553846153846</v>
      </c>
      <c r="G14" s="19">
        <f t="shared" si="0"/>
        <v>8.9488053181443785</v>
      </c>
      <c r="H14" s="19">
        <f t="shared" si="7"/>
        <v>5.8149106348307695</v>
      </c>
      <c r="I14" s="30">
        <v>6.3339258064516137</v>
      </c>
      <c r="J14" s="20">
        <f t="shared" si="1"/>
        <v>63.339258064516137</v>
      </c>
      <c r="K14" s="21">
        <f t="shared" si="8"/>
        <v>6333.9258064516134</v>
      </c>
      <c r="L14" s="3">
        <f t="shared" si="10"/>
        <v>46328.6180846118</v>
      </c>
      <c r="M14" s="4">
        <f t="shared" si="11"/>
        <v>32.299046345660685</v>
      </c>
      <c r="N14" s="4">
        <f t="shared" si="12"/>
        <v>2.8170253889495053E-2</v>
      </c>
      <c r="O14" s="4">
        <f t="shared" si="13"/>
        <v>7.0425634723737633E-3</v>
      </c>
      <c r="P14" s="4">
        <f t="shared" si="14"/>
        <v>2.6887067236363799E-3</v>
      </c>
      <c r="Q14" s="2">
        <v>938642.95050000004</v>
      </c>
      <c r="R14" s="2">
        <v>18557.254000000001</v>
      </c>
      <c r="S14" s="2">
        <v>67.894499999999994</v>
      </c>
      <c r="U14" s="22">
        <v>0.8</v>
      </c>
      <c r="V14" s="23">
        <f t="shared" si="2"/>
        <v>12389.586238958624</v>
      </c>
      <c r="W14" s="23">
        <f t="shared" si="9"/>
        <v>2.7676976863928098E-2</v>
      </c>
      <c r="X14" s="23">
        <f t="shared" si="15"/>
        <v>7.4974276367695642E-3</v>
      </c>
      <c r="Y14" s="25"/>
      <c r="AA14" s="32"/>
    </row>
    <row r="15" spans="1:31" x14ac:dyDescent="0.35">
      <c r="A15" s="2">
        <v>40</v>
      </c>
      <c r="B15" s="33">
        <v>4350</v>
      </c>
      <c r="C15" s="19">
        <f t="shared" si="3"/>
        <v>72.500145000000003</v>
      </c>
      <c r="D15" s="19">
        <f t="shared" si="4"/>
        <v>1.2083343</v>
      </c>
      <c r="E15" s="3">
        <f t="shared" si="5"/>
        <v>1.2083343E-3</v>
      </c>
      <c r="F15" s="19">
        <f t="shared" si="6"/>
        <v>2.4786344615384612</v>
      </c>
      <c r="G15" s="19">
        <f t="shared" si="0"/>
        <v>6.1436287939260579</v>
      </c>
      <c r="H15" s="19">
        <f t="shared" si="7"/>
        <v>4.8180688117169224</v>
      </c>
      <c r="I15" s="30">
        <v>4.7261258064516136</v>
      </c>
      <c r="J15" s="20">
        <f t="shared" si="1"/>
        <v>47.261258064516134</v>
      </c>
      <c r="K15" s="21">
        <f t="shared" si="8"/>
        <v>4726.1258064516132</v>
      </c>
      <c r="L15" s="3">
        <f t="shared" si="10"/>
        <v>38386.569270106913</v>
      </c>
      <c r="M15" s="4">
        <f t="shared" si="11"/>
        <v>24.100275425158593</v>
      </c>
      <c r="N15" s="4">
        <f t="shared" si="12"/>
        <v>3.0617037087486511E-2</v>
      </c>
      <c r="O15" s="4">
        <f t="shared" si="13"/>
        <v>7.6542592718716277E-3</v>
      </c>
      <c r="P15" s="4">
        <f t="shared" si="14"/>
        <v>3.754079843691921E-3</v>
      </c>
      <c r="Q15" s="2">
        <v>941280.28500000003</v>
      </c>
      <c r="R15" s="2">
        <v>18521.91</v>
      </c>
      <c r="S15" s="2">
        <v>68.069000000000003</v>
      </c>
      <c r="T15" s="34"/>
      <c r="U15" s="22">
        <v>0.9</v>
      </c>
      <c r="V15" s="23">
        <f t="shared" si="2"/>
        <v>13938.28451882845</v>
      </c>
      <c r="W15" s="23">
        <f t="shared" si="9"/>
        <v>2.68738890663421E-2</v>
      </c>
      <c r="X15" s="23">
        <f t="shared" si="15"/>
        <v>7.2798788532454127E-3</v>
      </c>
      <c r="Y15" s="25"/>
      <c r="Z15" s="2" t="s">
        <v>38</v>
      </c>
      <c r="AA15" s="32">
        <f>VLOOKUP(AA17, SW!$A$4:$F$34, 3, FALSE)</f>
        <v>1025</v>
      </c>
      <c r="AB15" s="32"/>
    </row>
    <row r="16" spans="1:31" x14ac:dyDescent="0.35">
      <c r="A16" s="2">
        <v>35</v>
      </c>
      <c r="B16" s="35">
        <v>3600</v>
      </c>
      <c r="C16" s="19">
        <f t="shared" si="3"/>
        <v>60.000119999999995</v>
      </c>
      <c r="D16" s="19">
        <f t="shared" si="4"/>
        <v>1.0000008</v>
      </c>
      <c r="E16" s="3">
        <f t="shared" si="5"/>
        <v>1.0000008000000001E-3</v>
      </c>
      <c r="F16" s="19">
        <f t="shared" si="6"/>
        <v>2.0512836923076923</v>
      </c>
      <c r="G16" s="19">
        <f t="shared" si="0"/>
        <v>4.2077647863274787</v>
      </c>
      <c r="H16" s="19">
        <f t="shared" si="7"/>
        <v>3.9873672924553847</v>
      </c>
      <c r="I16" s="35">
        <v>3.3906870967741942</v>
      </c>
      <c r="J16" s="20">
        <f t="shared" si="1"/>
        <v>33.906870967741945</v>
      </c>
      <c r="K16" s="21">
        <f t="shared" si="8"/>
        <v>3390.6870967741943</v>
      </c>
      <c r="L16" s="3">
        <f t="shared" si="10"/>
        <v>31768.195258019521</v>
      </c>
      <c r="M16" s="4">
        <f t="shared" si="11"/>
        <v>17.29037614725334</v>
      </c>
      <c r="N16" s="4">
        <f t="shared" si="12"/>
        <v>3.2071487856296876E-2</v>
      </c>
      <c r="O16" s="4">
        <f t="shared" si="13"/>
        <v>8.0178719640742191E-3</v>
      </c>
      <c r="P16" s="4">
        <f t="shared" si="14"/>
        <v>4.341177731168145E-3</v>
      </c>
      <c r="Q16" s="2">
        <v>949979.13066666666</v>
      </c>
      <c r="R16" s="2">
        <v>18608.627333333334</v>
      </c>
      <c r="S16" s="2">
        <v>67.143666666666661</v>
      </c>
      <c r="U16" s="22">
        <v>1</v>
      </c>
      <c r="V16" s="23">
        <f t="shared" si="2"/>
        <v>15486.982798698278</v>
      </c>
      <c r="W16" s="23">
        <f t="shared" si="9"/>
        <v>2.6175268631635024E-2</v>
      </c>
      <c r="X16" s="23">
        <f t="shared" si="15"/>
        <v>7.0906292765833242E-3</v>
      </c>
      <c r="Y16" s="25"/>
      <c r="Z16" s="2" t="s">
        <v>39</v>
      </c>
      <c r="AA16" s="32">
        <f>VLOOKUP(AA17, SW!$A$4:$F$34, 5, FALSE)</f>
        <v>1.08E-3</v>
      </c>
    </row>
    <row r="17" spans="1:33" x14ac:dyDescent="0.35">
      <c r="A17" s="2">
        <v>30</v>
      </c>
      <c r="B17" s="18">
        <v>2800</v>
      </c>
      <c r="C17" s="19">
        <f t="shared" si="3"/>
        <v>46.666759999999996</v>
      </c>
      <c r="D17" s="19">
        <f t="shared" si="4"/>
        <v>0.77777839999999998</v>
      </c>
      <c r="E17" s="3">
        <f t="shared" si="5"/>
        <v>7.7777840000000005E-4</v>
      </c>
      <c r="F17" s="19">
        <f t="shared" si="6"/>
        <v>1.5954428717948719</v>
      </c>
      <c r="G17" s="19">
        <f t="shared" si="0"/>
        <v>2.5454379571610679</v>
      </c>
      <c r="H17" s="19">
        <f t="shared" si="7"/>
        <v>3.1012856719097437</v>
      </c>
      <c r="I17" s="20">
        <v>2.2686580645161292</v>
      </c>
      <c r="J17" s="20">
        <f t="shared" si="1"/>
        <v>22.686580645161293</v>
      </c>
      <c r="K17" s="21">
        <f t="shared" si="8"/>
        <v>2268.6580645161293</v>
      </c>
      <c r="L17" s="3">
        <f t="shared" si="10"/>
        <v>24708.596311792964</v>
      </c>
      <c r="M17" s="4">
        <f t="shared" si="11"/>
        <v>11.568732285058715</v>
      </c>
      <c r="N17" s="4">
        <f t="shared" si="12"/>
        <v>3.5472302284898886E-2</v>
      </c>
      <c r="O17" s="4">
        <f t="shared" si="13"/>
        <v>8.8680755712247216E-3</v>
      </c>
      <c r="P17" s="4">
        <f t="shared" si="14"/>
        <v>6.1973287274829474E-3</v>
      </c>
      <c r="Q17" s="2">
        <v>959126.9173333334</v>
      </c>
      <c r="R17" s="2">
        <v>18626.44633333333</v>
      </c>
      <c r="S17" s="2">
        <v>66.354333333333329</v>
      </c>
      <c r="T17" s="14"/>
      <c r="U17" s="22">
        <v>1.1000000000000001</v>
      </c>
      <c r="V17" s="23">
        <f t="shared" si="2"/>
        <v>17035.681078568105</v>
      </c>
      <c r="W17" s="23">
        <f t="shared" si="9"/>
        <v>2.555894810373607E-2</v>
      </c>
      <c r="X17" s="23">
        <f t="shared" si="15"/>
        <v>6.923673955498367E-3</v>
      </c>
      <c r="Y17" s="25"/>
      <c r="Z17" s="2" t="s">
        <v>161</v>
      </c>
      <c r="AA17" s="2">
        <v>20</v>
      </c>
    </row>
    <row r="18" spans="1:33" x14ac:dyDescent="0.35">
      <c r="A18" s="2">
        <v>25</v>
      </c>
      <c r="B18" s="18">
        <v>2050</v>
      </c>
      <c r="C18" s="19">
        <f t="shared" si="3"/>
        <v>34.166734999999996</v>
      </c>
      <c r="D18" s="19">
        <f t="shared" si="4"/>
        <v>0.56944490000000003</v>
      </c>
      <c r="E18" s="3">
        <f t="shared" si="5"/>
        <v>5.6944490000000009E-4</v>
      </c>
      <c r="F18" s="19">
        <f t="shared" si="6"/>
        <v>1.1680921025641027</v>
      </c>
      <c r="G18" s="19">
        <f t="shared" si="0"/>
        <v>1.3644391600726262</v>
      </c>
      <c r="H18" s="19">
        <f t="shared" si="7"/>
        <v>2.2705841526482056</v>
      </c>
      <c r="I18" s="20">
        <v>1.3578870967741938</v>
      </c>
      <c r="J18" s="20">
        <f t="shared" si="1"/>
        <v>13.578870967741938</v>
      </c>
      <c r="K18" s="21">
        <f t="shared" si="8"/>
        <v>1357.8870967741939</v>
      </c>
      <c r="L18" s="3">
        <f t="shared" si="10"/>
        <v>18090.222299705561</v>
      </c>
      <c r="M18" s="4">
        <f t="shared" si="11"/>
        <v>6.9243719631529235</v>
      </c>
      <c r="N18" s="4">
        <f t="shared" si="12"/>
        <v>3.9608859316179891E-2</v>
      </c>
      <c r="O18" s="4">
        <f t="shared" si="13"/>
        <v>9.9022148290449728E-3</v>
      </c>
      <c r="P18" s="4">
        <f t="shared" si="14"/>
        <v>8.7938455317571884E-3</v>
      </c>
      <c r="Q18" s="78">
        <v>985106.68400000001</v>
      </c>
      <c r="R18" s="61">
        <v>18679.471000000001</v>
      </c>
      <c r="S18" s="79">
        <v>65.548999999999992</v>
      </c>
      <c r="U18" s="22">
        <v>1.2</v>
      </c>
      <c r="V18" s="23">
        <f t="shared" si="2"/>
        <v>18584.379358437931</v>
      </c>
      <c r="W18" s="23">
        <f t="shared" si="9"/>
        <v>2.5008971748108753E-2</v>
      </c>
      <c r="X18" s="23">
        <f t="shared" si="15"/>
        <v>6.7746906345048036E-3</v>
      </c>
      <c r="Y18" s="25"/>
      <c r="Z18" s="1"/>
      <c r="AA18" s="1"/>
      <c r="AD18" s="36" t="s">
        <v>40</v>
      </c>
      <c r="AE18" s="37"/>
      <c r="AF18" s="37"/>
      <c r="AG18" s="37"/>
    </row>
    <row r="19" spans="1:33" x14ac:dyDescent="0.35">
      <c r="A19" s="24"/>
      <c r="B19" s="18"/>
      <c r="C19" s="19"/>
      <c r="D19" s="19"/>
      <c r="E19" s="3"/>
      <c r="F19" s="19"/>
      <c r="G19" s="19"/>
      <c r="H19" s="19"/>
      <c r="I19" s="20"/>
      <c r="J19" s="20"/>
      <c r="K19" s="21"/>
      <c r="Q19" s="70"/>
      <c r="R19" s="25"/>
      <c r="S19" s="73"/>
      <c r="U19" s="22">
        <v>1.3</v>
      </c>
      <c r="V19" s="23">
        <f t="shared" si="2"/>
        <v>20133.077638307761</v>
      </c>
      <c r="W19" s="23">
        <f t="shared" si="9"/>
        <v>2.4513499198234843E-2</v>
      </c>
      <c r="X19" s="23">
        <f t="shared" si="15"/>
        <v>6.6404718718506041E-3</v>
      </c>
      <c r="Y19" s="25"/>
      <c r="AD19" s="38" t="s">
        <v>41</v>
      </c>
      <c r="AE19" s="37" t="s">
        <v>42</v>
      </c>
      <c r="AF19" s="37" t="s">
        <v>43</v>
      </c>
      <c r="AG19" s="37" t="s">
        <v>44</v>
      </c>
    </row>
    <row r="20" spans="1:33" x14ac:dyDescent="0.35">
      <c r="A20" s="24"/>
      <c r="B20" s="18"/>
      <c r="C20" s="19"/>
      <c r="D20" s="19"/>
      <c r="E20" s="3"/>
      <c r="F20" s="19"/>
      <c r="G20" s="19"/>
      <c r="H20" s="19"/>
      <c r="I20" s="20"/>
      <c r="J20" s="20"/>
      <c r="K20" s="21"/>
      <c r="U20" s="22">
        <v>1.4</v>
      </c>
      <c r="V20" s="23">
        <f t="shared" si="2"/>
        <v>21681.775918177587</v>
      </c>
      <c r="W20" s="23">
        <f t="shared" si="9"/>
        <v>2.4063519030176353E-2</v>
      </c>
      <c r="X20" s="23">
        <f t="shared" si="15"/>
        <v>6.5185765592018826E-3</v>
      </c>
      <c r="Y20" s="25"/>
      <c r="Z20" s="1" t="s">
        <v>45</v>
      </c>
      <c r="AA20" s="1">
        <f>4*10^(-6)</f>
        <v>3.9999999999999998E-6</v>
      </c>
      <c r="AD20" s="38" t="s">
        <v>46</v>
      </c>
      <c r="AE20" s="37" t="s">
        <v>47</v>
      </c>
      <c r="AF20" s="37" t="s">
        <v>48</v>
      </c>
      <c r="AG20" s="37" t="s">
        <v>49</v>
      </c>
    </row>
    <row r="21" spans="1:33" x14ac:dyDescent="0.35">
      <c r="A21" s="24"/>
      <c r="B21" s="18"/>
      <c r="C21" s="19"/>
      <c r="D21" s="19"/>
      <c r="E21" s="3"/>
      <c r="F21" s="19"/>
      <c r="G21" s="19"/>
      <c r="H21" s="19"/>
      <c r="I21" s="20"/>
      <c r="J21" s="20"/>
      <c r="K21" s="21"/>
      <c r="Q21" s="70"/>
      <c r="R21" s="25"/>
      <c r="S21" s="73"/>
      <c r="U21" s="22">
        <v>1.5</v>
      </c>
      <c r="V21" s="23">
        <f t="shared" si="2"/>
        <v>23230.474198047417</v>
      </c>
      <c r="W21" s="23">
        <f t="shared" si="9"/>
        <v>2.3652025180571332E-2</v>
      </c>
      <c r="X21" s="23">
        <f t="shared" si="15"/>
        <v>6.4071068211753171E-3</v>
      </c>
      <c r="Y21" s="25"/>
      <c r="Z21" s="1" t="s">
        <v>50</v>
      </c>
      <c r="AA21" s="2">
        <f>AA20/AA11</f>
        <v>2.4512820512820511E-4</v>
      </c>
      <c r="AD21" s="37">
        <v>0</v>
      </c>
      <c r="AE21" s="37">
        <v>1.792E-3</v>
      </c>
      <c r="AF21" s="37">
        <v>999.87</v>
      </c>
      <c r="AG21" s="39">
        <v>1.7922329902887374E-6</v>
      </c>
    </row>
    <row r="22" spans="1:33" x14ac:dyDescent="0.35">
      <c r="A22" s="24"/>
      <c r="B22" s="18"/>
      <c r="C22" s="19"/>
      <c r="D22" s="19"/>
      <c r="E22" s="3"/>
      <c r="F22" s="19"/>
      <c r="G22" s="19"/>
      <c r="H22" s="19"/>
      <c r="I22" s="20"/>
      <c r="J22" s="20"/>
      <c r="K22" s="21"/>
      <c r="Q22" s="70"/>
      <c r="R22" s="25"/>
      <c r="S22" s="73"/>
      <c r="U22" s="22">
        <v>1.6</v>
      </c>
      <c r="V22" s="23">
        <f t="shared" si="2"/>
        <v>24779.172477917247</v>
      </c>
      <c r="W22" s="23">
        <f t="shared" si="9"/>
        <v>2.3273470629937131E-2</v>
      </c>
      <c r="X22" s="23">
        <f t="shared" si="15"/>
        <v>6.3045600233836551E-3</v>
      </c>
      <c r="Y22" s="25"/>
      <c r="AD22" s="37">
        <v>5</v>
      </c>
      <c r="AE22" s="37">
        <v>1.519E-3</v>
      </c>
      <c r="AF22" s="37">
        <v>999.99</v>
      </c>
      <c r="AG22" s="39">
        <v>1.5190151901519014E-6</v>
      </c>
    </row>
    <row r="23" spans="1:33" x14ac:dyDescent="0.35">
      <c r="B23" s="18"/>
      <c r="C23" s="19"/>
      <c r="D23" s="19"/>
      <c r="E23" s="3"/>
      <c r="F23" s="3"/>
      <c r="G23" s="19"/>
      <c r="H23" s="19"/>
      <c r="I23" s="19"/>
      <c r="J23" s="20"/>
      <c r="K23" s="21"/>
      <c r="Q23" s="70"/>
      <c r="R23" s="25"/>
      <c r="S23" s="73"/>
      <c r="U23" s="22">
        <v>1.7</v>
      </c>
      <c r="V23" s="23">
        <f t="shared" si="2"/>
        <v>26327.87075778707</v>
      </c>
      <c r="W23" s="23">
        <f t="shared" si="9"/>
        <v>2.2923393901065351E-2</v>
      </c>
      <c r="X23" s="23">
        <f t="shared" si="15"/>
        <v>6.2097275944324294E-3</v>
      </c>
      <c r="Y23" s="25"/>
      <c r="Z23" s="40"/>
      <c r="AD23" s="37">
        <f>AD22+5</f>
        <v>10</v>
      </c>
      <c r="AE23" s="37">
        <v>1.3079999999999999E-3</v>
      </c>
      <c r="AF23" s="37">
        <v>999.73</v>
      </c>
      <c r="AG23" s="39">
        <v>1.3083532553789522E-6</v>
      </c>
    </row>
    <row r="24" spans="1:33" x14ac:dyDescent="0.35">
      <c r="B24" s="18"/>
      <c r="C24" s="19"/>
      <c r="D24" s="19"/>
      <c r="E24" s="3"/>
      <c r="F24" s="3"/>
      <c r="G24" s="19"/>
      <c r="H24" s="19"/>
      <c r="I24" s="19"/>
      <c r="J24" s="20"/>
      <c r="K24" s="21"/>
      <c r="Q24" s="71"/>
      <c r="R24" s="4"/>
      <c r="S24" s="74"/>
      <c r="U24" s="22">
        <v>1.8</v>
      </c>
      <c r="V24" s="23">
        <f t="shared" si="2"/>
        <v>27876.5690376569</v>
      </c>
      <c r="W24" s="23">
        <f t="shared" si="9"/>
        <v>2.2598156979813069E-2</v>
      </c>
      <c r="X24" s="23">
        <f t="shared" si="15"/>
        <v>6.1216240311753895E-3</v>
      </c>
      <c r="Y24" s="4"/>
      <c r="Z24" s="40"/>
      <c r="AD24" s="37" t="e">
        <f>#REF!+5</f>
        <v>#REF!</v>
      </c>
      <c r="AE24" s="37">
        <v>1.005E-3</v>
      </c>
      <c r="AF24" s="37">
        <v>998.23</v>
      </c>
      <c r="AG24" s="39">
        <v>1.0067820041473407E-6</v>
      </c>
    </row>
    <row r="25" spans="1:33" x14ac:dyDescent="0.35">
      <c r="B25" s="18"/>
      <c r="C25" s="19"/>
      <c r="D25" s="19"/>
      <c r="E25" s="3"/>
      <c r="F25" s="3"/>
      <c r="G25" s="19"/>
      <c r="H25" s="19"/>
      <c r="I25" s="19"/>
      <c r="J25" s="20"/>
      <c r="K25" s="21"/>
      <c r="Q25" s="71"/>
      <c r="R25" s="4"/>
      <c r="S25" s="74"/>
      <c r="U25" s="22">
        <v>1.9</v>
      </c>
      <c r="V25" s="23">
        <f t="shared" si="2"/>
        <v>29425.267317526726</v>
      </c>
      <c r="W25" s="23">
        <f t="shared" si="9"/>
        <v>2.2294757208551091E-2</v>
      </c>
      <c r="X25" s="23">
        <f t="shared" si="15"/>
        <v>6.039435942453395E-3</v>
      </c>
      <c r="Y25" s="4"/>
      <c r="Z25" s="40"/>
      <c r="AD25" s="37">
        <v>25</v>
      </c>
      <c r="AE25" s="37">
        <v>8.9400000000000005E-4</v>
      </c>
      <c r="AF25" s="37">
        <v>997.07</v>
      </c>
      <c r="AG25" s="39">
        <v>8.9662711745414066E-7</v>
      </c>
    </row>
    <row r="26" spans="1:33" x14ac:dyDescent="0.35">
      <c r="N26" s="22"/>
      <c r="Q26" s="71"/>
      <c r="R26" s="4"/>
      <c r="S26" s="74"/>
      <c r="U26" s="22">
        <v>2</v>
      </c>
      <c r="V26" s="23">
        <f t="shared" si="2"/>
        <v>30973.965597396556</v>
      </c>
      <c r="W26" s="23">
        <f t="shared" si="9"/>
        <v>2.2010689560644895E-2</v>
      </c>
      <c r="X26" s="23">
        <f t="shared" si="15"/>
        <v>5.9624847405719567E-3</v>
      </c>
      <c r="Y26" s="4"/>
      <c r="Z26" s="40"/>
      <c r="AD26" s="32"/>
      <c r="AE26" s="32"/>
      <c r="AF26" s="32"/>
      <c r="AG26" s="32"/>
    </row>
    <row r="27" spans="1:33" x14ac:dyDescent="0.35">
      <c r="K27" s="1"/>
      <c r="L27" s="4"/>
      <c r="N27" s="22"/>
      <c r="Q27" s="71"/>
      <c r="R27" s="4"/>
      <c r="S27" s="74"/>
      <c r="U27" s="22">
        <v>2.1</v>
      </c>
      <c r="V27" s="23">
        <f t="shared" si="2"/>
        <v>32522.663877266383</v>
      </c>
      <c r="W27" s="23">
        <f t="shared" si="9"/>
        <v>2.1743844009570988E-2</v>
      </c>
      <c r="X27" s="23">
        <f t="shared" si="15"/>
        <v>5.8901988395789907E-3</v>
      </c>
      <c r="Y27" s="4"/>
      <c r="Z27" s="40"/>
      <c r="AD27" s="32"/>
      <c r="AE27" s="32"/>
      <c r="AF27" s="32"/>
      <c r="AG27" s="32"/>
    </row>
    <row r="28" spans="1:33" x14ac:dyDescent="0.35">
      <c r="Q28" s="71"/>
      <c r="R28" s="4"/>
      <c r="S28" s="74"/>
      <c r="U28" s="22">
        <v>2.2000000000000002</v>
      </c>
      <c r="V28" s="23">
        <f t="shared" si="2"/>
        <v>34071.362157136209</v>
      </c>
      <c r="W28" s="23">
        <f t="shared" si="9"/>
        <v>2.1492427838087386E-2</v>
      </c>
      <c r="X28" s="23">
        <f t="shared" si="15"/>
        <v>5.8220926095640833E-3</v>
      </c>
      <c r="Y28" s="4"/>
      <c r="Z28" s="40"/>
      <c r="AD28" s="32"/>
      <c r="AE28" s="32"/>
      <c r="AF28" s="32"/>
      <c r="AG28" s="32"/>
    </row>
    <row r="29" spans="1:33" x14ac:dyDescent="0.35">
      <c r="L29" s="41"/>
      <c r="Q29" s="71"/>
      <c r="R29" s="4"/>
      <c r="S29" s="74"/>
      <c r="U29" s="22">
        <v>2.2999999999999998</v>
      </c>
      <c r="V29" s="23">
        <f t="shared" si="2"/>
        <v>35620.060437006032</v>
      </c>
      <c r="W29" s="23">
        <f t="shared" si="9"/>
        <v>2.1254905990790374E-2</v>
      </c>
      <c r="X29" s="23">
        <f t="shared" si="15"/>
        <v>5.7577502187380778E-3</v>
      </c>
      <c r="Y29" s="4"/>
      <c r="Z29" s="40"/>
      <c r="AD29" s="32"/>
      <c r="AE29" s="32"/>
      <c r="AF29" s="32"/>
      <c r="AG29" s="32"/>
    </row>
    <row r="30" spans="1:33" x14ac:dyDescent="0.35">
      <c r="Q30" s="71"/>
      <c r="R30" s="4"/>
      <c r="S30" s="74"/>
      <c r="U30" s="22">
        <v>2.4</v>
      </c>
      <c r="V30" s="23">
        <f t="shared" si="2"/>
        <v>37168.758716875862</v>
      </c>
      <c r="W30" s="23">
        <f t="shared" si="9"/>
        <v>2.1029954692166071E-2</v>
      </c>
      <c r="X30" s="23">
        <f t="shared" si="15"/>
        <v>5.6968130690080018E-3</v>
      </c>
      <c r="Y30" s="4"/>
      <c r="Z30" s="40"/>
      <c r="AD30" s="32"/>
      <c r="AE30" s="32"/>
      <c r="AF30" s="32"/>
      <c r="AG30" s="32"/>
    </row>
    <row r="31" spans="1:33" x14ac:dyDescent="0.35">
      <c r="F31" s="1"/>
      <c r="G31" s="1"/>
      <c r="Q31" s="71"/>
      <c r="R31" s="4"/>
      <c r="S31" s="74"/>
      <c r="U31" s="22">
        <v>2.5</v>
      </c>
      <c r="V31" s="23">
        <f t="shared" si="2"/>
        <v>38717.456996745692</v>
      </c>
      <c r="W31" s="23">
        <f t="shared" si="9"/>
        <v>2.0816424960353713E-2</v>
      </c>
      <c r="X31" s="23">
        <f t="shared" si="15"/>
        <v>5.6389699122054073E-3</v>
      </c>
      <c r="Y31" s="4"/>
      <c r="Z31" s="40"/>
      <c r="AD31" s="32"/>
      <c r="AE31" s="32"/>
      <c r="AF31" s="32"/>
      <c r="AG31" s="32"/>
    </row>
    <row r="32" spans="1:33" x14ac:dyDescent="0.35">
      <c r="G32" s="19"/>
      <c r="Q32" s="71"/>
      <c r="R32" s="4"/>
      <c r="S32" s="74"/>
      <c r="Y32" s="4"/>
      <c r="Z32" s="40"/>
    </row>
    <row r="33" spans="7:27" x14ac:dyDescent="0.35">
      <c r="G33" s="19"/>
      <c r="Q33" s="71"/>
      <c r="R33" s="4"/>
      <c r="S33" s="74"/>
      <c r="Y33" s="4"/>
      <c r="Z33" s="40"/>
      <c r="AA33" s="1" t="s">
        <v>51</v>
      </c>
    </row>
    <row r="34" spans="7:27" x14ac:dyDescent="0.35">
      <c r="G34" s="19"/>
      <c r="Q34" s="71"/>
      <c r="R34" s="4"/>
      <c r="S34" s="74"/>
      <c r="Y34" s="4"/>
      <c r="Z34" s="40"/>
    </row>
    <row r="35" spans="7:27" x14ac:dyDescent="0.35">
      <c r="G35" s="19"/>
      <c r="Q35" s="71"/>
      <c r="R35" s="4"/>
      <c r="S35" s="74"/>
      <c r="Y35" s="4"/>
      <c r="Z35" s="40"/>
    </row>
    <row r="36" spans="7:27" x14ac:dyDescent="0.35">
      <c r="G36" s="19"/>
      <c r="Q36" s="71"/>
      <c r="R36" s="4"/>
      <c r="S36" s="74"/>
      <c r="Y36" s="4"/>
    </row>
    <row r="37" spans="7:27" x14ac:dyDescent="0.35">
      <c r="G37" s="19"/>
      <c r="Q37" s="71"/>
      <c r="R37" s="4"/>
      <c r="S37" s="74"/>
      <c r="Y37" s="4"/>
    </row>
    <row r="38" spans="7:27" x14ac:dyDescent="0.35">
      <c r="R38" s="68"/>
      <c r="S38" s="2"/>
      <c r="T38" s="89"/>
      <c r="Y38" s="4"/>
    </row>
    <row r="63" spans="17:17" x14ac:dyDescent="0.35">
      <c r="Q63" s="85"/>
    </row>
  </sheetData>
  <mergeCells count="3">
    <mergeCell ref="A3:N3"/>
    <mergeCell ref="Z5:AA5"/>
    <mergeCell ref="Q4:S4"/>
  </mergeCells>
  <pageMargins left="0.7" right="0.7" top="0.75" bottom="0.75" header="0.3" footer="0.3"/>
  <pageSetup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A11F6-58F5-4E25-9D40-648CEC6992E9}">
  <dimension ref="A1:AH48"/>
  <sheetViews>
    <sheetView topLeftCell="A25" zoomScale="60" zoomScaleNormal="60" zoomScalePageLayoutView="90" workbookViewId="0">
      <selection activeCell="A38" sqref="A38:XFD101"/>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6.765625" style="4" customWidth="1"/>
    <col min="14" max="14" width="8.4609375" style="4" customWidth="1"/>
    <col min="15" max="16" width="9.07421875" style="4" customWidth="1"/>
    <col min="17" max="17" width="27.23046875" style="4" customWidth="1"/>
    <col min="18" max="18" width="12.765625" style="68" customWidth="1"/>
    <col min="19" max="19" width="10" style="2" customWidth="1"/>
    <col min="20" max="20" width="13.3046875" style="72" bestFit="1" customWidth="1"/>
    <col min="21" max="21" width="8.4609375" style="5" customWidth="1"/>
    <col min="22" max="22" width="10.23046875" style="2" customWidth="1"/>
    <col min="23" max="23" width="13.84375" style="2" customWidth="1"/>
    <col min="24" max="26" width="10" style="2" customWidth="1"/>
    <col min="27" max="27" width="21" style="2" customWidth="1"/>
    <col min="28" max="28" width="8.69140625" style="2" customWidth="1"/>
    <col min="29" max="29" width="8.69140625" style="2"/>
    <col min="30" max="30" width="22" style="2" customWidth="1"/>
    <col min="31" max="31" width="35.84375" style="2" customWidth="1"/>
    <col min="32" max="32" width="16.84375" style="2" customWidth="1"/>
    <col min="33" max="16384" width="8.69140625" style="2"/>
  </cols>
  <sheetData>
    <row r="1" spans="1:32" x14ac:dyDescent="0.35">
      <c r="A1" s="1"/>
      <c r="I1" s="1"/>
      <c r="J1" s="1"/>
      <c r="R1" s="69" t="s">
        <v>102</v>
      </c>
    </row>
    <row r="2" spans="1:32" x14ac:dyDescent="0.35">
      <c r="A2" s="1"/>
      <c r="I2" s="1"/>
      <c r="J2" s="1"/>
      <c r="R2" s="69" t="s">
        <v>85</v>
      </c>
    </row>
    <row r="3" spans="1:32" x14ac:dyDescent="0.35">
      <c r="A3" s="150" t="s">
        <v>3</v>
      </c>
      <c r="B3" s="150"/>
      <c r="C3" s="150"/>
      <c r="D3" s="150"/>
      <c r="E3" s="150"/>
      <c r="F3" s="150"/>
      <c r="G3" s="150"/>
      <c r="H3" s="150"/>
      <c r="I3" s="150"/>
      <c r="J3" s="150"/>
      <c r="K3" s="150"/>
      <c r="L3" s="150"/>
      <c r="M3" s="150"/>
      <c r="N3" s="150"/>
      <c r="O3" s="48"/>
      <c r="P3" s="48"/>
      <c r="Q3" s="48"/>
      <c r="U3" s="7"/>
    </row>
    <row r="4" spans="1:32" x14ac:dyDescent="0.35">
      <c r="R4" s="152" t="s">
        <v>81</v>
      </c>
      <c r="S4" s="153"/>
      <c r="T4" s="154"/>
    </row>
    <row r="5" spans="1:32"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64</v>
      </c>
      <c r="Q5" s="14" t="s">
        <v>18</v>
      </c>
      <c r="R5" s="75" t="s">
        <v>83</v>
      </c>
      <c r="S5" s="67" t="s">
        <v>82</v>
      </c>
      <c r="T5" s="76" t="s">
        <v>84</v>
      </c>
      <c r="U5" s="14"/>
      <c r="V5" s="15" t="s">
        <v>19</v>
      </c>
      <c r="W5" s="16" t="s">
        <v>14</v>
      </c>
      <c r="X5" s="15" t="s">
        <v>20</v>
      </c>
      <c r="Y5" s="16" t="s">
        <v>21</v>
      </c>
      <c r="Z5" s="1"/>
      <c r="AA5" s="151" t="s">
        <v>22</v>
      </c>
      <c r="AB5" s="151"/>
    </row>
    <row r="6" spans="1:32" x14ac:dyDescent="0.35">
      <c r="A6" s="17" t="s">
        <v>23</v>
      </c>
      <c r="B6" s="18">
        <v>0</v>
      </c>
      <c r="C6" s="19">
        <f t="shared" ref="C6:C18" si="0">B6*0.0166667</f>
        <v>0</v>
      </c>
      <c r="D6" s="19">
        <f t="shared" ref="D6:D18" si="1">B6*0.000277778</f>
        <v>0</v>
      </c>
      <c r="E6" s="3">
        <f t="shared" ref="E6:E18" si="2">0.001*D6</f>
        <v>0</v>
      </c>
      <c r="F6" s="19">
        <f t="shared" ref="F6:F18" si="3">E6/AB$7</f>
        <v>0</v>
      </c>
      <c r="G6" s="19">
        <f t="shared" ref="G6:G18" si="4">F6^(2)</f>
        <v>0</v>
      </c>
      <c r="H6" s="19">
        <f t="shared" ref="H6:H18" si="5">F6*1.94384</f>
        <v>0</v>
      </c>
      <c r="I6" s="20">
        <v>0</v>
      </c>
      <c r="J6" s="20">
        <f t="shared" ref="J6:J18" si="6">I6 * 10</f>
        <v>0</v>
      </c>
      <c r="K6" s="21">
        <f t="shared" ref="K6:K18" si="7">J6*100</f>
        <v>0</v>
      </c>
      <c r="L6" s="3">
        <f t="shared" ref="L6:L18" si="8">(F6*AB$11)/AB$12</f>
        <v>0</v>
      </c>
      <c r="V6" s="22">
        <v>0</v>
      </c>
      <c r="W6" s="23">
        <f t="shared" ref="W6:W31" si="9">(V6*AB$11)/AB$12</f>
        <v>0</v>
      </c>
      <c r="X6" s="23"/>
      <c r="Y6" s="23"/>
    </row>
    <row r="7" spans="1:32" x14ac:dyDescent="0.35">
      <c r="A7" s="2" t="s">
        <v>52</v>
      </c>
      <c r="B7" s="2">
        <f>AVERAGEA('1MMHSE flat'!B7, '2 MMHSE flat'!B7)</f>
        <v>1850</v>
      </c>
      <c r="C7" s="19">
        <f t="shared" si="0"/>
        <v>30.833394999999999</v>
      </c>
      <c r="D7" s="19">
        <f t="shared" si="1"/>
        <v>0.51388929999999999</v>
      </c>
      <c r="E7" s="3">
        <f t="shared" si="2"/>
        <v>5.1388930000000001E-4</v>
      </c>
      <c r="F7" s="19">
        <f t="shared" si="3"/>
        <v>1.0541318974358973</v>
      </c>
      <c r="G7" s="19">
        <f t="shared" si="4"/>
        <v>1.1111940571918051</v>
      </c>
      <c r="H7" s="19">
        <f t="shared" si="5"/>
        <v>2.0490637475117945</v>
      </c>
      <c r="I7" s="2">
        <f>AVERAGEA('1MMHSE flat'!I7, '2 MMHSE flat'!I7)</f>
        <v>1.0712656453548388</v>
      </c>
      <c r="J7" s="20">
        <f t="shared" si="6"/>
        <v>10.712656453548387</v>
      </c>
      <c r="K7" s="21">
        <f t="shared" si="7"/>
        <v>1071.2656453548386</v>
      </c>
      <c r="L7" s="3">
        <f t="shared" si="8"/>
        <v>16791.76035066746</v>
      </c>
      <c r="M7" s="4">
        <f t="shared" ref="M7:M18" si="10">(AB$15*G7*N7)/8</f>
        <v>5.4627824488544325</v>
      </c>
      <c r="N7" s="4">
        <f t="shared" ref="N7:N18" si="11">(K7*2*AB$11)/(AB$13*AB$15*G7)</f>
        <v>3.8369851372385216E-2</v>
      </c>
      <c r="O7" s="4">
        <f t="shared" ref="O7:O18" si="12">N7/4</f>
        <v>9.5924628430963041E-3</v>
      </c>
      <c r="Q7" s="4">
        <f t="shared" ref="Q7:Q18" si="13">3.7*(10^(-1/(2*SQRT(N7)))-2.51/(L7*SQRT(N7)))</f>
        <v>7.5433942864818679E-3</v>
      </c>
      <c r="R7" s="2">
        <f>AVERAGEA('1MMHSE flat'!Q7, '2 MMHSE flat'!Q7)</f>
        <v>1024110.0598333334</v>
      </c>
      <c r="S7" s="2">
        <f>AVERAGEA('1MMHSE flat'!R7, '2 MMHSE flat'!R7)</f>
        <v>18698.820166666668</v>
      </c>
      <c r="T7" s="2">
        <f>AVERAGEA('1MMHSE flat'!S7, '2 MMHSE flat'!S7)</f>
        <v>70.255666666666656</v>
      </c>
      <c r="V7" s="22">
        <v>0.1</v>
      </c>
      <c r="W7" s="23">
        <f>(V7*AB$11)/AB$12</f>
        <v>1592.946802151823</v>
      </c>
      <c r="X7" s="23">
        <f t="shared" ref="X7:X31" si="14">0.292/(W7^(0.25))</f>
        <v>4.622027587752213E-2</v>
      </c>
      <c r="Y7" s="23">
        <f>0.0791/(W7^0.25)</f>
        <v>1.2520629527095893E-2</v>
      </c>
      <c r="Z7" s="25"/>
      <c r="AA7" s="1" t="s">
        <v>24</v>
      </c>
      <c r="AB7" s="2">
        <f>AB$9*AB$10</f>
        <v>4.8750000000000003E-4</v>
      </c>
    </row>
    <row r="8" spans="1:32" x14ac:dyDescent="0.35">
      <c r="A8" s="2" t="s">
        <v>53</v>
      </c>
      <c r="B8" s="2">
        <f>AVERAGEA('1MMHSE flat'!B8, '2 MMHSE flat'!B8)</f>
        <v>2725</v>
      </c>
      <c r="C8" s="19">
        <f t="shared" si="0"/>
        <v>45.416757499999996</v>
      </c>
      <c r="D8" s="19">
        <f t="shared" si="1"/>
        <v>0.75694505000000001</v>
      </c>
      <c r="E8" s="3">
        <f t="shared" si="2"/>
        <v>7.5694504999999999E-4</v>
      </c>
      <c r="F8" s="19">
        <f t="shared" si="3"/>
        <v>1.5527077948717947</v>
      </c>
      <c r="G8" s="19">
        <f t="shared" si="4"/>
        <v>2.4109014962556312</v>
      </c>
      <c r="H8" s="19">
        <f t="shared" si="5"/>
        <v>3.0182155199835892</v>
      </c>
      <c r="I8" s="2">
        <f>AVERAGEA('1MMHSE flat'!I8, '2 MMHSE flat'!I8)</f>
        <v>1.9364640322258064</v>
      </c>
      <c r="J8" s="20">
        <f t="shared" si="6"/>
        <v>19.364640322258065</v>
      </c>
      <c r="K8" s="21">
        <f t="shared" si="7"/>
        <v>1936.4640322258065</v>
      </c>
      <c r="L8" s="3">
        <f t="shared" si="8"/>
        <v>24733.809165172341</v>
      </c>
      <c r="M8" s="4">
        <f t="shared" si="10"/>
        <v>9.8747512103564912</v>
      </c>
      <c r="N8" s="4">
        <f t="shared" si="11"/>
        <v>3.1967805021722862E-2</v>
      </c>
      <c r="O8" s="4">
        <f t="shared" si="12"/>
        <v>7.9919512554307154E-3</v>
      </c>
      <c r="Q8" s="4">
        <f t="shared" si="13"/>
        <v>3.8116202629949131E-3</v>
      </c>
      <c r="R8" s="2">
        <f>AVERAGEA('1MMHSE flat'!Q8, '2 MMHSE flat'!Q8)</f>
        <v>1022214.7045</v>
      </c>
      <c r="S8" s="2">
        <f>AVERAGEA('1MMHSE flat'!R8, '2 MMHSE flat'!R8)</f>
        <v>18733.765166666668</v>
      </c>
      <c r="T8" s="2">
        <f>AVERAGEA('1MMHSE flat'!S8, '2 MMHSE flat'!S8)</f>
        <v>70.236333333333334</v>
      </c>
      <c r="V8" s="22">
        <v>0.2</v>
      </c>
      <c r="W8" s="23">
        <f t="shared" si="9"/>
        <v>3185.893604303646</v>
      </c>
      <c r="X8" s="23">
        <f t="shared" si="14"/>
        <v>3.8866464297446106E-2</v>
      </c>
      <c r="Y8" s="23">
        <f t="shared" ref="Y8:Y31" si="15">0.0791/(W8^0.25)</f>
        <v>1.052855248605475E-2</v>
      </c>
      <c r="Z8" s="25"/>
      <c r="AA8" s="2" t="s">
        <v>25</v>
      </c>
    </row>
    <row r="9" spans="1:32" ht="19" x14ac:dyDescent="0.4">
      <c r="A9" s="2" t="s">
        <v>54</v>
      </c>
      <c r="B9" s="2">
        <f>AVERAGEA('1MMHSE flat'!B9, '2 MMHSE flat'!B9)</f>
        <v>3475</v>
      </c>
      <c r="C9" s="19">
        <f t="shared" si="0"/>
        <v>57.916782499999997</v>
      </c>
      <c r="D9" s="19">
        <f t="shared" si="1"/>
        <v>0.96527855000000007</v>
      </c>
      <c r="E9" s="3">
        <f t="shared" si="2"/>
        <v>9.6527855000000005E-4</v>
      </c>
      <c r="F9" s="19">
        <f t="shared" si="3"/>
        <v>1.9800585641025641</v>
      </c>
      <c r="G9" s="19">
        <f t="shared" si="4"/>
        <v>3.9206319172759079</v>
      </c>
      <c r="H9" s="19">
        <f t="shared" si="5"/>
        <v>3.8489170392451282</v>
      </c>
      <c r="I9" s="2">
        <f>AVERAGEA('1MMHSE flat'!I9, '2 MMHSE flat'!I9)</f>
        <v>3.000310806322581</v>
      </c>
      <c r="J9" s="20">
        <f t="shared" si="6"/>
        <v>30.00310806322581</v>
      </c>
      <c r="K9" s="21">
        <f t="shared" si="7"/>
        <v>3000.3108063225809</v>
      </c>
      <c r="L9" s="3">
        <f t="shared" si="8"/>
        <v>31541.279577605099</v>
      </c>
      <c r="M9" s="4">
        <f t="shared" si="10"/>
        <v>15.299702071990147</v>
      </c>
      <c r="N9" s="4">
        <f t="shared" si="11"/>
        <v>3.045741384912411E-2</v>
      </c>
      <c r="O9" s="4">
        <f t="shared" si="12"/>
        <v>7.6143534622810276E-3</v>
      </c>
      <c r="Q9" s="4">
        <f t="shared" si="13"/>
        <v>3.3619104057111084E-3</v>
      </c>
      <c r="R9" s="2">
        <f>AVERAGEA('1MMHSE flat'!Q9, '2 MMHSE flat'!Q9)</f>
        <v>987787.13108333328</v>
      </c>
      <c r="S9" s="2">
        <f>AVERAGEA('1MMHSE flat'!R9, '2 MMHSE flat'!R9)</f>
        <v>18691.917750000001</v>
      </c>
      <c r="T9" s="2">
        <f>AVERAGEA('1MMHSE flat'!S9, '2 MMHSE flat'!S9)</f>
        <v>72.275749999999988</v>
      </c>
      <c r="V9" s="22">
        <v>0.3</v>
      </c>
      <c r="W9" s="23">
        <f t="shared" si="9"/>
        <v>4778.8404064554688</v>
      </c>
      <c r="X9" s="23">
        <f t="shared" si="14"/>
        <v>3.5119815012402793E-2</v>
      </c>
      <c r="Y9" s="23">
        <f t="shared" si="15"/>
        <v>9.5136211215104838E-3</v>
      </c>
      <c r="Z9" s="25"/>
      <c r="AA9" s="1" t="s">
        <v>26</v>
      </c>
      <c r="AB9" s="19">
        <v>0.05</v>
      </c>
      <c r="AE9" s="27" t="s">
        <v>27</v>
      </c>
    </row>
    <row r="10" spans="1:32" ht="18.5" x14ac:dyDescent="0.35">
      <c r="A10" s="2" t="s">
        <v>55</v>
      </c>
      <c r="B10" s="2">
        <f>AVERAGEA('1MMHSE flat'!B10, '2 MMHSE flat'!B10)</f>
        <v>4275</v>
      </c>
      <c r="C10" s="19">
        <f t="shared" si="0"/>
        <v>71.250142499999995</v>
      </c>
      <c r="D10" s="19">
        <f t="shared" si="1"/>
        <v>1.18750095</v>
      </c>
      <c r="E10" s="3">
        <f t="shared" si="2"/>
        <v>1.1875009500000001E-3</v>
      </c>
      <c r="F10" s="19">
        <f t="shared" si="3"/>
        <v>2.4358993846153845</v>
      </c>
      <c r="G10" s="19">
        <f t="shared" si="4"/>
        <v>5.9336058119696089</v>
      </c>
      <c r="H10" s="19">
        <f t="shared" si="5"/>
        <v>4.7349986597907687</v>
      </c>
      <c r="I10" s="2">
        <f>AVERAGEA('1MMHSE flat'!I10, '2 MMHSE flat'!I10)</f>
        <v>4.3353527417419349</v>
      </c>
      <c r="J10" s="20">
        <f t="shared" si="6"/>
        <v>43.35352741741935</v>
      </c>
      <c r="K10" s="21">
        <f t="shared" si="7"/>
        <v>4335.3527417419355</v>
      </c>
      <c r="L10" s="3">
        <f>(F10*AB$11)/AB$12</f>
        <v>38802.581350866705</v>
      </c>
      <c r="M10" s="4">
        <f t="shared" si="10"/>
        <v>22.107578050200768</v>
      </c>
      <c r="N10" s="4">
        <f t="shared" si="11"/>
        <v>2.9079611302732941E-2</v>
      </c>
      <c r="O10" s="4">
        <f t="shared" si="12"/>
        <v>7.2699028256832353E-3</v>
      </c>
      <c r="Q10" s="4">
        <f t="shared" si="13"/>
        <v>2.9228319016657983E-3</v>
      </c>
      <c r="R10" s="2">
        <f>AVERAGEA('1MMHSE flat'!Q10, '2 MMHSE flat'!Q10)</f>
        <v>998142.8615</v>
      </c>
      <c r="S10" s="2">
        <f>AVERAGEA('1MMHSE flat'!R10, '2 MMHSE flat'!R10)</f>
        <v>18773.87875</v>
      </c>
      <c r="T10" s="2">
        <f>AVERAGEA('1MMHSE flat'!S10, '2 MMHSE flat'!S10)</f>
        <v>71.86399999999999</v>
      </c>
      <c r="V10" s="22">
        <v>0.4</v>
      </c>
      <c r="W10" s="23">
        <f t="shared" si="9"/>
        <v>6371.7872086072921</v>
      </c>
      <c r="X10" s="23">
        <f t="shared" si="14"/>
        <v>3.2682670501308908E-2</v>
      </c>
      <c r="Y10" s="23">
        <f t="shared" si="15"/>
        <v>8.8534220433340253E-3</v>
      </c>
      <c r="Z10" s="25"/>
      <c r="AA10" s="1" t="s">
        <v>28</v>
      </c>
      <c r="AB10" s="19">
        <f>AVERAGE('1MMHSE flat'!AA10,'2 MMHSE flat'!AA10)</f>
        <v>9.75E-3</v>
      </c>
      <c r="AE10" s="28" t="s">
        <v>29</v>
      </c>
      <c r="AF10" s="2" t="s">
        <v>30</v>
      </c>
    </row>
    <row r="11" spans="1:32" ht="16.5" x14ac:dyDescent="0.4">
      <c r="A11" s="2" t="s">
        <v>56</v>
      </c>
      <c r="B11" s="2">
        <f>AVERAGEA('1MMHSE flat'!B11, '2 MMHSE flat'!B11)</f>
        <v>5175</v>
      </c>
      <c r="C11" s="19">
        <f t="shared" si="0"/>
        <v>86.250172499999991</v>
      </c>
      <c r="D11" s="19">
        <f t="shared" si="1"/>
        <v>1.4375011500000001</v>
      </c>
      <c r="E11" s="3">
        <f t="shared" si="2"/>
        <v>1.4375011500000002E-3</v>
      </c>
      <c r="F11" s="19">
        <f>E11/AB$7</f>
        <v>2.9487203076923079</v>
      </c>
      <c r="G11" s="19">
        <f t="shared" si="4"/>
        <v>8.6949514529970191</v>
      </c>
      <c r="H11" s="19">
        <f>F11*1.94384</f>
        <v>5.7318404829046159</v>
      </c>
      <c r="I11" s="2">
        <f>AVERAGEA('1MMHSE flat'!I11, '2 MMHSE flat'!I11)</f>
        <v>5.9947140321774199</v>
      </c>
      <c r="J11" s="20">
        <f t="shared" si="6"/>
        <v>59.947140321774199</v>
      </c>
      <c r="K11" s="21">
        <f t="shared" si="7"/>
        <v>5994.7140321774195</v>
      </c>
      <c r="L11" s="3">
        <f t="shared" si="8"/>
        <v>46971.545845786015</v>
      </c>
      <c r="M11" s="4">
        <f t="shared" si="10"/>
        <v>30.569279191281296</v>
      </c>
      <c r="N11" s="4">
        <f t="shared" si="11"/>
        <v>2.744000324979794E-2</v>
      </c>
      <c r="O11" s="4">
        <f t="shared" si="12"/>
        <v>6.8600008124494851E-3</v>
      </c>
      <c r="Q11" s="4">
        <f t="shared" si="13"/>
        <v>2.3528783723930913E-3</v>
      </c>
      <c r="R11" s="2">
        <f>AVERAGEA('1MMHSE flat'!Q11, '2 MMHSE flat'!Q11)</f>
        <v>961295.10616666672</v>
      </c>
      <c r="S11" s="2">
        <f>AVERAGEA('1MMHSE flat'!R11, '2 MMHSE flat'!R11)</f>
        <v>18689.630416666667</v>
      </c>
      <c r="T11" s="2">
        <f>AVERAGEA('1MMHSE flat'!S11, '2 MMHSE flat'!S11)</f>
        <v>74.114500000000007</v>
      </c>
      <c r="V11" s="22">
        <v>0.5</v>
      </c>
      <c r="W11" s="23">
        <f t="shared" si="9"/>
        <v>7964.7340107591144</v>
      </c>
      <c r="X11" s="23">
        <f t="shared" si="14"/>
        <v>3.090936138642851E-2</v>
      </c>
      <c r="Y11" s="23">
        <f t="shared" si="15"/>
        <v>8.3730496084469027E-3</v>
      </c>
      <c r="Z11" s="25"/>
      <c r="AA11" s="1" t="s">
        <v>31</v>
      </c>
      <c r="AB11" s="4">
        <f>2*(AB9*AB10)/(AB9+AB10)</f>
        <v>1.6317991631799162E-2</v>
      </c>
      <c r="AC11" s="1">
        <f>10*AB11*100</f>
        <v>16.31799163179916</v>
      </c>
      <c r="AE11" s="27" t="s">
        <v>32</v>
      </c>
      <c r="AF11" s="2" t="s">
        <v>33</v>
      </c>
    </row>
    <row r="12" spans="1:32" ht="18.5" x14ac:dyDescent="0.35">
      <c r="A12" s="2" t="s">
        <v>63</v>
      </c>
      <c r="B12" s="2">
        <f>AVERAGEA('1MMHSE flat'!B12, '2 MMHSE flat'!B12)</f>
        <v>5825</v>
      </c>
      <c r="C12" s="19">
        <f t="shared" si="0"/>
        <v>97.083527500000002</v>
      </c>
      <c r="D12" s="19">
        <f t="shared" si="1"/>
        <v>1.6180568500000001</v>
      </c>
      <c r="E12" s="3">
        <f t="shared" si="2"/>
        <v>1.6180568500000002E-3</v>
      </c>
      <c r="F12" s="19">
        <f t="shared" si="3"/>
        <v>3.3190909743589745</v>
      </c>
      <c r="G12" s="19">
        <f t="shared" si="4"/>
        <v>11.016364896071206</v>
      </c>
      <c r="H12" s="19">
        <f t="shared" si="5"/>
        <v>6.4517817995979492</v>
      </c>
      <c r="I12" s="2">
        <f>AVERAGEA('1MMHSE flat'!I12, '2 MMHSE flat'!I12)</f>
        <v>7.2611769352903233</v>
      </c>
      <c r="J12" s="20">
        <f t="shared" si="6"/>
        <v>72.611769352903238</v>
      </c>
      <c r="K12" s="21">
        <f t="shared" si="7"/>
        <v>7261.1769352903239</v>
      </c>
      <c r="L12" s="3">
        <f t="shared" si="8"/>
        <v>52871.353536561066</v>
      </c>
      <c r="M12" s="4">
        <f t="shared" si="10"/>
        <v>37.027445145962687</v>
      </c>
      <c r="N12" s="4">
        <f t="shared" si="11"/>
        <v>2.6233217267994879E-2</v>
      </c>
      <c r="O12" s="4">
        <f t="shared" si="12"/>
        <v>6.5583043169987199E-3</v>
      </c>
      <c r="Q12" s="4">
        <f t="shared" si="13"/>
        <v>1.9434440000691857E-3</v>
      </c>
      <c r="R12" s="2">
        <f>AVERAGEA('1MMHSE flat'!Q12, '2 MMHSE flat'!Q12)</f>
        <v>945739.87533333339</v>
      </c>
      <c r="S12" s="2">
        <f>AVERAGEA('1MMHSE flat'!R12, '2 MMHSE flat'!R12)</f>
        <v>18637.233333333334</v>
      </c>
      <c r="T12" s="2">
        <f>AVERAGEA('1MMHSE flat'!S12, '2 MMHSE flat'!S12)</f>
        <v>75.267499999999998</v>
      </c>
      <c r="V12" s="22">
        <v>0.6</v>
      </c>
      <c r="W12" s="23">
        <f t="shared" si="9"/>
        <v>9557.6808129109377</v>
      </c>
      <c r="X12" s="23">
        <f t="shared" si="14"/>
        <v>2.9532126548303093E-2</v>
      </c>
      <c r="Y12" s="23">
        <f t="shared" si="15"/>
        <v>7.9999698971601873E-3</v>
      </c>
      <c r="Z12" s="25"/>
      <c r="AA12" s="1" t="s">
        <v>34</v>
      </c>
      <c r="AB12" s="31">
        <f>AB$16/AB$15</f>
        <v>1.024390243902439E-6</v>
      </c>
    </row>
    <row r="13" spans="1:32" ht="16.5" x14ac:dyDescent="0.4">
      <c r="A13" s="2" t="s">
        <v>62</v>
      </c>
      <c r="B13" s="2">
        <f>AVERAGEA('1MMHSE flat'!B13, '2 MMHSE flat'!B13)</f>
        <v>5825</v>
      </c>
      <c r="C13" s="19">
        <f t="shared" si="0"/>
        <v>97.083527500000002</v>
      </c>
      <c r="D13" s="19">
        <f t="shared" si="1"/>
        <v>1.6180568500000001</v>
      </c>
      <c r="E13" s="3">
        <f t="shared" si="2"/>
        <v>1.6180568500000002E-3</v>
      </c>
      <c r="F13" s="19">
        <f t="shared" si="3"/>
        <v>3.3190909743589745</v>
      </c>
      <c r="G13" s="19">
        <f t="shared" si="4"/>
        <v>11.016364896071206</v>
      </c>
      <c r="H13" s="19">
        <f t="shared" si="5"/>
        <v>6.4517817995979492</v>
      </c>
      <c r="I13" s="2">
        <f>AVERAGEA('1MMHSE flat'!I13, '2 MMHSE flat'!I13)</f>
        <v>7.2611769352903233</v>
      </c>
      <c r="J13" s="20">
        <f t="shared" si="6"/>
        <v>72.611769352903238</v>
      </c>
      <c r="K13" s="21">
        <f t="shared" si="7"/>
        <v>7261.1769352903239</v>
      </c>
      <c r="L13" s="3">
        <f t="shared" si="8"/>
        <v>52871.353536561066</v>
      </c>
      <c r="M13" s="4">
        <f>(AB$15*G13*N13)/8</f>
        <v>37.027445145962687</v>
      </c>
      <c r="N13" s="4">
        <f t="shared" si="11"/>
        <v>2.6233217267994879E-2</v>
      </c>
      <c r="O13" s="4">
        <f t="shared" si="12"/>
        <v>6.5583043169987199E-3</v>
      </c>
      <c r="Q13" s="4">
        <f t="shared" si="13"/>
        <v>1.9434440000691857E-3</v>
      </c>
      <c r="R13" s="2">
        <f>AVERAGEA('1MMHSE flat'!Q13, '2 MMHSE flat'!Q13)</f>
        <v>945739.87533333339</v>
      </c>
      <c r="S13" s="2">
        <f>AVERAGEA('1MMHSE flat'!R13, '2 MMHSE flat'!R13)</f>
        <v>18637.233333333334</v>
      </c>
      <c r="T13" s="2">
        <f>AVERAGEA('1MMHSE flat'!S13, '2 MMHSE flat'!S13)</f>
        <v>75.267499999999998</v>
      </c>
      <c r="V13" s="22">
        <v>0.7</v>
      </c>
      <c r="W13" s="23">
        <f t="shared" si="9"/>
        <v>11150.62761506276</v>
      </c>
      <c r="X13" s="23">
        <f t="shared" si="14"/>
        <v>2.8415678035639713E-2</v>
      </c>
      <c r="Y13" s="23">
        <f t="shared" si="15"/>
        <v>7.6975347007503482E-3</v>
      </c>
      <c r="Z13" s="25"/>
      <c r="AA13" s="1" t="s">
        <v>35</v>
      </c>
      <c r="AB13" s="32">
        <v>0.8</v>
      </c>
      <c r="AE13" s="27" t="s">
        <v>36</v>
      </c>
      <c r="AF13" s="1" t="s">
        <v>37</v>
      </c>
    </row>
    <row r="14" spans="1:32" x14ac:dyDescent="0.35">
      <c r="A14" s="2" t="s">
        <v>57</v>
      </c>
      <c r="B14" s="2">
        <f>AVERAGEA('1MMHSE flat'!B14, '2 MMHSE flat'!B14)</f>
        <v>5050</v>
      </c>
      <c r="C14" s="19">
        <f t="shared" si="0"/>
        <v>84.166834999999992</v>
      </c>
      <c r="D14" s="19">
        <f t="shared" si="1"/>
        <v>1.4027788999999999</v>
      </c>
      <c r="E14" s="3">
        <f t="shared" si="2"/>
        <v>1.4027789E-3</v>
      </c>
      <c r="F14" s="19">
        <f t="shared" si="3"/>
        <v>2.8774951794871795</v>
      </c>
      <c r="G14" s="19">
        <f t="shared" si="4"/>
        <v>8.2799785079719559</v>
      </c>
      <c r="H14" s="19">
        <f t="shared" si="5"/>
        <v>5.593390229694359</v>
      </c>
      <c r="I14" s="2">
        <f>AVERAGEA('1MMHSE flat'!I14, '2 MMHSE flat'!I14)</f>
        <v>5.7274640322258072</v>
      </c>
      <c r="J14" s="20">
        <f t="shared" si="6"/>
        <v>57.274640322258072</v>
      </c>
      <c r="K14" s="21">
        <f t="shared" si="7"/>
        <v>5727.4640322258074</v>
      </c>
      <c r="L14" s="3">
        <f t="shared" si="8"/>
        <v>45836.967443713889</v>
      </c>
      <c r="M14" s="4">
        <f t="shared" si="10"/>
        <v>29.206471921653563</v>
      </c>
      <c r="N14" s="4">
        <f t="shared" si="11"/>
        <v>2.7530621168178719E-2</v>
      </c>
      <c r="O14" s="4">
        <f t="shared" si="12"/>
        <v>6.8826552920446798E-3</v>
      </c>
      <c r="Q14" s="4">
        <f t="shared" si="13"/>
        <v>2.3661812257879371E-3</v>
      </c>
      <c r="R14" s="2">
        <f>AVERAGEA('1MMHSE flat'!Q14, '2 MMHSE flat'!Q14)</f>
        <v>928538.73591666669</v>
      </c>
      <c r="S14" s="2">
        <f>AVERAGEA('1MMHSE flat'!R14, '2 MMHSE flat'!R14)</f>
        <v>18625.085333333336</v>
      </c>
      <c r="T14" s="2">
        <f>AVERAGEA('1MMHSE flat'!S14, '2 MMHSE flat'!S14)</f>
        <v>77.391083333333341</v>
      </c>
      <c r="V14" s="22">
        <v>0.8</v>
      </c>
      <c r="W14" s="23">
        <f t="shared" si="9"/>
        <v>12743.574417214584</v>
      </c>
      <c r="X14" s="23">
        <f>0.292/(W14^(0.25))</f>
        <v>2.7482740465468981E-2</v>
      </c>
      <c r="Y14" s="23">
        <f t="shared" si="15"/>
        <v>7.4448108589677967E-3</v>
      </c>
      <c r="Z14" s="25"/>
      <c r="AB14" s="32"/>
    </row>
    <row r="15" spans="1:32" x14ac:dyDescent="0.35">
      <c r="A15" s="2" t="s">
        <v>58</v>
      </c>
      <c r="B15" s="2">
        <f>AVERAGEA('1MMHSE flat'!B15, '2 MMHSE flat'!B15)</f>
        <v>4250</v>
      </c>
      <c r="C15" s="19">
        <f t="shared" si="0"/>
        <v>70.833474999999993</v>
      </c>
      <c r="D15" s="19">
        <f t="shared" si="1"/>
        <v>1.1805565</v>
      </c>
      <c r="E15" s="3">
        <f t="shared" si="2"/>
        <v>1.1805565000000001E-3</v>
      </c>
      <c r="F15" s="19">
        <f t="shared" si="3"/>
        <v>2.4216543589743589</v>
      </c>
      <c r="G15" s="19">
        <f t="shared" si="4"/>
        <v>5.8644098343395132</v>
      </c>
      <c r="H15" s="19">
        <f t="shared" si="5"/>
        <v>4.7073086091487175</v>
      </c>
      <c r="I15" s="2">
        <f>AVERAGEA('1MMHSE flat'!I15, '2 MMHSE flat'!I15)</f>
        <v>4.3508220967258069</v>
      </c>
      <c r="J15" s="20">
        <f t="shared" si="6"/>
        <v>43.508220967258069</v>
      </c>
      <c r="K15" s="21">
        <f t="shared" si="7"/>
        <v>4350.8220967258067</v>
      </c>
      <c r="L15" s="3">
        <f t="shared" si="8"/>
        <v>38575.665670452276</v>
      </c>
      <c r="M15" s="4">
        <f t="shared" si="10"/>
        <v>22.18646205181831</v>
      </c>
      <c r="N15" s="4">
        <f t="shared" si="11"/>
        <v>2.9527716435227742E-2</v>
      </c>
      <c r="O15" s="4">
        <f t="shared" si="12"/>
        <v>7.3819291088069354E-3</v>
      </c>
      <c r="Q15" s="4">
        <f t="shared" si="13"/>
        <v>3.153629061606095E-3</v>
      </c>
      <c r="R15" s="2">
        <f>AVERAGEA('1MMHSE flat'!Q15, '2 MMHSE flat'!Q15)</f>
        <v>939629.60433333332</v>
      </c>
      <c r="S15" s="2">
        <f>AVERAGEA('1MMHSE flat'!R15, '2 MMHSE flat'!R15)</f>
        <v>18613.248</v>
      </c>
      <c r="T15" s="2">
        <f>AVERAGEA('1MMHSE flat'!S15, '2 MMHSE flat'!S15)</f>
        <v>76.662833333333339</v>
      </c>
      <c r="U15" s="34"/>
      <c r="V15" s="22">
        <v>0.9</v>
      </c>
      <c r="W15" s="23">
        <f t="shared" si="9"/>
        <v>14336.521219366407</v>
      </c>
      <c r="X15" s="23">
        <f t="shared" si="14"/>
        <v>2.6685288719906171E-2</v>
      </c>
      <c r="Y15" s="23">
        <f t="shared" si="15"/>
        <v>7.2287888278923917E-3</v>
      </c>
      <c r="Z15" s="25"/>
      <c r="AA15" s="2" t="s">
        <v>38</v>
      </c>
      <c r="AB15" s="32">
        <f>VLOOKUP(AB17, SW!$A$4:$F$34, 3, FALSE)</f>
        <v>1025</v>
      </c>
      <c r="AC15" s="32"/>
    </row>
    <row r="16" spans="1:32" x14ac:dyDescent="0.35">
      <c r="A16" s="2" t="s">
        <v>59</v>
      </c>
      <c r="B16" s="2">
        <f>AVERAGEA('1MMHSE flat'!B16, '2 MMHSE flat'!B16)</f>
        <v>3450</v>
      </c>
      <c r="C16" s="19">
        <f t="shared" si="0"/>
        <v>57.500115000000001</v>
      </c>
      <c r="D16" s="19">
        <f t="shared" si="1"/>
        <v>0.95833410000000008</v>
      </c>
      <c r="E16" s="3">
        <f t="shared" si="2"/>
        <v>9.5833410000000006E-4</v>
      </c>
      <c r="F16" s="19">
        <f t="shared" si="3"/>
        <v>1.9658135384615385</v>
      </c>
      <c r="G16" s="19">
        <f t="shared" si="4"/>
        <v>3.8644228679986745</v>
      </c>
      <c r="H16" s="19">
        <f t="shared" si="5"/>
        <v>3.821226988603077</v>
      </c>
      <c r="I16" s="2">
        <f>AVERAGEA('1MMHSE flat'!I16, '2 MMHSE flat'!I16)</f>
        <v>2.9695817743870974</v>
      </c>
      <c r="J16" s="20">
        <f t="shared" si="6"/>
        <v>29.695817743870975</v>
      </c>
      <c r="K16" s="21">
        <f t="shared" si="7"/>
        <v>2969.5817743870975</v>
      </c>
      <c r="L16" s="3">
        <f t="shared" si="8"/>
        <v>31314.363897190673</v>
      </c>
      <c r="M16" s="4">
        <f t="shared" si="10"/>
        <v>15.143003295122488</v>
      </c>
      <c r="N16" s="4">
        <f t="shared" si="11"/>
        <v>3.0583944368365808E-2</v>
      </c>
      <c r="O16" s="4">
        <f t="shared" si="12"/>
        <v>7.6459860920914521E-3</v>
      </c>
      <c r="Q16" s="4">
        <f t="shared" si="13"/>
        <v>3.4226484991740878E-3</v>
      </c>
      <c r="R16" s="2">
        <f>AVERAGEA('1MMHSE flat'!Q16, '2 MMHSE flat'!Q16)</f>
        <v>952482.67333333334</v>
      </c>
      <c r="S16" s="2">
        <f>AVERAGEA('1MMHSE flat'!R16, '2 MMHSE flat'!R16)</f>
        <v>18652.824000000001</v>
      </c>
      <c r="T16" s="2">
        <f>AVERAGEA('1MMHSE flat'!S16, '2 MMHSE flat'!S16)</f>
        <v>75.482166666666672</v>
      </c>
      <c r="V16" s="22">
        <v>1</v>
      </c>
      <c r="W16" s="23">
        <f t="shared" si="9"/>
        <v>15929.468021518229</v>
      </c>
      <c r="X16" s="23">
        <f t="shared" si="14"/>
        <v>2.599157118762932E-2</v>
      </c>
      <c r="Y16" s="23">
        <f t="shared" si="15"/>
        <v>7.0408674004845189E-3</v>
      </c>
      <c r="Z16" s="25"/>
      <c r="AA16" s="2" t="s">
        <v>39</v>
      </c>
      <c r="AB16" s="32">
        <f>VLOOKUP(AB17, SW!$A$4:$F$34, 5, FALSE)</f>
        <v>1.0499999999999999E-3</v>
      </c>
    </row>
    <row r="17" spans="1:34" x14ac:dyDescent="0.35">
      <c r="A17" s="2" t="s">
        <v>60</v>
      </c>
      <c r="B17" s="2">
        <f>AVERAGEA('1MMHSE flat'!B17, '2 MMHSE flat'!B17)</f>
        <v>2700</v>
      </c>
      <c r="C17" s="19">
        <f t="shared" si="0"/>
        <v>45.00009</v>
      </c>
      <c r="D17" s="19">
        <f t="shared" si="1"/>
        <v>0.75000060000000002</v>
      </c>
      <c r="E17" s="3">
        <f t="shared" si="2"/>
        <v>7.500006E-4</v>
      </c>
      <c r="F17" s="19">
        <f t="shared" si="3"/>
        <v>1.5384627692307691</v>
      </c>
      <c r="G17" s="19">
        <f t="shared" si="4"/>
        <v>2.3668676923092065</v>
      </c>
      <c r="H17" s="19">
        <f t="shared" si="5"/>
        <v>2.9905254693415384</v>
      </c>
      <c r="I17" s="2">
        <f>AVERAGEA('1MMHSE flat'!I17, '2 MMHSE flat'!I17)</f>
        <v>1.9075285482580646</v>
      </c>
      <c r="J17" s="20">
        <f t="shared" si="6"/>
        <v>19.075285482580647</v>
      </c>
      <c r="K17" s="21">
        <f t="shared" si="7"/>
        <v>1907.5285482580646</v>
      </c>
      <c r="L17" s="3">
        <f t="shared" si="8"/>
        <v>24506.893484757918</v>
      </c>
      <c r="M17" s="4">
        <f t="shared" si="10"/>
        <v>9.7271984024665947</v>
      </c>
      <c r="N17" s="4">
        <f t="shared" si="11"/>
        <v>3.2075978532401232E-2</v>
      </c>
      <c r="O17" s="4">
        <f t="shared" si="12"/>
        <v>8.0189946331003081E-3</v>
      </c>
      <c r="Q17" s="4">
        <f t="shared" si="13"/>
        <v>3.86034429301304E-3</v>
      </c>
      <c r="R17" s="2">
        <f>AVERAGEA('1MMHSE flat'!Q17, '2 MMHSE flat'!Q17)</f>
        <v>971000.96850000008</v>
      </c>
      <c r="S17" s="2">
        <f>AVERAGEA('1MMHSE flat'!R17, '2 MMHSE flat'!R17)</f>
        <v>18697.486166666662</v>
      </c>
      <c r="T17" s="2">
        <f>AVERAGEA('1MMHSE flat'!S17, '2 MMHSE flat'!S17)</f>
        <v>73.976666666666659</v>
      </c>
      <c r="U17" s="14"/>
      <c r="V17" s="22">
        <v>1.1000000000000001</v>
      </c>
      <c r="W17" s="23">
        <f t="shared" si="9"/>
        <v>17522.414823670053</v>
      </c>
      <c r="X17" s="23">
        <f t="shared" si="14"/>
        <v>2.5379575983273613E-2</v>
      </c>
      <c r="Y17" s="23">
        <f t="shared" si="15"/>
        <v>6.8750837680717231E-3</v>
      </c>
      <c r="Z17" s="25"/>
      <c r="AA17" s="2" t="s">
        <v>161</v>
      </c>
      <c r="AB17" s="2">
        <v>21</v>
      </c>
    </row>
    <row r="18" spans="1:34" x14ac:dyDescent="0.35">
      <c r="A18" s="2" t="s">
        <v>61</v>
      </c>
      <c r="B18" s="2">
        <f>AVERAGEA('1MMHSE flat'!B18, '2 MMHSE flat'!B18)</f>
        <v>1950</v>
      </c>
      <c r="C18" s="19">
        <f t="shared" si="0"/>
        <v>32.500064999999999</v>
      </c>
      <c r="D18" s="19">
        <f t="shared" si="1"/>
        <v>0.54166710000000007</v>
      </c>
      <c r="E18" s="3">
        <f t="shared" si="2"/>
        <v>5.4166710000000005E-4</v>
      </c>
      <c r="F18" s="19">
        <f t="shared" si="3"/>
        <v>1.1111120000000001</v>
      </c>
      <c r="G18" s="19">
        <f t="shared" si="4"/>
        <v>1.2345698765440003</v>
      </c>
      <c r="H18" s="19">
        <f t="shared" si="5"/>
        <v>2.1598239500800003</v>
      </c>
      <c r="I18" s="2">
        <f>AVERAGEA('1MMHSE flat'!I18, '2 MMHSE flat'!I18)</f>
        <v>1.0368656453870968</v>
      </c>
      <c r="J18" s="20">
        <f t="shared" si="6"/>
        <v>10.368656453870969</v>
      </c>
      <c r="K18" s="21">
        <f t="shared" si="7"/>
        <v>1036.8656453870969</v>
      </c>
      <c r="L18" s="3">
        <f t="shared" si="8"/>
        <v>17699.423072325164</v>
      </c>
      <c r="M18" s="4">
        <f t="shared" si="10"/>
        <v>5.2873640389770893</v>
      </c>
      <c r="N18" s="4">
        <f t="shared" si="11"/>
        <v>3.3426404051948251E-2</v>
      </c>
      <c r="O18" s="4">
        <f t="shared" si="12"/>
        <v>8.3566010129870628E-3</v>
      </c>
      <c r="Q18" s="4">
        <f t="shared" si="13"/>
        <v>3.9441014505424941E-3</v>
      </c>
      <c r="R18" s="2">
        <f>AVERAGEA('1MMHSE flat'!Q18, '2 MMHSE flat'!Q18)</f>
        <v>986147.74566666665</v>
      </c>
      <c r="S18" s="2">
        <f>AVERAGEA('1MMHSE flat'!R18, '2 MMHSE flat'!R18)</f>
        <v>18701.430333333337</v>
      </c>
      <c r="T18" s="2">
        <f>AVERAGEA('1MMHSE flat'!S18, '2 MMHSE flat'!S18)</f>
        <v>73.505833333333328</v>
      </c>
      <c r="V18" s="22">
        <v>1.2</v>
      </c>
      <c r="W18" s="23">
        <f t="shared" si="9"/>
        <v>19115.361625821875</v>
      </c>
      <c r="X18" s="23">
        <f t="shared" si="14"/>
        <v>2.4833459349287126E-2</v>
      </c>
      <c r="Y18" s="23">
        <f t="shared" si="15"/>
        <v>6.7271460086596301E-3</v>
      </c>
      <c r="Z18" s="25"/>
      <c r="AA18" s="1"/>
      <c r="AB18" s="1">
        <f>AVERAGE('1MMHSE flat'!AA17,'2 MMHSE flat'!AA17)</f>
        <v>21</v>
      </c>
      <c r="AE18" s="36" t="s">
        <v>40</v>
      </c>
      <c r="AF18" s="37"/>
      <c r="AG18" s="37"/>
      <c r="AH18" s="37"/>
    </row>
    <row r="19" spans="1:34" x14ac:dyDescent="0.35">
      <c r="A19" s="24"/>
      <c r="B19" s="131"/>
      <c r="C19" s="132"/>
      <c r="D19" s="132"/>
      <c r="E19" s="130"/>
      <c r="F19" s="132"/>
      <c r="G19" s="132"/>
      <c r="H19" s="132"/>
      <c r="I19" s="34"/>
      <c r="J19" s="34"/>
      <c r="K19" s="133"/>
      <c r="L19" s="130"/>
      <c r="M19" s="5"/>
      <c r="N19" s="5"/>
      <c r="O19" s="5"/>
      <c r="P19" s="5"/>
      <c r="Q19" s="5"/>
      <c r="R19" s="70"/>
      <c r="S19" s="25"/>
      <c r="T19" s="73"/>
      <c r="V19" s="22">
        <v>1.3</v>
      </c>
      <c r="W19" s="23">
        <f t="shared" si="9"/>
        <v>20708.308427973698</v>
      </c>
      <c r="X19" s="23">
        <f t="shared" si="14"/>
        <v>2.434146401457642E-2</v>
      </c>
      <c r="Y19" s="23">
        <f t="shared" si="15"/>
        <v>6.5938691902499829E-3</v>
      </c>
      <c r="Z19" s="25"/>
      <c r="AE19" s="38" t="s">
        <v>41</v>
      </c>
      <c r="AF19" s="37" t="s">
        <v>42</v>
      </c>
      <c r="AG19" s="37" t="s">
        <v>43</v>
      </c>
      <c r="AH19" s="37" t="s">
        <v>44</v>
      </c>
    </row>
    <row r="20" spans="1:34" x14ac:dyDescent="0.35">
      <c r="A20" s="24"/>
      <c r="B20" s="131"/>
      <c r="C20" s="132"/>
      <c r="D20" s="132"/>
      <c r="E20" s="130"/>
      <c r="F20" s="132"/>
      <c r="G20" s="132"/>
      <c r="H20" s="132"/>
      <c r="I20" s="34"/>
      <c r="J20" s="34"/>
      <c r="K20" s="133"/>
      <c r="L20" s="130"/>
      <c r="M20" s="5"/>
      <c r="N20" s="5"/>
      <c r="O20" s="5"/>
      <c r="P20" s="5"/>
      <c r="Q20" s="5"/>
      <c r="V20" s="22">
        <v>1.4</v>
      </c>
      <c r="W20" s="23">
        <f t="shared" si="9"/>
        <v>22301.25523012552</v>
      </c>
      <c r="X20" s="23">
        <f t="shared" si="14"/>
        <v>2.3894641797173152E-2</v>
      </c>
      <c r="Y20" s="23">
        <f t="shared" si="15"/>
        <v>6.4728293361520422E-3</v>
      </c>
      <c r="Z20" s="25"/>
      <c r="AA20" s="1" t="s">
        <v>45</v>
      </c>
      <c r="AB20" s="1">
        <f>4*10^(-6)</f>
        <v>3.9999999999999998E-6</v>
      </c>
      <c r="AE20" s="38" t="s">
        <v>46</v>
      </c>
      <c r="AF20" s="37" t="s">
        <v>47</v>
      </c>
      <c r="AG20" s="37" t="s">
        <v>48</v>
      </c>
      <c r="AH20" s="37" t="s">
        <v>49</v>
      </c>
    </row>
    <row r="21" spans="1:34" x14ac:dyDescent="0.35">
      <c r="A21" s="24"/>
      <c r="B21" s="131"/>
      <c r="C21" s="132"/>
      <c r="D21" s="132"/>
      <c r="E21" s="134"/>
      <c r="F21" s="132"/>
      <c r="G21" s="132"/>
      <c r="H21" s="132"/>
      <c r="I21" s="34"/>
      <c r="J21" s="34"/>
      <c r="K21" s="133"/>
      <c r="L21" s="130"/>
      <c r="M21" s="5"/>
      <c r="N21" s="5"/>
      <c r="O21" s="5"/>
      <c r="P21" s="5"/>
      <c r="Q21" s="5"/>
      <c r="R21" s="70"/>
      <c r="S21" s="25"/>
      <c r="T21" s="73"/>
      <c r="V21" s="22">
        <v>1.5</v>
      </c>
      <c r="W21" s="23">
        <f t="shared" si="9"/>
        <v>23894.202032277346</v>
      </c>
      <c r="X21" s="23">
        <f t="shared" si="14"/>
        <v>2.3486035802109773E-2</v>
      </c>
      <c r="Y21" s="23">
        <f t="shared" si="15"/>
        <v>6.3621418902290519E-3</v>
      </c>
      <c r="Z21" s="25"/>
      <c r="AA21" s="1" t="s">
        <v>50</v>
      </c>
      <c r="AB21" s="2">
        <f>AB20/AB11</f>
        <v>2.4512820512820511E-4</v>
      </c>
      <c r="AE21" s="37">
        <v>0</v>
      </c>
      <c r="AF21" s="37">
        <v>1.792E-3</v>
      </c>
      <c r="AG21" s="37">
        <v>999.87</v>
      </c>
      <c r="AH21" s="39">
        <v>1.7922329902887374E-6</v>
      </c>
    </row>
    <row r="22" spans="1:34" x14ac:dyDescent="0.35">
      <c r="A22" s="24"/>
      <c r="B22" s="131"/>
      <c r="C22" s="132"/>
      <c r="D22" s="132"/>
      <c r="E22" s="130"/>
      <c r="F22" s="132"/>
      <c r="G22" s="132"/>
      <c r="H22" s="132"/>
      <c r="I22" s="34"/>
      <c r="J22" s="34"/>
      <c r="K22" s="133"/>
      <c r="L22" s="130"/>
      <c r="M22" s="5"/>
      <c r="N22" s="5"/>
      <c r="O22" s="5"/>
      <c r="P22" s="5"/>
      <c r="Q22" s="134"/>
      <c r="R22" s="70"/>
      <c r="S22" s="25"/>
      <c r="T22" s="73"/>
      <c r="V22" s="22">
        <v>1.6</v>
      </c>
      <c r="W22" s="23">
        <f t="shared" si="9"/>
        <v>25487.148834429168</v>
      </c>
      <c r="X22" s="23">
        <f t="shared" si="14"/>
        <v>2.3110137938761068E-2</v>
      </c>
      <c r="Y22" s="23">
        <f t="shared" si="15"/>
        <v>6.2603147635479474E-3</v>
      </c>
      <c r="Z22" s="25"/>
      <c r="AE22" s="37">
        <v>5</v>
      </c>
      <c r="AF22" s="37">
        <v>1.519E-3</v>
      </c>
      <c r="AG22" s="37">
        <v>999.99</v>
      </c>
      <c r="AH22" s="39">
        <v>1.5190151901519014E-6</v>
      </c>
    </row>
    <row r="23" spans="1:34" x14ac:dyDescent="0.35">
      <c r="A23" s="32"/>
      <c r="B23" s="131"/>
      <c r="C23" s="132"/>
      <c r="D23" s="132"/>
      <c r="E23" s="130"/>
      <c r="F23" s="130"/>
      <c r="G23" s="132"/>
      <c r="H23" s="132"/>
      <c r="I23" s="132"/>
      <c r="J23" s="34"/>
      <c r="K23" s="133"/>
      <c r="L23" s="130"/>
      <c r="M23" s="5"/>
      <c r="N23" s="5"/>
      <c r="O23" s="5"/>
      <c r="P23" s="5"/>
      <c r="Q23" s="5"/>
      <c r="R23" s="70"/>
      <c r="S23" s="25"/>
      <c r="T23" s="73"/>
      <c r="V23" s="22">
        <v>1.7</v>
      </c>
      <c r="W23" s="23">
        <f t="shared" si="9"/>
        <v>27080.095636580991</v>
      </c>
      <c r="X23" s="23">
        <f t="shared" si="14"/>
        <v>2.2762518040464919E-2</v>
      </c>
      <c r="Y23" s="23">
        <f t="shared" si="15"/>
        <v>6.1661478664410112E-3</v>
      </c>
      <c r="Z23" s="25"/>
      <c r="AA23" s="40"/>
      <c r="AE23" s="37">
        <f>AE22+5</f>
        <v>10</v>
      </c>
      <c r="AF23" s="37">
        <v>1.3079999999999999E-3</v>
      </c>
      <c r="AG23" s="37">
        <v>999.73</v>
      </c>
      <c r="AH23" s="39">
        <v>1.3083532553789522E-6</v>
      </c>
    </row>
    <row r="24" spans="1:34" x14ac:dyDescent="0.35">
      <c r="A24" s="32"/>
      <c r="B24" s="131"/>
      <c r="C24" s="132"/>
      <c r="D24" s="132"/>
      <c r="E24" s="130"/>
      <c r="F24" s="130"/>
      <c r="G24" s="132"/>
      <c r="H24" s="132"/>
      <c r="I24" s="132"/>
      <c r="J24" s="34"/>
      <c r="K24" s="133"/>
      <c r="L24" s="130"/>
      <c r="M24" s="5"/>
      <c r="N24" s="5"/>
      <c r="O24" s="5"/>
      <c r="P24" s="5"/>
      <c r="Q24" s="5"/>
      <c r="R24" s="71"/>
      <c r="S24" s="4"/>
      <c r="T24" s="74"/>
      <c r="V24" s="22">
        <v>1.8</v>
      </c>
      <c r="W24" s="23">
        <f t="shared" si="9"/>
        <v>28673.042438732813</v>
      </c>
      <c r="X24" s="23">
        <f t="shared" si="14"/>
        <v>2.2439563624579481E-2</v>
      </c>
      <c r="Y24" s="23">
        <f t="shared" si="15"/>
        <v>6.0786626120008123E-3</v>
      </c>
      <c r="Z24" s="4"/>
      <c r="AA24" s="40"/>
      <c r="AE24" s="37" t="e">
        <f>#REF!+5</f>
        <v>#REF!</v>
      </c>
      <c r="AF24" s="37">
        <v>1.005E-3</v>
      </c>
      <c r="AG24" s="37">
        <v>998.23</v>
      </c>
      <c r="AH24" s="39">
        <v>1.0067820041473407E-6</v>
      </c>
    </row>
    <row r="25" spans="1:34" x14ac:dyDescent="0.35">
      <c r="A25" s="32"/>
      <c r="B25" s="131"/>
      <c r="C25" s="132"/>
      <c r="D25" s="132"/>
      <c r="E25" s="130"/>
      <c r="F25" s="130"/>
      <c r="G25" s="132"/>
      <c r="H25" s="132"/>
      <c r="I25" s="132"/>
      <c r="J25" s="34"/>
      <c r="K25" s="133"/>
      <c r="L25" s="130"/>
      <c r="M25" s="5"/>
      <c r="N25" s="5"/>
      <c r="O25" s="5"/>
      <c r="P25" s="5"/>
      <c r="Q25" s="5"/>
      <c r="R25" s="71"/>
      <c r="S25" s="4"/>
      <c r="T25" s="74"/>
      <c r="V25" s="22">
        <v>1.9</v>
      </c>
      <c r="W25" s="23">
        <f t="shared" si="9"/>
        <v>30265.989240884635</v>
      </c>
      <c r="X25" s="23">
        <f t="shared" si="14"/>
        <v>2.213829310605897E-2</v>
      </c>
      <c r="Y25" s="23">
        <f t="shared" si="15"/>
        <v>5.9970513174289891E-3</v>
      </c>
      <c r="Z25" s="4"/>
      <c r="AA25" s="40"/>
      <c r="AE25" s="37">
        <v>25</v>
      </c>
      <c r="AF25" s="37">
        <v>8.9400000000000005E-4</v>
      </c>
      <c r="AG25" s="37">
        <v>997.07</v>
      </c>
      <c r="AH25" s="39">
        <v>8.9662711745414066E-7</v>
      </c>
    </row>
    <row r="26" spans="1:34" x14ac:dyDescent="0.35">
      <c r="N26" s="22"/>
      <c r="R26" s="71"/>
      <c r="S26" s="4"/>
      <c r="T26" s="74"/>
      <c r="V26" s="22">
        <v>2</v>
      </c>
      <c r="W26" s="23">
        <f t="shared" si="9"/>
        <v>31858.936043036458</v>
      </c>
      <c r="X26" s="23">
        <f t="shared" si="14"/>
        <v>2.1856219038489225E-2</v>
      </c>
      <c r="Y26" s="23">
        <f t="shared" si="15"/>
        <v>5.9206401573441711E-3</v>
      </c>
      <c r="Z26" s="4"/>
      <c r="AA26" s="40"/>
      <c r="AE26" s="32"/>
      <c r="AF26" s="32"/>
      <c r="AG26" s="32"/>
      <c r="AH26" s="32"/>
    </row>
    <row r="27" spans="1:34" x14ac:dyDescent="0.35">
      <c r="K27" s="1"/>
      <c r="L27" s="4"/>
      <c r="N27" s="22"/>
      <c r="R27" s="71"/>
      <c r="S27" s="4"/>
      <c r="T27" s="74"/>
      <c r="V27" s="22">
        <v>2.1</v>
      </c>
      <c r="W27" s="23">
        <f t="shared" si="9"/>
        <v>33451.88284518828</v>
      </c>
      <c r="X27" s="23">
        <f t="shared" si="14"/>
        <v>2.1591246203465194E-2</v>
      </c>
      <c r="Y27" s="23">
        <f t="shared" si="15"/>
        <v>5.8488615571715653E-3</v>
      </c>
      <c r="Z27" s="4"/>
      <c r="AA27" s="40"/>
      <c r="AE27" s="32"/>
      <c r="AF27" s="32"/>
      <c r="AG27" s="32"/>
      <c r="AH27" s="32"/>
    </row>
    <row r="28" spans="1:34" x14ac:dyDescent="0.35">
      <c r="R28" s="71"/>
      <c r="S28" s="4"/>
      <c r="T28" s="74"/>
      <c r="V28" s="22">
        <v>2.2000000000000002</v>
      </c>
      <c r="W28" s="23">
        <f t="shared" si="9"/>
        <v>35044.829647340106</v>
      </c>
      <c r="X28" s="23">
        <f t="shared" si="14"/>
        <v>2.1341594464994049E-2</v>
      </c>
      <c r="Y28" s="23">
        <f t="shared" si="15"/>
        <v>5.7812332951405121E-3</v>
      </c>
      <c r="Z28" s="4"/>
      <c r="AA28" s="40"/>
      <c r="AE28" s="32"/>
      <c r="AF28" s="32"/>
      <c r="AG28" s="32"/>
      <c r="AH28" s="32"/>
    </row>
    <row r="29" spans="1:34" x14ac:dyDescent="0.35">
      <c r="L29" s="41"/>
      <c r="R29" s="71"/>
      <c r="S29" s="4"/>
      <c r="T29" s="74"/>
      <c r="V29" s="22">
        <v>2.2999999999999998</v>
      </c>
      <c r="W29" s="23">
        <f t="shared" si="9"/>
        <v>36637.776449491925</v>
      </c>
      <c r="X29" s="23">
        <f t="shared" si="14"/>
        <v>2.1105739540656188E-2</v>
      </c>
      <c r="Y29" s="23">
        <f t="shared" si="15"/>
        <v>5.7173424577599474E-3</v>
      </c>
      <c r="Z29" s="4"/>
      <c r="AA29" s="40"/>
      <c r="AE29" s="32"/>
      <c r="AF29" s="32"/>
      <c r="AG29" s="32"/>
      <c r="AH29" s="32"/>
    </row>
    <row r="30" spans="1:34" x14ac:dyDescent="0.35">
      <c r="R30" s="71"/>
      <c r="S30" s="4"/>
      <c r="T30" s="74"/>
      <c r="V30" s="22">
        <v>2.4</v>
      </c>
      <c r="W30" s="23">
        <f t="shared" si="9"/>
        <v>38230.723251643751</v>
      </c>
      <c r="X30" s="23">
        <f t="shared" si="14"/>
        <v>2.0882366945164387E-2</v>
      </c>
      <c r="Y30" s="23">
        <f t="shared" si="15"/>
        <v>5.6568329635702163E-3</v>
      </c>
      <c r="Z30" s="4"/>
      <c r="AA30" s="40"/>
      <c r="AE30" s="32"/>
      <c r="AF30" s="32"/>
      <c r="AG30" s="32"/>
      <c r="AH30" s="32"/>
    </row>
    <row r="31" spans="1:34" x14ac:dyDescent="0.35">
      <c r="F31" s="1"/>
      <c r="G31" s="1"/>
      <c r="R31" s="71"/>
      <c r="S31" s="4"/>
      <c r="T31" s="74"/>
      <c r="V31" s="22">
        <v>2.5</v>
      </c>
      <c r="W31" s="23">
        <f t="shared" si="9"/>
        <v>39823.670053795569</v>
      </c>
      <c r="X31" s="23">
        <f t="shared" si="14"/>
        <v>2.0670335760186651E-2</v>
      </c>
      <c r="Y31" s="23">
        <f t="shared" si="15"/>
        <v>5.5993957487354938E-3</v>
      </c>
      <c r="Z31" s="4"/>
      <c r="AA31" s="40"/>
      <c r="AE31" s="32"/>
      <c r="AF31" s="32"/>
      <c r="AG31" s="32"/>
      <c r="AH31" s="32"/>
    </row>
    <row r="32" spans="1:34" x14ac:dyDescent="0.35">
      <c r="G32" s="19"/>
      <c r="R32" s="71"/>
      <c r="S32" s="4"/>
      <c r="T32" s="74"/>
      <c r="Z32" s="4"/>
      <c r="AA32" s="40"/>
    </row>
    <row r="33" spans="7:28" x14ac:dyDescent="0.35">
      <c r="G33" s="19"/>
      <c r="R33" s="71"/>
      <c r="S33" s="4"/>
      <c r="T33" s="74"/>
      <c r="Z33" s="4"/>
      <c r="AA33" s="40"/>
      <c r="AB33" s="1" t="s">
        <v>51</v>
      </c>
    </row>
    <row r="34" spans="7:28" x14ac:dyDescent="0.35">
      <c r="G34" s="19"/>
      <c r="R34" s="71"/>
      <c r="S34" s="4"/>
      <c r="T34" s="74"/>
      <c r="Z34" s="4"/>
      <c r="AA34" s="40"/>
    </row>
    <row r="35" spans="7:28" x14ac:dyDescent="0.35">
      <c r="G35" s="19"/>
      <c r="R35" s="71"/>
      <c r="S35" s="4"/>
      <c r="T35" s="74"/>
      <c r="Z35" s="4"/>
      <c r="AA35" s="40"/>
    </row>
    <row r="36" spans="7:28" x14ac:dyDescent="0.35">
      <c r="G36" s="19"/>
      <c r="R36" s="71"/>
      <c r="S36" s="4"/>
      <c r="T36" s="74"/>
      <c r="Z36" s="4"/>
    </row>
    <row r="37" spans="7:28" x14ac:dyDescent="0.35">
      <c r="G37" s="19"/>
      <c r="R37" s="71"/>
      <c r="S37" s="4"/>
      <c r="T37" s="74"/>
      <c r="Z37" s="4"/>
    </row>
    <row r="48" spans="7:28" x14ac:dyDescent="0.35">
      <c r="R48" s="85"/>
    </row>
  </sheetData>
  <mergeCells count="3">
    <mergeCell ref="A3:N3"/>
    <mergeCell ref="AA5:AB5"/>
    <mergeCell ref="R4:T4"/>
  </mergeCells>
  <pageMargins left="0.7" right="0.7" top="0.75" bottom="0.75" header="0.3" footer="0.3"/>
  <pageSetup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3151-E75C-464B-BD01-F0659AD77F28}">
  <dimension ref="A19:I26"/>
  <sheetViews>
    <sheetView zoomScale="90" zoomScaleNormal="90" workbookViewId="0">
      <selection activeCell="J14" sqref="J14"/>
    </sheetView>
  </sheetViews>
  <sheetFormatPr defaultRowHeight="15.5" x14ac:dyDescent="0.35"/>
  <cols>
    <col min="1" max="1" width="33.84375" customWidth="1"/>
    <col min="2" max="3" width="12.07421875" bestFit="1" customWidth="1"/>
    <col min="4" max="5" width="12.07421875" customWidth="1"/>
  </cols>
  <sheetData>
    <row r="19" spans="1:9" x14ac:dyDescent="0.35">
      <c r="A19" s="105"/>
      <c r="B19" s="105"/>
      <c r="C19" s="105"/>
      <c r="D19" s="105"/>
      <c r="E19" s="105"/>
      <c r="F19" s="105"/>
      <c r="G19" s="105"/>
      <c r="H19" s="105"/>
      <c r="I19" s="105"/>
    </row>
    <row r="20" spans="1:9" x14ac:dyDescent="0.35">
      <c r="A20" s="105" t="s">
        <v>121</v>
      </c>
      <c r="B20" s="105"/>
      <c r="C20" s="105"/>
      <c r="D20" s="105"/>
      <c r="E20" s="105"/>
      <c r="F20" s="105"/>
      <c r="G20" s="105"/>
      <c r="H20" s="105"/>
      <c r="I20" s="105"/>
    </row>
    <row r="21" spans="1:9" x14ac:dyDescent="0.35">
      <c r="A21" s="105"/>
      <c r="B21" s="105" t="s">
        <v>65</v>
      </c>
      <c r="C21" s="105" t="s">
        <v>77</v>
      </c>
      <c r="D21" s="105"/>
      <c r="E21" s="105"/>
      <c r="F21" s="105" t="s">
        <v>66</v>
      </c>
      <c r="G21" s="105" t="s">
        <v>67</v>
      </c>
      <c r="H21" s="105"/>
      <c r="I21" s="105"/>
    </row>
    <row r="22" spans="1:9" x14ac:dyDescent="0.35">
      <c r="A22" s="105">
        <v>1</v>
      </c>
      <c r="B22" s="105">
        <f xml:space="preserve"> 0.0129*(22000^-0.053)</f>
        <v>7.5934879518996835E-3</v>
      </c>
      <c r="C22" s="105"/>
      <c r="D22" s="105"/>
      <c r="E22" s="105"/>
      <c r="F22" s="105">
        <f>AVERAGEA(B22:B23)</f>
        <v>8.7091196392419471E-3</v>
      </c>
      <c r="G22" s="105">
        <f>_xlfn.STDEV.P(B22:B23)</f>
        <v>1.1156316873422636E-3</v>
      </c>
      <c r="H22" s="105"/>
      <c r="I22" s="105"/>
    </row>
    <row r="23" spans="1:9" x14ac:dyDescent="0.35">
      <c r="A23" s="105">
        <v>2</v>
      </c>
      <c r="B23" s="105">
        <f>1.1014*(22000^-0.472)</f>
        <v>9.8247513265842107E-3</v>
      </c>
      <c r="C23" s="105"/>
      <c r="D23" s="105"/>
      <c r="E23" s="105"/>
      <c r="F23" s="105"/>
      <c r="G23" s="105"/>
      <c r="H23" s="105"/>
      <c r="I23" s="105"/>
    </row>
    <row r="24" spans="1:9" x14ac:dyDescent="0.35">
      <c r="A24" s="105">
        <v>3</v>
      </c>
      <c r="B24" s="105"/>
      <c r="C24" s="105"/>
      <c r="D24" s="105"/>
      <c r="E24" s="105"/>
      <c r="F24" s="105"/>
      <c r="G24" s="105"/>
      <c r="H24" s="105"/>
      <c r="I24" s="105"/>
    </row>
    <row r="25" spans="1:9" x14ac:dyDescent="0.35">
      <c r="A25" s="105"/>
      <c r="B25" s="105"/>
      <c r="C25" s="105"/>
      <c r="D25" s="105"/>
      <c r="E25" s="105"/>
      <c r="F25" s="105"/>
      <c r="G25" s="105"/>
      <c r="H25" s="105"/>
      <c r="I25" s="105"/>
    </row>
    <row r="26" spans="1:9" x14ac:dyDescent="0.35">
      <c r="A26" s="105"/>
      <c r="B26" s="105"/>
      <c r="C26" s="105"/>
      <c r="D26" s="105"/>
      <c r="E26" s="105"/>
      <c r="F26" s="105"/>
      <c r="G26" s="105"/>
      <c r="H26" s="105"/>
      <c r="I26" s="105"/>
    </row>
  </sheetData>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9F6C8-9D63-4482-A8A2-E7EFED09748B}">
  <dimension ref="A1:AG72"/>
  <sheetViews>
    <sheetView zoomScale="50" zoomScaleNormal="50" zoomScalePageLayoutView="90" workbookViewId="0">
      <selection activeCell="Z37" sqref="Z37"/>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6.765625" style="4" customWidth="1"/>
    <col min="14" max="15" width="8.4609375" style="4" customWidth="1"/>
    <col min="16" max="16" width="27.23046875" style="4" customWidth="1"/>
    <col min="17" max="17" width="12.765625" style="68" customWidth="1"/>
    <col min="18" max="18" width="10" style="2" customWidth="1"/>
    <col min="19" max="19" width="13.3046875" style="72" bestFit="1" customWidth="1"/>
    <col min="20" max="20" width="8.4609375" style="5" customWidth="1"/>
    <col min="21" max="21" width="10.23046875" style="2" customWidth="1"/>
    <col min="22" max="22" width="13.84375" style="2" customWidth="1"/>
    <col min="23" max="25" width="10" style="2" customWidth="1"/>
    <col min="26" max="26" width="21" style="2" customWidth="1"/>
    <col min="27" max="27" width="8.69140625" style="2" customWidth="1"/>
    <col min="28" max="28" width="8.69140625" style="2"/>
    <col min="29" max="29" width="22" style="2" customWidth="1"/>
    <col min="30" max="30" width="35.84375" style="2" customWidth="1"/>
    <col min="31" max="31" width="16.84375" style="2" customWidth="1"/>
    <col min="32" max="16384" width="8.69140625" style="2"/>
  </cols>
  <sheetData>
    <row r="1" spans="1:31" x14ac:dyDescent="0.35">
      <c r="A1" s="1"/>
      <c r="I1" s="1"/>
      <c r="J1" s="1"/>
      <c r="Q1" s="69" t="s">
        <v>106</v>
      </c>
    </row>
    <row r="2" spans="1:31" x14ac:dyDescent="0.35">
      <c r="A2" s="1"/>
      <c r="I2" s="1"/>
      <c r="J2" s="1"/>
      <c r="Q2" s="69" t="s">
        <v>85</v>
      </c>
    </row>
    <row r="3" spans="1:31" x14ac:dyDescent="0.35">
      <c r="A3" s="150" t="s">
        <v>3</v>
      </c>
      <c r="B3" s="150"/>
      <c r="C3" s="150"/>
      <c r="D3" s="150"/>
      <c r="E3" s="150"/>
      <c r="F3" s="150"/>
      <c r="G3" s="150"/>
      <c r="H3" s="150"/>
      <c r="I3" s="150"/>
      <c r="J3" s="150"/>
      <c r="K3" s="150"/>
      <c r="L3" s="150"/>
      <c r="M3" s="150"/>
      <c r="N3" s="150"/>
      <c r="O3" s="48"/>
      <c r="P3" s="48"/>
      <c r="T3" s="7"/>
    </row>
    <row r="4" spans="1:31" x14ac:dyDescent="0.35">
      <c r="Q4" s="152" t="s">
        <v>81</v>
      </c>
      <c r="R4" s="153"/>
      <c r="S4" s="154"/>
    </row>
    <row r="5" spans="1:31"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T5" s="14"/>
      <c r="U5" s="15" t="s">
        <v>19</v>
      </c>
      <c r="V5" s="16" t="s">
        <v>14</v>
      </c>
      <c r="W5" s="15" t="s">
        <v>20</v>
      </c>
      <c r="X5" s="16" t="s">
        <v>21</v>
      </c>
      <c r="Y5" s="1"/>
      <c r="Z5" s="151" t="s">
        <v>22</v>
      </c>
      <c r="AA5" s="151"/>
    </row>
    <row r="6" spans="1:31" x14ac:dyDescent="0.35">
      <c r="A6" s="17" t="s">
        <v>23</v>
      </c>
      <c r="B6" s="18">
        <v>0</v>
      </c>
      <c r="C6" s="19">
        <f>B6*0.0166667</f>
        <v>0</v>
      </c>
      <c r="D6" s="19">
        <f>B6*0.000277778</f>
        <v>0</v>
      </c>
      <c r="E6" s="3">
        <f>0.001*D6</f>
        <v>0</v>
      </c>
      <c r="F6" s="19">
        <f>E6/AA$7</f>
        <v>0</v>
      </c>
      <c r="G6" s="19">
        <f t="shared" ref="G6:G18" si="0">F6^(2)</f>
        <v>0</v>
      </c>
      <c r="H6" s="19">
        <f>F6*1.94384</f>
        <v>0</v>
      </c>
      <c r="I6" s="20">
        <v>0</v>
      </c>
      <c r="J6" s="20">
        <f t="shared" ref="J6:J18" si="1">I6 * 10</f>
        <v>0</v>
      </c>
      <c r="K6" s="21">
        <f>J6*100</f>
        <v>0</v>
      </c>
      <c r="L6" s="3">
        <f>(F6*AA$11)/AA$12</f>
        <v>0</v>
      </c>
      <c r="U6" s="22">
        <v>0</v>
      </c>
      <c r="V6" s="23">
        <f t="shared" ref="V6:V31" si="2">(U6*AA$11)/AA$12</f>
        <v>0</v>
      </c>
      <c r="W6" s="23"/>
      <c r="X6" s="23"/>
    </row>
    <row r="7" spans="1:31" x14ac:dyDescent="0.35">
      <c r="A7" s="2">
        <v>25</v>
      </c>
      <c r="B7" s="2">
        <v>1850</v>
      </c>
      <c r="C7" s="19">
        <f t="shared" ref="C7:C18" si="3">B7*0.0166667</f>
        <v>30.833394999999999</v>
      </c>
      <c r="D7" s="19">
        <f t="shared" ref="D7:D18" si="4">B7*0.000277778</f>
        <v>0.51388929999999999</v>
      </c>
      <c r="E7" s="3">
        <f t="shared" ref="E7:E18" si="5">0.001*D7</f>
        <v>5.1388930000000001E-4</v>
      </c>
      <c r="F7" s="19">
        <f t="shared" ref="F7:F18" si="6">E7/AA$7</f>
        <v>1.0277786</v>
      </c>
      <c r="G7" s="19">
        <f t="shared" si="0"/>
        <v>1.05632885061796</v>
      </c>
      <c r="H7" s="19">
        <f t="shared" ref="H7:H18" si="7">F7*1.94384</f>
        <v>1.9978371538240001</v>
      </c>
      <c r="I7" s="2">
        <v>0.7397806451612905</v>
      </c>
      <c r="J7" s="20">
        <f t="shared" si="1"/>
        <v>7.3978064516129045</v>
      </c>
      <c r="K7" s="21">
        <f t="shared" ref="K7:K18" si="8">J7*100</f>
        <v>739.78064516129041</v>
      </c>
      <c r="L7" s="3">
        <f>(F7*AA$11)/AA$12</f>
        <v>16257.300385802468</v>
      </c>
      <c r="M7" s="4">
        <f>(AA$15*G7*N7)/8</f>
        <v>3.853024193548388</v>
      </c>
      <c r="N7" s="4">
        <f>(K7*2*AA$11)/(AA$13*AA$15*G7)</f>
        <v>2.84687708113372E-2</v>
      </c>
      <c r="O7" s="4">
        <f>N7/4</f>
        <v>7.1171927028342999E-3</v>
      </c>
      <c r="P7" s="4">
        <f>3.7*(10^(-1/(2*SQRT(N7)))-2.51/(L7*SQRT(N7)))</f>
        <v>6.3997036125558579E-4</v>
      </c>
      <c r="Q7" s="2">
        <v>215036.15533333333</v>
      </c>
      <c r="R7" s="2">
        <v>15311.934000000001</v>
      </c>
      <c r="S7" s="2">
        <v>243.06233333333333</v>
      </c>
      <c r="U7" s="22">
        <v>0.1</v>
      </c>
      <c r="V7" s="23">
        <f>(U7*AA$11)/AA$12</f>
        <v>1581.7901234567901</v>
      </c>
      <c r="W7" s="23">
        <f t="shared" ref="W7:W31" si="9">0.292/(V7^(0.25))</f>
        <v>4.6301561383887517E-2</v>
      </c>
      <c r="X7" s="23">
        <f>0.0791/(V7^0.25)</f>
        <v>1.2542648991320215E-2</v>
      </c>
      <c r="Y7" s="25"/>
      <c r="Z7" s="1" t="s">
        <v>24</v>
      </c>
      <c r="AA7" s="2">
        <f>AA$9*AA$10</f>
        <v>5.0000000000000001E-4</v>
      </c>
    </row>
    <row r="8" spans="1:31" x14ac:dyDescent="0.35">
      <c r="A8" s="2">
        <v>30</v>
      </c>
      <c r="B8" s="2">
        <v>2750</v>
      </c>
      <c r="C8" s="19">
        <f t="shared" si="3"/>
        <v>45.833424999999998</v>
      </c>
      <c r="D8" s="19">
        <f t="shared" si="4"/>
        <v>0.7638895</v>
      </c>
      <c r="E8" s="3">
        <f t="shared" si="5"/>
        <v>7.6388949999999997E-4</v>
      </c>
      <c r="F8" s="19">
        <f t="shared" si="6"/>
        <v>1.527779</v>
      </c>
      <c r="G8" s="19">
        <f t="shared" si="0"/>
        <v>2.3341086728409999</v>
      </c>
      <c r="H8" s="19">
        <f t="shared" si="7"/>
        <v>2.9697579313600002</v>
      </c>
      <c r="I8" s="2">
        <v>1.7630129032258057</v>
      </c>
      <c r="J8" s="20">
        <f t="shared" si="1"/>
        <v>17.630129032258058</v>
      </c>
      <c r="K8" s="21">
        <f t="shared" si="8"/>
        <v>1763.0129032258058</v>
      </c>
      <c r="L8" s="3">
        <f t="shared" ref="L8:L18" si="10">(F8*AA$11)/AA$12</f>
        <v>24166.25733024691</v>
      </c>
      <c r="M8" s="4">
        <f t="shared" ref="M8:M18" si="11">(AA$15*G8*N8)/8</f>
        <v>9.1823588709677377</v>
      </c>
      <c r="N8" s="4">
        <f t="shared" ref="N8:N18" si="12">(K8*2*AA$11)/(AA$13*AA$15*G8)</f>
        <v>3.0704307825055097E-2</v>
      </c>
      <c r="O8" s="4">
        <f t="shared" ref="O8:O18" si="13">N8/4</f>
        <v>7.6760769562637743E-3</v>
      </c>
      <c r="P8" s="4">
        <f t="shared" ref="P8:P18" si="14">3.7*(10^(-1/(2*SQRT(N8)))-2.51/(L8*SQRT(N8)))</f>
        <v>2.9918887801602717E-3</v>
      </c>
      <c r="Q8" s="2">
        <v>202104.97500000001</v>
      </c>
      <c r="R8" s="2">
        <v>14533.316000000001</v>
      </c>
      <c r="S8" s="2">
        <v>246.19399999999999</v>
      </c>
      <c r="U8" s="22">
        <v>0.2</v>
      </c>
      <c r="V8" s="23">
        <f t="shared" si="2"/>
        <v>3163.5802469135801</v>
      </c>
      <c r="W8" s="23">
        <f t="shared" si="9"/>
        <v>3.8934816988360828E-2</v>
      </c>
      <c r="X8" s="23">
        <f t="shared" ref="X8:X31" si="15">0.0791/(V8^0.25)</f>
        <v>1.0547068574586788E-2</v>
      </c>
      <c r="Y8" s="25"/>
      <c r="Z8" s="2" t="s">
        <v>25</v>
      </c>
    </row>
    <row r="9" spans="1:31" ht="19" x14ac:dyDescent="0.4">
      <c r="A9" s="2">
        <v>35</v>
      </c>
      <c r="B9" s="2">
        <v>3350</v>
      </c>
      <c r="C9" s="19">
        <f t="shared" si="3"/>
        <v>55.833444999999998</v>
      </c>
      <c r="D9" s="19">
        <f t="shared" si="4"/>
        <v>0.9305563</v>
      </c>
      <c r="E9" s="3">
        <f t="shared" si="5"/>
        <v>9.3055630000000002E-4</v>
      </c>
      <c r="F9" s="19">
        <f t="shared" si="6"/>
        <v>1.8611126</v>
      </c>
      <c r="G9" s="19">
        <f t="shared" si="0"/>
        <v>3.4637401098787599</v>
      </c>
      <c r="H9" s="19">
        <f t="shared" si="7"/>
        <v>3.6177051163840002</v>
      </c>
      <c r="I9" s="2">
        <v>2.6148999999999996</v>
      </c>
      <c r="J9" s="20">
        <f t="shared" si="1"/>
        <v>26.148999999999994</v>
      </c>
      <c r="K9" s="21">
        <f t="shared" si="8"/>
        <v>2614.8999999999992</v>
      </c>
      <c r="L9" s="3">
        <f t="shared" si="10"/>
        <v>29438.895293209873</v>
      </c>
      <c r="M9" s="4">
        <f t="shared" si="11"/>
        <v>13.61927083333333</v>
      </c>
      <c r="N9" s="4">
        <f t="shared" si="12"/>
        <v>3.0688430596832596E-2</v>
      </c>
      <c r="O9" s="4">
        <f t="shared" si="13"/>
        <v>7.6721076492081491E-3</v>
      </c>
      <c r="P9" s="4">
        <f t="shared" si="14"/>
        <v>3.3754203076503042E-3</v>
      </c>
      <c r="Q9" s="2">
        <v>195270.94066666669</v>
      </c>
      <c r="R9" s="2">
        <v>14352.955666666667</v>
      </c>
      <c r="S9" s="2">
        <v>251.96299999999999</v>
      </c>
      <c r="U9" s="22">
        <v>0.3</v>
      </c>
      <c r="V9" s="23">
        <f t="shared" si="2"/>
        <v>4745.3703703703704</v>
      </c>
      <c r="W9" s="23">
        <f t="shared" si="9"/>
        <v>3.5181578640865456E-2</v>
      </c>
      <c r="X9" s="23">
        <f t="shared" si="15"/>
        <v>9.5303522962070491E-3</v>
      </c>
      <c r="Y9" s="25"/>
      <c r="Z9" s="1" t="s">
        <v>26</v>
      </c>
      <c r="AA9" s="19">
        <v>0.05</v>
      </c>
      <c r="AD9" s="27" t="s">
        <v>27</v>
      </c>
    </row>
    <row r="10" spans="1:31" ht="18.5" x14ac:dyDescent="0.35">
      <c r="A10" s="2">
        <v>40</v>
      </c>
      <c r="B10" s="2">
        <v>4150</v>
      </c>
      <c r="C10" s="19">
        <f t="shared" si="3"/>
        <v>69.166804999999997</v>
      </c>
      <c r="D10" s="19">
        <f t="shared" si="4"/>
        <v>1.1527787</v>
      </c>
      <c r="E10" s="3">
        <f t="shared" si="5"/>
        <v>1.1527787000000002E-3</v>
      </c>
      <c r="F10" s="19">
        <f t="shared" si="6"/>
        <v>2.3055574000000001</v>
      </c>
      <c r="G10" s="19">
        <f t="shared" si="0"/>
        <v>5.3155949246947607</v>
      </c>
      <c r="H10" s="19">
        <f t="shared" si="7"/>
        <v>4.4816346964160001</v>
      </c>
      <c r="I10" s="2">
        <v>3.8714032258064517</v>
      </c>
      <c r="J10" s="20">
        <f t="shared" si="1"/>
        <v>38.71403225806452</v>
      </c>
      <c r="K10" s="21">
        <f t="shared" si="8"/>
        <v>3871.4032258064522</v>
      </c>
      <c r="L10" s="3">
        <f t="shared" si="10"/>
        <v>36469.07924382716</v>
      </c>
      <c r="M10" s="4">
        <f t="shared" si="11"/>
        <v>20.163558467741939</v>
      </c>
      <c r="N10" s="4">
        <f t="shared" si="12"/>
        <v>2.9606115044444988E-2</v>
      </c>
      <c r="O10" s="4">
        <f t="shared" si="13"/>
        <v>7.401528761111247E-3</v>
      </c>
      <c r="P10" s="4">
        <f t="shared" si="14"/>
        <v>3.115274679492745E-3</v>
      </c>
      <c r="Q10" s="2"/>
      <c r="S10" s="2"/>
      <c r="U10" s="22">
        <v>0.4</v>
      </c>
      <c r="V10" s="23">
        <f t="shared" si="2"/>
        <v>6327.1604938271603</v>
      </c>
      <c r="W10" s="23">
        <f t="shared" si="9"/>
        <v>3.2740148034072047E-2</v>
      </c>
      <c r="X10" s="23">
        <f t="shared" si="15"/>
        <v>8.8689921558051353E-3</v>
      </c>
      <c r="Y10" s="25"/>
      <c r="Z10" s="1" t="s">
        <v>28</v>
      </c>
      <c r="AA10" s="19">
        <v>0.01</v>
      </c>
      <c r="AD10" s="28" t="s">
        <v>29</v>
      </c>
      <c r="AE10" s="2" t="s">
        <v>30</v>
      </c>
    </row>
    <row r="11" spans="1:31" ht="16.5" x14ac:dyDescent="0.4">
      <c r="A11" s="2">
        <v>45</v>
      </c>
      <c r="B11" s="2">
        <v>4900</v>
      </c>
      <c r="C11" s="19">
        <f t="shared" si="3"/>
        <v>81.666830000000004</v>
      </c>
      <c r="D11" s="19">
        <f t="shared" si="4"/>
        <v>1.3611122</v>
      </c>
      <c r="E11" s="3">
        <f t="shared" si="5"/>
        <v>1.3611122000000001E-3</v>
      </c>
      <c r="F11" s="19">
        <f t="shared" si="6"/>
        <v>2.7222244</v>
      </c>
      <c r="G11" s="19">
        <f t="shared" si="0"/>
        <v>7.4105056839553596</v>
      </c>
      <c r="H11" s="19">
        <f t="shared" si="7"/>
        <v>5.2915686776959996</v>
      </c>
      <c r="I11" s="2">
        <v>5.3686870967741926</v>
      </c>
      <c r="J11" s="20">
        <f t="shared" si="1"/>
        <v>53.686870967741925</v>
      </c>
      <c r="K11" s="21">
        <f t="shared" si="8"/>
        <v>5368.6870967741925</v>
      </c>
      <c r="L11" s="3">
        <f t="shared" si="10"/>
        <v>43059.876697530861</v>
      </c>
      <c r="M11" s="4">
        <f t="shared" si="11"/>
        <v>27.961911962365587</v>
      </c>
      <c r="N11" s="4">
        <f t="shared" si="12"/>
        <v>2.9449989269897489E-2</v>
      </c>
      <c r="O11" s="4">
        <f t="shared" si="13"/>
        <v>7.3624973174743723E-3</v>
      </c>
      <c r="P11" s="4">
        <f t="shared" si="14"/>
        <v>3.2578090911028778E-3</v>
      </c>
      <c r="Q11" s="2"/>
      <c r="S11" s="2"/>
      <c r="U11" s="22">
        <v>0.5</v>
      </c>
      <c r="V11" s="23">
        <f t="shared" si="2"/>
        <v>7908.9506172839501</v>
      </c>
      <c r="W11" s="23">
        <f t="shared" si="9"/>
        <v>3.0963720280745455E-2</v>
      </c>
      <c r="X11" s="23">
        <f t="shared" si="15"/>
        <v>8.3877749116676916E-3</v>
      </c>
      <c r="Y11" s="25"/>
      <c r="Z11" s="1" t="s">
        <v>31</v>
      </c>
      <c r="AA11" s="4">
        <f>2*(AA9*AA10)/(AA9+AA10)</f>
        <v>1.6666666666666666E-2</v>
      </c>
      <c r="AB11" s="1">
        <f>10*AA11*100</f>
        <v>16.666666666666664</v>
      </c>
      <c r="AD11" s="27" t="s">
        <v>32</v>
      </c>
      <c r="AE11" s="2" t="s">
        <v>33</v>
      </c>
    </row>
    <row r="12" spans="1:31" ht="18.5" x14ac:dyDescent="0.35">
      <c r="A12" s="49" t="s">
        <v>68</v>
      </c>
      <c r="B12" s="29">
        <v>5650</v>
      </c>
      <c r="C12" s="19">
        <f t="shared" si="3"/>
        <v>94.166854999999998</v>
      </c>
      <c r="D12" s="19">
        <f t="shared" si="4"/>
        <v>1.5694456999999999</v>
      </c>
      <c r="E12" s="3">
        <f t="shared" si="5"/>
        <v>1.5694457000000001E-3</v>
      </c>
      <c r="F12" s="19">
        <f t="shared" si="6"/>
        <v>3.1388913999999999</v>
      </c>
      <c r="G12" s="19">
        <f t="shared" si="0"/>
        <v>9.8526392209939591</v>
      </c>
      <c r="H12" s="19">
        <f t="shared" si="7"/>
        <v>6.101502658976</v>
      </c>
      <c r="I12" s="30">
        <v>6.7524870967741917</v>
      </c>
      <c r="J12" s="20">
        <f t="shared" si="1"/>
        <v>67.524870967741919</v>
      </c>
      <c r="K12" s="21">
        <f t="shared" si="8"/>
        <v>6752.4870967741917</v>
      </c>
      <c r="L12" s="3">
        <f t="shared" si="10"/>
        <v>49650.674151234562</v>
      </c>
      <c r="M12" s="4">
        <f t="shared" si="11"/>
        <v>35.169203629032246</v>
      </c>
      <c r="N12" s="4">
        <f t="shared" si="12"/>
        <v>2.7859676908948409E-2</v>
      </c>
      <c r="O12" s="4">
        <f t="shared" si="13"/>
        <v>6.9649192272371024E-3</v>
      </c>
      <c r="P12" s="4">
        <f t="shared" si="14"/>
        <v>2.6171567278056472E-3</v>
      </c>
      <c r="Q12" s="2"/>
      <c r="S12" s="2"/>
      <c r="U12" s="22">
        <v>0.6</v>
      </c>
      <c r="V12" s="23">
        <f t="shared" si="2"/>
        <v>9490.7407407407409</v>
      </c>
      <c r="W12" s="23">
        <f t="shared" si="9"/>
        <v>2.9584063362070416E-2</v>
      </c>
      <c r="X12" s="23">
        <f t="shared" si="15"/>
        <v>8.0140390819855144E-3</v>
      </c>
      <c r="Y12" s="25"/>
      <c r="Z12" s="1" t="s">
        <v>34</v>
      </c>
      <c r="AA12" s="31">
        <f>AA$16/AA$15</f>
        <v>1.053658536585366E-6</v>
      </c>
    </row>
    <row r="13" spans="1:31" ht="16.5" x14ac:dyDescent="0.4">
      <c r="A13" s="2">
        <v>50</v>
      </c>
      <c r="B13" s="29">
        <v>5650</v>
      </c>
      <c r="C13" s="19">
        <f t="shared" si="3"/>
        <v>94.166854999999998</v>
      </c>
      <c r="D13" s="19">
        <f t="shared" si="4"/>
        <v>1.5694456999999999</v>
      </c>
      <c r="E13" s="3">
        <f t="shared" si="5"/>
        <v>1.5694457000000001E-3</v>
      </c>
      <c r="F13" s="19">
        <f t="shared" si="6"/>
        <v>3.1388913999999999</v>
      </c>
      <c r="G13" s="19">
        <f t="shared" si="0"/>
        <v>9.8526392209939591</v>
      </c>
      <c r="H13" s="19">
        <f t="shared" si="7"/>
        <v>6.101502658976</v>
      </c>
      <c r="I13" s="30">
        <v>6.7524870967741917</v>
      </c>
      <c r="J13" s="20">
        <f t="shared" si="1"/>
        <v>67.524870967741919</v>
      </c>
      <c r="K13" s="21">
        <f t="shared" si="8"/>
        <v>6752.4870967741917</v>
      </c>
      <c r="L13" s="3">
        <f t="shared" si="10"/>
        <v>49650.674151234562</v>
      </c>
      <c r="M13" s="4">
        <f t="shared" si="11"/>
        <v>35.169203629032246</v>
      </c>
      <c r="N13" s="4">
        <f t="shared" si="12"/>
        <v>2.7859676908948409E-2</v>
      </c>
      <c r="O13" s="4">
        <f t="shared" si="13"/>
        <v>6.9649192272371024E-3</v>
      </c>
      <c r="P13" s="4">
        <f t="shared" si="14"/>
        <v>2.6171567278056472E-3</v>
      </c>
      <c r="Q13" s="2"/>
      <c r="S13" s="2"/>
      <c r="U13" s="22">
        <v>0.7</v>
      </c>
      <c r="V13" s="23">
        <f t="shared" si="2"/>
        <v>11072.530864197528</v>
      </c>
      <c r="W13" s="23">
        <f t="shared" si="9"/>
        <v>2.8465651401959793E-2</v>
      </c>
      <c r="X13" s="23">
        <f t="shared" si="15"/>
        <v>7.7110720064897942E-3</v>
      </c>
      <c r="Y13" s="25"/>
      <c r="Z13" s="1" t="s">
        <v>35</v>
      </c>
      <c r="AA13" s="32">
        <v>0.8</v>
      </c>
      <c r="AD13" s="27" t="s">
        <v>36</v>
      </c>
      <c r="AE13" s="1" t="s">
        <v>37</v>
      </c>
    </row>
    <row r="14" spans="1:31" x14ac:dyDescent="0.35">
      <c r="A14" s="2">
        <v>45</v>
      </c>
      <c r="B14" s="2">
        <v>4900</v>
      </c>
      <c r="C14" s="19">
        <f t="shared" si="3"/>
        <v>81.666830000000004</v>
      </c>
      <c r="D14" s="19">
        <f t="shared" si="4"/>
        <v>1.3611122</v>
      </c>
      <c r="E14" s="3">
        <f t="shared" si="5"/>
        <v>1.3611122000000001E-3</v>
      </c>
      <c r="F14" s="19">
        <f t="shared" si="6"/>
        <v>2.7222244</v>
      </c>
      <c r="G14" s="19">
        <f t="shared" si="0"/>
        <v>7.4105056839553596</v>
      </c>
      <c r="H14" s="19">
        <f t="shared" si="7"/>
        <v>5.2915686776959996</v>
      </c>
      <c r="I14" s="30">
        <v>5.3195419354838718</v>
      </c>
      <c r="J14" s="20">
        <f t="shared" si="1"/>
        <v>53.19541935483872</v>
      </c>
      <c r="K14" s="21">
        <f t="shared" si="8"/>
        <v>5319.5419354838723</v>
      </c>
      <c r="L14" s="3">
        <f t="shared" si="10"/>
        <v>43059.876697530861</v>
      </c>
      <c r="M14" s="4">
        <f t="shared" si="11"/>
        <v>27.705947580645173</v>
      </c>
      <c r="N14" s="4">
        <f t="shared" si="12"/>
        <v>2.9180402973177585E-2</v>
      </c>
      <c r="O14" s="4">
        <f t="shared" si="13"/>
        <v>7.2951007432943962E-3</v>
      </c>
      <c r="P14" s="4">
        <f t="shared" si="14"/>
        <v>3.1145678755690109E-3</v>
      </c>
      <c r="Q14" s="2"/>
      <c r="S14" s="2"/>
      <c r="U14" s="22">
        <v>0.8</v>
      </c>
      <c r="V14" s="23">
        <f t="shared" si="2"/>
        <v>12654.320987654321</v>
      </c>
      <c r="W14" s="23">
        <f t="shared" si="9"/>
        <v>2.7531073116727131E-2</v>
      </c>
      <c r="X14" s="23">
        <f t="shared" si="15"/>
        <v>7.4579037107298501E-3</v>
      </c>
      <c r="Y14" s="25"/>
      <c r="AA14" s="32"/>
    </row>
    <row r="15" spans="1:31" x14ac:dyDescent="0.35">
      <c r="A15" s="2">
        <v>40</v>
      </c>
      <c r="B15" s="2">
        <v>4200</v>
      </c>
      <c r="C15" s="19">
        <f t="shared" si="3"/>
        <v>70.000140000000002</v>
      </c>
      <c r="D15" s="19">
        <f t="shared" si="4"/>
        <v>1.1666676</v>
      </c>
      <c r="E15" s="3">
        <f t="shared" si="5"/>
        <v>1.1666676000000001E-3</v>
      </c>
      <c r="F15" s="19">
        <f t="shared" si="6"/>
        <v>2.3333352000000001</v>
      </c>
      <c r="G15" s="19">
        <f t="shared" si="0"/>
        <v>5.4444531555590405</v>
      </c>
      <c r="H15" s="19">
        <f t="shared" si="7"/>
        <v>4.5356302951680005</v>
      </c>
      <c r="I15" s="30">
        <v>3.9457419354838708</v>
      </c>
      <c r="J15" s="20">
        <f t="shared" si="1"/>
        <v>39.457419354838706</v>
      </c>
      <c r="K15" s="21">
        <f t="shared" si="8"/>
        <v>3945.7419354838707</v>
      </c>
      <c r="L15" s="3">
        <f t="shared" si="10"/>
        <v>36908.465740740736</v>
      </c>
      <c r="M15" s="4">
        <f t="shared" si="11"/>
        <v>20.550739247311824</v>
      </c>
      <c r="N15" s="4">
        <f t="shared" si="12"/>
        <v>2.9460445164044419E-2</v>
      </c>
      <c r="O15" s="4">
        <f t="shared" si="13"/>
        <v>7.3651112910111047E-3</v>
      </c>
      <c r="P15" s="4">
        <f t="shared" si="14"/>
        <v>3.0539839429151307E-3</v>
      </c>
      <c r="Q15" s="2"/>
      <c r="S15" s="2"/>
      <c r="T15" s="34"/>
      <c r="U15" s="22">
        <v>0.9</v>
      </c>
      <c r="V15" s="23">
        <f t="shared" si="2"/>
        <v>14236.111111111109</v>
      </c>
      <c r="W15" s="23">
        <f t="shared" si="9"/>
        <v>2.6732218928887431E-2</v>
      </c>
      <c r="X15" s="23">
        <f t="shared" si="15"/>
        <v>7.2415017714897124E-3</v>
      </c>
      <c r="Y15" s="25"/>
      <c r="Z15" s="2" t="s">
        <v>38</v>
      </c>
      <c r="AA15" s="32">
        <f>VLOOKUP(AA17, SW!$A$4:$F$34, 3, FALSE)</f>
        <v>1025</v>
      </c>
      <c r="AB15" s="32"/>
    </row>
    <row r="16" spans="1:31" x14ac:dyDescent="0.35">
      <c r="A16" s="2">
        <v>35</v>
      </c>
      <c r="B16" s="2">
        <v>3350</v>
      </c>
      <c r="C16" s="19">
        <f t="shared" si="3"/>
        <v>55.833444999999998</v>
      </c>
      <c r="D16" s="19">
        <f t="shared" si="4"/>
        <v>0.9305563</v>
      </c>
      <c r="E16" s="3">
        <f t="shared" si="5"/>
        <v>9.3055630000000002E-4</v>
      </c>
      <c r="F16" s="19">
        <f t="shared" si="6"/>
        <v>1.8611126</v>
      </c>
      <c r="G16" s="19">
        <f t="shared" si="0"/>
        <v>3.4637401098787599</v>
      </c>
      <c r="H16" s="19">
        <f t="shared" si="7"/>
        <v>3.6177051163840002</v>
      </c>
      <c r="I16" s="35">
        <v>2.5233935483870962</v>
      </c>
      <c r="J16" s="20">
        <f t="shared" si="1"/>
        <v>25.233935483870962</v>
      </c>
      <c r="K16" s="21">
        <f t="shared" si="8"/>
        <v>2523.393548387096</v>
      </c>
      <c r="L16" s="3">
        <f t="shared" si="10"/>
        <v>29438.895293209873</v>
      </c>
      <c r="M16" s="4">
        <f t="shared" si="11"/>
        <v>13.14267473118279</v>
      </c>
      <c r="N16" s="4">
        <f t="shared" si="12"/>
        <v>2.961451213360838E-2</v>
      </c>
      <c r="O16" s="4">
        <f t="shared" si="13"/>
        <v>7.4036280334020951E-3</v>
      </c>
      <c r="P16" s="4">
        <f t="shared" si="14"/>
        <v>2.7664647510387713E-3</v>
      </c>
      <c r="Q16" s="2"/>
      <c r="S16" s="2"/>
      <c r="U16" s="22">
        <v>1</v>
      </c>
      <c r="V16" s="23">
        <f t="shared" si="2"/>
        <v>15817.9012345679</v>
      </c>
      <c r="W16" s="23">
        <f t="shared" si="9"/>
        <v>2.6037281386997589E-2</v>
      </c>
      <c r="X16" s="23">
        <f t="shared" si="15"/>
        <v>7.0532498551764029E-3</v>
      </c>
      <c r="Y16" s="25"/>
      <c r="Z16" s="2" t="s">
        <v>39</v>
      </c>
      <c r="AA16" s="32">
        <f>VLOOKUP(AA17, SW!$A$4:$F$34, 5, FALSE)</f>
        <v>1.08E-3</v>
      </c>
    </row>
    <row r="17" spans="1:33" x14ac:dyDescent="0.35">
      <c r="A17" s="2">
        <v>30</v>
      </c>
      <c r="B17" s="2">
        <v>2650</v>
      </c>
      <c r="C17" s="19">
        <f t="shared" si="3"/>
        <v>44.166755000000002</v>
      </c>
      <c r="D17" s="19">
        <f t="shared" si="4"/>
        <v>0.73611170000000004</v>
      </c>
      <c r="E17" s="3">
        <f t="shared" si="5"/>
        <v>7.3611170000000004E-4</v>
      </c>
      <c r="F17" s="19">
        <f t="shared" si="6"/>
        <v>1.4722234000000001</v>
      </c>
      <c r="G17" s="19">
        <f t="shared" si="0"/>
        <v>2.1674417395075602</v>
      </c>
      <c r="H17" s="19">
        <f t="shared" si="7"/>
        <v>2.8617667338560002</v>
      </c>
      <c r="I17" s="20">
        <v>1.5869516129032262</v>
      </c>
      <c r="J17" s="20">
        <f t="shared" si="1"/>
        <v>15.869516129032261</v>
      </c>
      <c r="K17" s="21">
        <f t="shared" si="8"/>
        <v>1586.9516129032261</v>
      </c>
      <c r="L17" s="3">
        <f t="shared" si="10"/>
        <v>23287.484336419751</v>
      </c>
      <c r="M17" s="4">
        <f t="shared" si="11"/>
        <v>8.2653729838709697</v>
      </c>
      <c r="N17" s="4">
        <f t="shared" si="12"/>
        <v>2.9763304355970577E-2</v>
      </c>
      <c r="O17" s="4">
        <f t="shared" si="13"/>
        <v>7.4408260889926442E-3</v>
      </c>
      <c r="P17" s="4">
        <f t="shared" si="14"/>
        <v>2.3656944638452615E-3</v>
      </c>
      <c r="Q17" s="2"/>
      <c r="S17" s="2"/>
      <c r="T17" s="14"/>
      <c r="U17" s="22">
        <v>1.1000000000000001</v>
      </c>
      <c r="V17" s="23">
        <f t="shared" si="2"/>
        <v>17399.691358024691</v>
      </c>
      <c r="W17" s="23">
        <f t="shared" si="9"/>
        <v>2.5424209894386686E-2</v>
      </c>
      <c r="X17" s="23">
        <f t="shared" si="15"/>
        <v>6.8871746665958456E-3</v>
      </c>
      <c r="Y17" s="25"/>
      <c r="Z17" s="2" t="s">
        <v>161</v>
      </c>
      <c r="AA17" s="2">
        <v>20</v>
      </c>
    </row>
    <row r="18" spans="1:33" x14ac:dyDescent="0.35">
      <c r="A18" s="2">
        <v>25</v>
      </c>
      <c r="B18" s="2">
        <v>1800</v>
      </c>
      <c r="C18" s="19">
        <f t="shared" si="3"/>
        <v>30.000059999999998</v>
      </c>
      <c r="D18" s="19">
        <f t="shared" si="4"/>
        <v>0.50000040000000001</v>
      </c>
      <c r="E18" s="3">
        <f t="shared" si="5"/>
        <v>5.0000040000000004E-4</v>
      </c>
      <c r="F18" s="19">
        <f t="shared" si="6"/>
        <v>1.0000008</v>
      </c>
      <c r="G18" s="19">
        <f t="shared" si="0"/>
        <v>1.00000160000064</v>
      </c>
      <c r="H18" s="19">
        <f t="shared" si="7"/>
        <v>1.9438415550720001</v>
      </c>
      <c r="I18" s="20">
        <v>0.66267419354838708</v>
      </c>
      <c r="J18" s="20">
        <f t="shared" si="1"/>
        <v>6.6267419354838708</v>
      </c>
      <c r="K18" s="21">
        <f t="shared" si="8"/>
        <v>662.67419354838705</v>
      </c>
      <c r="L18" s="3">
        <f t="shared" si="10"/>
        <v>15817.913888888887</v>
      </c>
      <c r="M18" s="4">
        <f t="shared" si="11"/>
        <v>3.4514280913978488</v>
      </c>
      <c r="N18" s="4">
        <f t="shared" si="12"/>
        <v>2.6937932246786572E-2</v>
      </c>
      <c r="O18" s="4">
        <f t="shared" si="13"/>
        <v>6.7344830616966429E-3</v>
      </c>
      <c r="P18" s="4">
        <f t="shared" si="14"/>
        <v>-2.5218117897759406E-4</v>
      </c>
      <c r="Q18" s="78"/>
      <c r="R18" s="61"/>
      <c r="S18" s="79"/>
      <c r="U18" s="22">
        <v>1.2</v>
      </c>
      <c r="V18" s="23">
        <f t="shared" si="2"/>
        <v>18981.481481481482</v>
      </c>
      <c r="W18" s="23">
        <f t="shared" si="9"/>
        <v>2.4877132829803777E-2</v>
      </c>
      <c r="X18" s="23">
        <f t="shared" si="15"/>
        <v>6.7389767357447913E-3</v>
      </c>
      <c r="Y18" s="25"/>
      <c r="Z18" s="1"/>
      <c r="AA18" s="1"/>
      <c r="AD18" s="36" t="s">
        <v>40</v>
      </c>
      <c r="AE18" s="37"/>
      <c r="AF18" s="37"/>
      <c r="AG18" s="37"/>
    </row>
    <row r="19" spans="1:33" x14ac:dyDescent="0.35">
      <c r="A19" s="24"/>
      <c r="B19" s="18"/>
      <c r="C19" s="19"/>
      <c r="D19" s="19"/>
      <c r="E19" s="3"/>
      <c r="F19" s="19"/>
      <c r="G19" s="19"/>
      <c r="H19" s="19"/>
      <c r="I19" s="20"/>
      <c r="J19" s="20"/>
      <c r="K19" s="21">
        <v>2.2536753936461477E-2</v>
      </c>
      <c r="Q19" s="70"/>
      <c r="R19" s="25"/>
      <c r="S19" s="73"/>
      <c r="U19" s="22">
        <v>1.3</v>
      </c>
      <c r="V19" s="23">
        <f t="shared" si="2"/>
        <v>20563.271604938269</v>
      </c>
      <c r="W19" s="23">
        <f t="shared" si="9"/>
        <v>2.4384272245175108E-2</v>
      </c>
      <c r="X19" s="23">
        <f t="shared" si="15"/>
        <v>6.6054655294292847E-3</v>
      </c>
      <c r="Y19" s="25"/>
      <c r="AD19" s="38" t="s">
        <v>41</v>
      </c>
      <c r="AE19" s="37" t="s">
        <v>42</v>
      </c>
      <c r="AF19" s="37" t="s">
        <v>43</v>
      </c>
      <c r="AG19" s="37" t="s">
        <v>44</v>
      </c>
    </row>
    <row r="20" spans="1:33" x14ac:dyDescent="0.35">
      <c r="A20" s="24"/>
      <c r="B20" s="18"/>
      <c r="C20" s="19"/>
      <c r="D20" s="19"/>
      <c r="E20" s="3"/>
      <c r="F20" s="19"/>
      <c r="G20" s="19"/>
      <c r="H20" s="19"/>
      <c r="I20" s="20"/>
      <c r="J20" s="20"/>
      <c r="K20" s="21"/>
      <c r="U20" s="22">
        <v>1.4</v>
      </c>
      <c r="V20" s="23">
        <f t="shared" si="2"/>
        <v>22145.061728395056</v>
      </c>
      <c r="W20" s="23">
        <f t="shared" si="9"/>
        <v>2.3936664221769863E-2</v>
      </c>
      <c r="X20" s="23">
        <f t="shared" si="15"/>
        <v>6.4842128080205355E-3</v>
      </c>
      <c r="Y20" s="25"/>
      <c r="Z20" s="1" t="s">
        <v>45</v>
      </c>
      <c r="AA20" s="1">
        <f>4*10^(-6)</f>
        <v>3.9999999999999998E-6</v>
      </c>
      <c r="AD20" s="38" t="s">
        <v>46</v>
      </c>
      <c r="AE20" s="37" t="s">
        <v>47</v>
      </c>
      <c r="AF20" s="37" t="s">
        <v>48</v>
      </c>
      <c r="AG20" s="37" t="s">
        <v>49</v>
      </c>
    </row>
    <row r="21" spans="1:33" x14ac:dyDescent="0.35">
      <c r="A21" s="24"/>
      <c r="B21" s="18"/>
      <c r="C21" s="19"/>
      <c r="D21" s="19"/>
      <c r="E21" s="3"/>
      <c r="F21" s="19"/>
      <c r="G21" s="19"/>
      <c r="H21" s="19"/>
      <c r="I21" s="59"/>
      <c r="J21" s="20"/>
      <c r="K21" s="21"/>
      <c r="Q21" s="70"/>
      <c r="R21" s="25"/>
      <c r="S21" s="73"/>
      <c r="U21" s="22">
        <v>1.5</v>
      </c>
      <c r="V21" s="23">
        <f t="shared" si="2"/>
        <v>23726.85185185185</v>
      </c>
      <c r="W21" s="23">
        <f t="shared" si="9"/>
        <v>2.3527339629844345E-2</v>
      </c>
      <c r="X21" s="23">
        <f t="shared" si="15"/>
        <v>6.3733307010982463E-3</v>
      </c>
      <c r="Y21" s="25"/>
      <c r="Z21" s="1" t="s">
        <v>50</v>
      </c>
      <c r="AA21" s="2">
        <f>AA20/AA11</f>
        <v>2.3999999999999998E-4</v>
      </c>
      <c r="AD21" s="37">
        <v>0</v>
      </c>
      <c r="AE21" s="37">
        <v>1.792E-3</v>
      </c>
      <c r="AF21" s="37">
        <v>999.87</v>
      </c>
      <c r="AG21" s="39">
        <v>1.7922329902887374E-6</v>
      </c>
    </row>
    <row r="22" spans="1:33" x14ac:dyDescent="0.35">
      <c r="A22" s="24"/>
      <c r="B22" s="18"/>
      <c r="C22" s="19"/>
      <c r="D22" s="19"/>
      <c r="E22" s="3"/>
      <c r="F22" s="19"/>
      <c r="G22" s="19"/>
      <c r="H22" s="19"/>
      <c r="I22" s="20"/>
      <c r="J22" s="20"/>
      <c r="K22" s="21"/>
      <c r="Q22" s="70"/>
      <c r="R22" s="25"/>
      <c r="S22" s="73"/>
      <c r="U22" s="22">
        <v>1.6</v>
      </c>
      <c r="V22" s="23">
        <f t="shared" si="2"/>
        <v>25308.641975308641</v>
      </c>
      <c r="W22" s="23">
        <f t="shared" si="9"/>
        <v>2.3150780691943755E-2</v>
      </c>
      <c r="X22" s="23">
        <f t="shared" si="15"/>
        <v>6.2713244956601067E-3</v>
      </c>
      <c r="Y22" s="25"/>
      <c r="AD22" s="37">
        <v>5</v>
      </c>
      <c r="AE22" s="37">
        <v>1.519E-3</v>
      </c>
      <c r="AF22" s="37">
        <v>999.99</v>
      </c>
      <c r="AG22" s="39">
        <v>1.5190151901519014E-6</v>
      </c>
    </row>
    <row r="23" spans="1:33" x14ac:dyDescent="0.35">
      <c r="B23" s="18"/>
      <c r="C23" s="19"/>
      <c r="D23" s="19"/>
      <c r="E23" s="3"/>
      <c r="F23" s="3"/>
      <c r="G23" s="19"/>
      <c r="H23" s="19"/>
      <c r="I23" s="19"/>
      <c r="J23" s="20"/>
      <c r="K23" s="21"/>
      <c r="Q23" s="70"/>
      <c r="R23" s="25"/>
      <c r="S23" s="73"/>
      <c r="U23" s="22">
        <v>1.7</v>
      </c>
      <c r="V23" s="23">
        <f t="shared" si="2"/>
        <v>26890.432098765428</v>
      </c>
      <c r="W23" s="23">
        <f t="shared" si="9"/>
        <v>2.280254945027245E-2</v>
      </c>
      <c r="X23" s="23">
        <f t="shared" si="15"/>
        <v>6.1769919914950368E-3</v>
      </c>
      <c r="Y23" s="25"/>
      <c r="Z23" s="40"/>
      <c r="AD23" s="37">
        <f>AD22+5</f>
        <v>10</v>
      </c>
      <c r="AE23" s="37">
        <v>1.3079999999999999E-3</v>
      </c>
      <c r="AF23" s="37">
        <v>999.73</v>
      </c>
      <c r="AG23" s="39">
        <v>1.3083532553789522E-6</v>
      </c>
    </row>
    <row r="24" spans="1:33" x14ac:dyDescent="0.35">
      <c r="B24" s="18"/>
      <c r="C24" s="19"/>
      <c r="D24" s="19"/>
      <c r="E24" s="3"/>
      <c r="F24" s="3"/>
      <c r="G24" s="19"/>
      <c r="H24" s="19"/>
      <c r="I24" s="19"/>
      <c r="J24" s="20"/>
      <c r="K24" s="21"/>
      <c r="Q24" s="71"/>
      <c r="R24" s="4"/>
      <c r="S24" s="74"/>
      <c r="U24" s="22">
        <v>1.8</v>
      </c>
      <c r="V24" s="23">
        <f t="shared" si="2"/>
        <v>28472.222222222219</v>
      </c>
      <c r="W24" s="23">
        <f t="shared" si="9"/>
        <v>2.2479027069078936E-2</v>
      </c>
      <c r="X24" s="23">
        <f t="shared" si="15"/>
        <v>6.0893528806991231E-3</v>
      </c>
      <c r="Y24" s="4"/>
      <c r="Z24" s="40"/>
      <c r="AD24" s="37" t="e">
        <f>#REF!+5</f>
        <v>#REF!</v>
      </c>
      <c r="AE24" s="37">
        <v>1.005E-3</v>
      </c>
      <c r="AF24" s="37">
        <v>998.23</v>
      </c>
      <c r="AG24" s="39">
        <v>1.0067820041473407E-6</v>
      </c>
    </row>
    <row r="25" spans="1:33" x14ac:dyDescent="0.35">
      <c r="B25" s="18"/>
      <c r="C25" s="19"/>
      <c r="D25" s="19"/>
      <c r="E25" s="3"/>
      <c r="F25" s="3"/>
      <c r="G25" s="19"/>
      <c r="H25" s="19"/>
      <c r="I25" s="19"/>
      <c r="J25" s="20"/>
      <c r="K25" s="21"/>
      <c r="Q25" s="71"/>
      <c r="R25" s="4"/>
      <c r="S25" s="74"/>
      <c r="U25" s="22">
        <v>1.9</v>
      </c>
      <c r="V25" s="23">
        <f t="shared" si="2"/>
        <v>30054.012345679006</v>
      </c>
      <c r="W25" s="23">
        <f t="shared" si="9"/>
        <v>2.2177226719738818E-2</v>
      </c>
      <c r="X25" s="23">
        <f t="shared" si="15"/>
        <v>6.0075980600388388E-3</v>
      </c>
      <c r="Y25" s="4"/>
      <c r="Z25" s="40"/>
      <c r="AD25" s="37">
        <v>25</v>
      </c>
      <c r="AE25" s="37">
        <v>8.9400000000000005E-4</v>
      </c>
      <c r="AF25" s="37">
        <v>997.07</v>
      </c>
      <c r="AG25" s="39">
        <v>8.9662711745414066E-7</v>
      </c>
    </row>
    <row r="26" spans="1:33" x14ac:dyDescent="0.35">
      <c r="N26" s="22"/>
      <c r="Q26" s="71"/>
      <c r="R26" s="4"/>
      <c r="S26" s="74"/>
      <c r="U26" s="22">
        <v>2</v>
      </c>
      <c r="V26" s="23">
        <f t="shared" si="2"/>
        <v>31635.8024691358</v>
      </c>
      <c r="W26" s="23">
        <f t="shared" si="9"/>
        <v>2.1894656581278538E-2</v>
      </c>
      <c r="X26" s="23">
        <f t="shared" si="15"/>
        <v>5.931052519106618E-3</v>
      </c>
      <c r="Y26" s="4"/>
      <c r="Z26" s="40"/>
      <c r="AD26" s="32"/>
      <c r="AE26" s="32"/>
      <c r="AF26" s="32"/>
      <c r="AG26" s="32"/>
    </row>
    <row r="27" spans="1:33" x14ac:dyDescent="0.35">
      <c r="K27" s="1"/>
      <c r="L27" s="4"/>
      <c r="N27" s="22"/>
      <c r="Q27" s="71"/>
      <c r="R27" s="4"/>
      <c r="S27" s="74"/>
      <c r="U27" s="22">
        <v>2.1</v>
      </c>
      <c r="V27" s="23">
        <f t="shared" si="2"/>
        <v>33217.592592592591</v>
      </c>
      <c r="W27" s="23">
        <f t="shared" si="9"/>
        <v>2.1629217750527337E-2</v>
      </c>
      <c r="X27" s="23">
        <f t="shared" si="15"/>
        <v>5.8591476851599751E-3</v>
      </c>
      <c r="Y27" s="4"/>
      <c r="Z27" s="40"/>
      <c r="AD27" s="32"/>
      <c r="AE27" s="32"/>
      <c r="AF27" s="32"/>
      <c r="AG27" s="32"/>
    </row>
    <row r="28" spans="1:33" x14ac:dyDescent="0.35">
      <c r="Q28" s="71"/>
      <c r="R28" s="4"/>
      <c r="S28" s="74"/>
      <c r="U28" s="22">
        <v>2.2000000000000002</v>
      </c>
      <c r="V28" s="23">
        <f t="shared" si="2"/>
        <v>34799.382716049382</v>
      </c>
      <c r="W28" s="23">
        <f t="shared" si="9"/>
        <v>2.1379126960847782E-2</v>
      </c>
      <c r="X28" s="23">
        <f t="shared" si="15"/>
        <v>5.7914004883666435E-3</v>
      </c>
      <c r="Y28" s="4"/>
      <c r="Z28" s="40"/>
      <c r="AD28" s="32"/>
      <c r="AE28" s="32"/>
      <c r="AF28" s="32"/>
      <c r="AG28" s="32"/>
    </row>
    <row r="29" spans="1:33" x14ac:dyDescent="0.35">
      <c r="L29" s="41"/>
      <c r="Q29" s="71"/>
      <c r="R29" s="4"/>
      <c r="S29" s="74"/>
      <c r="U29" s="22">
        <v>2.2999999999999998</v>
      </c>
      <c r="V29" s="23">
        <f t="shared" si="2"/>
        <v>36381.172839506165</v>
      </c>
      <c r="W29" s="23">
        <f t="shared" si="9"/>
        <v>2.1142857249133826E-2</v>
      </c>
      <c r="X29" s="23">
        <f t="shared" si="15"/>
        <v>5.7273972890633075E-3</v>
      </c>
      <c r="Y29" s="4"/>
      <c r="Z29" s="40"/>
      <c r="AD29" s="32"/>
      <c r="AE29" s="32"/>
      <c r="AF29" s="32"/>
      <c r="AG29" s="32"/>
    </row>
    <row r="30" spans="1:33" x14ac:dyDescent="0.35">
      <c r="Q30" s="71"/>
      <c r="R30" s="4"/>
      <c r="S30" s="74"/>
      <c r="U30" s="22">
        <v>2.4</v>
      </c>
      <c r="V30" s="23">
        <f t="shared" si="2"/>
        <v>37962.962962962964</v>
      </c>
      <c r="W30" s="23">
        <f t="shared" si="9"/>
        <v>2.0919091818372492E-2</v>
      </c>
      <c r="X30" s="23">
        <f t="shared" si="15"/>
        <v>5.6667813795659733E-3</v>
      </c>
      <c r="Y30" s="4"/>
      <c r="Z30" s="40"/>
      <c r="AD30" s="32"/>
      <c r="AE30" s="32"/>
      <c r="AF30" s="32"/>
      <c r="AG30" s="32"/>
    </row>
    <row r="31" spans="1:33" x14ac:dyDescent="0.35">
      <c r="F31" s="1"/>
      <c r="G31" s="1"/>
      <c r="Q31" s="71"/>
      <c r="R31" s="4"/>
      <c r="S31" s="74"/>
      <c r="U31" s="22">
        <v>2.5</v>
      </c>
      <c r="V31" s="23">
        <f t="shared" si="2"/>
        <v>39544.753086419747</v>
      </c>
      <c r="W31" s="23">
        <f t="shared" si="9"/>
        <v>2.070668774375034E-2</v>
      </c>
      <c r="X31" s="23">
        <f t="shared" si="15"/>
        <v>5.6092431525022338E-3</v>
      </c>
      <c r="Y31" s="4"/>
      <c r="Z31" s="40"/>
      <c r="AD31" s="32"/>
      <c r="AE31" s="32"/>
      <c r="AF31" s="32"/>
      <c r="AG31" s="32"/>
    </row>
    <row r="32" spans="1:33" x14ac:dyDescent="0.35">
      <c r="G32" s="19"/>
      <c r="Q32" s="71"/>
      <c r="R32" s="4"/>
      <c r="S32" s="74"/>
      <c r="Y32" s="4"/>
      <c r="Z32" s="40"/>
    </row>
    <row r="33" spans="7:27" x14ac:dyDescent="0.35">
      <c r="G33" s="19"/>
      <c r="Q33" s="71"/>
      <c r="R33" s="4"/>
      <c r="S33" s="74"/>
      <c r="Y33" s="4"/>
      <c r="Z33" s="40"/>
      <c r="AA33" s="1" t="s">
        <v>51</v>
      </c>
    </row>
    <row r="34" spans="7:27" x14ac:dyDescent="0.35">
      <c r="G34" s="19"/>
      <c r="Q34" s="71"/>
      <c r="R34" s="4"/>
      <c r="S34" s="74"/>
      <c r="Y34" s="4"/>
      <c r="Z34" s="40"/>
    </row>
    <row r="35" spans="7:27" x14ac:dyDescent="0.35">
      <c r="G35" s="19"/>
      <c r="Q35" s="71"/>
      <c r="R35" s="4"/>
      <c r="S35" s="74"/>
      <c r="Y35" s="4"/>
      <c r="Z35" s="40"/>
    </row>
    <row r="36" spans="7:27" x14ac:dyDescent="0.35">
      <c r="G36" s="19"/>
      <c r="Q36" s="71"/>
      <c r="R36" s="4"/>
      <c r="S36" s="74"/>
      <c r="Y36" s="4"/>
    </row>
    <row r="37" spans="7:27" x14ac:dyDescent="0.35">
      <c r="G37" s="19"/>
      <c r="Q37" s="71"/>
      <c r="R37" s="4"/>
      <c r="S37" s="74"/>
      <c r="Y37" s="4"/>
    </row>
    <row r="38" spans="7:27" x14ac:dyDescent="0.35">
      <c r="R38" s="68"/>
      <c r="S38" s="2"/>
      <c r="Y38" s="4"/>
    </row>
    <row r="72" spans="17:17" x14ac:dyDescent="0.35">
      <c r="Q72" s="85"/>
    </row>
  </sheetData>
  <mergeCells count="3">
    <mergeCell ref="A3:N3"/>
    <mergeCell ref="Z5:AA5"/>
    <mergeCell ref="Q4:S4"/>
  </mergeCells>
  <pageMargins left="0.7" right="0.7" top="0.75" bottom="0.75" header="0.3" footer="0.3"/>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5017C-A89E-487D-9C77-F4FF03927EDB}">
  <dimension ref="A1:AG112"/>
  <sheetViews>
    <sheetView zoomScale="50" zoomScaleNormal="50" zoomScalePageLayoutView="90" workbookViewId="0">
      <selection activeCell="Q35" sqref="Q35:V48"/>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6.765625" style="4" customWidth="1"/>
    <col min="14" max="15" width="8.4609375" style="4" customWidth="1"/>
    <col min="16" max="16" width="27.23046875" style="4" customWidth="1"/>
    <col min="17" max="17" width="12.765625" style="68" customWidth="1"/>
    <col min="18" max="18" width="10" style="2" customWidth="1"/>
    <col min="19" max="19" width="13.3046875" style="72" bestFit="1" customWidth="1"/>
    <col min="20" max="20" width="8.4609375" style="5" customWidth="1"/>
    <col min="21" max="21" width="10.23046875" style="2" customWidth="1"/>
    <col min="22" max="22" width="13.84375" style="2" customWidth="1"/>
    <col min="23" max="25" width="10" style="2" customWidth="1"/>
    <col min="26" max="26" width="21" style="2" customWidth="1"/>
    <col min="27" max="27" width="8.69140625" style="2" customWidth="1"/>
    <col min="28" max="28" width="8.69140625" style="2"/>
    <col min="29" max="29" width="22" style="2" customWidth="1"/>
    <col min="30" max="30" width="35.84375" style="2" customWidth="1"/>
    <col min="31" max="31" width="16.84375" style="2" customWidth="1"/>
    <col min="32" max="16384" width="8.69140625" style="2"/>
  </cols>
  <sheetData>
    <row r="1" spans="1:31" x14ac:dyDescent="0.35">
      <c r="A1" s="1"/>
      <c r="I1" s="1"/>
      <c r="J1" s="1"/>
      <c r="Q1" s="69" t="s">
        <v>105</v>
      </c>
    </row>
    <row r="2" spans="1:31" x14ac:dyDescent="0.35">
      <c r="A2" s="1"/>
      <c r="I2" s="1"/>
      <c r="J2" s="1"/>
      <c r="Q2" s="69" t="s">
        <v>85</v>
      </c>
    </row>
    <row r="3" spans="1:31" x14ac:dyDescent="0.35">
      <c r="A3" s="150" t="s">
        <v>3</v>
      </c>
      <c r="B3" s="150"/>
      <c r="C3" s="150"/>
      <c r="D3" s="150"/>
      <c r="E3" s="150"/>
      <c r="F3" s="150"/>
      <c r="G3" s="150"/>
      <c r="H3" s="150"/>
      <c r="I3" s="150"/>
      <c r="J3" s="150"/>
      <c r="K3" s="150"/>
      <c r="L3" s="150"/>
      <c r="M3" s="150"/>
      <c r="N3" s="150"/>
      <c r="O3" s="51"/>
      <c r="P3" s="51"/>
      <c r="T3" s="7"/>
    </row>
    <row r="4" spans="1:31" x14ac:dyDescent="0.35">
      <c r="Q4" s="152" t="s">
        <v>81</v>
      </c>
      <c r="R4" s="153"/>
      <c r="S4" s="154"/>
    </row>
    <row r="5" spans="1:31"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T5" s="14"/>
      <c r="U5" s="15" t="s">
        <v>19</v>
      </c>
      <c r="V5" s="16" t="s">
        <v>14</v>
      </c>
      <c r="W5" s="15" t="s">
        <v>20</v>
      </c>
      <c r="X5" s="16" t="s">
        <v>21</v>
      </c>
      <c r="Y5" s="1"/>
      <c r="Z5" s="151" t="s">
        <v>22</v>
      </c>
      <c r="AA5" s="151"/>
    </row>
    <row r="6" spans="1:31" x14ac:dyDescent="0.35">
      <c r="A6" s="17" t="s">
        <v>23</v>
      </c>
      <c r="B6" s="18">
        <v>0</v>
      </c>
      <c r="C6" s="19">
        <f>B6*0.0166667</f>
        <v>0</v>
      </c>
      <c r="D6" s="19">
        <f>B6*0.000277778</f>
        <v>0</v>
      </c>
      <c r="E6" s="3">
        <f>0.001*D6</f>
        <v>0</v>
      </c>
      <c r="F6" s="19">
        <f t="shared" ref="F6:F18" si="0">E6/AA$7</f>
        <v>0</v>
      </c>
      <c r="G6" s="19">
        <f t="shared" ref="G6:G18" si="1">F6^(2)</f>
        <v>0</v>
      </c>
      <c r="H6" s="19">
        <f>F6*1.94384</f>
        <v>0</v>
      </c>
      <c r="I6" s="20">
        <v>0</v>
      </c>
      <c r="J6" s="20">
        <f t="shared" ref="J6:J18" si="2">I6 * 10</f>
        <v>0</v>
      </c>
      <c r="K6" s="21">
        <f>J6*100</f>
        <v>0</v>
      </c>
      <c r="L6" s="3">
        <f t="shared" ref="L6:L18" si="3">(F6*AA$11)/AA$12</f>
        <v>0</v>
      </c>
      <c r="U6" s="22">
        <v>0</v>
      </c>
      <c r="V6" s="23">
        <f t="shared" ref="V6:V31" si="4">(U6*AA$11)/AA$12</f>
        <v>0</v>
      </c>
      <c r="W6" s="23"/>
      <c r="X6" s="23"/>
    </row>
    <row r="7" spans="1:31" x14ac:dyDescent="0.35">
      <c r="A7" s="2">
        <v>25</v>
      </c>
      <c r="B7" s="2">
        <v>1950</v>
      </c>
      <c r="C7" s="19">
        <f t="shared" ref="C7:C18" si="5">B7*0.0166667</f>
        <v>32.500064999999999</v>
      </c>
      <c r="D7" s="19">
        <f t="shared" ref="D7:D18" si="6">B7*0.000277778</f>
        <v>0.54166710000000007</v>
      </c>
      <c r="E7" s="3">
        <f t="shared" ref="E7:E18" si="7">0.001*D7</f>
        <v>5.4166710000000005E-4</v>
      </c>
      <c r="F7" s="19">
        <f t="shared" si="0"/>
        <v>1.0833342000000001</v>
      </c>
      <c r="G7" s="19">
        <f t="shared" si="1"/>
        <v>1.1736129888896403</v>
      </c>
      <c r="H7" s="19">
        <f t="shared" ref="H7:H18" si="8">F7*1.94384</f>
        <v>2.1058283513280003</v>
      </c>
      <c r="I7" s="2">
        <v>1.053355161290322</v>
      </c>
      <c r="J7" s="20">
        <f t="shared" si="2"/>
        <v>10.533551612903221</v>
      </c>
      <c r="K7" s="21">
        <f t="shared" ref="K7:K18" si="9">J7*100</f>
        <v>1053.355161290322</v>
      </c>
      <c r="L7" s="3">
        <f t="shared" si="3"/>
        <v>17136.07337962963</v>
      </c>
      <c r="M7" s="4">
        <f t="shared" ref="M7:M18" si="10">(AA$15*G7*N7)/8</f>
        <v>5.4862247983870933</v>
      </c>
      <c r="N7" s="4">
        <f t="shared" ref="N7:N18" si="11">(K7*2*AA$11)/(AA$13*AA$15*G7)</f>
        <v>3.6485038854348485E-2</v>
      </c>
      <c r="O7" s="4">
        <f>N7/4</f>
        <v>9.1212597135871213E-3</v>
      </c>
      <c r="P7" s="4">
        <f>3.7*(10^(-1/(2*SQRT(N7)))-2.51/(L7*SQRT(N7)))</f>
        <v>6.0864030115636188E-3</v>
      </c>
      <c r="Q7" s="2">
        <v>460718.71800000005</v>
      </c>
      <c r="R7" s="2">
        <v>17217.769666666663</v>
      </c>
      <c r="S7" s="2">
        <v>70.448666666666668</v>
      </c>
      <c r="U7" s="22">
        <v>0.1</v>
      </c>
      <c r="V7" s="23">
        <f t="shared" si="4"/>
        <v>1581.7901234567901</v>
      </c>
      <c r="W7" s="23">
        <f t="shared" ref="W7:W31" si="12">0.292/(V7^(0.25))</f>
        <v>4.6301561383887517E-2</v>
      </c>
      <c r="X7" s="23">
        <f>0.0791/(V7^0.25)</f>
        <v>1.2542648991320215E-2</v>
      </c>
      <c r="Y7" s="25"/>
      <c r="Z7" s="1" t="s">
        <v>24</v>
      </c>
      <c r="AA7" s="2">
        <f>AA$9*AA$10</f>
        <v>5.0000000000000001E-4</v>
      </c>
    </row>
    <row r="8" spans="1:31" x14ac:dyDescent="0.35">
      <c r="A8" s="2">
        <v>30</v>
      </c>
      <c r="B8" s="2">
        <v>2950</v>
      </c>
      <c r="C8" s="19">
        <f t="shared" si="5"/>
        <v>49.166764999999998</v>
      </c>
      <c r="D8" s="19">
        <f t="shared" si="6"/>
        <v>0.81944510000000004</v>
      </c>
      <c r="E8" s="3">
        <f t="shared" si="7"/>
        <v>8.1944510000000006E-4</v>
      </c>
      <c r="F8" s="19">
        <f t="shared" si="0"/>
        <v>1.6388902000000001</v>
      </c>
      <c r="G8" s="19">
        <f t="shared" si="1"/>
        <v>2.68596108765604</v>
      </c>
      <c r="H8" s="19">
        <f t="shared" si="8"/>
        <v>3.1857403263680002</v>
      </c>
      <c r="I8" s="2">
        <v>2.1122035483870967</v>
      </c>
      <c r="J8" s="20">
        <f t="shared" si="2"/>
        <v>21.122035483870967</v>
      </c>
      <c r="K8" s="21">
        <f t="shared" si="9"/>
        <v>2112.2035483870968</v>
      </c>
      <c r="L8" s="3">
        <f t="shared" si="3"/>
        <v>25923.803317901235</v>
      </c>
      <c r="M8" s="4">
        <f t="shared" si="10"/>
        <v>11.001060147849461</v>
      </c>
      <c r="N8" s="4">
        <f t="shared" si="11"/>
        <v>3.1966931038525694E-2</v>
      </c>
      <c r="O8" s="4">
        <f t="shared" ref="O8:O18" si="13">N8/4</f>
        <v>7.9917327596314234E-3</v>
      </c>
      <c r="P8" s="4">
        <f t="shared" ref="P8:P18" si="14">3.7*(10^(-1/(2*SQRT(N8)))-2.51/(L8*SQRT(N8)))</f>
        <v>3.9074718888238071E-3</v>
      </c>
      <c r="Q8" s="2">
        <v>462283.4923333333</v>
      </c>
      <c r="R8" s="2">
        <v>17218.197</v>
      </c>
      <c r="S8" s="2">
        <v>64.997</v>
      </c>
      <c r="U8" s="22">
        <v>0.2</v>
      </c>
      <c r="V8" s="23">
        <f t="shared" si="4"/>
        <v>3163.5802469135801</v>
      </c>
      <c r="W8" s="23">
        <f t="shared" si="12"/>
        <v>3.8934816988360828E-2</v>
      </c>
      <c r="X8" s="23">
        <f t="shared" ref="X8:X31" si="15">0.0791/(V8^0.25)</f>
        <v>1.0547068574586788E-2</v>
      </c>
      <c r="Y8" s="25"/>
      <c r="Z8" s="2" t="s">
        <v>25</v>
      </c>
    </row>
    <row r="9" spans="1:31" ht="19" x14ac:dyDescent="0.4">
      <c r="A9" s="2">
        <v>35</v>
      </c>
      <c r="B9" s="2">
        <v>3700</v>
      </c>
      <c r="C9" s="19">
        <f t="shared" si="5"/>
        <v>61.666789999999999</v>
      </c>
      <c r="D9" s="19">
        <f t="shared" si="6"/>
        <v>1.0277786</v>
      </c>
      <c r="E9" s="3">
        <f t="shared" si="7"/>
        <v>1.0277786E-3</v>
      </c>
      <c r="F9" s="19">
        <f t="shared" si="0"/>
        <v>2.0555572</v>
      </c>
      <c r="G9" s="19">
        <f t="shared" si="1"/>
        <v>4.22531540247184</v>
      </c>
      <c r="H9" s="19">
        <f t="shared" si="8"/>
        <v>3.9956743076480001</v>
      </c>
      <c r="I9" s="2">
        <v>3.2279680645161282</v>
      </c>
      <c r="J9" s="20">
        <f t="shared" si="2"/>
        <v>32.279680645161278</v>
      </c>
      <c r="K9" s="21">
        <f t="shared" si="9"/>
        <v>3227.9680645161279</v>
      </c>
      <c r="L9" s="3">
        <f t="shared" si="3"/>
        <v>32514.600771604935</v>
      </c>
      <c r="M9" s="4">
        <f t="shared" si="10"/>
        <v>16.812333669354832</v>
      </c>
      <c r="N9" s="4">
        <f t="shared" si="11"/>
        <v>3.1055247124973685E-2</v>
      </c>
      <c r="O9" s="4">
        <f t="shared" si="13"/>
        <v>7.7638117812434213E-3</v>
      </c>
      <c r="P9" s="4">
        <f t="shared" si="14"/>
        <v>3.76090206289054E-3</v>
      </c>
      <c r="Q9" s="2"/>
      <c r="S9" s="2"/>
      <c r="U9" s="22">
        <v>0.3</v>
      </c>
      <c r="V9" s="23">
        <f t="shared" si="4"/>
        <v>4745.3703703703704</v>
      </c>
      <c r="W9" s="23">
        <f t="shared" si="12"/>
        <v>3.5181578640865456E-2</v>
      </c>
      <c r="X9" s="23">
        <f t="shared" si="15"/>
        <v>9.5303522962070491E-3</v>
      </c>
      <c r="Y9" s="25"/>
      <c r="Z9" s="1" t="s">
        <v>26</v>
      </c>
      <c r="AA9" s="19">
        <v>0.05</v>
      </c>
      <c r="AD9" s="27" t="s">
        <v>27</v>
      </c>
    </row>
    <row r="10" spans="1:31" ht="18.5" x14ac:dyDescent="0.35">
      <c r="A10" s="2">
        <v>40</v>
      </c>
      <c r="B10" s="2">
        <v>4550</v>
      </c>
      <c r="C10" s="19">
        <f t="shared" si="5"/>
        <v>75.833484999999996</v>
      </c>
      <c r="D10" s="19">
        <f t="shared" si="6"/>
        <v>1.2638899000000001</v>
      </c>
      <c r="E10" s="3">
        <f t="shared" si="7"/>
        <v>1.2638899000000001E-3</v>
      </c>
      <c r="F10" s="19">
        <f t="shared" si="0"/>
        <v>2.5277798000000002</v>
      </c>
      <c r="G10" s="19">
        <f t="shared" si="1"/>
        <v>6.3896707172880411</v>
      </c>
      <c r="H10" s="19">
        <f t="shared" si="8"/>
        <v>4.9135994864320001</v>
      </c>
      <c r="I10" s="2">
        <v>4.7470067741935491</v>
      </c>
      <c r="J10" s="20">
        <f t="shared" si="2"/>
        <v>47.470067741935495</v>
      </c>
      <c r="K10" s="21">
        <f t="shared" si="9"/>
        <v>4747.0067741935491</v>
      </c>
      <c r="L10" s="3">
        <f t="shared" si="3"/>
        <v>39984.171219135802</v>
      </c>
      <c r="M10" s="4">
        <f t="shared" si="10"/>
        <v>24.7239936155914</v>
      </c>
      <c r="N10" s="4">
        <f t="shared" si="11"/>
        <v>3.0199952953196826E-2</v>
      </c>
      <c r="O10" s="4">
        <f t="shared" si="13"/>
        <v>7.5499882382992064E-3</v>
      </c>
      <c r="P10" s="4">
        <f t="shared" si="14"/>
        <v>3.5727894966000625E-3</v>
      </c>
      <c r="Q10" s="2"/>
      <c r="S10" s="2"/>
      <c r="U10" s="22">
        <v>0.4</v>
      </c>
      <c r="V10" s="23">
        <f t="shared" si="4"/>
        <v>6327.1604938271603</v>
      </c>
      <c r="W10" s="23">
        <f t="shared" si="12"/>
        <v>3.2740148034072047E-2</v>
      </c>
      <c r="X10" s="23">
        <f t="shared" si="15"/>
        <v>8.8689921558051353E-3</v>
      </c>
      <c r="Y10" s="25"/>
      <c r="Z10" s="1" t="s">
        <v>28</v>
      </c>
      <c r="AA10" s="19">
        <v>0.01</v>
      </c>
      <c r="AD10" s="28" t="s">
        <v>29</v>
      </c>
      <c r="AE10" s="2" t="s">
        <v>30</v>
      </c>
    </row>
    <row r="11" spans="1:31" ht="16.5" x14ac:dyDescent="0.4">
      <c r="A11" s="2">
        <v>45</v>
      </c>
      <c r="B11" s="2">
        <v>5250</v>
      </c>
      <c r="C11" s="19">
        <f t="shared" si="5"/>
        <v>87.500174999999999</v>
      </c>
      <c r="D11" s="19">
        <f t="shared" si="6"/>
        <v>1.4583345000000001</v>
      </c>
      <c r="E11" s="3">
        <f t="shared" si="7"/>
        <v>1.4583345000000001E-3</v>
      </c>
      <c r="F11" s="19">
        <f t="shared" si="0"/>
        <v>2.9166690000000002</v>
      </c>
      <c r="G11" s="19">
        <f t="shared" si="1"/>
        <v>8.5069580555610003</v>
      </c>
      <c r="H11" s="19">
        <f t="shared" si="8"/>
        <v>5.66953786896</v>
      </c>
      <c r="I11" s="2">
        <v>6.0976454838709691</v>
      </c>
      <c r="J11" s="20">
        <f t="shared" si="2"/>
        <v>60.976454838709692</v>
      </c>
      <c r="K11" s="21">
        <f t="shared" si="9"/>
        <v>6097.6454838709697</v>
      </c>
      <c r="L11" s="3">
        <f t="shared" si="3"/>
        <v>46135.582175925927</v>
      </c>
      <c r="M11" s="4">
        <f t="shared" si="10"/>
        <v>31.75857022849463</v>
      </c>
      <c r="N11" s="4">
        <f t="shared" si="11"/>
        <v>2.9137532596037363E-2</v>
      </c>
      <c r="O11" s="4">
        <f t="shared" si="13"/>
        <v>7.2843831490093406E-3</v>
      </c>
      <c r="P11" s="4">
        <f t="shared" si="14"/>
        <v>3.1762323048534044E-3</v>
      </c>
      <c r="Q11" s="2"/>
      <c r="S11" s="2"/>
      <c r="U11" s="22">
        <v>0.5</v>
      </c>
      <c r="V11" s="23">
        <f t="shared" si="4"/>
        <v>7908.9506172839501</v>
      </c>
      <c r="W11" s="23">
        <f t="shared" si="12"/>
        <v>3.0963720280745455E-2</v>
      </c>
      <c r="X11" s="23">
        <f t="shared" si="15"/>
        <v>8.3877749116676916E-3</v>
      </c>
      <c r="Y11" s="25"/>
      <c r="Z11" s="1" t="s">
        <v>31</v>
      </c>
      <c r="AA11" s="4">
        <f>2*(AA9*AA10)/(AA9+AA10)</f>
        <v>1.6666666666666666E-2</v>
      </c>
      <c r="AB11" s="1">
        <f>10*AA11*100</f>
        <v>16.666666666666664</v>
      </c>
      <c r="AD11" s="27" t="s">
        <v>32</v>
      </c>
      <c r="AE11" s="2" t="s">
        <v>33</v>
      </c>
    </row>
    <row r="12" spans="1:31" ht="18.5" x14ac:dyDescent="0.35">
      <c r="A12" s="49" t="s">
        <v>68</v>
      </c>
      <c r="B12" s="29">
        <v>6000</v>
      </c>
      <c r="C12" s="19">
        <f t="shared" si="5"/>
        <v>100.00019999999999</v>
      </c>
      <c r="D12" s="19">
        <f t="shared" si="6"/>
        <v>1.666668</v>
      </c>
      <c r="E12" s="3">
        <f t="shared" si="7"/>
        <v>1.6666680000000001E-3</v>
      </c>
      <c r="F12" s="19">
        <f t="shared" si="0"/>
        <v>3.3333360000000001</v>
      </c>
      <c r="G12" s="19">
        <f t="shared" si="1"/>
        <v>11.111128888896001</v>
      </c>
      <c r="H12" s="19">
        <f t="shared" si="8"/>
        <v>6.4794718502400004</v>
      </c>
      <c r="I12" s="30">
        <v>7.3855325806451599</v>
      </c>
      <c r="J12" s="20">
        <f t="shared" si="2"/>
        <v>73.855325806451603</v>
      </c>
      <c r="K12" s="21">
        <f t="shared" si="9"/>
        <v>7385.5325806451601</v>
      </c>
      <c r="L12" s="3">
        <f t="shared" si="3"/>
        <v>52726.379629629628</v>
      </c>
      <c r="M12" s="4">
        <f t="shared" si="10"/>
        <v>38.46631552419354</v>
      </c>
      <c r="N12" s="4">
        <f t="shared" si="11"/>
        <v>2.7020197916367842E-2</v>
      </c>
      <c r="O12" s="4">
        <f t="shared" si="13"/>
        <v>6.7550494790919605E-3</v>
      </c>
      <c r="P12" s="4">
        <f t="shared" si="14"/>
        <v>2.289222222153857E-3</v>
      </c>
      <c r="Q12" s="2"/>
      <c r="S12" s="2"/>
      <c r="U12" s="22">
        <v>0.6</v>
      </c>
      <c r="V12" s="23">
        <f t="shared" si="4"/>
        <v>9490.7407407407409</v>
      </c>
      <c r="W12" s="23">
        <f t="shared" si="12"/>
        <v>2.9584063362070416E-2</v>
      </c>
      <c r="X12" s="23">
        <f t="shared" si="15"/>
        <v>8.0140390819855144E-3</v>
      </c>
      <c r="Y12" s="25"/>
      <c r="Z12" s="1" t="s">
        <v>34</v>
      </c>
      <c r="AA12" s="31">
        <f>AA$16/AA$15</f>
        <v>1.053658536585366E-6</v>
      </c>
    </row>
    <row r="13" spans="1:31" ht="16.5" x14ac:dyDescent="0.4">
      <c r="A13" s="2">
        <v>50</v>
      </c>
      <c r="B13" s="2">
        <v>6000</v>
      </c>
      <c r="C13" s="19">
        <f t="shared" si="5"/>
        <v>100.00019999999999</v>
      </c>
      <c r="D13" s="19">
        <f t="shared" si="6"/>
        <v>1.666668</v>
      </c>
      <c r="E13" s="3">
        <f t="shared" si="7"/>
        <v>1.6666680000000001E-3</v>
      </c>
      <c r="F13" s="19">
        <f t="shared" si="0"/>
        <v>3.3333360000000001</v>
      </c>
      <c r="G13" s="19">
        <f t="shared" si="1"/>
        <v>11.111128888896001</v>
      </c>
      <c r="H13" s="19">
        <f t="shared" si="8"/>
        <v>6.4794718502400004</v>
      </c>
      <c r="I13" s="30">
        <v>7.3855325806451599</v>
      </c>
      <c r="J13" s="20">
        <f t="shared" si="2"/>
        <v>73.855325806451603</v>
      </c>
      <c r="K13" s="21">
        <f t="shared" si="9"/>
        <v>7385.5325806451601</v>
      </c>
      <c r="L13" s="3">
        <f t="shared" si="3"/>
        <v>52726.379629629628</v>
      </c>
      <c r="M13" s="4">
        <f t="shared" si="10"/>
        <v>38.46631552419354</v>
      </c>
      <c r="N13" s="4">
        <f t="shared" si="11"/>
        <v>2.7020197916367842E-2</v>
      </c>
      <c r="O13" s="4">
        <f t="shared" si="13"/>
        <v>6.7550494790919605E-3</v>
      </c>
      <c r="P13" s="4">
        <f t="shared" si="14"/>
        <v>2.289222222153857E-3</v>
      </c>
      <c r="Q13" s="2"/>
      <c r="S13" s="2"/>
      <c r="U13" s="22">
        <v>0.7</v>
      </c>
      <c r="V13" s="23">
        <f t="shared" si="4"/>
        <v>11072.530864197528</v>
      </c>
      <c r="W13" s="23">
        <f t="shared" si="12"/>
        <v>2.8465651401959793E-2</v>
      </c>
      <c r="X13" s="23">
        <f t="shared" si="15"/>
        <v>7.7110720064897942E-3</v>
      </c>
      <c r="Y13" s="25"/>
      <c r="Z13" s="1" t="s">
        <v>35</v>
      </c>
      <c r="AA13" s="32">
        <v>0.8</v>
      </c>
      <c r="AD13" s="27" t="s">
        <v>36</v>
      </c>
      <c r="AE13" s="1" t="s">
        <v>37</v>
      </c>
    </row>
    <row r="14" spans="1:31" x14ac:dyDescent="0.35">
      <c r="A14" s="2">
        <v>45</v>
      </c>
      <c r="B14" s="2">
        <v>5150</v>
      </c>
      <c r="C14" s="19">
        <f t="shared" si="5"/>
        <v>85.833505000000002</v>
      </c>
      <c r="D14" s="19">
        <f t="shared" si="6"/>
        <v>1.4305567000000001</v>
      </c>
      <c r="E14" s="3">
        <f t="shared" si="7"/>
        <v>1.4305567000000002E-3</v>
      </c>
      <c r="F14" s="19">
        <f t="shared" si="0"/>
        <v>2.8611134000000003</v>
      </c>
      <c r="G14" s="19">
        <f t="shared" si="1"/>
        <v>8.1859698876595619</v>
      </c>
      <c r="H14" s="19">
        <f t="shared" si="8"/>
        <v>5.5615466714560009</v>
      </c>
      <c r="I14" s="30">
        <v>6.0135680645161305</v>
      </c>
      <c r="J14" s="20">
        <f t="shared" si="2"/>
        <v>60.135680645161301</v>
      </c>
      <c r="K14" s="21">
        <f t="shared" si="9"/>
        <v>6013.5680645161301</v>
      </c>
      <c r="L14" s="3">
        <f t="shared" si="3"/>
        <v>45256.809182098768</v>
      </c>
      <c r="M14" s="4">
        <f t="shared" si="10"/>
        <v>31.320667002688175</v>
      </c>
      <c r="N14" s="4">
        <f t="shared" si="11"/>
        <v>2.9862556266052397E-2</v>
      </c>
      <c r="O14" s="4">
        <f t="shared" si="13"/>
        <v>7.4656390665130993E-3</v>
      </c>
      <c r="P14" s="4">
        <f t="shared" si="14"/>
        <v>3.5420106613896101E-3</v>
      </c>
      <c r="Q14" s="2"/>
      <c r="S14" s="2"/>
      <c r="U14" s="22">
        <v>0.8</v>
      </c>
      <c r="V14" s="23">
        <f t="shared" si="4"/>
        <v>12654.320987654321</v>
      </c>
      <c r="W14" s="23">
        <f t="shared" si="12"/>
        <v>2.7531073116727131E-2</v>
      </c>
      <c r="X14" s="23">
        <f t="shared" si="15"/>
        <v>7.4579037107298501E-3</v>
      </c>
      <c r="Y14" s="25"/>
      <c r="AA14" s="32"/>
    </row>
    <row r="15" spans="1:31" x14ac:dyDescent="0.35">
      <c r="A15" s="2">
        <v>40</v>
      </c>
      <c r="B15" s="2">
        <v>4400</v>
      </c>
      <c r="C15" s="19">
        <f t="shared" si="5"/>
        <v>73.333479999999994</v>
      </c>
      <c r="D15" s="19">
        <f t="shared" si="6"/>
        <v>1.2222232</v>
      </c>
      <c r="E15" s="3">
        <f t="shared" si="7"/>
        <v>1.2222232E-3</v>
      </c>
      <c r="F15" s="19">
        <f t="shared" si="0"/>
        <v>2.4444463999999999</v>
      </c>
      <c r="G15" s="19">
        <f t="shared" si="1"/>
        <v>5.9753182024729599</v>
      </c>
      <c r="H15" s="19">
        <f t="shared" si="8"/>
        <v>4.7516126901759996</v>
      </c>
      <c r="I15" s="30">
        <v>4.5764970967741929</v>
      </c>
      <c r="J15" s="20">
        <f t="shared" si="2"/>
        <v>45.764970967741931</v>
      </c>
      <c r="K15" s="21">
        <f t="shared" si="9"/>
        <v>4576.4970967741929</v>
      </c>
      <c r="L15" s="3">
        <f t="shared" si="3"/>
        <v>38666.01172839506</v>
      </c>
      <c r="M15" s="4">
        <f t="shared" si="10"/>
        <v>23.835922379032255</v>
      </c>
      <c r="N15" s="4">
        <f t="shared" si="11"/>
        <v>3.1134152365567897E-2</v>
      </c>
      <c r="O15" s="4">
        <f t="shared" si="13"/>
        <v>7.7835380913919743E-3</v>
      </c>
      <c r="P15" s="4">
        <f t="shared" si="14"/>
        <v>4.0652512609308409E-3</v>
      </c>
      <c r="Q15" s="2"/>
      <c r="S15" s="2"/>
      <c r="T15" s="34"/>
      <c r="U15" s="22">
        <v>0.9</v>
      </c>
      <c r="V15" s="23">
        <f t="shared" si="4"/>
        <v>14236.111111111109</v>
      </c>
      <c r="W15" s="23">
        <f t="shared" si="12"/>
        <v>2.6732218928887431E-2</v>
      </c>
      <c r="X15" s="23">
        <f t="shared" si="15"/>
        <v>7.2415017714897124E-3</v>
      </c>
      <c r="Y15" s="25"/>
      <c r="Z15" s="2" t="s">
        <v>38</v>
      </c>
      <c r="AA15" s="32">
        <v>1025</v>
      </c>
      <c r="AB15" s="32"/>
    </row>
    <row r="16" spans="1:31" x14ac:dyDescent="0.35">
      <c r="A16" s="2">
        <v>35</v>
      </c>
      <c r="B16" s="2">
        <v>3600</v>
      </c>
      <c r="C16" s="19">
        <f t="shared" si="5"/>
        <v>60.000119999999995</v>
      </c>
      <c r="D16" s="19">
        <f t="shared" si="6"/>
        <v>1.0000008</v>
      </c>
      <c r="E16" s="3">
        <f t="shared" si="7"/>
        <v>1.0000008000000001E-3</v>
      </c>
      <c r="F16" s="19">
        <f t="shared" si="0"/>
        <v>2.0000016</v>
      </c>
      <c r="G16" s="19">
        <f t="shared" si="1"/>
        <v>4.0000064000025599</v>
      </c>
      <c r="H16" s="19">
        <f t="shared" si="8"/>
        <v>3.8876831101440001</v>
      </c>
      <c r="I16" s="35">
        <v>3.1211390322580641</v>
      </c>
      <c r="J16" s="20">
        <f t="shared" si="2"/>
        <v>31.211390322580641</v>
      </c>
      <c r="K16" s="21">
        <f t="shared" si="9"/>
        <v>3121.1390322580642</v>
      </c>
      <c r="L16" s="3">
        <f t="shared" si="3"/>
        <v>31635.827777777773</v>
      </c>
      <c r="M16" s="4">
        <f t="shared" si="10"/>
        <v>16.255932459677418</v>
      </c>
      <c r="N16" s="4">
        <f t="shared" si="11"/>
        <v>3.1718841854081352E-2</v>
      </c>
      <c r="O16" s="4">
        <f t="shared" si="13"/>
        <v>7.929710463520338E-3</v>
      </c>
      <c r="P16" s="4">
        <f t="shared" si="14"/>
        <v>4.1161222425287192E-3</v>
      </c>
      <c r="Q16" s="2"/>
      <c r="S16" s="2"/>
      <c r="U16" s="22">
        <v>1</v>
      </c>
      <c r="V16" s="23">
        <f t="shared" si="4"/>
        <v>15817.9012345679</v>
      </c>
      <c r="W16" s="23">
        <f t="shared" si="12"/>
        <v>2.6037281386997589E-2</v>
      </c>
      <c r="X16" s="23">
        <f t="shared" si="15"/>
        <v>7.0532498551764029E-3</v>
      </c>
      <c r="Y16" s="25"/>
      <c r="Z16" s="2" t="s">
        <v>39</v>
      </c>
      <c r="AA16" s="32">
        <v>1.08E-3</v>
      </c>
    </row>
    <row r="17" spans="1:33" x14ac:dyDescent="0.35">
      <c r="A17" s="2">
        <v>30</v>
      </c>
      <c r="B17" s="2">
        <v>2800</v>
      </c>
      <c r="C17" s="19">
        <f t="shared" si="5"/>
        <v>46.666759999999996</v>
      </c>
      <c r="D17" s="19">
        <f t="shared" si="6"/>
        <v>0.77777839999999998</v>
      </c>
      <c r="E17" s="3">
        <f t="shared" si="7"/>
        <v>7.7777840000000005E-4</v>
      </c>
      <c r="F17" s="19">
        <f t="shared" si="0"/>
        <v>1.5555568</v>
      </c>
      <c r="G17" s="19">
        <f t="shared" si="1"/>
        <v>2.4197569580262397</v>
      </c>
      <c r="H17" s="19">
        <f t="shared" si="8"/>
        <v>3.0237535301119998</v>
      </c>
      <c r="I17" s="20">
        <v>1.9315454838709674</v>
      </c>
      <c r="J17" s="20">
        <f t="shared" si="2"/>
        <v>19.315454838709673</v>
      </c>
      <c r="K17" s="21">
        <f t="shared" si="9"/>
        <v>1931.5454838709672</v>
      </c>
      <c r="L17" s="3">
        <f t="shared" si="3"/>
        <v>24605.643827160489</v>
      </c>
      <c r="M17" s="4">
        <f t="shared" si="10"/>
        <v>10.06013272849462</v>
      </c>
      <c r="N17" s="4">
        <f t="shared" si="11"/>
        <v>3.2448758475517266E-2</v>
      </c>
      <c r="O17" s="4">
        <f t="shared" si="13"/>
        <v>8.1121896188793164E-3</v>
      </c>
      <c r="P17" s="4">
        <f t="shared" si="14"/>
        <v>4.1064356694341378E-3</v>
      </c>
      <c r="Q17" s="2"/>
      <c r="S17" s="2"/>
      <c r="T17" s="14"/>
      <c r="U17" s="22">
        <v>1.1000000000000001</v>
      </c>
      <c r="V17" s="23">
        <f t="shared" si="4"/>
        <v>17399.691358024691</v>
      </c>
      <c r="W17" s="23">
        <f t="shared" si="12"/>
        <v>2.5424209894386686E-2</v>
      </c>
      <c r="X17" s="23">
        <f t="shared" si="15"/>
        <v>6.8871746665958456E-3</v>
      </c>
      <c r="Y17" s="25"/>
      <c r="Z17" s="2" t="s">
        <v>161</v>
      </c>
      <c r="AA17" s="2">
        <v>20</v>
      </c>
    </row>
    <row r="18" spans="1:33" x14ac:dyDescent="0.35">
      <c r="A18" s="2">
        <v>25</v>
      </c>
      <c r="B18" s="2">
        <v>2000</v>
      </c>
      <c r="C18" s="19">
        <f t="shared" si="5"/>
        <v>33.333399999999997</v>
      </c>
      <c r="D18" s="19">
        <f t="shared" si="6"/>
        <v>0.55555600000000005</v>
      </c>
      <c r="E18" s="3">
        <f t="shared" si="7"/>
        <v>5.5555600000000002E-4</v>
      </c>
      <c r="F18" s="19">
        <f t="shared" si="0"/>
        <v>1.1111120000000001</v>
      </c>
      <c r="G18" s="19">
        <f t="shared" si="1"/>
        <v>1.2345698765440003</v>
      </c>
      <c r="H18" s="19">
        <f t="shared" si="8"/>
        <v>2.1598239500800003</v>
      </c>
      <c r="I18" s="20">
        <v>1.0487390322580641</v>
      </c>
      <c r="J18" s="20">
        <f t="shared" si="2"/>
        <v>10.487390322580641</v>
      </c>
      <c r="K18" s="21">
        <f t="shared" si="9"/>
        <v>1048.7390322580641</v>
      </c>
      <c r="L18" s="3">
        <f t="shared" si="3"/>
        <v>17575.459876543209</v>
      </c>
      <c r="M18" s="4">
        <f t="shared" si="10"/>
        <v>5.4621824596774173</v>
      </c>
      <c r="N18" s="4">
        <f t="shared" si="11"/>
        <v>3.4531595811580364E-2</v>
      </c>
      <c r="O18" s="4">
        <f t="shared" si="13"/>
        <v>8.6328989528950909E-3</v>
      </c>
      <c r="P18" s="4">
        <f t="shared" si="14"/>
        <v>4.6991040491961393E-3</v>
      </c>
      <c r="Q18" s="78"/>
      <c r="R18" s="61"/>
      <c r="S18" s="79"/>
      <c r="U18" s="22">
        <v>1.2</v>
      </c>
      <c r="V18" s="23">
        <f t="shared" si="4"/>
        <v>18981.481481481482</v>
      </c>
      <c r="W18" s="23">
        <f t="shared" si="12"/>
        <v>2.4877132829803777E-2</v>
      </c>
      <c r="X18" s="23">
        <f t="shared" si="15"/>
        <v>6.7389767357447913E-3</v>
      </c>
      <c r="Y18" s="25"/>
      <c r="Z18" s="1"/>
      <c r="AA18" s="1"/>
      <c r="AD18" s="36" t="s">
        <v>40</v>
      </c>
      <c r="AE18" s="37"/>
      <c r="AF18" s="37"/>
      <c r="AG18" s="37"/>
    </row>
    <row r="19" spans="1:33" x14ac:dyDescent="0.35">
      <c r="A19" s="24"/>
      <c r="B19" s="18"/>
      <c r="C19" s="19"/>
      <c r="D19" s="19"/>
      <c r="E19" s="3"/>
      <c r="F19" s="19"/>
      <c r="G19" s="19"/>
      <c r="H19" s="19"/>
      <c r="I19" s="20"/>
      <c r="J19" s="20"/>
      <c r="K19" s="21"/>
      <c r="Q19" s="70"/>
      <c r="R19" s="25"/>
      <c r="S19" s="73"/>
      <c r="U19" s="22">
        <v>1.3</v>
      </c>
      <c r="V19" s="23">
        <f t="shared" si="4"/>
        <v>20563.271604938269</v>
      </c>
      <c r="W19" s="23">
        <f t="shared" si="12"/>
        <v>2.4384272245175108E-2</v>
      </c>
      <c r="X19" s="23">
        <f t="shared" si="15"/>
        <v>6.6054655294292847E-3</v>
      </c>
      <c r="Y19" s="25"/>
      <c r="AD19" s="38" t="s">
        <v>41</v>
      </c>
      <c r="AE19" s="37" t="s">
        <v>42</v>
      </c>
      <c r="AF19" s="37" t="s">
        <v>43</v>
      </c>
      <c r="AG19" s="37" t="s">
        <v>44</v>
      </c>
    </row>
    <row r="20" spans="1:33" x14ac:dyDescent="0.35">
      <c r="A20" s="24"/>
      <c r="B20" s="18"/>
      <c r="C20" s="19"/>
      <c r="D20" s="19"/>
      <c r="E20" s="3"/>
      <c r="F20" s="19"/>
      <c r="G20" s="19"/>
      <c r="H20" s="19"/>
      <c r="I20" s="20"/>
      <c r="J20" s="20"/>
      <c r="K20" s="21"/>
      <c r="U20" s="22">
        <v>1.4</v>
      </c>
      <c r="V20" s="23">
        <f t="shared" si="4"/>
        <v>22145.061728395056</v>
      </c>
      <c r="W20" s="23">
        <f t="shared" si="12"/>
        <v>2.3936664221769863E-2</v>
      </c>
      <c r="X20" s="23">
        <f t="shared" si="15"/>
        <v>6.4842128080205355E-3</v>
      </c>
      <c r="Y20" s="25"/>
      <c r="Z20" s="1" t="s">
        <v>45</v>
      </c>
      <c r="AA20" s="1">
        <f>4*10^(-6)</f>
        <v>3.9999999999999998E-6</v>
      </c>
      <c r="AD20" s="38" t="s">
        <v>46</v>
      </c>
      <c r="AE20" s="37" t="s">
        <v>47</v>
      </c>
      <c r="AF20" s="37" t="s">
        <v>48</v>
      </c>
      <c r="AG20" s="37" t="s">
        <v>49</v>
      </c>
    </row>
    <row r="21" spans="1:33" x14ac:dyDescent="0.35">
      <c r="A21" s="24"/>
      <c r="B21" s="18"/>
      <c r="C21" s="19"/>
      <c r="D21" s="19"/>
      <c r="E21" s="3"/>
      <c r="F21" s="19"/>
      <c r="G21" s="19"/>
      <c r="H21" s="19"/>
      <c r="I21" s="20"/>
      <c r="J21" s="20"/>
      <c r="K21" s="21"/>
      <c r="Q21" s="70"/>
      <c r="R21" s="25"/>
      <c r="S21" s="73"/>
      <c r="U21" s="22">
        <v>1.5</v>
      </c>
      <c r="V21" s="23">
        <f t="shared" si="4"/>
        <v>23726.85185185185</v>
      </c>
      <c r="W21" s="23">
        <f t="shared" si="12"/>
        <v>2.3527339629844345E-2</v>
      </c>
      <c r="X21" s="23">
        <f t="shared" si="15"/>
        <v>6.3733307010982463E-3</v>
      </c>
      <c r="Y21" s="25"/>
      <c r="Z21" s="1" t="s">
        <v>50</v>
      </c>
      <c r="AA21" s="2">
        <f>AA20/AA11</f>
        <v>2.3999999999999998E-4</v>
      </c>
      <c r="AD21" s="37">
        <v>0</v>
      </c>
      <c r="AE21" s="37">
        <v>1.792E-3</v>
      </c>
      <c r="AF21" s="37">
        <v>999.87</v>
      </c>
      <c r="AG21" s="39">
        <v>1.7922329902887374E-6</v>
      </c>
    </row>
    <row r="22" spans="1:33" x14ac:dyDescent="0.35">
      <c r="A22" s="24"/>
      <c r="B22" s="18"/>
      <c r="C22" s="19"/>
      <c r="D22" s="19"/>
      <c r="E22" s="3"/>
      <c r="F22" s="19"/>
      <c r="G22" s="19"/>
      <c r="H22" s="19"/>
      <c r="I22" s="20"/>
      <c r="J22" s="20"/>
      <c r="K22" s="21"/>
      <c r="Q22" s="70"/>
      <c r="R22" s="25"/>
      <c r="S22" s="73"/>
      <c r="U22" s="22">
        <v>1.6</v>
      </c>
      <c r="V22" s="23">
        <f t="shared" si="4"/>
        <v>25308.641975308641</v>
      </c>
      <c r="W22" s="23">
        <f t="shared" si="12"/>
        <v>2.3150780691943755E-2</v>
      </c>
      <c r="X22" s="23">
        <f t="shared" si="15"/>
        <v>6.2713244956601067E-3</v>
      </c>
      <c r="Y22" s="25"/>
      <c r="AD22" s="37">
        <v>5</v>
      </c>
      <c r="AE22" s="37">
        <v>1.519E-3</v>
      </c>
      <c r="AF22" s="37">
        <v>999.99</v>
      </c>
      <c r="AG22" s="39">
        <v>1.5190151901519014E-6</v>
      </c>
    </row>
    <row r="23" spans="1:33" x14ac:dyDescent="0.35">
      <c r="B23" s="18"/>
      <c r="C23" s="19"/>
      <c r="D23" s="19"/>
      <c r="E23" s="3"/>
      <c r="F23" s="3"/>
      <c r="G23" s="19"/>
      <c r="H23" s="19"/>
      <c r="I23" s="19"/>
      <c r="J23" s="20"/>
      <c r="K23" s="21"/>
      <c r="Q23" s="70"/>
      <c r="R23" s="25"/>
      <c r="S23" s="73"/>
      <c r="U23" s="22">
        <v>1.7</v>
      </c>
      <c r="V23" s="23">
        <f t="shared" si="4"/>
        <v>26890.432098765428</v>
      </c>
      <c r="W23" s="23">
        <f t="shared" si="12"/>
        <v>2.280254945027245E-2</v>
      </c>
      <c r="X23" s="23">
        <f t="shared" si="15"/>
        <v>6.1769919914950368E-3</v>
      </c>
      <c r="Y23" s="25"/>
      <c r="Z23" s="40"/>
      <c r="AD23" s="37">
        <f>AD22+5</f>
        <v>10</v>
      </c>
      <c r="AE23" s="37">
        <v>1.3079999999999999E-3</v>
      </c>
      <c r="AF23" s="37">
        <v>999.73</v>
      </c>
      <c r="AG23" s="39">
        <v>1.3083532553789522E-6</v>
      </c>
    </row>
    <row r="24" spans="1:33" x14ac:dyDescent="0.35">
      <c r="B24" s="18"/>
      <c r="C24" s="19"/>
      <c r="D24" s="19"/>
      <c r="E24" s="3"/>
      <c r="F24" s="3"/>
      <c r="G24" s="19"/>
      <c r="H24" s="19"/>
      <c r="I24" s="19"/>
      <c r="J24" s="20"/>
      <c r="K24" s="21"/>
      <c r="Q24" s="71"/>
      <c r="R24" s="4"/>
      <c r="S24" s="74"/>
      <c r="U24" s="22">
        <v>1.8</v>
      </c>
      <c r="V24" s="23">
        <f t="shared" si="4"/>
        <v>28472.222222222219</v>
      </c>
      <c r="W24" s="23">
        <f t="shared" si="12"/>
        <v>2.2479027069078936E-2</v>
      </c>
      <c r="X24" s="23">
        <f t="shared" si="15"/>
        <v>6.0893528806991231E-3</v>
      </c>
      <c r="Y24" s="4"/>
      <c r="Z24" s="40"/>
      <c r="AD24" s="37" t="e">
        <f>#REF!+5</f>
        <v>#REF!</v>
      </c>
      <c r="AE24" s="37">
        <v>1.005E-3</v>
      </c>
      <c r="AF24" s="37">
        <v>998.23</v>
      </c>
      <c r="AG24" s="39">
        <v>1.0067820041473407E-6</v>
      </c>
    </row>
    <row r="25" spans="1:33" x14ac:dyDescent="0.35">
      <c r="B25" s="18"/>
      <c r="C25" s="19"/>
      <c r="D25" s="19"/>
      <c r="E25" s="3"/>
      <c r="F25" s="3"/>
      <c r="G25" s="19"/>
      <c r="H25" s="19"/>
      <c r="I25" s="19"/>
      <c r="J25" s="20"/>
      <c r="K25" s="21"/>
      <c r="Q25" s="71"/>
      <c r="R25" s="4"/>
      <c r="S25" s="74"/>
      <c r="U25" s="22">
        <v>1.9</v>
      </c>
      <c r="V25" s="23">
        <f t="shared" si="4"/>
        <v>30054.012345679006</v>
      </c>
      <c r="W25" s="23">
        <f t="shared" si="12"/>
        <v>2.2177226719738818E-2</v>
      </c>
      <c r="X25" s="23">
        <f t="shared" si="15"/>
        <v>6.0075980600388388E-3</v>
      </c>
      <c r="Y25" s="4"/>
      <c r="Z25" s="40"/>
      <c r="AD25" s="37">
        <v>25</v>
      </c>
      <c r="AE25" s="37">
        <v>8.9400000000000005E-4</v>
      </c>
      <c r="AF25" s="37">
        <v>997.07</v>
      </c>
      <c r="AG25" s="39">
        <v>8.9662711745414066E-7</v>
      </c>
    </row>
    <row r="26" spans="1:33" x14ac:dyDescent="0.35">
      <c r="N26" s="22"/>
      <c r="Q26" s="71"/>
      <c r="R26" s="4"/>
      <c r="S26" s="74"/>
      <c r="U26" s="22">
        <v>2</v>
      </c>
      <c r="V26" s="23">
        <f t="shared" si="4"/>
        <v>31635.8024691358</v>
      </c>
      <c r="W26" s="23">
        <f t="shared" si="12"/>
        <v>2.1894656581278538E-2</v>
      </c>
      <c r="X26" s="23">
        <f t="shared" si="15"/>
        <v>5.931052519106618E-3</v>
      </c>
      <c r="Y26" s="4"/>
      <c r="Z26" s="40"/>
      <c r="AD26" s="32"/>
      <c r="AE26" s="32"/>
      <c r="AF26" s="32"/>
      <c r="AG26" s="32"/>
    </row>
    <row r="27" spans="1:33" x14ac:dyDescent="0.35">
      <c r="K27" s="1"/>
      <c r="L27" s="4"/>
      <c r="N27" s="22"/>
      <c r="Q27" s="71"/>
      <c r="R27" s="4"/>
      <c r="S27" s="74"/>
      <c r="U27" s="22">
        <v>2.1</v>
      </c>
      <c r="V27" s="23">
        <f t="shared" si="4"/>
        <v>33217.592592592591</v>
      </c>
      <c r="W27" s="23">
        <f t="shared" si="12"/>
        <v>2.1629217750527337E-2</v>
      </c>
      <c r="X27" s="23">
        <f t="shared" si="15"/>
        <v>5.8591476851599751E-3</v>
      </c>
      <c r="Y27" s="4"/>
      <c r="Z27" s="40"/>
      <c r="AD27" s="32"/>
      <c r="AE27" s="32"/>
      <c r="AF27" s="32"/>
      <c r="AG27" s="32"/>
    </row>
    <row r="28" spans="1:33" x14ac:dyDescent="0.35">
      <c r="Q28" s="71"/>
      <c r="R28" s="4"/>
      <c r="S28" s="74"/>
      <c r="U28" s="22">
        <v>2.2000000000000002</v>
      </c>
      <c r="V28" s="23">
        <f t="shared" si="4"/>
        <v>34799.382716049382</v>
      </c>
      <c r="W28" s="23">
        <f t="shared" si="12"/>
        <v>2.1379126960847782E-2</v>
      </c>
      <c r="X28" s="23">
        <f t="shared" si="15"/>
        <v>5.7914004883666435E-3</v>
      </c>
      <c r="Y28" s="4"/>
      <c r="Z28" s="40"/>
      <c r="AD28" s="32"/>
      <c r="AE28" s="32"/>
      <c r="AF28" s="32"/>
      <c r="AG28" s="32"/>
    </row>
    <row r="29" spans="1:33" x14ac:dyDescent="0.35">
      <c r="L29" s="41"/>
      <c r="Q29" s="71"/>
      <c r="R29" s="4"/>
      <c r="S29" s="74"/>
      <c r="U29" s="22">
        <v>2.2999999999999998</v>
      </c>
      <c r="V29" s="23">
        <f t="shared" si="4"/>
        <v>36381.172839506165</v>
      </c>
      <c r="W29" s="23">
        <f t="shared" si="12"/>
        <v>2.1142857249133826E-2</v>
      </c>
      <c r="X29" s="23">
        <f t="shared" si="15"/>
        <v>5.7273972890633075E-3</v>
      </c>
      <c r="Y29" s="4"/>
      <c r="Z29" s="40"/>
      <c r="AD29" s="32"/>
      <c r="AE29" s="32"/>
      <c r="AF29" s="32"/>
      <c r="AG29" s="32"/>
    </row>
    <row r="30" spans="1:33" x14ac:dyDescent="0.35">
      <c r="Q30" s="71"/>
      <c r="R30" s="4"/>
      <c r="S30" s="74"/>
      <c r="U30" s="22">
        <v>2.4</v>
      </c>
      <c r="V30" s="23">
        <f t="shared" si="4"/>
        <v>37962.962962962964</v>
      </c>
      <c r="W30" s="23">
        <f t="shared" si="12"/>
        <v>2.0919091818372492E-2</v>
      </c>
      <c r="X30" s="23">
        <f t="shared" si="15"/>
        <v>5.6667813795659733E-3</v>
      </c>
      <c r="Y30" s="4"/>
      <c r="Z30" s="40"/>
      <c r="AD30" s="32"/>
      <c r="AE30" s="32"/>
      <c r="AF30" s="32"/>
      <c r="AG30" s="32"/>
    </row>
    <row r="31" spans="1:33" x14ac:dyDescent="0.35">
      <c r="F31" s="1"/>
      <c r="G31" s="1"/>
      <c r="Q31" s="71"/>
      <c r="R31" s="4"/>
      <c r="S31" s="74"/>
      <c r="U31" s="22">
        <v>2.5</v>
      </c>
      <c r="V31" s="23">
        <f t="shared" si="4"/>
        <v>39544.753086419747</v>
      </c>
      <c r="W31" s="23">
        <f t="shared" si="12"/>
        <v>2.070668774375034E-2</v>
      </c>
      <c r="X31" s="23">
        <f t="shared" si="15"/>
        <v>5.6092431525022338E-3</v>
      </c>
      <c r="Y31" s="4"/>
      <c r="Z31" s="40"/>
      <c r="AD31" s="32"/>
      <c r="AE31" s="32"/>
      <c r="AF31" s="32"/>
      <c r="AG31" s="32"/>
    </row>
    <row r="32" spans="1:33" x14ac:dyDescent="0.35">
      <c r="G32" s="19"/>
      <c r="Q32" s="71"/>
      <c r="R32" s="4"/>
      <c r="S32" s="74"/>
      <c r="Y32" s="4"/>
      <c r="Z32" s="40"/>
    </row>
    <row r="33" spans="7:27" x14ac:dyDescent="0.35">
      <c r="G33" s="19"/>
      <c r="Q33" s="71"/>
      <c r="R33" s="4"/>
      <c r="S33" s="74"/>
      <c r="Y33" s="4"/>
      <c r="Z33" s="40"/>
      <c r="AA33" s="1" t="s">
        <v>51</v>
      </c>
    </row>
    <row r="34" spans="7:27" x14ac:dyDescent="0.35">
      <c r="G34" s="19"/>
      <c r="Q34" s="71"/>
      <c r="R34" s="4"/>
      <c r="S34" s="74"/>
      <c r="Y34" s="4"/>
      <c r="Z34" s="40"/>
    </row>
    <row r="35" spans="7:27" x14ac:dyDescent="0.35">
      <c r="G35" s="19"/>
      <c r="Q35" s="71"/>
      <c r="R35" s="4"/>
      <c r="S35" s="74"/>
      <c r="Y35" s="4"/>
      <c r="Z35" s="40"/>
    </row>
    <row r="36" spans="7:27" x14ac:dyDescent="0.35">
      <c r="G36" s="19"/>
      <c r="Q36" s="71"/>
      <c r="R36" s="4"/>
      <c r="S36" s="74"/>
      <c r="Y36" s="4"/>
    </row>
    <row r="37" spans="7:27" x14ac:dyDescent="0.35">
      <c r="G37" s="19"/>
      <c r="Q37" s="71"/>
      <c r="R37" s="4"/>
      <c r="S37" s="74"/>
      <c r="Y37" s="4"/>
    </row>
    <row r="38" spans="7:27" x14ac:dyDescent="0.35">
      <c r="R38" s="68"/>
      <c r="S38" s="2"/>
      <c r="Y38" s="4"/>
    </row>
    <row r="39" spans="7:27" x14ac:dyDescent="0.35">
      <c r="R39" s="43"/>
      <c r="S39" s="88"/>
      <c r="U39" s="4"/>
      <c r="V39" s="16"/>
      <c r="W39" s="16"/>
      <c r="X39" s="4"/>
      <c r="Y39" s="4"/>
    </row>
    <row r="40" spans="7:27" x14ac:dyDescent="0.35">
      <c r="R40" s="43"/>
      <c r="S40" s="88"/>
      <c r="U40" s="4"/>
      <c r="V40" s="16"/>
      <c r="W40" s="16"/>
      <c r="X40" s="4"/>
      <c r="Y40" s="4"/>
    </row>
    <row r="41" spans="7:27" x14ac:dyDescent="0.35">
      <c r="R41" s="43"/>
      <c r="S41" s="88"/>
      <c r="U41" s="4"/>
      <c r="V41" s="16"/>
      <c r="W41" s="16"/>
      <c r="X41" s="4"/>
      <c r="Y41" s="4"/>
    </row>
    <row r="42" spans="7:27" x14ac:dyDescent="0.35">
      <c r="Q42" s="71"/>
      <c r="R42" s="4"/>
      <c r="S42" s="74"/>
      <c r="U42" s="4"/>
      <c r="V42" s="16"/>
      <c r="W42" s="16"/>
      <c r="X42" s="4"/>
      <c r="Y42" s="4"/>
    </row>
    <row r="43" spans="7:27" x14ac:dyDescent="0.35">
      <c r="Q43" s="71"/>
      <c r="R43" s="4"/>
      <c r="S43" s="74"/>
      <c r="U43" s="4"/>
      <c r="V43" s="16"/>
      <c r="W43" s="16"/>
      <c r="X43" s="4"/>
      <c r="Y43" s="4"/>
    </row>
    <row r="44" spans="7:27" x14ac:dyDescent="0.35">
      <c r="U44" s="4"/>
      <c r="V44" s="16"/>
      <c r="W44" s="16"/>
    </row>
    <row r="45" spans="7:27" x14ac:dyDescent="0.35">
      <c r="U45" s="4"/>
      <c r="V45" s="16"/>
      <c r="W45" s="16"/>
    </row>
    <row r="46" spans="7:27" x14ac:dyDescent="0.35">
      <c r="U46" s="4"/>
      <c r="V46" s="16"/>
      <c r="W46" s="16"/>
    </row>
    <row r="47" spans="7:27" x14ac:dyDescent="0.35">
      <c r="U47" s="4"/>
      <c r="V47" s="16"/>
      <c r="W47" s="16"/>
    </row>
    <row r="48" spans="7:27" x14ac:dyDescent="0.35">
      <c r="R48" s="40"/>
      <c r="S48" s="87"/>
      <c r="U48" s="4"/>
      <c r="V48" s="16"/>
      <c r="W48" s="16"/>
    </row>
    <row r="49" spans="21:23" x14ac:dyDescent="0.35">
      <c r="U49" s="4"/>
      <c r="V49" s="16"/>
      <c r="W49" s="16"/>
    </row>
    <row r="50" spans="21:23" x14ac:dyDescent="0.35">
      <c r="U50" s="4"/>
      <c r="V50" s="16"/>
      <c r="W50" s="16"/>
    </row>
    <row r="51" spans="21:23" x14ac:dyDescent="0.35">
      <c r="U51" s="4"/>
      <c r="V51" s="16"/>
      <c r="W51" s="16"/>
    </row>
    <row r="52" spans="21:23" x14ac:dyDescent="0.35">
      <c r="U52" s="4"/>
      <c r="V52" s="16"/>
      <c r="W52" s="16"/>
    </row>
    <row r="53" spans="21:23" x14ac:dyDescent="0.35">
      <c r="U53" s="4"/>
      <c r="V53" s="16"/>
      <c r="W53" s="16"/>
    </row>
    <row r="54" spans="21:23" x14ac:dyDescent="0.35">
      <c r="U54" s="4"/>
    </row>
    <row r="112" spans="17:17" x14ac:dyDescent="0.35">
      <c r="Q112" s="85"/>
    </row>
  </sheetData>
  <mergeCells count="3">
    <mergeCell ref="A3:N3"/>
    <mergeCell ref="Z5:AA5"/>
    <mergeCell ref="Q4:S4"/>
  </mergeCells>
  <pageMargins left="0.7" right="0.7" top="0.75" bottom="0.75" header="0.3" footer="0.3"/>
  <pageSetup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EE2C1-27D6-454A-ACAB-626345656D8D}">
  <dimension ref="A1:AG59"/>
  <sheetViews>
    <sheetView topLeftCell="A25" zoomScale="50" zoomScaleNormal="50" zoomScalePageLayoutView="90" workbookViewId="0">
      <selection activeCell="A41" sqref="A41:XFD93"/>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6.765625" style="4" customWidth="1"/>
    <col min="14" max="15" width="8.4609375" style="4" customWidth="1"/>
    <col min="16" max="16" width="27.23046875" style="4" customWidth="1"/>
    <col min="17" max="17" width="12.765625" style="68" customWidth="1"/>
    <col min="18" max="18" width="10" style="2" customWidth="1"/>
    <col min="19" max="19" width="13.3046875" style="72" bestFit="1" customWidth="1"/>
    <col min="20" max="20" width="8.4609375" style="5" customWidth="1"/>
    <col min="21" max="21" width="10.23046875" style="2" customWidth="1"/>
    <col min="22" max="22" width="13.84375" style="2" customWidth="1"/>
    <col min="23" max="25" width="10" style="2" customWidth="1"/>
    <col min="26" max="26" width="21" style="2" customWidth="1"/>
    <col min="27" max="27" width="8.69140625" style="2" customWidth="1"/>
    <col min="28" max="28" width="8.69140625" style="2"/>
    <col min="29" max="29" width="22" style="2" customWidth="1"/>
    <col min="30" max="30" width="35.84375" style="2" customWidth="1"/>
    <col min="31" max="31" width="16.84375" style="2" customWidth="1"/>
    <col min="32" max="16384" width="8.69140625" style="2"/>
  </cols>
  <sheetData>
    <row r="1" spans="1:31" x14ac:dyDescent="0.35">
      <c r="A1" s="1"/>
      <c r="I1" s="1"/>
      <c r="J1" s="1"/>
      <c r="Q1" s="69" t="s">
        <v>107</v>
      </c>
    </row>
    <row r="2" spans="1:31" x14ac:dyDescent="0.35">
      <c r="A2" s="1"/>
      <c r="I2" s="1"/>
      <c r="J2" s="1"/>
      <c r="Q2" s="69" t="s">
        <v>85</v>
      </c>
    </row>
    <row r="3" spans="1:31" x14ac:dyDescent="0.35">
      <c r="A3" s="150" t="s">
        <v>3</v>
      </c>
      <c r="B3" s="150"/>
      <c r="C3" s="150"/>
      <c r="D3" s="150"/>
      <c r="E3" s="150"/>
      <c r="F3" s="150"/>
      <c r="G3" s="150"/>
      <c r="H3" s="150"/>
      <c r="I3" s="150"/>
      <c r="J3" s="150"/>
      <c r="K3" s="150"/>
      <c r="L3" s="150"/>
      <c r="M3" s="150"/>
      <c r="N3" s="150"/>
      <c r="O3" s="65"/>
      <c r="P3" s="65"/>
      <c r="T3" s="7"/>
    </row>
    <row r="4" spans="1:31" x14ac:dyDescent="0.35">
      <c r="Q4" s="152" t="s">
        <v>81</v>
      </c>
      <c r="R4" s="153"/>
      <c r="S4" s="154"/>
    </row>
    <row r="5" spans="1:31"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T5" s="14"/>
      <c r="U5" s="15" t="s">
        <v>19</v>
      </c>
      <c r="V5" s="16" t="s">
        <v>14</v>
      </c>
      <c r="W5" s="15" t="s">
        <v>20</v>
      </c>
      <c r="X5" s="16" t="s">
        <v>21</v>
      </c>
      <c r="Y5" s="1"/>
      <c r="Z5" s="151" t="s">
        <v>22</v>
      </c>
      <c r="AA5" s="151"/>
    </row>
    <row r="6" spans="1:31" x14ac:dyDescent="0.35">
      <c r="A6" s="17" t="s">
        <v>23</v>
      </c>
      <c r="B6" s="18">
        <v>0</v>
      </c>
      <c r="C6" s="19">
        <f>B6*0.0166667</f>
        <v>0</v>
      </c>
      <c r="D6" s="19">
        <f>B6*0.000277778</f>
        <v>0</v>
      </c>
      <c r="E6" s="3">
        <f>0.001*D6</f>
        <v>0</v>
      </c>
      <c r="F6" s="19">
        <f>E6/AA$7</f>
        <v>0</v>
      </c>
      <c r="G6" s="19">
        <f t="shared" ref="G6:G18" si="0">F6^(2)</f>
        <v>0</v>
      </c>
      <c r="H6" s="19">
        <f>F6*1.94384</f>
        <v>0</v>
      </c>
      <c r="I6" s="20">
        <v>0</v>
      </c>
      <c r="J6" s="20">
        <f t="shared" ref="J6:J18" si="1">I6 * 10</f>
        <v>0</v>
      </c>
      <c r="K6" s="21">
        <f>J6*100</f>
        <v>0</v>
      </c>
      <c r="L6" s="3">
        <f>(F6*AA$11)/AA$12</f>
        <v>0</v>
      </c>
      <c r="U6" s="22">
        <v>0</v>
      </c>
      <c r="V6" s="23">
        <f t="shared" ref="V6:V31" si="2">(U6*AA$11)/AA$12</f>
        <v>0</v>
      </c>
      <c r="W6" s="23"/>
      <c r="X6" s="23"/>
    </row>
    <row r="7" spans="1:31" x14ac:dyDescent="0.35">
      <c r="A7" s="2">
        <v>25</v>
      </c>
      <c r="B7" s="2">
        <v>1900</v>
      </c>
      <c r="C7" s="19">
        <f t="shared" ref="C7:C18" si="3">B7*0.0166667</f>
        <v>31.666729999999998</v>
      </c>
      <c r="D7" s="19">
        <f t="shared" ref="D7:D18" si="4">B7*0.000277778</f>
        <v>0.52777819999999998</v>
      </c>
      <c r="E7" s="3">
        <f t="shared" ref="E7:E18" si="5">0.001*D7</f>
        <v>5.2777819999999997E-4</v>
      </c>
      <c r="F7" s="19">
        <f t="shared" ref="F7:F18" si="6">E7/AA$7</f>
        <v>1.0555564</v>
      </c>
      <c r="G7" s="19">
        <f t="shared" si="0"/>
        <v>1.1141993135809598</v>
      </c>
      <c r="H7" s="19">
        <f t="shared" ref="H7:H18" si="7">F7*1.94384</f>
        <v>2.0518327525759998</v>
      </c>
      <c r="I7" s="2">
        <v>0.67090322580645156</v>
      </c>
      <c r="J7" s="20">
        <f t="shared" si="1"/>
        <v>6.7090322580645161</v>
      </c>
      <c r="K7" s="21">
        <f t="shared" ref="K7:K18" si="8">J7*100</f>
        <v>670.90322580645159</v>
      </c>
      <c r="L7" s="3">
        <f>(F7*AA$11)/AA$12</f>
        <v>17490.125462783169</v>
      </c>
      <c r="M7" s="4">
        <f>(AA$15*G7*N7)/8</f>
        <v>3.4942876344086025</v>
      </c>
      <c r="N7" s="4">
        <f>(K7*2*AA$11)/(AA$13*AA$15*G7)</f>
        <v>2.4501111974373515E-2</v>
      </c>
      <c r="O7" s="4">
        <f>N7/4</f>
        <v>6.1252779935933787E-3</v>
      </c>
      <c r="P7" s="4">
        <f>3.7*(10^(-1/(2*SQRT(N7)))-2.51/(L7*SQRT(N7)))</f>
        <v>-1.0269357594469627E-3</v>
      </c>
      <c r="Q7" s="2">
        <v>185009.867</v>
      </c>
      <c r="R7" s="2">
        <v>14574.951333333333</v>
      </c>
      <c r="S7" s="2">
        <v>234.37233333333333</v>
      </c>
      <c r="U7" s="22">
        <v>0.1</v>
      </c>
      <c r="V7" s="23">
        <f>(U7*AA$11)/AA$12</f>
        <v>1656.9579288025889</v>
      </c>
      <c r="W7" s="23">
        <f t="shared" ref="W7:W31" si="9">0.292/(V7^(0.25))</f>
        <v>4.5767267192499433E-2</v>
      </c>
      <c r="X7" s="23">
        <f>0.0791/(V7^0.25)</f>
        <v>1.2397913818242142E-2</v>
      </c>
      <c r="Y7" s="25"/>
      <c r="Z7" s="1" t="s">
        <v>24</v>
      </c>
      <c r="AA7" s="2">
        <f>AA$9*AA$10</f>
        <v>5.0000000000000001E-4</v>
      </c>
    </row>
    <row r="8" spans="1:31" x14ac:dyDescent="0.35">
      <c r="A8" s="2">
        <v>30</v>
      </c>
      <c r="B8" s="2">
        <v>2750</v>
      </c>
      <c r="C8" s="19">
        <f t="shared" si="3"/>
        <v>45.833424999999998</v>
      </c>
      <c r="D8" s="19">
        <f t="shared" si="4"/>
        <v>0.7638895</v>
      </c>
      <c r="E8" s="3">
        <f t="shared" si="5"/>
        <v>7.6388949999999997E-4</v>
      </c>
      <c r="F8" s="19">
        <f t="shared" si="6"/>
        <v>1.527779</v>
      </c>
      <c r="G8" s="19">
        <f t="shared" si="0"/>
        <v>2.3341086728409999</v>
      </c>
      <c r="H8" s="19">
        <f t="shared" si="7"/>
        <v>2.9697579313600002</v>
      </c>
      <c r="I8" s="2">
        <v>1.3658387096774192</v>
      </c>
      <c r="J8" s="20">
        <f t="shared" si="1"/>
        <v>13.658387096774192</v>
      </c>
      <c r="K8" s="21">
        <f t="shared" si="8"/>
        <v>1365.838709677419</v>
      </c>
      <c r="L8" s="3">
        <f t="shared" ref="L8:L18" si="10">(F8*AA$11)/AA$12</f>
        <v>25314.655275080902</v>
      </c>
      <c r="M8" s="4">
        <f t="shared" ref="M8:M18" si="11">(AA$15*G8*N8)/8</f>
        <v>7.1137432795698903</v>
      </c>
      <c r="N8" s="4">
        <f t="shared" ref="N8:N18" si="12">(K8*2*AA$11)/(AA$13*AA$15*G8)</f>
        <v>2.3810424946493325E-2</v>
      </c>
      <c r="O8" s="4">
        <f t="shared" ref="O8:O18" si="13">N8/4</f>
        <v>5.9526062366233312E-3</v>
      </c>
      <c r="P8" s="4">
        <f t="shared" ref="P8:P18" si="14">3.7*(10^(-1/(2*SQRT(N8)))-2.51/(L8*SQRT(N8)))</f>
        <v>-2.4988304162678839E-4</v>
      </c>
      <c r="Q8" s="2">
        <v>189338.28999999998</v>
      </c>
      <c r="R8" s="2">
        <v>14750.522499999999</v>
      </c>
      <c r="S8" s="2">
        <v>230.32300000000001</v>
      </c>
      <c r="U8" s="22">
        <v>0.2</v>
      </c>
      <c r="V8" s="23">
        <f t="shared" si="2"/>
        <v>3313.9158576051777</v>
      </c>
      <c r="W8" s="23">
        <f t="shared" si="9"/>
        <v>3.848553091813172E-2</v>
      </c>
      <c r="X8" s="23">
        <f t="shared" ref="X8:X31" si="15">0.0791/(V8^0.25)</f>
        <v>1.0425361286384313E-2</v>
      </c>
      <c r="Y8" s="25"/>
      <c r="Z8" s="2" t="s">
        <v>25</v>
      </c>
    </row>
    <row r="9" spans="1:31" ht="19" x14ac:dyDescent="0.4">
      <c r="A9" s="2">
        <v>35</v>
      </c>
      <c r="B9" s="2">
        <v>3550</v>
      </c>
      <c r="C9" s="19">
        <f t="shared" si="3"/>
        <v>59.166784999999997</v>
      </c>
      <c r="D9" s="19">
        <f t="shared" si="4"/>
        <v>0.98611190000000004</v>
      </c>
      <c r="E9" s="3">
        <f t="shared" si="5"/>
        <v>9.8611190000000011E-4</v>
      </c>
      <c r="F9" s="19">
        <f t="shared" si="6"/>
        <v>1.9722238000000001</v>
      </c>
      <c r="G9" s="19">
        <f t="shared" si="0"/>
        <v>3.8896667172864405</v>
      </c>
      <c r="H9" s="19">
        <f t="shared" si="7"/>
        <v>3.8336875113920001</v>
      </c>
      <c r="I9" s="2">
        <v>2.3119741935483873</v>
      </c>
      <c r="J9" s="20">
        <f t="shared" si="1"/>
        <v>23.119741935483873</v>
      </c>
      <c r="K9" s="21">
        <f t="shared" si="8"/>
        <v>2311.9741935483871</v>
      </c>
      <c r="L9" s="3">
        <f t="shared" si="10"/>
        <v>32678.918627831714</v>
      </c>
      <c r="M9" s="4">
        <f t="shared" si="11"/>
        <v>12.041532258064514</v>
      </c>
      <c r="N9" s="4">
        <f t="shared" si="12"/>
        <v>2.4185740734043781E-2</v>
      </c>
      <c r="O9" s="4">
        <f t="shared" si="13"/>
        <v>6.0464351835109453E-3</v>
      </c>
      <c r="P9" s="4">
        <f t="shared" si="14"/>
        <v>4.2755119852796596E-4</v>
      </c>
      <c r="Q9" s="2">
        <v>157772.36300000001</v>
      </c>
      <c r="R9" s="2">
        <v>12776.749</v>
      </c>
      <c r="S9" s="2">
        <v>212.51</v>
      </c>
      <c r="U9" s="22">
        <v>0.3</v>
      </c>
      <c r="V9" s="23">
        <f t="shared" si="2"/>
        <v>4970.8737864077666</v>
      </c>
      <c r="W9" s="23">
        <f t="shared" si="9"/>
        <v>3.4775602847612441E-2</v>
      </c>
      <c r="X9" s="23">
        <f t="shared" si="15"/>
        <v>9.4203773467333701E-3</v>
      </c>
      <c r="Y9" s="25"/>
      <c r="Z9" s="1" t="s">
        <v>26</v>
      </c>
      <c r="AA9" s="19">
        <v>0.05</v>
      </c>
      <c r="AD9" s="27" t="s">
        <v>27</v>
      </c>
    </row>
    <row r="10" spans="1:31" ht="18.5" x14ac:dyDescent="0.35">
      <c r="A10" s="2">
        <v>40</v>
      </c>
      <c r="B10" s="2">
        <v>4300</v>
      </c>
      <c r="C10" s="19">
        <f t="shared" si="3"/>
        <v>71.666809999999998</v>
      </c>
      <c r="D10" s="19">
        <f t="shared" si="4"/>
        <v>1.1944454</v>
      </c>
      <c r="E10" s="3">
        <f t="shared" si="5"/>
        <v>1.1944454000000001E-3</v>
      </c>
      <c r="F10" s="19">
        <f t="shared" si="6"/>
        <v>2.3888908</v>
      </c>
      <c r="G10" s="19">
        <f t="shared" si="0"/>
        <v>5.7067992543246397</v>
      </c>
      <c r="H10" s="19">
        <f t="shared" si="7"/>
        <v>4.6436214926719996</v>
      </c>
      <c r="I10" s="2">
        <v>3.3859096774193538</v>
      </c>
      <c r="J10" s="20">
        <f t="shared" si="1"/>
        <v>33.859096774193539</v>
      </c>
      <c r="K10" s="21">
        <f t="shared" si="8"/>
        <v>3385.909677419354</v>
      </c>
      <c r="L10" s="3">
        <f t="shared" si="10"/>
        <v>39582.915521035597</v>
      </c>
      <c r="M10" s="4">
        <f t="shared" si="11"/>
        <v>17.634946236559131</v>
      </c>
      <c r="N10" s="4">
        <f t="shared" si="12"/>
        <v>2.4141907106459574E-2</v>
      </c>
      <c r="O10" s="4">
        <f t="shared" si="13"/>
        <v>6.0354767766148936E-3</v>
      </c>
      <c r="P10" s="4">
        <f t="shared" si="14"/>
        <v>7.2981374229857032E-4</v>
      </c>
      <c r="Q10" s="2"/>
      <c r="S10" s="2"/>
      <c r="U10" s="22">
        <v>0.4</v>
      </c>
      <c r="V10" s="23">
        <f t="shared" si="2"/>
        <v>6627.8317152103555</v>
      </c>
      <c r="W10" s="23">
        <f t="shared" si="9"/>
        <v>3.2362344988192952E-2</v>
      </c>
      <c r="X10" s="23">
        <f t="shared" si="15"/>
        <v>8.7666489334454218E-3</v>
      </c>
      <c r="Y10" s="25"/>
      <c r="Z10" s="1" t="s">
        <v>28</v>
      </c>
      <c r="AA10" s="19">
        <v>0.01</v>
      </c>
      <c r="AD10" s="28" t="s">
        <v>29</v>
      </c>
      <c r="AE10" s="2" t="s">
        <v>30</v>
      </c>
    </row>
    <row r="11" spans="1:31" ht="16.5" x14ac:dyDescent="0.4">
      <c r="A11" s="2">
        <v>45</v>
      </c>
      <c r="B11" s="2">
        <v>5100</v>
      </c>
      <c r="C11" s="19">
        <f t="shared" si="3"/>
        <v>85.000169999999997</v>
      </c>
      <c r="D11" s="19">
        <f t="shared" si="4"/>
        <v>1.4166678000000001</v>
      </c>
      <c r="E11" s="3">
        <f t="shared" si="5"/>
        <v>1.4166678000000002E-3</v>
      </c>
      <c r="F11" s="19">
        <f t="shared" si="6"/>
        <v>2.8333356000000003</v>
      </c>
      <c r="G11" s="19">
        <f t="shared" si="0"/>
        <v>8.0277906222273625</v>
      </c>
      <c r="H11" s="19">
        <f t="shared" si="7"/>
        <v>5.5075510727040005</v>
      </c>
      <c r="I11" s="2">
        <v>4.8898935483870964</v>
      </c>
      <c r="J11" s="20">
        <f t="shared" si="1"/>
        <v>48.898935483870964</v>
      </c>
      <c r="K11" s="21">
        <f t="shared" si="8"/>
        <v>4889.8935483870964</v>
      </c>
      <c r="L11" s="3">
        <f t="shared" si="10"/>
        <v>46947.178873786404</v>
      </c>
      <c r="M11" s="4">
        <f t="shared" si="11"/>
        <v>25.468195564516126</v>
      </c>
      <c r="N11" s="4">
        <f t="shared" si="12"/>
        <v>2.4785185265902791E-2</v>
      </c>
      <c r="O11" s="4">
        <f t="shared" si="13"/>
        <v>6.1962963164756977E-3</v>
      </c>
      <c r="P11" s="4">
        <f t="shared" si="14"/>
        <v>1.2109368638178E-3</v>
      </c>
      <c r="Q11" s="2"/>
      <c r="S11" s="2"/>
      <c r="U11" s="22">
        <v>0.5</v>
      </c>
      <c r="V11" s="23">
        <f t="shared" si="2"/>
        <v>8284.7896440129443</v>
      </c>
      <c r="W11" s="23">
        <f t="shared" si="9"/>
        <v>3.0606416220249465E-2</v>
      </c>
      <c r="X11" s="23">
        <f t="shared" si="15"/>
        <v>8.290984667882648E-3</v>
      </c>
      <c r="Y11" s="25"/>
      <c r="Z11" s="1" t="s">
        <v>31</v>
      </c>
      <c r="AA11" s="4">
        <f>2*(AA9*AA10)/(AA9+AA10)</f>
        <v>1.6666666666666666E-2</v>
      </c>
      <c r="AB11" s="1">
        <f>10*AA11*100</f>
        <v>16.666666666666664</v>
      </c>
      <c r="AD11" s="27" t="s">
        <v>32</v>
      </c>
      <c r="AE11" s="2" t="s">
        <v>33</v>
      </c>
    </row>
    <row r="12" spans="1:31" ht="18.5" x14ac:dyDescent="0.35">
      <c r="A12" s="49" t="s">
        <v>68</v>
      </c>
      <c r="B12" s="29">
        <v>5900</v>
      </c>
      <c r="C12" s="19">
        <f t="shared" si="3"/>
        <v>98.333529999999996</v>
      </c>
      <c r="D12" s="19">
        <f t="shared" si="4"/>
        <v>1.6388902000000001</v>
      </c>
      <c r="E12" s="3">
        <f t="shared" si="5"/>
        <v>1.6388902000000001E-3</v>
      </c>
      <c r="F12" s="19">
        <f t="shared" si="6"/>
        <v>3.2777804000000001</v>
      </c>
      <c r="G12" s="19">
        <f t="shared" si="0"/>
        <v>10.74384435062416</v>
      </c>
      <c r="H12" s="19">
        <f t="shared" si="7"/>
        <v>6.3714806527360004</v>
      </c>
      <c r="I12" s="30">
        <v>6.4894096774193546</v>
      </c>
      <c r="J12" s="20">
        <f t="shared" si="1"/>
        <v>64.894096774193542</v>
      </c>
      <c r="K12" s="21">
        <f t="shared" si="8"/>
        <v>6489.409677419354</v>
      </c>
      <c r="L12" s="3">
        <f t="shared" si="10"/>
        <v>54311.442226537212</v>
      </c>
      <c r="M12" s="4">
        <f t="shared" si="11"/>
        <v>33.799008736559131</v>
      </c>
      <c r="N12" s="4">
        <f t="shared" si="12"/>
        <v>2.4577306514965293E-2</v>
      </c>
      <c r="O12" s="4">
        <f t="shared" si="13"/>
        <v>6.1443266287413232E-3</v>
      </c>
      <c r="P12" s="4">
        <f t="shared" si="14"/>
        <v>1.3017419962067925E-3</v>
      </c>
      <c r="Q12" s="2"/>
      <c r="S12" s="2"/>
      <c r="U12" s="22">
        <v>0.6</v>
      </c>
      <c r="V12" s="23">
        <f t="shared" si="2"/>
        <v>9941.7475728155332</v>
      </c>
      <c r="W12" s="23">
        <f t="shared" si="9"/>
        <v>2.9242679772844168E-2</v>
      </c>
      <c r="X12" s="23">
        <f t="shared" si="15"/>
        <v>7.9215615412053901E-3</v>
      </c>
      <c r="Y12" s="25"/>
      <c r="Z12" s="1" t="s">
        <v>34</v>
      </c>
      <c r="AA12" s="31">
        <f>AA$16/AA$15</f>
        <v>1.0058593750000001E-6</v>
      </c>
    </row>
    <row r="13" spans="1:31" ht="16.5" x14ac:dyDescent="0.4">
      <c r="A13" s="2">
        <v>50</v>
      </c>
      <c r="B13" s="2">
        <v>5900</v>
      </c>
      <c r="C13" s="19">
        <f t="shared" si="3"/>
        <v>98.333529999999996</v>
      </c>
      <c r="D13" s="19">
        <f t="shared" si="4"/>
        <v>1.6388902000000001</v>
      </c>
      <c r="E13" s="3">
        <f t="shared" si="5"/>
        <v>1.6388902000000001E-3</v>
      </c>
      <c r="F13" s="19">
        <f t="shared" si="6"/>
        <v>3.2777804000000001</v>
      </c>
      <c r="G13" s="19">
        <f t="shared" si="0"/>
        <v>10.74384435062416</v>
      </c>
      <c r="H13" s="19">
        <f t="shared" si="7"/>
        <v>6.3714806527360004</v>
      </c>
      <c r="I13" s="30">
        <v>6.4894096774193546</v>
      </c>
      <c r="J13" s="20">
        <f t="shared" si="1"/>
        <v>64.894096774193542</v>
      </c>
      <c r="K13" s="21">
        <f t="shared" si="8"/>
        <v>6489.409677419354</v>
      </c>
      <c r="L13" s="3">
        <f t="shared" si="10"/>
        <v>54311.442226537212</v>
      </c>
      <c r="M13" s="4">
        <f t="shared" si="11"/>
        <v>33.799008736559131</v>
      </c>
      <c r="N13" s="4">
        <f t="shared" si="12"/>
        <v>2.4577306514965293E-2</v>
      </c>
      <c r="O13" s="4">
        <f t="shared" si="13"/>
        <v>6.1443266287413232E-3</v>
      </c>
      <c r="P13" s="4">
        <f t="shared" si="14"/>
        <v>1.3017419962067925E-3</v>
      </c>
      <c r="Q13" s="2"/>
      <c r="S13" s="2"/>
      <c r="U13" s="22">
        <v>0.7</v>
      </c>
      <c r="V13" s="23">
        <f t="shared" si="2"/>
        <v>11598.70550161812</v>
      </c>
      <c r="W13" s="23">
        <f t="shared" si="9"/>
        <v>2.813717366290373E-2</v>
      </c>
      <c r="X13" s="23">
        <f t="shared" si="15"/>
        <v>7.6220905367660454E-3</v>
      </c>
      <c r="Y13" s="25"/>
      <c r="Z13" s="1" t="s">
        <v>35</v>
      </c>
      <c r="AA13" s="32">
        <v>0.8</v>
      </c>
      <c r="AD13" s="27" t="s">
        <v>36</v>
      </c>
      <c r="AE13" s="1" t="s">
        <v>37</v>
      </c>
    </row>
    <row r="14" spans="1:31" x14ac:dyDescent="0.35">
      <c r="A14" s="2">
        <v>45</v>
      </c>
      <c r="B14" s="2">
        <v>5000</v>
      </c>
      <c r="C14" s="19">
        <f t="shared" si="3"/>
        <v>83.333500000000001</v>
      </c>
      <c r="D14" s="19">
        <f t="shared" si="4"/>
        <v>1.38889</v>
      </c>
      <c r="E14" s="3">
        <f t="shared" si="5"/>
        <v>1.38889E-3</v>
      </c>
      <c r="F14" s="19">
        <f t="shared" si="6"/>
        <v>2.7777799999999999</v>
      </c>
      <c r="G14" s="19">
        <f t="shared" si="0"/>
        <v>7.7160617283999997</v>
      </c>
      <c r="H14" s="19">
        <f t="shared" si="7"/>
        <v>5.3995598751999996</v>
      </c>
      <c r="I14" s="30">
        <v>4.809525806451612</v>
      </c>
      <c r="J14" s="20">
        <f t="shared" si="1"/>
        <v>48.095258064516116</v>
      </c>
      <c r="K14" s="21">
        <f t="shared" si="8"/>
        <v>4809.525806451612</v>
      </c>
      <c r="L14" s="3">
        <f t="shared" si="10"/>
        <v>46026.645954692547</v>
      </c>
      <c r="M14" s="4">
        <f t="shared" si="11"/>
        <v>25.049613575268811</v>
      </c>
      <c r="N14" s="4">
        <f t="shared" si="12"/>
        <v>2.5362693164634378E-2</v>
      </c>
      <c r="O14" s="4">
        <f t="shared" si="13"/>
        <v>6.3406732911585944E-3</v>
      </c>
      <c r="P14" s="4">
        <f t="shared" si="14"/>
        <v>1.4159961243593658E-3</v>
      </c>
      <c r="Q14" s="2"/>
      <c r="S14" s="2"/>
      <c r="U14" s="22">
        <v>0.8</v>
      </c>
      <c r="V14" s="23">
        <f t="shared" si="2"/>
        <v>13255.663430420711</v>
      </c>
      <c r="W14" s="23">
        <f t="shared" si="9"/>
        <v>2.7213379889775471E-2</v>
      </c>
      <c r="X14" s="23">
        <f t="shared" si="15"/>
        <v>7.3718436619220548E-3</v>
      </c>
      <c r="Y14" s="25"/>
      <c r="AA14" s="32"/>
    </row>
    <row r="15" spans="1:31" x14ac:dyDescent="0.35">
      <c r="A15" s="2">
        <v>40</v>
      </c>
      <c r="B15" s="2">
        <v>4150</v>
      </c>
      <c r="C15" s="19">
        <f t="shared" si="3"/>
        <v>69.166804999999997</v>
      </c>
      <c r="D15" s="19">
        <f t="shared" si="4"/>
        <v>1.1527787</v>
      </c>
      <c r="E15" s="3">
        <f t="shared" si="5"/>
        <v>1.1527787000000002E-3</v>
      </c>
      <c r="F15" s="19">
        <f t="shared" si="6"/>
        <v>2.3055574000000001</v>
      </c>
      <c r="G15" s="19">
        <f t="shared" si="0"/>
        <v>5.3155949246947607</v>
      </c>
      <c r="H15" s="19">
        <f t="shared" si="7"/>
        <v>4.4816346964160001</v>
      </c>
      <c r="I15" s="30">
        <v>3.2689903225806458</v>
      </c>
      <c r="J15" s="20">
        <f t="shared" si="1"/>
        <v>32.689903225806461</v>
      </c>
      <c r="K15" s="21">
        <f t="shared" si="8"/>
        <v>3268.9903225806461</v>
      </c>
      <c r="L15" s="3">
        <f t="shared" si="10"/>
        <v>38202.116142394822</v>
      </c>
      <c r="M15" s="4">
        <f t="shared" si="11"/>
        <v>17.025991263440861</v>
      </c>
      <c r="N15" s="4">
        <f t="shared" si="12"/>
        <v>2.5023644320164209E-2</v>
      </c>
      <c r="O15" s="4">
        <f t="shared" si="13"/>
        <v>6.2559110800410522E-3</v>
      </c>
      <c r="P15" s="4">
        <f t="shared" si="14"/>
        <v>1.0183780758789723E-3</v>
      </c>
      <c r="Q15" s="2"/>
      <c r="S15" s="2"/>
      <c r="T15" s="34"/>
      <c r="U15" s="22">
        <v>0.9</v>
      </c>
      <c r="V15" s="23">
        <f t="shared" si="2"/>
        <v>14912.6213592233</v>
      </c>
      <c r="W15" s="23">
        <f t="shared" si="9"/>
        <v>2.6423744033663078E-2</v>
      </c>
      <c r="X15" s="23">
        <f t="shared" si="15"/>
        <v>7.1579388803518825E-3</v>
      </c>
      <c r="Y15" s="25"/>
      <c r="Z15" s="2" t="s">
        <v>38</v>
      </c>
      <c r="AA15" s="32">
        <f>VLOOKUP(AA17, SW!$A$4:$F$34, 3, FALSE)</f>
        <v>1024</v>
      </c>
      <c r="AB15" s="32"/>
    </row>
    <row r="16" spans="1:31" x14ac:dyDescent="0.35">
      <c r="A16" s="2">
        <v>35</v>
      </c>
      <c r="B16" s="2">
        <v>3450</v>
      </c>
      <c r="C16" s="19">
        <f t="shared" si="3"/>
        <v>57.500115000000001</v>
      </c>
      <c r="D16" s="19">
        <f t="shared" si="4"/>
        <v>0.95833410000000008</v>
      </c>
      <c r="E16" s="3">
        <f t="shared" si="5"/>
        <v>9.5833410000000006E-4</v>
      </c>
      <c r="F16" s="19">
        <f t="shared" si="6"/>
        <v>1.9166682000000002</v>
      </c>
      <c r="G16" s="19">
        <f t="shared" si="0"/>
        <v>3.6736169888912404</v>
      </c>
      <c r="H16" s="19">
        <f t="shared" si="7"/>
        <v>3.7256963138880002</v>
      </c>
      <c r="I16" s="35">
        <v>2.2737709677419353</v>
      </c>
      <c r="J16" s="20">
        <f t="shared" si="1"/>
        <v>22.737709677419353</v>
      </c>
      <c r="K16" s="21">
        <f t="shared" si="8"/>
        <v>2273.7709677419352</v>
      </c>
      <c r="L16" s="3">
        <f t="shared" si="10"/>
        <v>31758.385708737864</v>
      </c>
      <c r="M16" s="4">
        <f t="shared" si="11"/>
        <v>11.842557123655912</v>
      </c>
      <c r="N16" s="4">
        <f t="shared" si="12"/>
        <v>2.518498194241145E-2</v>
      </c>
      <c r="O16" s="4">
        <f t="shared" si="13"/>
        <v>6.2962454856028624E-3</v>
      </c>
      <c r="P16" s="4">
        <f t="shared" si="14"/>
        <v>7.7286045202416603E-4</v>
      </c>
      <c r="Q16" s="2"/>
      <c r="S16" s="2"/>
      <c r="U16" s="22">
        <v>1</v>
      </c>
      <c r="V16" s="23">
        <f t="shared" si="2"/>
        <v>16569.579288025889</v>
      </c>
      <c r="W16" s="23">
        <f t="shared" si="9"/>
        <v>2.5736825683370917E-2</v>
      </c>
      <c r="X16" s="23">
        <f t="shared" si="15"/>
        <v>6.9718592861460265E-3</v>
      </c>
      <c r="Y16" s="25"/>
      <c r="Z16" s="2" t="s">
        <v>39</v>
      </c>
      <c r="AA16" s="32">
        <f>VLOOKUP(AA17, SW!$A$4:$F$34, 5, FALSE)</f>
        <v>1.0300000000000001E-3</v>
      </c>
    </row>
    <row r="17" spans="1:33" x14ac:dyDescent="0.35">
      <c r="A17" s="2">
        <v>30</v>
      </c>
      <c r="B17" s="2">
        <v>2650</v>
      </c>
      <c r="C17" s="19">
        <f t="shared" si="3"/>
        <v>44.166755000000002</v>
      </c>
      <c r="D17" s="19">
        <f t="shared" si="4"/>
        <v>0.73611170000000004</v>
      </c>
      <c r="E17" s="3">
        <f t="shared" si="5"/>
        <v>7.3611170000000004E-4</v>
      </c>
      <c r="F17" s="19">
        <f t="shared" si="6"/>
        <v>1.4722234000000001</v>
      </c>
      <c r="G17" s="19">
        <f t="shared" si="0"/>
        <v>2.1674417395075602</v>
      </c>
      <c r="H17" s="19">
        <f t="shared" si="7"/>
        <v>2.8617667338560002</v>
      </c>
      <c r="I17" s="20">
        <v>1.3292647311827963</v>
      </c>
      <c r="J17" s="20">
        <f t="shared" si="1"/>
        <v>13.292647311827963</v>
      </c>
      <c r="K17" s="21">
        <f t="shared" si="8"/>
        <v>1329.2647311827964</v>
      </c>
      <c r="L17" s="3">
        <f t="shared" si="10"/>
        <v>24394.122355987052</v>
      </c>
      <c r="M17" s="4">
        <f t="shared" si="11"/>
        <v>6.9232538082437305</v>
      </c>
      <c r="N17" s="4">
        <f t="shared" si="12"/>
        <v>2.4954728605158655E-2</v>
      </c>
      <c r="O17" s="4">
        <f t="shared" si="13"/>
        <v>6.2386821512896637E-3</v>
      </c>
      <c r="P17" s="4">
        <f t="shared" si="14"/>
        <v>1.196475900964109E-4</v>
      </c>
      <c r="Q17" s="2"/>
      <c r="S17" s="2"/>
      <c r="T17" s="14"/>
      <c r="U17" s="22">
        <v>1.1000000000000001</v>
      </c>
      <c r="V17" s="23">
        <f t="shared" si="2"/>
        <v>18226.537216828478</v>
      </c>
      <c r="W17" s="23">
        <f t="shared" si="9"/>
        <v>2.5130828693813844E-2</v>
      </c>
      <c r="X17" s="23">
        <f t="shared" si="15"/>
        <v>6.8077005126050529E-3</v>
      </c>
      <c r="Y17" s="25"/>
      <c r="Z17" s="2" t="s">
        <v>161</v>
      </c>
      <c r="AA17" s="2">
        <v>22</v>
      </c>
    </row>
    <row r="18" spans="1:33" x14ac:dyDescent="0.35">
      <c r="A18" s="2">
        <v>25</v>
      </c>
      <c r="B18" s="2">
        <v>1800</v>
      </c>
      <c r="C18" s="19">
        <f t="shared" si="3"/>
        <v>30.000059999999998</v>
      </c>
      <c r="D18" s="19">
        <f t="shared" si="4"/>
        <v>0.50000040000000001</v>
      </c>
      <c r="E18" s="3">
        <f t="shared" si="5"/>
        <v>5.0000040000000004E-4</v>
      </c>
      <c r="F18" s="19">
        <f t="shared" si="6"/>
        <v>1.0000008</v>
      </c>
      <c r="G18" s="19">
        <f t="shared" si="0"/>
        <v>1.00000160000064</v>
      </c>
      <c r="H18" s="19">
        <f t="shared" si="7"/>
        <v>1.9438415550720001</v>
      </c>
      <c r="I18" s="20">
        <v>0.61188064516128993</v>
      </c>
      <c r="J18" s="20">
        <f t="shared" si="1"/>
        <v>6.1188064516128993</v>
      </c>
      <c r="K18" s="21">
        <f t="shared" si="8"/>
        <v>611.88064516128998</v>
      </c>
      <c r="L18" s="3">
        <f t="shared" si="10"/>
        <v>16569.592543689319</v>
      </c>
      <c r="M18" s="4">
        <f t="shared" si="11"/>
        <v>3.1868783602150517</v>
      </c>
      <c r="N18" s="4">
        <f t="shared" si="12"/>
        <v>2.4897447353248392E-2</v>
      </c>
      <c r="O18" s="4">
        <f t="shared" si="13"/>
        <v>6.224361838312098E-3</v>
      </c>
      <c r="P18" s="4">
        <f t="shared" si="14"/>
        <v>-1.0435856174675693E-3</v>
      </c>
      <c r="Q18" s="78"/>
      <c r="R18" s="61"/>
      <c r="S18" s="79"/>
      <c r="U18" s="22">
        <v>1.2</v>
      </c>
      <c r="V18" s="23">
        <f t="shared" si="2"/>
        <v>19883.495145631066</v>
      </c>
      <c r="W18" s="23">
        <f t="shared" si="9"/>
        <v>2.4590064593396969E-2</v>
      </c>
      <c r="X18" s="23">
        <f t="shared" si="15"/>
        <v>6.6612127032113022E-3</v>
      </c>
      <c r="Y18" s="25"/>
      <c r="Z18" s="1"/>
      <c r="AA18" s="1">
        <v>0</v>
      </c>
      <c r="AD18" s="36" t="s">
        <v>40</v>
      </c>
      <c r="AE18" s="37"/>
      <c r="AF18" s="37"/>
      <c r="AG18" s="37"/>
    </row>
    <row r="19" spans="1:33" x14ac:dyDescent="0.35">
      <c r="A19" s="24"/>
      <c r="B19" s="18"/>
      <c r="C19" s="19"/>
      <c r="D19" s="19"/>
      <c r="E19" s="3"/>
      <c r="F19" s="19"/>
      <c r="G19" s="19"/>
      <c r="H19" s="19"/>
      <c r="I19" s="20"/>
      <c r="J19" s="20"/>
      <c r="K19" s="21">
        <v>2.2536753936461477E-2</v>
      </c>
      <c r="Q19" s="70"/>
      <c r="R19" s="25"/>
      <c r="S19" s="73"/>
      <c r="U19" s="22">
        <v>1.3</v>
      </c>
      <c r="V19" s="23">
        <f t="shared" si="2"/>
        <v>21540.453074433655</v>
      </c>
      <c r="W19" s="23">
        <f t="shared" si="9"/>
        <v>2.4102891344997587E-2</v>
      </c>
      <c r="X19" s="23">
        <f t="shared" si="15"/>
        <v>6.5292421417442103E-3</v>
      </c>
      <c r="Y19" s="25"/>
      <c r="AD19" s="38" t="s">
        <v>41</v>
      </c>
      <c r="AE19" s="37" t="s">
        <v>42</v>
      </c>
      <c r="AF19" s="37" t="s">
        <v>43</v>
      </c>
      <c r="AG19" s="37" t="s">
        <v>44</v>
      </c>
    </row>
    <row r="20" spans="1:33" x14ac:dyDescent="0.35">
      <c r="A20" s="24"/>
      <c r="B20" s="18"/>
      <c r="C20" s="19"/>
      <c r="D20" s="19"/>
      <c r="E20" s="3"/>
      <c r="F20" s="19"/>
      <c r="G20" s="19"/>
      <c r="H20" s="19"/>
      <c r="I20" s="20"/>
      <c r="J20" s="20"/>
      <c r="K20" s="21"/>
      <c r="U20" s="22">
        <v>1.4</v>
      </c>
      <c r="V20" s="23">
        <f t="shared" si="2"/>
        <v>23197.411003236241</v>
      </c>
      <c r="W20" s="23">
        <f t="shared" si="9"/>
        <v>2.3660448468506973E-2</v>
      </c>
      <c r="X20" s="23">
        <f t="shared" si="15"/>
        <v>6.4093886091058285E-3</v>
      </c>
      <c r="Y20" s="25"/>
      <c r="Z20" s="1" t="s">
        <v>45</v>
      </c>
      <c r="AA20" s="1">
        <f>4*10^(-6)</f>
        <v>3.9999999999999998E-6</v>
      </c>
      <c r="AD20" s="38" t="s">
        <v>46</v>
      </c>
      <c r="AE20" s="37" t="s">
        <v>47</v>
      </c>
      <c r="AF20" s="37" t="s">
        <v>48</v>
      </c>
      <c r="AG20" s="37" t="s">
        <v>49</v>
      </c>
    </row>
    <row r="21" spans="1:33" x14ac:dyDescent="0.35">
      <c r="A21" s="24"/>
      <c r="B21" s="18"/>
      <c r="C21" s="19"/>
      <c r="D21" s="19"/>
      <c r="E21" s="3"/>
      <c r="F21" s="19"/>
      <c r="G21" s="19"/>
      <c r="H21" s="19"/>
      <c r="I21" s="20"/>
      <c r="J21" s="20"/>
      <c r="K21" s="21"/>
      <c r="Q21" s="70"/>
      <c r="R21" s="25"/>
      <c r="S21" s="73"/>
      <c r="U21" s="22">
        <v>1.5</v>
      </c>
      <c r="V21" s="23">
        <f t="shared" si="2"/>
        <v>24854.368932038833</v>
      </c>
      <c r="W21" s="23">
        <f t="shared" si="9"/>
        <v>2.3255847254051276E-2</v>
      </c>
      <c r="X21" s="23">
        <f t="shared" si="15"/>
        <v>6.2997860198474526E-3</v>
      </c>
      <c r="Y21" s="25"/>
      <c r="Z21" s="1" t="s">
        <v>50</v>
      </c>
      <c r="AA21" s="2">
        <f>AA20/AA11</f>
        <v>2.3999999999999998E-4</v>
      </c>
      <c r="AD21" s="37">
        <v>0</v>
      </c>
      <c r="AE21" s="37">
        <v>1.792E-3</v>
      </c>
      <c r="AF21" s="37">
        <v>999.87</v>
      </c>
      <c r="AG21" s="39">
        <v>1.7922329902887374E-6</v>
      </c>
    </row>
    <row r="22" spans="1:33" x14ac:dyDescent="0.35">
      <c r="A22" s="24"/>
      <c r="B22" s="18"/>
      <c r="C22" s="19"/>
      <c r="D22" s="19"/>
      <c r="E22" s="3"/>
      <c r="F22" s="19"/>
      <c r="G22" s="19"/>
      <c r="H22" s="19"/>
      <c r="I22" s="20"/>
      <c r="J22" s="20"/>
      <c r="K22" s="21"/>
      <c r="Q22" s="70"/>
      <c r="R22" s="25"/>
      <c r="S22" s="73"/>
      <c r="U22" s="22">
        <v>1.6</v>
      </c>
      <c r="V22" s="23">
        <f t="shared" si="2"/>
        <v>26511.326860841422</v>
      </c>
      <c r="W22" s="23">
        <f t="shared" si="9"/>
        <v>2.288363359624972E-2</v>
      </c>
      <c r="X22" s="23">
        <f t="shared" si="15"/>
        <v>6.1989569091210721E-3</v>
      </c>
      <c r="Y22" s="25"/>
      <c r="AD22" s="37">
        <v>5</v>
      </c>
      <c r="AE22" s="37">
        <v>1.519E-3</v>
      </c>
      <c r="AF22" s="37">
        <v>999.99</v>
      </c>
      <c r="AG22" s="39">
        <v>1.5190151901519014E-6</v>
      </c>
    </row>
    <row r="23" spans="1:33" x14ac:dyDescent="0.35">
      <c r="B23" s="18"/>
      <c r="C23" s="19"/>
      <c r="D23" s="19"/>
      <c r="E23" s="3"/>
      <c r="F23" s="3"/>
      <c r="G23" s="19"/>
      <c r="H23" s="19"/>
      <c r="I23" s="19"/>
      <c r="J23" s="20"/>
      <c r="K23" s="21"/>
      <c r="Q23" s="70"/>
      <c r="R23" s="25"/>
      <c r="S23" s="73"/>
      <c r="U23" s="22">
        <v>1.7</v>
      </c>
      <c r="V23" s="23">
        <f t="shared" si="2"/>
        <v>28168.284789644007</v>
      </c>
      <c r="W23" s="23">
        <f t="shared" si="9"/>
        <v>2.2539420748864131E-2</v>
      </c>
      <c r="X23" s="23">
        <f t="shared" si="15"/>
        <v>6.1057129494354557E-3</v>
      </c>
      <c r="Y23" s="25"/>
      <c r="Z23" s="40"/>
      <c r="AD23" s="37">
        <f>AD22+5</f>
        <v>10</v>
      </c>
      <c r="AE23" s="37">
        <v>1.3079999999999999E-3</v>
      </c>
      <c r="AF23" s="37">
        <v>999.73</v>
      </c>
      <c r="AG23" s="39">
        <v>1.3083532553789522E-6</v>
      </c>
    </row>
    <row r="24" spans="1:33" x14ac:dyDescent="0.35">
      <c r="B24" s="18"/>
      <c r="C24" s="19"/>
      <c r="D24" s="19"/>
      <c r="E24" s="3"/>
      <c r="F24" s="3"/>
      <c r="G24" s="19"/>
      <c r="H24" s="19"/>
      <c r="I24" s="19"/>
      <c r="J24" s="20"/>
      <c r="K24" s="21"/>
      <c r="Q24" s="71"/>
      <c r="R24" s="4"/>
      <c r="S24" s="74"/>
      <c r="U24" s="22">
        <v>1.8</v>
      </c>
      <c r="V24" s="23">
        <f t="shared" si="2"/>
        <v>29825.2427184466</v>
      </c>
      <c r="W24" s="23">
        <f t="shared" si="9"/>
        <v>2.2219631635489009E-2</v>
      </c>
      <c r="X24" s="23">
        <f t="shared" si="15"/>
        <v>6.0190851450930847E-3</v>
      </c>
      <c r="Y24" s="4"/>
      <c r="Z24" s="40"/>
      <c r="AD24" s="37" t="e">
        <f>#REF!+5</f>
        <v>#REF!</v>
      </c>
      <c r="AE24" s="37">
        <v>1.005E-3</v>
      </c>
      <c r="AF24" s="37">
        <v>998.23</v>
      </c>
      <c r="AG24" s="39">
        <v>1.0067820041473407E-6</v>
      </c>
    </row>
    <row r="25" spans="1:33" x14ac:dyDescent="0.35">
      <c r="B25" s="18"/>
      <c r="C25" s="19"/>
      <c r="D25" s="19"/>
      <c r="E25" s="3"/>
      <c r="F25" s="3"/>
      <c r="G25" s="19"/>
      <c r="H25" s="19"/>
      <c r="I25" s="19"/>
      <c r="J25" s="20"/>
      <c r="K25" s="21"/>
      <c r="Q25" s="71"/>
      <c r="R25" s="4"/>
      <c r="S25" s="74"/>
      <c r="U25" s="22">
        <v>1.9</v>
      </c>
      <c r="V25" s="23">
        <f t="shared" si="2"/>
        <v>31482.200647249185</v>
      </c>
      <c r="W25" s="23">
        <f t="shared" si="9"/>
        <v>2.1921313893836232E-2</v>
      </c>
      <c r="X25" s="23">
        <f t="shared" si="15"/>
        <v>5.9382737294604322E-3</v>
      </c>
      <c r="Y25" s="4"/>
      <c r="Z25" s="40"/>
      <c r="AD25" s="37">
        <v>25</v>
      </c>
      <c r="AE25" s="37">
        <v>8.9400000000000005E-4</v>
      </c>
      <c r="AF25" s="37">
        <v>997.07</v>
      </c>
      <c r="AG25" s="39">
        <v>8.9662711745414066E-7</v>
      </c>
    </row>
    <row r="26" spans="1:33" x14ac:dyDescent="0.35">
      <c r="N26" s="22"/>
      <c r="Q26" s="71"/>
      <c r="R26" s="4"/>
      <c r="S26" s="74"/>
      <c r="U26" s="22">
        <v>2</v>
      </c>
      <c r="V26" s="23">
        <f t="shared" si="2"/>
        <v>33139.158576051777</v>
      </c>
      <c r="W26" s="23">
        <f t="shared" si="9"/>
        <v>2.1642004457156336E-2</v>
      </c>
      <c r="X26" s="23">
        <f t="shared" si="15"/>
        <v>5.862611481373515E-3</v>
      </c>
      <c r="Y26" s="4"/>
      <c r="Z26" s="40"/>
      <c r="AD26" s="32"/>
      <c r="AE26" s="32"/>
      <c r="AF26" s="32"/>
      <c r="AG26" s="32"/>
    </row>
    <row r="27" spans="1:33" x14ac:dyDescent="0.35">
      <c r="K27" s="1"/>
      <c r="L27" s="4"/>
      <c r="N27" s="22"/>
      <c r="Q27" s="71"/>
      <c r="R27" s="4"/>
      <c r="S27" s="74"/>
      <c r="U27" s="22">
        <v>2.1</v>
      </c>
      <c r="V27" s="23">
        <f t="shared" si="2"/>
        <v>34796.11650485437</v>
      </c>
      <c r="W27" s="23">
        <f t="shared" si="9"/>
        <v>2.1379628642450382E-2</v>
      </c>
      <c r="X27" s="23">
        <f t="shared" si="15"/>
        <v>5.7915363891021419E-3</v>
      </c>
      <c r="Y27" s="4"/>
      <c r="Z27" s="40"/>
      <c r="AD27" s="32"/>
      <c r="AE27" s="32"/>
      <c r="AF27" s="32"/>
      <c r="AG27" s="32"/>
    </row>
    <row r="28" spans="1:33" x14ac:dyDescent="0.35">
      <c r="Q28" s="71"/>
      <c r="R28" s="4"/>
      <c r="S28" s="74"/>
      <c r="U28" s="22">
        <v>2.2000000000000002</v>
      </c>
      <c r="V28" s="23">
        <f t="shared" si="2"/>
        <v>36453.074433656955</v>
      </c>
      <c r="W28" s="23">
        <f t="shared" si="9"/>
        <v>2.113242376098325E-2</v>
      </c>
      <c r="X28" s="23">
        <f t="shared" si="15"/>
        <v>5.7245709571704627E-3</v>
      </c>
      <c r="Y28" s="4"/>
      <c r="Z28" s="40"/>
      <c r="AD28" s="32"/>
      <c r="AE28" s="32"/>
      <c r="AF28" s="32"/>
      <c r="AG28" s="32"/>
    </row>
    <row r="29" spans="1:33" x14ac:dyDescent="0.35">
      <c r="L29" s="41"/>
      <c r="Q29" s="71"/>
      <c r="R29" s="4"/>
      <c r="S29" s="74"/>
      <c r="U29" s="22">
        <v>2.2999999999999998</v>
      </c>
      <c r="V29" s="23">
        <f t="shared" si="2"/>
        <v>38110.03236245954</v>
      </c>
      <c r="W29" s="23">
        <f t="shared" si="9"/>
        <v>2.0898880469951378E-2</v>
      </c>
      <c r="X29" s="23">
        <f t="shared" si="15"/>
        <v>5.6613063190861443E-3</v>
      </c>
      <c r="Y29" s="4"/>
      <c r="Z29" s="40"/>
      <c r="AD29" s="32"/>
      <c r="AE29" s="32"/>
      <c r="AF29" s="32"/>
      <c r="AG29" s="32"/>
    </row>
    <row r="30" spans="1:33" x14ac:dyDescent="0.35">
      <c r="Q30" s="71"/>
      <c r="R30" s="4"/>
      <c r="S30" s="74"/>
      <c r="U30" s="22">
        <v>2.4</v>
      </c>
      <c r="V30" s="23">
        <f t="shared" si="2"/>
        <v>39766.990291262133</v>
      </c>
      <c r="W30" s="23">
        <f t="shared" si="9"/>
        <v>2.0677697167444799E-2</v>
      </c>
      <c r="X30" s="23">
        <f t="shared" si="15"/>
        <v>5.6013898833728905E-3</v>
      </c>
      <c r="Y30" s="4"/>
      <c r="Z30" s="40"/>
      <c r="AD30" s="32"/>
      <c r="AE30" s="32"/>
      <c r="AF30" s="32"/>
      <c r="AG30" s="32"/>
    </row>
    <row r="31" spans="1:33" x14ac:dyDescent="0.35">
      <c r="F31" s="1"/>
      <c r="G31" s="1"/>
      <c r="Q31" s="71"/>
      <c r="R31" s="4"/>
      <c r="S31" s="74"/>
      <c r="U31" s="22">
        <v>2.5</v>
      </c>
      <c r="V31" s="23">
        <f t="shared" si="2"/>
        <v>41423.948220064718</v>
      </c>
      <c r="W31" s="23">
        <f t="shared" si="9"/>
        <v>2.046774411736494E-2</v>
      </c>
      <c r="X31" s="23">
        <f t="shared" si="15"/>
        <v>5.544515615354682E-3</v>
      </c>
      <c r="Y31" s="4"/>
      <c r="Z31" s="40"/>
      <c r="AD31" s="32"/>
      <c r="AE31" s="32"/>
      <c r="AF31" s="32"/>
      <c r="AG31" s="32"/>
    </row>
    <row r="32" spans="1:33" x14ac:dyDescent="0.35">
      <c r="G32" s="19"/>
      <c r="Q32" s="71"/>
      <c r="R32" s="4"/>
      <c r="S32" s="74"/>
      <c r="Y32" s="4"/>
      <c r="Z32" s="40"/>
    </row>
    <row r="33" spans="7:27" x14ac:dyDescent="0.35">
      <c r="G33" s="19"/>
      <c r="Q33" s="71"/>
      <c r="R33" s="4"/>
      <c r="S33" s="74"/>
      <c r="Y33" s="4"/>
      <c r="Z33" s="40"/>
      <c r="AA33" s="1" t="s">
        <v>51</v>
      </c>
    </row>
    <row r="34" spans="7:27" x14ac:dyDescent="0.35">
      <c r="G34" s="19"/>
      <c r="Q34" s="71"/>
      <c r="R34" s="4"/>
      <c r="S34" s="74"/>
      <c r="Y34" s="4"/>
      <c r="Z34" s="40"/>
    </row>
    <row r="35" spans="7:27" x14ac:dyDescent="0.35">
      <c r="G35" s="19"/>
      <c r="Q35" s="71"/>
      <c r="R35" s="4"/>
      <c r="S35" s="74"/>
      <c r="Y35" s="4"/>
      <c r="Z35" s="40"/>
    </row>
    <row r="36" spans="7:27" x14ac:dyDescent="0.35">
      <c r="G36" s="19"/>
      <c r="Q36" s="71"/>
      <c r="R36" s="4"/>
      <c r="S36" s="74"/>
      <c r="Y36" s="4"/>
    </row>
    <row r="37" spans="7:27" x14ac:dyDescent="0.35">
      <c r="G37" s="19"/>
      <c r="Q37" s="71"/>
      <c r="R37" s="4"/>
      <c r="S37" s="74"/>
      <c r="Y37" s="4"/>
    </row>
    <row r="38" spans="7:27" x14ac:dyDescent="0.35">
      <c r="R38" s="68"/>
      <c r="S38" s="2"/>
      <c r="T38" s="89"/>
      <c r="Y38" s="4"/>
    </row>
    <row r="39" spans="7:27" x14ac:dyDescent="0.35">
      <c r="R39" s="43"/>
      <c r="S39" s="88"/>
      <c r="U39" s="4"/>
      <c r="V39" s="16"/>
      <c r="W39" s="16"/>
      <c r="X39" s="4"/>
      <c r="Y39" s="4"/>
    </row>
    <row r="40" spans="7:27" x14ac:dyDescent="0.35">
      <c r="R40" s="43"/>
      <c r="S40" s="88"/>
      <c r="U40" s="4"/>
      <c r="V40" s="16"/>
      <c r="W40" s="16"/>
      <c r="X40" s="4"/>
      <c r="Y40" s="4"/>
    </row>
    <row r="59" spans="17:17" x14ac:dyDescent="0.35">
      <c r="Q59" s="85"/>
    </row>
  </sheetData>
  <mergeCells count="3">
    <mergeCell ref="A3:N3"/>
    <mergeCell ref="Z5:AA5"/>
    <mergeCell ref="Q4:S4"/>
  </mergeCells>
  <pageMargins left="0.7" right="0.7" top="0.75" bottom="0.75" header="0.3" footer="0.3"/>
  <pageSetup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D3851-3F94-4C35-8616-D4A10AB942E2}">
  <dimension ref="A1:AH112"/>
  <sheetViews>
    <sheetView zoomScale="40" zoomScaleNormal="40" zoomScalePageLayoutView="90" workbookViewId="0">
      <selection activeCell="U5" sqref="U5"/>
    </sheetView>
  </sheetViews>
  <sheetFormatPr defaultColWidth="8.69140625" defaultRowHeight="15.5" x14ac:dyDescent="0.35"/>
  <cols>
    <col min="1" max="4" width="8.69140625" style="2"/>
    <col min="5" max="5" width="12.3046875" style="2" customWidth="1"/>
    <col min="6" max="6" width="8.69140625" style="2"/>
    <col min="7" max="7" width="8.53515625" style="2" customWidth="1"/>
    <col min="8" max="8" width="8.69140625" style="2"/>
    <col min="9" max="9" width="11.23046875" style="2" customWidth="1"/>
    <col min="10" max="10" width="12.23046875" style="2" customWidth="1"/>
    <col min="11" max="11" width="10.4609375" style="2" customWidth="1"/>
    <col min="12" max="12" width="8.53515625" style="3" customWidth="1"/>
    <col min="13" max="13" width="6.765625" style="4" customWidth="1"/>
    <col min="14" max="14" width="8.4609375" style="4" customWidth="1"/>
    <col min="15" max="16" width="9.07421875" style="4" customWidth="1"/>
    <col min="17" max="17" width="27.23046875" style="4" customWidth="1"/>
    <col min="18" max="18" width="12.765625" style="68" customWidth="1"/>
    <col min="19" max="19" width="10" style="2" customWidth="1"/>
    <col min="20" max="20" width="13.3046875" style="72" bestFit="1" customWidth="1"/>
    <col min="21" max="21" width="8.4609375" style="5" customWidth="1"/>
    <col min="22" max="22" width="10.23046875" style="2" customWidth="1"/>
    <col min="23" max="23" width="13.84375" style="2" customWidth="1"/>
    <col min="24" max="26" width="10" style="2" customWidth="1"/>
    <col min="27" max="27" width="21" style="2" customWidth="1"/>
    <col min="28" max="28" width="8.69140625" style="2" customWidth="1"/>
    <col min="29" max="29" width="8.69140625" style="2"/>
    <col min="30" max="30" width="22" style="2" customWidth="1"/>
    <col min="31" max="31" width="35.84375" style="2" customWidth="1"/>
    <col min="32" max="32" width="16.84375" style="2" customWidth="1"/>
    <col min="33" max="16384" width="8.69140625" style="2"/>
  </cols>
  <sheetData>
    <row r="1" spans="1:32" x14ac:dyDescent="0.35">
      <c r="A1" s="1" t="s">
        <v>188</v>
      </c>
      <c r="I1" s="1"/>
      <c r="J1" s="1"/>
      <c r="R1" s="69"/>
    </row>
    <row r="2" spans="1:32" x14ac:dyDescent="0.35">
      <c r="A2" s="1"/>
      <c r="I2" s="1"/>
      <c r="J2" s="1"/>
      <c r="R2" s="69" t="s">
        <v>108</v>
      </c>
    </row>
    <row r="3" spans="1:32" x14ac:dyDescent="0.35">
      <c r="A3" s="150" t="s">
        <v>3</v>
      </c>
      <c r="B3" s="150"/>
      <c r="C3" s="150"/>
      <c r="D3" s="150"/>
      <c r="E3" s="150"/>
      <c r="F3" s="150"/>
      <c r="G3" s="150"/>
      <c r="H3" s="150"/>
      <c r="I3" s="150"/>
      <c r="J3" s="150"/>
      <c r="K3" s="150"/>
      <c r="L3" s="150"/>
      <c r="M3" s="150"/>
      <c r="N3" s="150"/>
      <c r="O3" s="51"/>
      <c r="P3" s="51"/>
      <c r="Q3" s="51"/>
      <c r="U3" s="7"/>
    </row>
    <row r="4" spans="1:32" x14ac:dyDescent="0.35">
      <c r="R4" s="152" t="s">
        <v>81</v>
      </c>
      <c r="S4" s="153"/>
      <c r="T4" s="154"/>
    </row>
    <row r="5" spans="1:32"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64</v>
      </c>
      <c r="Q5" s="14" t="s">
        <v>18</v>
      </c>
      <c r="R5" s="75" t="s">
        <v>83</v>
      </c>
      <c r="S5" s="67" t="s">
        <v>82</v>
      </c>
      <c r="T5" s="76" t="s">
        <v>84</v>
      </c>
      <c r="U5" s="14"/>
      <c r="V5" s="15" t="s">
        <v>19</v>
      </c>
      <c r="W5" s="16" t="s">
        <v>14</v>
      </c>
      <c r="X5" s="15" t="s">
        <v>20</v>
      </c>
      <c r="Y5" s="16" t="s">
        <v>21</v>
      </c>
      <c r="Z5" s="1"/>
      <c r="AA5" s="151" t="s">
        <v>22</v>
      </c>
      <c r="AB5" s="151"/>
    </row>
    <row r="6" spans="1:32" x14ac:dyDescent="0.35">
      <c r="A6" s="17" t="s">
        <v>23</v>
      </c>
      <c r="B6" s="18">
        <v>0</v>
      </c>
      <c r="C6" s="19">
        <f t="shared" ref="C6:C18" si="0">B6*0.0166667</f>
        <v>0</v>
      </c>
      <c r="D6" s="19">
        <f t="shared" ref="D6:D18" si="1">B6*0.000277778</f>
        <v>0</v>
      </c>
      <c r="E6" s="3">
        <f t="shared" ref="E6:E18" si="2">0.001*D6</f>
        <v>0</v>
      </c>
      <c r="F6" s="19">
        <f t="shared" ref="F6:F18" si="3">E6/AB$7</f>
        <v>0</v>
      </c>
      <c r="G6" s="19">
        <f t="shared" ref="G6:G18" si="4">F6^(2)</f>
        <v>0</v>
      </c>
      <c r="H6" s="19">
        <f t="shared" ref="H6:H18" si="5">F6*1.94384</f>
        <v>0</v>
      </c>
      <c r="I6" s="20">
        <v>0</v>
      </c>
      <c r="J6" s="20">
        <f t="shared" ref="J6:J18" si="6">I6 * 10</f>
        <v>0</v>
      </c>
      <c r="K6" s="21">
        <f t="shared" ref="K6:K18" si="7">J6*100</f>
        <v>0</v>
      </c>
      <c r="L6" s="3">
        <f t="shared" ref="L6:L18" si="8">(F6*AB$11)/AB$12</f>
        <v>0</v>
      </c>
      <c r="V6" s="22">
        <v>0</v>
      </c>
      <c r="W6" s="23">
        <f t="shared" ref="W6:W31" si="9">(V6*AB$11)/AB$12</f>
        <v>0</v>
      </c>
      <c r="X6" s="23"/>
      <c r="Y6" s="23"/>
    </row>
    <row r="7" spans="1:32" x14ac:dyDescent="0.35">
      <c r="A7" s="2" t="s">
        <v>52</v>
      </c>
      <c r="B7" s="2">
        <f>AVERAGEA('1 Plain Panel'!B7, '2 Plain Panel'!B7)</f>
        <v>1900</v>
      </c>
      <c r="C7" s="19">
        <f t="shared" si="0"/>
        <v>31.666729999999998</v>
      </c>
      <c r="D7" s="19">
        <f t="shared" si="1"/>
        <v>0.52777819999999998</v>
      </c>
      <c r="E7" s="3">
        <f t="shared" si="2"/>
        <v>5.2777819999999997E-4</v>
      </c>
      <c r="F7" s="19">
        <f t="shared" si="3"/>
        <v>1.0555564</v>
      </c>
      <c r="G7" s="19">
        <f t="shared" si="4"/>
        <v>1.1141993135809598</v>
      </c>
      <c r="H7" s="19">
        <f t="shared" si="5"/>
        <v>2.0518327525759998</v>
      </c>
      <c r="I7" s="2">
        <f>AVERAGEA('1 Plain Panel'!I7, '2 Plain Panel'!I7)</f>
        <v>0.89656790322580626</v>
      </c>
      <c r="J7" s="20">
        <f t="shared" si="6"/>
        <v>8.9656790322580626</v>
      </c>
      <c r="K7" s="21">
        <f t="shared" si="7"/>
        <v>896.56790322580628</v>
      </c>
      <c r="L7" s="3">
        <f t="shared" si="8"/>
        <v>17173.73507936508</v>
      </c>
      <c r="M7" s="4">
        <f t="shared" ref="M7:M18" si="10">(AB$15*G7*N7)/8</f>
        <v>4.6696244959677404</v>
      </c>
      <c r="N7" s="4">
        <f t="shared" ref="N7:N18" si="11">(K7*2*AB$11)/(AB$13*AB$15*G7)</f>
        <v>3.2710350186352044E-2</v>
      </c>
      <c r="O7" s="4">
        <f t="shared" ref="O7:O18" si="12">N7/4</f>
        <v>8.177587546588011E-3</v>
      </c>
      <c r="Q7" s="4">
        <f t="shared" ref="Q7:Q18" si="13">3.7*(10^(-1/(2*SQRT(N7)))-2.51/(L7*SQRT(N7)))</f>
        <v>3.3725959917169294E-3</v>
      </c>
      <c r="R7" s="2">
        <f>AVERAGEA('1 Plain Panel'!Q7, '3 Plain Panel'!Q7)</f>
        <v>200023.01116666666</v>
      </c>
      <c r="S7" s="2">
        <f>AVERAGEA('1 Plain Panel'!R7, '3 Plain Panel'!R7)</f>
        <v>14943.442666666666</v>
      </c>
      <c r="T7" s="2">
        <f>AVERAGEA('1 Plain Panel'!S7, '3 Plain Panel'!S7)</f>
        <v>238.71733333333333</v>
      </c>
      <c r="V7" s="22">
        <v>0.1</v>
      </c>
      <c r="W7" s="23">
        <f>(V7*AB$11)/AB$12</f>
        <v>1626.984126984127</v>
      </c>
      <c r="X7" s="23">
        <f t="shared" ref="X7:X31" si="14">0.292/(W7^(0.25))</f>
        <v>4.5976618071962377E-2</v>
      </c>
      <c r="Y7" s="23">
        <f>0.0791/(W7^0.25)</f>
        <v>1.2454624964014468E-2</v>
      </c>
      <c r="Z7" s="25"/>
      <c r="AA7" s="1" t="s">
        <v>24</v>
      </c>
      <c r="AB7" s="2">
        <f>AB$9*AB$10</f>
        <v>5.0000000000000001E-4</v>
      </c>
    </row>
    <row r="8" spans="1:32" x14ac:dyDescent="0.35">
      <c r="A8" s="2" t="s">
        <v>53</v>
      </c>
      <c r="B8" s="2">
        <f>AVERAGEA('1 Plain Panel'!B8, '2 Plain Panel'!B8)</f>
        <v>2850</v>
      </c>
      <c r="C8" s="19">
        <f t="shared" si="0"/>
        <v>47.500095000000002</v>
      </c>
      <c r="D8" s="19">
        <f t="shared" si="1"/>
        <v>0.79166730000000007</v>
      </c>
      <c r="E8" s="3">
        <f t="shared" si="2"/>
        <v>7.9166730000000012E-4</v>
      </c>
      <c r="F8" s="19">
        <f t="shared" si="3"/>
        <v>1.5833346000000001</v>
      </c>
      <c r="G8" s="19">
        <f t="shared" si="4"/>
        <v>2.5069484555571604</v>
      </c>
      <c r="H8" s="19">
        <f t="shared" si="5"/>
        <v>3.0777491288640002</v>
      </c>
      <c r="I8" s="2">
        <f>AVERAGEA('1 Plain Panel'!I8, '2 Plain Panel'!I8)</f>
        <v>1.9376082258064513</v>
      </c>
      <c r="J8" s="20">
        <f t="shared" si="6"/>
        <v>19.376082258064514</v>
      </c>
      <c r="K8" s="21">
        <f t="shared" si="7"/>
        <v>1937.6082258064514</v>
      </c>
      <c r="L8" s="3">
        <f t="shared" si="8"/>
        <v>25760.602619047622</v>
      </c>
      <c r="M8" s="4">
        <f t="shared" si="10"/>
        <v>10.091709509408602</v>
      </c>
      <c r="N8" s="4">
        <f t="shared" si="11"/>
        <v>3.1418500787303731E-2</v>
      </c>
      <c r="O8" s="4">
        <f t="shared" si="12"/>
        <v>7.8546251968259328E-3</v>
      </c>
      <c r="Q8" s="4">
        <f t="shared" si="13"/>
        <v>3.5555674232215905E-3</v>
      </c>
      <c r="R8" s="2">
        <f>AVERAGEA('1 Plain Panel'!Q8, '3 Plain Panel'!Q8)</f>
        <v>195721.63250000001</v>
      </c>
      <c r="S8" s="2">
        <f>AVERAGEA('1 Plain Panel'!R8, '3 Plain Panel'!R8)</f>
        <v>14641.919249999999</v>
      </c>
      <c r="T8" s="2">
        <f>AVERAGEA('1 Plain Panel'!S8, '3 Plain Panel'!S8)</f>
        <v>238.2585</v>
      </c>
      <c r="V8" s="22">
        <v>0.2</v>
      </c>
      <c r="W8" s="23">
        <f t="shared" si="9"/>
        <v>3253.968253968254</v>
      </c>
      <c r="X8" s="23">
        <f t="shared" si="14"/>
        <v>3.8661573322202318E-2</v>
      </c>
      <c r="Y8" s="23">
        <f t="shared" ref="Y8:Y31" si="15">0.0791/(W8^0.25)</f>
        <v>1.0473049485569191E-2</v>
      </c>
      <c r="Z8" s="25"/>
      <c r="AA8" s="2" t="s">
        <v>25</v>
      </c>
    </row>
    <row r="9" spans="1:32" ht="19" x14ac:dyDescent="0.4">
      <c r="A9" s="2" t="s">
        <v>54</v>
      </c>
      <c r="B9" s="2">
        <f>AVERAGEA('1 Plain Panel'!B9, '2 Plain Panel'!B9)</f>
        <v>3525</v>
      </c>
      <c r="C9" s="19">
        <f t="shared" si="0"/>
        <v>58.750117500000002</v>
      </c>
      <c r="D9" s="19">
        <f t="shared" si="1"/>
        <v>0.97916745000000005</v>
      </c>
      <c r="E9" s="3">
        <f t="shared" si="2"/>
        <v>9.7916745000000012E-4</v>
      </c>
      <c r="F9" s="19">
        <f t="shared" si="3"/>
        <v>1.9583349000000001</v>
      </c>
      <c r="G9" s="19">
        <f t="shared" si="4"/>
        <v>3.8350755805580103</v>
      </c>
      <c r="H9" s="19">
        <f t="shared" si="5"/>
        <v>3.8066897120160004</v>
      </c>
      <c r="I9" s="2">
        <f>AVERAGEA('1 Plain Panel'!I9, '2 Plain Panel'!I9)</f>
        <v>2.9214340322580639</v>
      </c>
      <c r="J9" s="20">
        <f t="shared" si="6"/>
        <v>29.21434032258064</v>
      </c>
      <c r="K9" s="21">
        <f t="shared" si="7"/>
        <v>2921.4340322580638</v>
      </c>
      <c r="L9" s="3">
        <f t="shared" si="8"/>
        <v>31861.797976190479</v>
      </c>
      <c r="M9" s="4">
        <f t="shared" si="10"/>
        <v>15.215802251344083</v>
      </c>
      <c r="N9" s="4">
        <f t="shared" si="11"/>
        <v>3.0966138343698751E-2</v>
      </c>
      <c r="O9" s="4">
        <f t="shared" si="12"/>
        <v>7.7415345859246877E-3</v>
      </c>
      <c r="Q9" s="4">
        <f t="shared" si="13"/>
        <v>3.6750018144205946E-3</v>
      </c>
      <c r="R9" s="2">
        <f>AVERAGEA('1 Plain Panel'!Q9, '3 Plain Panel'!Q9)</f>
        <v>176521.65183333337</v>
      </c>
      <c r="S9" s="2">
        <f>AVERAGEA('1 Plain Panel'!R9, '3 Plain Panel'!R9)</f>
        <v>13564.852333333332</v>
      </c>
      <c r="T9" s="2">
        <f>AVERAGEA('1 Plain Panel'!S9, '3 Plain Panel'!S9)</f>
        <v>232.23649999999998</v>
      </c>
      <c r="V9" s="22">
        <v>0.3</v>
      </c>
      <c r="W9" s="23">
        <f t="shared" si="9"/>
        <v>4880.9523809523807</v>
      </c>
      <c r="X9" s="23">
        <f t="shared" si="14"/>
        <v>3.493467511665093E-2</v>
      </c>
      <c r="Y9" s="23">
        <f t="shared" si="15"/>
        <v>9.4634684990653733E-3</v>
      </c>
      <c r="Z9" s="25"/>
      <c r="AA9" s="1" t="s">
        <v>26</v>
      </c>
      <c r="AB9" s="19">
        <v>0.05</v>
      </c>
      <c r="AE9" s="27" t="s">
        <v>27</v>
      </c>
    </row>
    <row r="10" spans="1:32" ht="18.5" x14ac:dyDescent="0.35">
      <c r="A10" s="2" t="s">
        <v>55</v>
      </c>
      <c r="B10" s="2">
        <f>AVERAGEA('1 Plain Panel'!B10, '2 Plain Panel'!B10)</f>
        <v>4350</v>
      </c>
      <c r="C10" s="19">
        <f t="shared" si="0"/>
        <v>72.500145000000003</v>
      </c>
      <c r="D10" s="19">
        <f t="shared" si="1"/>
        <v>1.2083343</v>
      </c>
      <c r="E10" s="3">
        <f t="shared" si="2"/>
        <v>1.2083343E-3</v>
      </c>
      <c r="F10" s="19">
        <f t="shared" si="3"/>
        <v>2.4166685999999999</v>
      </c>
      <c r="G10" s="19">
        <f t="shared" si="4"/>
        <v>5.84028712222596</v>
      </c>
      <c r="H10" s="19">
        <f t="shared" si="5"/>
        <v>4.6976170914240001</v>
      </c>
      <c r="I10" s="2">
        <f>AVERAGEA('1 Plain Panel'!I10, '2 Plain Panel'!I10)</f>
        <v>4.3092050000000004</v>
      </c>
      <c r="J10" s="20">
        <f t="shared" si="6"/>
        <v>43.09205</v>
      </c>
      <c r="K10" s="21">
        <f t="shared" si="7"/>
        <v>4309.2049999999999</v>
      </c>
      <c r="L10" s="3">
        <f t="shared" si="8"/>
        <v>39318.814523809524</v>
      </c>
      <c r="M10" s="4">
        <f t="shared" si="10"/>
        <v>22.443776041666666</v>
      </c>
      <c r="N10" s="4">
        <f t="shared" si="11"/>
        <v>2.9993548483723376E-2</v>
      </c>
      <c r="O10" s="4">
        <f t="shared" si="12"/>
        <v>7.4983871209308439E-3</v>
      </c>
      <c r="Q10" s="4">
        <f t="shared" si="13"/>
        <v>3.4350477122132017E-3</v>
      </c>
      <c r="R10" s="2"/>
      <c r="T10" s="2"/>
      <c r="V10" s="22">
        <v>0.4</v>
      </c>
      <c r="W10" s="23">
        <f t="shared" si="9"/>
        <v>6507.936507936508</v>
      </c>
      <c r="X10" s="23">
        <f t="shared" si="14"/>
        <v>3.2510378414708573E-2</v>
      </c>
      <c r="Y10" s="23">
        <f t="shared" si="15"/>
        <v>8.8067497691898915E-3</v>
      </c>
      <c r="Z10" s="25"/>
      <c r="AA10" s="1" t="s">
        <v>28</v>
      </c>
      <c r="AB10" s="19">
        <f>AVERAGE('1 Plain Panel'!AA10,'2 Plain Panel'!AA10,'3 Plain Panel'!AA10)</f>
        <v>0.01</v>
      </c>
      <c r="AE10" s="28" t="s">
        <v>29</v>
      </c>
      <c r="AF10" s="2" t="s">
        <v>30</v>
      </c>
    </row>
    <row r="11" spans="1:32" ht="16.5" x14ac:dyDescent="0.4">
      <c r="A11" s="2" t="s">
        <v>56</v>
      </c>
      <c r="B11" s="2">
        <f>AVERAGEA('1 Plain Panel'!B11, '2 Plain Panel'!B11)</f>
        <v>5075</v>
      </c>
      <c r="C11" s="19">
        <f t="shared" si="0"/>
        <v>84.583502499999994</v>
      </c>
      <c r="D11" s="19">
        <f t="shared" si="1"/>
        <v>1.4097233500000002</v>
      </c>
      <c r="E11" s="3">
        <f t="shared" si="2"/>
        <v>1.4097233500000002E-3</v>
      </c>
      <c r="F11" s="19">
        <f t="shared" si="3"/>
        <v>2.8194467000000003</v>
      </c>
      <c r="G11" s="19">
        <f t="shared" si="4"/>
        <v>7.9492796941408921</v>
      </c>
      <c r="H11" s="19">
        <f t="shared" si="5"/>
        <v>5.4805532733280007</v>
      </c>
      <c r="I11" s="2">
        <f>AVERAGEA('1 Plain Panel'!I11, '2 Plain Panel'!I11)</f>
        <v>5.7331662903225808</v>
      </c>
      <c r="J11" s="20">
        <f t="shared" si="6"/>
        <v>57.331662903225805</v>
      </c>
      <c r="K11" s="21">
        <f t="shared" si="7"/>
        <v>5733.1662903225806</v>
      </c>
      <c r="L11" s="3">
        <f t="shared" si="8"/>
        <v>45871.950277777782</v>
      </c>
      <c r="M11" s="4">
        <f t="shared" si="10"/>
        <v>29.860241095430109</v>
      </c>
      <c r="N11" s="4">
        <f t="shared" si="11"/>
        <v>2.9317818623087539E-2</v>
      </c>
      <c r="O11" s="4">
        <f t="shared" si="12"/>
        <v>7.3294546557718847E-3</v>
      </c>
      <c r="Q11" s="4">
        <f t="shared" si="13"/>
        <v>3.2645154034475006E-3</v>
      </c>
      <c r="R11" s="2"/>
      <c r="T11" s="2"/>
      <c r="V11" s="22">
        <v>0.5</v>
      </c>
      <c r="W11" s="23">
        <f t="shared" si="9"/>
        <v>8134.9206349206352</v>
      </c>
      <c r="X11" s="23">
        <f t="shared" si="14"/>
        <v>3.0746417591228595E-2</v>
      </c>
      <c r="Y11" s="23">
        <f t="shared" si="15"/>
        <v>8.3289096968019935E-3</v>
      </c>
      <c r="Z11" s="25"/>
      <c r="AA11" s="1" t="s">
        <v>31</v>
      </c>
      <c r="AB11" s="4">
        <f>2*(AB9*AB10)/(AB9+AB10)</f>
        <v>1.6666666666666666E-2</v>
      </c>
      <c r="AC11" s="1">
        <f>10*AB11*100</f>
        <v>16.666666666666664</v>
      </c>
      <c r="AE11" s="27" t="s">
        <v>32</v>
      </c>
      <c r="AF11" s="2" t="s">
        <v>33</v>
      </c>
    </row>
    <row r="12" spans="1:32" ht="18.5" x14ac:dyDescent="0.35">
      <c r="A12" s="2" t="s">
        <v>63</v>
      </c>
      <c r="B12" s="2">
        <f>AVERAGEA('1 Plain Panel'!B12, '2 Plain Panel'!B12)</f>
        <v>5825</v>
      </c>
      <c r="C12" s="19">
        <f t="shared" si="0"/>
        <v>97.083527500000002</v>
      </c>
      <c r="D12" s="19">
        <f t="shared" si="1"/>
        <v>1.6180568500000001</v>
      </c>
      <c r="E12" s="3">
        <f t="shared" si="2"/>
        <v>1.6180568500000002E-3</v>
      </c>
      <c r="F12" s="19">
        <f t="shared" si="3"/>
        <v>3.2361137000000002</v>
      </c>
      <c r="G12" s="19">
        <f t="shared" si="4"/>
        <v>10.472431879327692</v>
      </c>
      <c r="H12" s="19">
        <f t="shared" si="5"/>
        <v>6.2904872546080002</v>
      </c>
      <c r="I12" s="2">
        <f>AVERAGEA('1 Plain Panel'!I12, '2 Plain Panel'!I12)</f>
        <v>7.0690098387096754</v>
      </c>
      <c r="J12" s="20">
        <f t="shared" si="6"/>
        <v>70.690098387096754</v>
      </c>
      <c r="K12" s="21">
        <f t="shared" si="7"/>
        <v>7069.009838709675</v>
      </c>
      <c r="L12" s="3">
        <f t="shared" si="8"/>
        <v>52651.056230158734</v>
      </c>
      <c r="M12" s="4">
        <f t="shared" si="10"/>
        <v>36.817759576612886</v>
      </c>
      <c r="N12" s="4">
        <f t="shared" si="11"/>
        <v>2.743948366873801E-2</v>
      </c>
      <c r="O12" s="4">
        <f t="shared" si="12"/>
        <v>6.8598709171845025E-3</v>
      </c>
      <c r="Q12" s="4">
        <f t="shared" si="13"/>
        <v>2.4813864428474418E-3</v>
      </c>
      <c r="R12" s="2"/>
      <c r="T12" s="2"/>
      <c r="V12" s="22">
        <v>0.6</v>
      </c>
      <c r="W12" s="23">
        <f t="shared" si="9"/>
        <v>9761.9047619047615</v>
      </c>
      <c r="X12" s="23">
        <f t="shared" si="14"/>
        <v>2.9376443073644908E-2</v>
      </c>
      <c r="Y12" s="23">
        <f t="shared" si="15"/>
        <v>7.9577967367305217E-3</v>
      </c>
      <c r="Z12" s="25"/>
      <c r="AA12" s="1" t="s">
        <v>34</v>
      </c>
      <c r="AB12" s="31">
        <f>AB$16/AB$15</f>
        <v>1.024390243902439E-6</v>
      </c>
    </row>
    <row r="13" spans="1:32" ht="16.5" x14ac:dyDescent="0.4">
      <c r="A13" s="2" t="s">
        <v>62</v>
      </c>
      <c r="B13" s="2">
        <f>AVERAGEA('1 Plain Panel'!B13, '2 Plain Panel'!B13)</f>
        <v>5825</v>
      </c>
      <c r="C13" s="19">
        <f t="shared" si="0"/>
        <v>97.083527500000002</v>
      </c>
      <c r="D13" s="19">
        <f t="shared" si="1"/>
        <v>1.6180568500000001</v>
      </c>
      <c r="E13" s="3">
        <f t="shared" si="2"/>
        <v>1.6180568500000002E-3</v>
      </c>
      <c r="F13" s="19">
        <f t="shared" si="3"/>
        <v>3.2361137000000002</v>
      </c>
      <c r="G13" s="19">
        <f t="shared" si="4"/>
        <v>10.472431879327692</v>
      </c>
      <c r="H13" s="19">
        <f t="shared" si="5"/>
        <v>6.2904872546080002</v>
      </c>
      <c r="I13" s="2">
        <f>AVERAGEA('1 Plain Panel'!I13, '2 Plain Panel'!I13)</f>
        <v>7.0690098387096754</v>
      </c>
      <c r="J13" s="20">
        <f t="shared" si="6"/>
        <v>70.690098387096754</v>
      </c>
      <c r="K13" s="21">
        <f t="shared" si="7"/>
        <v>7069.009838709675</v>
      </c>
      <c r="L13" s="3">
        <f t="shared" si="8"/>
        <v>52651.056230158734</v>
      </c>
      <c r="M13" s="4">
        <f t="shared" si="10"/>
        <v>36.817759576612886</v>
      </c>
      <c r="N13" s="4">
        <f t="shared" si="11"/>
        <v>2.743948366873801E-2</v>
      </c>
      <c r="O13" s="4">
        <f t="shared" si="12"/>
        <v>6.8598709171845025E-3</v>
      </c>
      <c r="Q13" s="4">
        <f t="shared" si="13"/>
        <v>2.4813864428474418E-3</v>
      </c>
      <c r="R13" s="2"/>
      <c r="T13" s="2"/>
      <c r="V13" s="22">
        <v>0.7</v>
      </c>
      <c r="W13" s="23">
        <f t="shared" si="9"/>
        <v>11388.888888888887</v>
      </c>
      <c r="X13" s="23">
        <f t="shared" si="14"/>
        <v>2.8265880103407474E-2</v>
      </c>
      <c r="Y13" s="23">
        <f t="shared" si="15"/>
        <v>7.6569558773271623E-3</v>
      </c>
      <c r="Z13" s="25"/>
      <c r="AA13" s="1" t="s">
        <v>35</v>
      </c>
      <c r="AB13" s="32">
        <v>0.8</v>
      </c>
      <c r="AE13" s="27" t="s">
        <v>36</v>
      </c>
      <c r="AF13" s="1" t="s">
        <v>37</v>
      </c>
    </row>
    <row r="14" spans="1:32" x14ac:dyDescent="0.35">
      <c r="A14" s="2" t="s">
        <v>57</v>
      </c>
      <c r="B14" s="2">
        <f>AVERAGEA('1 Plain Panel'!B14, '2 Plain Panel'!B14)</f>
        <v>5025</v>
      </c>
      <c r="C14" s="19">
        <f t="shared" si="0"/>
        <v>83.750167500000003</v>
      </c>
      <c r="D14" s="19">
        <f t="shared" si="1"/>
        <v>1.3958344499999999</v>
      </c>
      <c r="E14" s="3">
        <f t="shared" si="2"/>
        <v>1.39583445E-3</v>
      </c>
      <c r="F14" s="19">
        <f t="shared" si="3"/>
        <v>2.7916688999999999</v>
      </c>
      <c r="G14" s="19">
        <f t="shared" si="4"/>
        <v>7.7934152472272098</v>
      </c>
      <c r="H14" s="19">
        <f t="shared" si="5"/>
        <v>5.4265576745760002</v>
      </c>
      <c r="I14" s="2">
        <f>AVERAGEA('1 Plain Panel'!I14, '2 Plain Panel'!I14)</f>
        <v>5.6665550000000007</v>
      </c>
      <c r="J14" s="20">
        <f t="shared" si="6"/>
        <v>56.66555000000001</v>
      </c>
      <c r="K14" s="21">
        <f t="shared" si="7"/>
        <v>5666.5550000000012</v>
      </c>
      <c r="L14" s="3">
        <f t="shared" si="8"/>
        <v>45420.009880952384</v>
      </c>
      <c r="M14" s="4">
        <f t="shared" si="10"/>
        <v>29.513307291666674</v>
      </c>
      <c r="N14" s="4">
        <f t="shared" si="11"/>
        <v>2.9556716397165787E-2</v>
      </c>
      <c r="O14" s="4">
        <f t="shared" si="12"/>
        <v>7.3891790992914467E-3</v>
      </c>
      <c r="Q14" s="4">
        <f t="shared" si="13"/>
        <v>3.3803329495870403E-3</v>
      </c>
      <c r="R14" s="2"/>
      <c r="T14" s="2"/>
      <c r="V14" s="22">
        <v>0.8</v>
      </c>
      <c r="W14" s="23">
        <f>(V14*AB$11)/AB$12</f>
        <v>13015.873015873016</v>
      </c>
      <c r="X14" s="23">
        <f t="shared" si="14"/>
        <v>2.7337860667470175E-2</v>
      </c>
      <c r="Y14" s="23">
        <f t="shared" si="15"/>
        <v>7.4055643109482575E-3</v>
      </c>
      <c r="Z14" s="25"/>
      <c r="AB14" s="32"/>
    </row>
    <row r="15" spans="1:32" x14ac:dyDescent="0.35">
      <c r="A15" s="2" t="s">
        <v>58</v>
      </c>
      <c r="B15" s="2">
        <f>AVERAGEA('1 Plain Panel'!B15, '2 Plain Panel'!B15)</f>
        <v>4300</v>
      </c>
      <c r="C15" s="19">
        <f t="shared" si="0"/>
        <v>71.666809999999998</v>
      </c>
      <c r="D15" s="19">
        <f t="shared" si="1"/>
        <v>1.1944454</v>
      </c>
      <c r="E15" s="3">
        <f t="shared" si="2"/>
        <v>1.1944454000000001E-3</v>
      </c>
      <c r="F15" s="19">
        <f t="shared" si="3"/>
        <v>2.3888908</v>
      </c>
      <c r="G15" s="19">
        <f t="shared" si="4"/>
        <v>5.7067992543246397</v>
      </c>
      <c r="H15" s="19">
        <f t="shared" si="5"/>
        <v>4.6436214926719996</v>
      </c>
      <c r="I15" s="2">
        <f>AVERAGEA('1 Plain Panel'!I15, '2 Plain Panel'!I15)</f>
        <v>4.2611195161290318</v>
      </c>
      <c r="J15" s="20">
        <f t="shared" si="6"/>
        <v>42.611195161290318</v>
      </c>
      <c r="K15" s="21">
        <f t="shared" si="7"/>
        <v>4261.1195161290316</v>
      </c>
      <c r="L15" s="3">
        <f t="shared" si="8"/>
        <v>38866.874126984127</v>
      </c>
      <c r="M15" s="4">
        <f t="shared" si="10"/>
        <v>22.193330813172036</v>
      </c>
      <c r="N15" s="4">
        <f t="shared" si="11"/>
        <v>3.0352607963524555E-2</v>
      </c>
      <c r="O15" s="4">
        <f t="shared" si="12"/>
        <v>7.5881519908811389E-3</v>
      </c>
      <c r="Q15" s="4">
        <f t="shared" si="13"/>
        <v>3.6204081375993159E-3</v>
      </c>
      <c r="R15" s="2"/>
      <c r="T15" s="2"/>
      <c r="U15" s="34"/>
      <c r="V15" s="22">
        <v>0.9</v>
      </c>
      <c r="W15" s="23">
        <f t="shared" si="9"/>
        <v>14642.857142857143</v>
      </c>
      <c r="X15" s="23">
        <f t="shared" si="14"/>
        <v>2.6544612820276092E-2</v>
      </c>
      <c r="Y15" s="23">
        <f t="shared" si="15"/>
        <v>7.1906810756295868E-3</v>
      </c>
      <c r="Z15" s="25"/>
      <c r="AA15" s="2" t="s">
        <v>38</v>
      </c>
      <c r="AB15" s="32">
        <f>VLOOKUP(AB17, SW!$A$4:$F$34, 3, FALSE)</f>
        <v>1025</v>
      </c>
      <c r="AC15" s="32"/>
    </row>
    <row r="16" spans="1:32" x14ac:dyDescent="0.35">
      <c r="A16" s="2" t="s">
        <v>59</v>
      </c>
      <c r="B16" s="2">
        <f>AVERAGEA('1 Plain Panel'!B16, '2 Plain Panel'!B16)</f>
        <v>3475</v>
      </c>
      <c r="C16" s="19">
        <f t="shared" si="0"/>
        <v>57.916782499999997</v>
      </c>
      <c r="D16" s="19">
        <f t="shared" si="1"/>
        <v>0.96527855000000007</v>
      </c>
      <c r="E16" s="3">
        <f t="shared" si="2"/>
        <v>9.6527855000000005E-4</v>
      </c>
      <c r="F16" s="19">
        <f t="shared" si="3"/>
        <v>1.9305571000000001</v>
      </c>
      <c r="G16" s="19">
        <f t="shared" si="4"/>
        <v>3.7270507163604107</v>
      </c>
      <c r="H16" s="19">
        <f t="shared" si="5"/>
        <v>3.7526941132640004</v>
      </c>
      <c r="I16" s="2">
        <f>AVERAGEA('1 Plain Panel'!I16, '2 Plain Panel'!I16)</f>
        <v>2.8222662903225801</v>
      </c>
      <c r="J16" s="20">
        <f t="shared" si="6"/>
        <v>28.222662903225803</v>
      </c>
      <c r="K16" s="21">
        <f t="shared" si="7"/>
        <v>2822.2662903225805</v>
      </c>
      <c r="L16" s="3">
        <f t="shared" si="8"/>
        <v>31409.857579365082</v>
      </c>
      <c r="M16" s="4">
        <f t="shared" si="10"/>
        <v>14.699303595430106</v>
      </c>
      <c r="N16" s="4">
        <f t="shared" si="11"/>
        <v>3.0782052806720743E-2</v>
      </c>
      <c r="O16" s="4">
        <f t="shared" si="12"/>
        <v>7.6955132016801858E-3</v>
      </c>
      <c r="Q16" s="4">
        <f t="shared" si="13"/>
        <v>3.5430206718323892E-3</v>
      </c>
      <c r="R16" s="2"/>
      <c r="T16" s="2"/>
      <c r="V16" s="22">
        <v>1</v>
      </c>
      <c r="W16" s="23">
        <f t="shared" si="9"/>
        <v>16269.84126984127</v>
      </c>
      <c r="X16" s="23">
        <f t="shared" si="14"/>
        <v>2.5854552334357874E-2</v>
      </c>
      <c r="Y16" s="23">
        <f t="shared" si="15"/>
        <v>7.0037503070126987E-3</v>
      </c>
      <c r="Z16" s="25"/>
      <c r="AA16" s="2" t="s">
        <v>39</v>
      </c>
      <c r="AB16" s="32">
        <f>VLOOKUP(AB17, SW!$A$4:$F$34, 5, FALSE)</f>
        <v>1.0499999999999999E-3</v>
      </c>
    </row>
    <row r="17" spans="1:34" x14ac:dyDescent="0.35">
      <c r="A17" s="2" t="s">
        <v>60</v>
      </c>
      <c r="B17" s="2">
        <f>AVERAGEA('1 Plain Panel'!B17, '2 Plain Panel'!B17)</f>
        <v>2725</v>
      </c>
      <c r="C17" s="19">
        <f t="shared" si="0"/>
        <v>45.416757499999996</v>
      </c>
      <c r="D17" s="19">
        <f t="shared" si="1"/>
        <v>0.75694505000000001</v>
      </c>
      <c r="E17" s="3">
        <f t="shared" si="2"/>
        <v>7.5694504999999999E-4</v>
      </c>
      <c r="F17" s="19">
        <f t="shared" si="3"/>
        <v>1.5138901</v>
      </c>
      <c r="G17" s="19">
        <f t="shared" si="4"/>
        <v>2.2918632348780101</v>
      </c>
      <c r="H17" s="19">
        <f t="shared" si="5"/>
        <v>2.942760131984</v>
      </c>
      <c r="I17" s="2">
        <f>AVERAGEA('1 Plain Panel'!I17, '2 Plain Panel'!I17)</f>
        <v>1.7592485483870968</v>
      </c>
      <c r="J17" s="20">
        <f t="shared" si="6"/>
        <v>17.592485483870966</v>
      </c>
      <c r="K17" s="21">
        <f t="shared" si="7"/>
        <v>1759.2485483870967</v>
      </c>
      <c r="L17" s="3">
        <f t="shared" si="8"/>
        <v>24630.751626984125</v>
      </c>
      <c r="M17" s="4">
        <f t="shared" si="10"/>
        <v>9.1627528561827951</v>
      </c>
      <c r="N17" s="4">
        <f t="shared" si="11"/>
        <v>3.1203506188897143E-2</v>
      </c>
      <c r="O17" s="4">
        <f t="shared" si="12"/>
        <v>7.8008765472242858E-3</v>
      </c>
      <c r="Q17" s="4">
        <f t="shared" si="13"/>
        <v>3.3314821462625188E-3</v>
      </c>
      <c r="R17" s="2"/>
      <c r="T17" s="2"/>
      <c r="U17" s="14"/>
      <c r="V17" s="22">
        <v>1.1000000000000001</v>
      </c>
      <c r="W17" s="23">
        <f t="shared" si="9"/>
        <v>17896.825396825396</v>
      </c>
      <c r="X17" s="23">
        <f t="shared" si="14"/>
        <v>2.5245783363633954E-2</v>
      </c>
      <c r="Y17" s="23">
        <f t="shared" si="15"/>
        <v>6.8388406303542667E-3</v>
      </c>
      <c r="Z17" s="25"/>
      <c r="AA17" s="2" t="s">
        <v>161</v>
      </c>
      <c r="AB17" s="2">
        <v>21</v>
      </c>
    </row>
    <row r="18" spans="1:34" x14ac:dyDescent="0.35">
      <c r="A18" s="2" t="s">
        <v>61</v>
      </c>
      <c r="B18" s="2">
        <f>AVERAGEA('1 Plain Panel'!B18, '2 Plain Panel'!B18)</f>
        <v>1900</v>
      </c>
      <c r="C18" s="19">
        <f t="shared" si="0"/>
        <v>31.666729999999998</v>
      </c>
      <c r="D18" s="19">
        <f t="shared" si="1"/>
        <v>0.52777819999999998</v>
      </c>
      <c r="E18" s="3">
        <f t="shared" si="2"/>
        <v>5.2777819999999997E-4</v>
      </c>
      <c r="F18" s="19">
        <f t="shared" si="3"/>
        <v>1.0555564</v>
      </c>
      <c r="G18" s="19">
        <f t="shared" si="4"/>
        <v>1.1141993135809598</v>
      </c>
      <c r="H18" s="19">
        <f t="shared" si="5"/>
        <v>2.0518327525759998</v>
      </c>
      <c r="I18" s="2">
        <f>AVERAGEA('1 Plain Panel'!I18, '2 Plain Panel'!I18)</f>
        <v>0.85570661290322558</v>
      </c>
      <c r="J18" s="20">
        <f t="shared" si="6"/>
        <v>8.5570661290322558</v>
      </c>
      <c r="K18" s="21">
        <f t="shared" si="7"/>
        <v>855.70661290322562</v>
      </c>
      <c r="L18" s="3">
        <f t="shared" si="8"/>
        <v>17173.73507936508</v>
      </c>
      <c r="M18" s="4">
        <f t="shared" si="10"/>
        <v>4.4568052755376328</v>
      </c>
      <c r="N18" s="4">
        <f t="shared" si="11"/>
        <v>3.1219568383090032E-2</v>
      </c>
      <c r="O18" s="4">
        <f t="shared" si="12"/>
        <v>7.8048920957725079E-3</v>
      </c>
      <c r="Q18" s="4">
        <f t="shared" si="13"/>
        <v>2.4146207402792018E-3</v>
      </c>
      <c r="R18" s="78"/>
      <c r="S18" s="61"/>
      <c r="T18" s="79"/>
      <c r="V18" s="22">
        <v>1.2</v>
      </c>
      <c r="W18" s="23">
        <f t="shared" si="9"/>
        <v>19523.809523809523</v>
      </c>
      <c r="X18" s="23">
        <f t="shared" si="14"/>
        <v>2.4702545673532816E-2</v>
      </c>
      <c r="Y18" s="23">
        <f t="shared" si="15"/>
        <v>6.6916827492344037E-3</v>
      </c>
      <c r="Z18" s="25"/>
      <c r="AA18" s="1"/>
      <c r="AB18" s="1">
        <f>AVERAGE('1 Plain Panel'!AA17,'2 Plain Panel'!AA17,'3 Plain Panel'!AA17)</f>
        <v>20.666666666666668</v>
      </c>
      <c r="AE18" s="36" t="s">
        <v>40</v>
      </c>
      <c r="AF18" s="37"/>
      <c r="AG18" s="37"/>
      <c r="AH18" s="37"/>
    </row>
    <row r="19" spans="1:34" x14ac:dyDescent="0.35">
      <c r="A19" s="24"/>
      <c r="B19" s="131"/>
      <c r="C19" s="132"/>
      <c r="D19" s="132"/>
      <c r="E19" s="130"/>
      <c r="F19" s="132"/>
      <c r="G19" s="132"/>
      <c r="H19" s="132"/>
      <c r="I19" s="34"/>
      <c r="J19" s="34"/>
      <c r="K19" s="133"/>
      <c r="L19" s="130"/>
      <c r="M19" s="5"/>
      <c r="N19" s="5"/>
      <c r="O19" s="5"/>
      <c r="R19" s="70"/>
      <c r="S19" s="25"/>
      <c r="T19" s="73"/>
      <c r="V19" s="22">
        <v>1.3</v>
      </c>
      <c r="W19" s="23">
        <f t="shared" si="9"/>
        <v>21150.79365079365</v>
      </c>
      <c r="X19" s="23">
        <f t="shared" si="14"/>
        <v>2.4213143973354254E-2</v>
      </c>
      <c r="Y19" s="23">
        <f t="shared" si="15"/>
        <v>6.5591085215490471E-3</v>
      </c>
      <c r="Z19" s="25"/>
      <c r="AE19" s="38" t="s">
        <v>41</v>
      </c>
      <c r="AF19" s="37" t="s">
        <v>42</v>
      </c>
      <c r="AG19" s="37" t="s">
        <v>43</v>
      </c>
      <c r="AH19" s="37" t="s">
        <v>44</v>
      </c>
    </row>
    <row r="20" spans="1:34" x14ac:dyDescent="0.35">
      <c r="A20" s="24"/>
      <c r="B20" s="131"/>
      <c r="C20" s="132"/>
      <c r="D20" s="132"/>
      <c r="E20" s="130"/>
      <c r="F20" s="132"/>
      <c r="G20" s="132"/>
      <c r="H20" s="132"/>
      <c r="I20" s="34"/>
      <c r="J20" s="34"/>
      <c r="K20" s="133"/>
      <c r="L20" s="130"/>
      <c r="M20" s="5"/>
      <c r="N20" s="5"/>
      <c r="O20" s="5"/>
      <c r="V20" s="22">
        <v>1.4</v>
      </c>
      <c r="W20" s="23">
        <f t="shared" si="9"/>
        <v>22777.777777777774</v>
      </c>
      <c r="X20" s="23">
        <f t="shared" si="14"/>
        <v>2.3768677252946641E-2</v>
      </c>
      <c r="Y20" s="23">
        <f t="shared" si="15"/>
        <v>6.4387067490002722E-3</v>
      </c>
      <c r="Z20" s="25"/>
      <c r="AA20" s="1" t="s">
        <v>45</v>
      </c>
      <c r="AB20" s="1">
        <f>4*10^(-6)</f>
        <v>3.9999999999999998E-6</v>
      </c>
      <c r="AE20" s="38" t="s">
        <v>46</v>
      </c>
      <c r="AF20" s="37" t="s">
        <v>47</v>
      </c>
      <c r="AG20" s="37" t="s">
        <v>48</v>
      </c>
      <c r="AH20" s="37" t="s">
        <v>49</v>
      </c>
    </row>
    <row r="21" spans="1:34" x14ac:dyDescent="0.35">
      <c r="A21" s="24"/>
      <c r="B21" s="131"/>
      <c r="C21" s="132"/>
      <c r="D21" s="132"/>
      <c r="E21" s="134"/>
      <c r="F21" s="132"/>
      <c r="G21" s="132"/>
      <c r="H21" s="132"/>
      <c r="I21" s="34"/>
      <c r="J21" s="34"/>
      <c r="K21" s="133"/>
      <c r="L21" s="130"/>
      <c r="M21" s="5"/>
      <c r="N21" s="5"/>
      <c r="O21" s="5"/>
      <c r="R21" s="70"/>
      <c r="S21" s="25"/>
      <c r="T21" s="73"/>
      <c r="V21" s="22">
        <v>1.5</v>
      </c>
      <c r="W21" s="23">
        <f t="shared" si="9"/>
        <v>24404.761904761905</v>
      </c>
      <c r="X21" s="23">
        <f t="shared" si="14"/>
        <v>2.3362225291761372E-2</v>
      </c>
      <c r="Y21" s="23">
        <f t="shared" si="15"/>
        <v>6.3286028101997415E-3</v>
      </c>
      <c r="Z21" s="25"/>
      <c r="AA21" s="1" t="s">
        <v>50</v>
      </c>
      <c r="AB21" s="2">
        <f>AB20/AB11</f>
        <v>2.3999999999999998E-4</v>
      </c>
      <c r="AE21" s="37">
        <v>0</v>
      </c>
      <c r="AF21" s="37">
        <v>1.792E-3</v>
      </c>
      <c r="AG21" s="37">
        <v>999.87</v>
      </c>
      <c r="AH21" s="39">
        <v>1.7922329902887374E-6</v>
      </c>
    </row>
    <row r="22" spans="1:34" x14ac:dyDescent="0.35">
      <c r="A22" s="24"/>
      <c r="B22" s="131"/>
      <c r="C22" s="132"/>
      <c r="D22" s="132"/>
      <c r="E22" s="130"/>
      <c r="F22" s="132"/>
      <c r="G22" s="132"/>
      <c r="H22" s="132"/>
      <c r="I22" s="34"/>
      <c r="J22" s="34"/>
      <c r="K22" s="133"/>
      <c r="L22" s="130"/>
      <c r="M22" s="5"/>
      <c r="N22" s="5"/>
      <c r="O22" s="5"/>
      <c r="Q22" s="43"/>
      <c r="R22" s="70"/>
      <c r="S22" s="25"/>
      <c r="T22" s="73"/>
      <c r="V22" s="22">
        <v>1.6</v>
      </c>
      <c r="W22" s="23">
        <f t="shared" si="9"/>
        <v>26031.746031746032</v>
      </c>
      <c r="X22" s="23">
        <f t="shared" si="14"/>
        <v>2.2988309035981189E-2</v>
      </c>
      <c r="Y22" s="23">
        <f t="shared" si="15"/>
        <v>6.2273124820072341E-3</v>
      </c>
      <c r="Z22" s="25"/>
      <c r="AE22" s="37">
        <v>5</v>
      </c>
      <c r="AF22" s="37">
        <v>1.519E-3</v>
      </c>
      <c r="AG22" s="37">
        <v>999.99</v>
      </c>
      <c r="AH22" s="39">
        <v>1.5190151901519014E-6</v>
      </c>
    </row>
    <row r="23" spans="1:34" x14ac:dyDescent="0.35">
      <c r="B23" s="18"/>
      <c r="C23" s="19"/>
      <c r="D23" s="19"/>
      <c r="E23" s="3"/>
      <c r="F23" s="3"/>
      <c r="G23" s="19"/>
      <c r="H23" s="19"/>
      <c r="I23" s="19"/>
      <c r="J23" s="20"/>
      <c r="K23" s="21"/>
      <c r="R23" s="70"/>
      <c r="S23" s="25"/>
      <c r="T23" s="73"/>
      <c r="V23" s="22">
        <v>1.7</v>
      </c>
      <c r="W23" s="23">
        <f t="shared" si="9"/>
        <v>27658.730158730159</v>
      </c>
      <c r="X23" s="23">
        <f t="shared" si="14"/>
        <v>2.2642521673298031E-2</v>
      </c>
      <c r="Y23" s="23">
        <f t="shared" si="15"/>
        <v>6.1336420012255977E-3</v>
      </c>
      <c r="Z23" s="25"/>
      <c r="AA23" s="40"/>
      <c r="AE23" s="37">
        <f>AE22+5</f>
        <v>10</v>
      </c>
      <c r="AF23" s="37">
        <v>1.3079999999999999E-3</v>
      </c>
      <c r="AG23" s="37">
        <v>999.73</v>
      </c>
      <c r="AH23" s="39">
        <v>1.3083532553789522E-6</v>
      </c>
    </row>
    <row r="24" spans="1:34" x14ac:dyDescent="0.35">
      <c r="B24" s="18"/>
      <c r="C24" s="19"/>
      <c r="D24" s="19"/>
      <c r="E24" s="3"/>
      <c r="F24" s="3"/>
      <c r="G24" s="19"/>
      <c r="H24" s="19"/>
      <c r="I24" s="19"/>
      <c r="J24" s="20"/>
      <c r="K24" s="21"/>
      <c r="R24" s="71"/>
      <c r="S24" s="4"/>
      <c r="T24" s="74"/>
      <c r="V24" s="22">
        <v>1.8</v>
      </c>
      <c r="W24" s="23">
        <f t="shared" si="9"/>
        <v>29285.714285714286</v>
      </c>
      <c r="X24" s="23">
        <f t="shared" si="14"/>
        <v>2.2321269764867958E-2</v>
      </c>
      <c r="Y24" s="23">
        <f t="shared" si="15"/>
        <v>6.0466179397296429E-3</v>
      </c>
      <c r="Z24" s="4"/>
      <c r="AA24" s="40"/>
      <c r="AE24" s="37" t="e">
        <f>#REF!+5</f>
        <v>#REF!</v>
      </c>
      <c r="AF24" s="37">
        <v>1.005E-3</v>
      </c>
      <c r="AG24" s="37">
        <v>998.23</v>
      </c>
      <c r="AH24" s="39">
        <v>1.0067820041473407E-6</v>
      </c>
    </row>
    <row r="25" spans="1:34" x14ac:dyDescent="0.35">
      <c r="B25" s="18"/>
      <c r="C25" s="19"/>
      <c r="D25" s="19"/>
      <c r="E25" s="3"/>
      <c r="F25" s="3"/>
      <c r="G25" s="19"/>
      <c r="H25" s="19"/>
      <c r="I25" s="19"/>
      <c r="J25" s="20"/>
      <c r="K25" s="21"/>
      <c r="R25" s="71"/>
      <c r="S25" s="4"/>
      <c r="T25" s="74"/>
      <c r="V25" s="22">
        <v>1.9</v>
      </c>
      <c r="W25" s="23">
        <f t="shared" si="9"/>
        <v>30912.69841269841</v>
      </c>
      <c r="X25" s="23">
        <f t="shared" si="14"/>
        <v>2.202158744356239E-2</v>
      </c>
      <c r="Y25" s="23">
        <f t="shared" si="15"/>
        <v>5.9654368725540596E-3</v>
      </c>
      <c r="Z25" s="4"/>
      <c r="AA25" s="40"/>
      <c r="AE25" s="37">
        <v>25</v>
      </c>
      <c r="AF25" s="37">
        <v>8.9400000000000005E-4</v>
      </c>
      <c r="AG25" s="37">
        <v>997.07</v>
      </c>
      <c r="AH25" s="39">
        <v>8.9662711745414066E-7</v>
      </c>
    </row>
    <row r="26" spans="1:34" x14ac:dyDescent="0.35">
      <c r="N26" s="22"/>
      <c r="R26" s="71"/>
      <c r="S26" s="4"/>
      <c r="T26" s="74"/>
      <c r="V26" s="22">
        <v>2</v>
      </c>
      <c r="W26" s="23">
        <f t="shared" si="9"/>
        <v>32539.682539682541</v>
      </c>
      <c r="X26" s="23">
        <f t="shared" si="14"/>
        <v>2.1741000375951093E-2</v>
      </c>
      <c r="Y26" s="23">
        <f t="shared" si="15"/>
        <v>5.8894285264990808E-3</v>
      </c>
      <c r="Z26" s="4"/>
      <c r="AA26" s="40"/>
      <c r="AE26" s="32"/>
      <c r="AF26" s="32"/>
      <c r="AG26" s="32"/>
      <c r="AH26" s="32"/>
    </row>
    <row r="27" spans="1:34" x14ac:dyDescent="0.35">
      <c r="K27" s="1"/>
      <c r="L27" s="4"/>
      <c r="N27" s="22"/>
      <c r="R27" s="71"/>
      <c r="S27" s="4"/>
      <c r="T27" s="74"/>
      <c r="V27" s="22">
        <v>2.1</v>
      </c>
      <c r="W27" s="23">
        <f t="shared" si="9"/>
        <v>34166.666666666672</v>
      </c>
      <c r="X27" s="23">
        <f t="shared" si="14"/>
        <v>2.147742438891832E-2</v>
      </c>
      <c r="Y27" s="23">
        <f t="shared" si="15"/>
        <v>5.8180283190528738E-3</v>
      </c>
      <c r="Z27" s="4"/>
      <c r="AA27" s="40"/>
      <c r="AE27" s="32"/>
      <c r="AF27" s="32"/>
      <c r="AG27" s="32"/>
      <c r="AH27" s="32"/>
    </row>
    <row r="28" spans="1:34" x14ac:dyDescent="0.35">
      <c r="R28" s="71"/>
      <c r="S28" s="4"/>
      <c r="T28" s="74"/>
      <c r="V28" s="22">
        <v>2.2000000000000002</v>
      </c>
      <c r="W28" s="23">
        <f t="shared" si="9"/>
        <v>35793.650793650791</v>
      </c>
      <c r="X28" s="23">
        <f t="shared" si="14"/>
        <v>2.1229088730751654E-2</v>
      </c>
      <c r="Y28" s="23">
        <f t="shared" si="15"/>
        <v>5.7507565705563566E-3</v>
      </c>
      <c r="Z28" s="4"/>
      <c r="AA28" s="40"/>
      <c r="AE28" s="32"/>
      <c r="AF28" s="32"/>
      <c r="AG28" s="32"/>
      <c r="AH28" s="32"/>
    </row>
    <row r="29" spans="1:34" x14ac:dyDescent="0.35">
      <c r="L29" s="41"/>
      <c r="R29" s="71"/>
      <c r="S29" s="4"/>
      <c r="T29" s="74"/>
      <c r="V29" s="22">
        <v>2.2999999999999998</v>
      </c>
      <c r="W29" s="23">
        <f t="shared" si="9"/>
        <v>37420.634920634919</v>
      </c>
      <c r="X29" s="23">
        <f t="shared" si="14"/>
        <v>2.0994477154537609E-2</v>
      </c>
      <c r="Y29" s="23">
        <f t="shared" si="15"/>
        <v>5.6872025442600178E-3</v>
      </c>
      <c r="Z29" s="4"/>
      <c r="AA29" s="40"/>
      <c r="AE29" s="32"/>
      <c r="AF29" s="32"/>
      <c r="AG29" s="32"/>
      <c r="AH29" s="32"/>
    </row>
    <row r="30" spans="1:34" x14ac:dyDescent="0.35">
      <c r="R30" s="71"/>
      <c r="S30" s="4"/>
      <c r="T30" s="74"/>
      <c r="V30" s="22">
        <v>2.4</v>
      </c>
      <c r="W30" s="23">
        <f t="shared" si="9"/>
        <v>39047.619047619046</v>
      </c>
      <c r="X30" s="23">
        <f t="shared" si="14"/>
        <v>2.07722821045149E-2</v>
      </c>
      <c r="Y30" s="23">
        <f t="shared" si="15"/>
        <v>5.6270120358463309E-3</v>
      </c>
      <c r="Z30" s="4"/>
      <c r="AA30" s="40"/>
      <c r="AE30" s="32"/>
      <c r="AF30" s="32"/>
      <c r="AG30" s="32"/>
      <c r="AH30" s="32"/>
    </row>
    <row r="31" spans="1:34" x14ac:dyDescent="0.35">
      <c r="F31" s="1"/>
      <c r="G31" s="1"/>
      <c r="R31" s="71"/>
      <c r="S31" s="4"/>
      <c r="T31" s="74"/>
      <c r="V31" s="22">
        <v>2.5</v>
      </c>
      <c r="W31" s="23">
        <f t="shared" si="9"/>
        <v>40674.603174603173</v>
      </c>
      <c r="X31" s="23">
        <f t="shared" si="14"/>
        <v>2.0561368676890641E-2</v>
      </c>
      <c r="Y31" s="23">
        <f t="shared" si="15"/>
        <v>5.5698776107604448E-3</v>
      </c>
      <c r="Z31" s="4"/>
      <c r="AA31" s="40"/>
      <c r="AE31" s="32"/>
      <c r="AF31" s="32"/>
      <c r="AG31" s="32"/>
      <c r="AH31" s="32"/>
    </row>
    <row r="32" spans="1:34" x14ac:dyDescent="0.35">
      <c r="G32" s="19"/>
      <c r="R32" s="71"/>
      <c r="S32" s="4"/>
      <c r="T32" s="74"/>
      <c r="Z32" s="4"/>
      <c r="AA32" s="40"/>
    </row>
    <row r="33" spans="7:28" x14ac:dyDescent="0.35">
      <c r="G33" s="19"/>
      <c r="R33" s="71"/>
      <c r="S33" s="4"/>
      <c r="T33" s="74"/>
      <c r="Z33" s="4"/>
      <c r="AA33" s="40"/>
      <c r="AB33" s="1" t="s">
        <v>51</v>
      </c>
    </row>
    <row r="34" spans="7:28" x14ac:dyDescent="0.35">
      <c r="G34" s="19"/>
      <c r="R34" s="71"/>
      <c r="S34" s="4"/>
      <c r="T34" s="74"/>
      <c r="Z34" s="4"/>
      <c r="AA34" s="40"/>
    </row>
    <row r="35" spans="7:28" x14ac:dyDescent="0.35">
      <c r="G35" s="19"/>
      <c r="R35" s="71"/>
      <c r="S35" s="4"/>
      <c r="T35" s="74"/>
      <c r="Z35" s="4"/>
      <c r="AA35" s="40"/>
    </row>
    <row r="36" spans="7:28" x14ac:dyDescent="0.35">
      <c r="G36" s="19"/>
      <c r="R36" s="71"/>
      <c r="S36" s="4"/>
      <c r="T36" s="74"/>
      <c r="Z36" s="4"/>
    </row>
    <row r="37" spans="7:28" x14ac:dyDescent="0.35">
      <c r="G37" s="19"/>
      <c r="R37" s="71"/>
      <c r="S37" s="4"/>
      <c r="T37" s="74"/>
      <c r="Z37" s="4"/>
    </row>
    <row r="38" spans="7:28" x14ac:dyDescent="0.35">
      <c r="S38" s="68"/>
      <c r="T38" s="2"/>
      <c r="Z38" s="4"/>
    </row>
    <row r="39" spans="7:28" x14ac:dyDescent="0.35">
      <c r="S39" s="43"/>
      <c r="T39" s="88"/>
      <c r="V39" s="4"/>
      <c r="W39" s="16"/>
      <c r="X39" s="16"/>
      <c r="Y39" s="4"/>
      <c r="Z39" s="4"/>
    </row>
    <row r="40" spans="7:28" x14ac:dyDescent="0.35">
      <c r="S40" s="43"/>
      <c r="T40" s="88"/>
      <c r="V40" s="4"/>
      <c r="W40" s="16"/>
      <c r="X40" s="16"/>
      <c r="Y40" s="4"/>
      <c r="Z40" s="4"/>
    </row>
    <row r="41" spans="7:28" x14ac:dyDescent="0.35">
      <c r="S41" s="90"/>
      <c r="T41" s="91"/>
      <c r="V41" s="4"/>
      <c r="W41" s="16"/>
      <c r="X41" s="16"/>
      <c r="Y41" s="4"/>
      <c r="Z41" s="4"/>
    </row>
    <row r="42" spans="7:28" x14ac:dyDescent="0.35">
      <c r="R42" s="71"/>
      <c r="S42" s="4"/>
      <c r="T42" s="74"/>
      <c r="V42" s="4"/>
      <c r="W42" s="16"/>
      <c r="X42" s="16"/>
      <c r="Y42" s="4"/>
      <c r="Z42" s="4"/>
    </row>
    <row r="43" spans="7:28" x14ac:dyDescent="0.35">
      <c r="R43" s="71"/>
      <c r="S43" s="4"/>
      <c r="T43" s="74"/>
      <c r="V43" s="4"/>
      <c r="W43" s="16"/>
      <c r="X43" s="16"/>
      <c r="Y43" s="4"/>
      <c r="Z43" s="4"/>
    </row>
    <row r="44" spans="7:28" x14ac:dyDescent="0.35">
      <c r="V44" s="4"/>
      <c r="W44" s="16"/>
      <c r="X44" s="16"/>
    </row>
    <row r="45" spans="7:28" x14ac:dyDescent="0.35">
      <c r="V45" s="4"/>
      <c r="W45" s="16"/>
      <c r="X45" s="16"/>
    </row>
    <row r="46" spans="7:28" x14ac:dyDescent="0.35">
      <c r="V46" s="4"/>
      <c r="W46" s="16"/>
      <c r="X46" s="16"/>
    </row>
    <row r="47" spans="7:28" x14ac:dyDescent="0.35">
      <c r="V47" s="4"/>
      <c r="W47" s="16"/>
      <c r="X47" s="16"/>
    </row>
    <row r="48" spans="7:28" x14ac:dyDescent="0.35">
      <c r="S48" s="40"/>
      <c r="T48" s="87"/>
      <c r="V48" s="4"/>
      <c r="W48" s="16"/>
      <c r="X48" s="16"/>
    </row>
    <row r="49" spans="22:24" x14ac:dyDescent="0.35">
      <c r="V49" s="4"/>
      <c r="W49" s="16"/>
      <c r="X49" s="16"/>
    </row>
    <row r="50" spans="22:24" x14ac:dyDescent="0.35">
      <c r="V50" s="4"/>
      <c r="W50" s="16"/>
      <c r="X50" s="16"/>
    </row>
    <row r="51" spans="22:24" x14ac:dyDescent="0.35">
      <c r="V51" s="4"/>
      <c r="W51" s="16"/>
      <c r="X51" s="16"/>
    </row>
    <row r="52" spans="22:24" x14ac:dyDescent="0.35">
      <c r="V52" s="4"/>
      <c r="W52" s="16"/>
      <c r="X52" s="16"/>
    </row>
    <row r="53" spans="22:24" x14ac:dyDescent="0.35">
      <c r="V53" s="4"/>
      <c r="W53" s="16"/>
      <c r="X53" s="16"/>
    </row>
    <row r="54" spans="22:24" x14ac:dyDescent="0.35">
      <c r="V54" s="4"/>
    </row>
    <row r="112" spans="18:18" x14ac:dyDescent="0.35">
      <c r="R112" s="85"/>
    </row>
  </sheetData>
  <mergeCells count="3">
    <mergeCell ref="A3:N3"/>
    <mergeCell ref="AA5:AB5"/>
    <mergeCell ref="R4:T4"/>
  </mergeCells>
  <pageMargins left="0.7" right="0.7" top="0.75" bottom="0.75" header="0.3" footer="0.3"/>
  <pageSetup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AABD1-08F0-4866-BC81-5D4BD5F8185F}">
  <dimension ref="A16:I23"/>
  <sheetViews>
    <sheetView zoomScale="60" zoomScaleNormal="60" workbookViewId="0">
      <selection activeCell="M13" sqref="M13"/>
    </sheetView>
  </sheetViews>
  <sheetFormatPr defaultRowHeight="15.5" x14ac:dyDescent="0.35"/>
  <cols>
    <col min="1" max="1" width="31.3046875" customWidth="1"/>
    <col min="2" max="3" width="11.84375" bestFit="1" customWidth="1"/>
    <col min="4" max="5" width="11.84375" customWidth="1"/>
  </cols>
  <sheetData>
    <row r="16" spans="1:9" x14ac:dyDescent="0.35">
      <c r="A16" s="105"/>
      <c r="B16" s="105"/>
      <c r="C16" s="105"/>
      <c r="D16" s="105"/>
      <c r="E16" s="105"/>
      <c r="F16" s="105"/>
      <c r="G16" s="105"/>
      <c r="H16" s="105"/>
      <c r="I16" s="105"/>
    </row>
    <row r="17" spans="1:9" x14ac:dyDescent="0.35">
      <c r="A17" s="105" t="s">
        <v>121</v>
      </c>
      <c r="B17" s="105"/>
      <c r="C17" s="105"/>
      <c r="D17" s="105"/>
      <c r="E17" s="105"/>
      <c r="F17" s="105"/>
      <c r="G17" s="105"/>
      <c r="H17" s="105"/>
      <c r="I17" s="105"/>
    </row>
    <row r="18" spans="1:9" x14ac:dyDescent="0.35">
      <c r="A18" s="105"/>
      <c r="B18" s="105" t="s">
        <v>65</v>
      </c>
      <c r="C18" s="105" t="s">
        <v>77</v>
      </c>
      <c r="D18" s="105"/>
      <c r="E18" s="105"/>
      <c r="F18" s="105" t="s">
        <v>66</v>
      </c>
      <c r="G18" s="105" t="s">
        <v>67</v>
      </c>
      <c r="H18" s="105"/>
      <c r="I18" s="105"/>
    </row>
    <row r="19" spans="1:9" x14ac:dyDescent="0.35">
      <c r="A19" s="105">
        <v>1</v>
      </c>
      <c r="B19" s="105">
        <f>0.0092*(22000^-0.019)</f>
        <v>7.608197825007601E-3</v>
      </c>
      <c r="C19" s="105"/>
      <c r="D19" s="105"/>
      <c r="E19" s="105"/>
      <c r="F19" s="105">
        <f>AVERAGEA(B19:B21)</f>
        <v>7.4032858692066397E-3</v>
      </c>
      <c r="G19" s="105">
        <f>_xlfn.STDEV.P(B19:B21)</f>
        <v>8.5427198554835048E-4</v>
      </c>
      <c r="H19" s="105"/>
      <c r="I19" s="105"/>
    </row>
    <row r="20" spans="1:9" x14ac:dyDescent="0.35">
      <c r="A20" s="105">
        <v>2</v>
      </c>
      <c r="B20" s="105">
        <f>0.09*(22000^-0.238)</f>
        <v>8.3319357324866134E-3</v>
      </c>
      <c r="C20" s="105"/>
      <c r="D20" s="105"/>
      <c r="E20" s="105"/>
      <c r="F20" s="105"/>
      <c r="G20" s="105"/>
      <c r="H20" s="105"/>
      <c r="I20" s="105"/>
    </row>
    <row r="21" spans="1:9" x14ac:dyDescent="0.35">
      <c r="A21" s="105">
        <v>3</v>
      </c>
      <c r="B21" s="105">
        <f>0.0055*(22000^0.0131)</f>
        <v>6.2697240501257065E-3</v>
      </c>
      <c r="C21" s="105"/>
      <c r="D21" s="105"/>
      <c r="E21" s="105"/>
      <c r="F21" s="105"/>
      <c r="G21" s="105"/>
      <c r="H21" s="105"/>
      <c r="I21" s="105"/>
    </row>
    <row r="22" spans="1:9" x14ac:dyDescent="0.35">
      <c r="A22" s="105"/>
      <c r="B22" s="105"/>
      <c r="C22" s="105"/>
      <c r="D22" s="105"/>
      <c r="E22" s="105"/>
      <c r="F22" s="105"/>
      <c r="G22" s="105"/>
      <c r="H22" s="105"/>
      <c r="I22" s="105"/>
    </row>
    <row r="23" spans="1:9" x14ac:dyDescent="0.35">
      <c r="A23" s="105"/>
      <c r="B23" s="105"/>
      <c r="C23" s="105"/>
      <c r="D23" s="105"/>
      <c r="E23" s="105"/>
      <c r="F23" s="105"/>
      <c r="G23" s="105"/>
      <c r="H23" s="105"/>
      <c r="I23" s="105"/>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DAAD5-E6F3-46BA-B380-C731C06E4260}">
  <dimension ref="A1:AG64"/>
  <sheetViews>
    <sheetView zoomScale="30" zoomScaleNormal="30" zoomScalePageLayoutView="90" workbookViewId="0">
      <selection activeCell="AD55" sqref="AD55"/>
    </sheetView>
  </sheetViews>
  <sheetFormatPr defaultColWidth="8.69140625" defaultRowHeight="15.5" x14ac:dyDescent="0.35"/>
  <cols>
    <col min="1" max="4" width="8.69140625" style="2"/>
    <col min="5" max="5" width="12.3046875" style="2" customWidth="1"/>
    <col min="6" max="6" width="15.69140625" style="2" bestFit="1" customWidth="1"/>
    <col min="7" max="7" width="8.53515625" style="2" customWidth="1"/>
    <col min="8" max="8" width="8.69140625" style="2"/>
    <col min="9" max="9" width="15.69140625" style="2" bestFit="1" customWidth="1"/>
    <col min="10" max="10" width="12.23046875" style="2" customWidth="1"/>
    <col min="11" max="11" width="10.4609375" style="2" customWidth="1"/>
    <col min="12" max="12" width="8.53515625" style="3" customWidth="1"/>
    <col min="13" max="13" width="6.765625" style="4" customWidth="1"/>
    <col min="14" max="14" width="8.4609375" style="4" customWidth="1"/>
    <col min="15" max="15" width="9.07421875" style="4" customWidth="1"/>
    <col min="16" max="16" width="27.23046875" style="4" customWidth="1"/>
    <col min="17" max="17" width="12.765625" style="68" customWidth="1"/>
    <col min="18" max="18" width="10" style="2" customWidth="1"/>
    <col min="19" max="19" width="10" style="72" customWidth="1"/>
    <col min="20" max="20" width="8.4609375" style="5" customWidth="1"/>
    <col min="21" max="21" width="10.23046875" style="2" customWidth="1"/>
    <col min="22" max="22" width="13.84375" style="2" customWidth="1"/>
    <col min="23" max="25" width="10" style="2" customWidth="1"/>
    <col min="26" max="26" width="21" style="2" customWidth="1"/>
    <col min="27" max="27" width="8.69140625" style="2" customWidth="1"/>
    <col min="28" max="28" width="8.69140625" style="2"/>
    <col min="29" max="29" width="22" style="2" customWidth="1"/>
    <col min="30" max="30" width="35.84375" style="2" customWidth="1"/>
    <col min="31" max="31" width="16.84375" style="2" customWidth="1"/>
    <col min="32" max="16384" width="8.69140625" style="2"/>
  </cols>
  <sheetData>
    <row r="1" spans="1:31" x14ac:dyDescent="0.35">
      <c r="A1" s="1" t="s">
        <v>0</v>
      </c>
      <c r="I1" s="1"/>
      <c r="J1" s="1"/>
      <c r="Q1" s="69" t="s">
        <v>115</v>
      </c>
    </row>
    <row r="2" spans="1:31" x14ac:dyDescent="0.35">
      <c r="A2" s="1"/>
      <c r="I2" s="1"/>
      <c r="J2" s="1"/>
      <c r="Q2" s="69" t="s">
        <v>85</v>
      </c>
    </row>
    <row r="3" spans="1:31" x14ac:dyDescent="0.35">
      <c r="A3" s="150" t="s">
        <v>3</v>
      </c>
      <c r="B3" s="150"/>
      <c r="C3" s="150"/>
      <c r="D3" s="150"/>
      <c r="E3" s="150"/>
      <c r="F3" s="150"/>
      <c r="G3" s="150"/>
      <c r="H3" s="150"/>
      <c r="I3" s="150"/>
      <c r="J3" s="150"/>
      <c r="K3" s="150"/>
      <c r="L3" s="150"/>
      <c r="M3" s="150"/>
      <c r="N3" s="150"/>
      <c r="O3" s="62"/>
      <c r="P3" s="62"/>
      <c r="T3" s="7"/>
    </row>
    <row r="4" spans="1:31" x14ac:dyDescent="0.35">
      <c r="Q4" s="152" t="s">
        <v>81</v>
      </c>
      <c r="R4" s="153"/>
      <c r="S4" s="154"/>
    </row>
    <row r="5" spans="1:31"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T5" s="14"/>
      <c r="U5" s="15" t="s">
        <v>19</v>
      </c>
      <c r="V5" s="16" t="s">
        <v>14</v>
      </c>
      <c r="W5" s="15" t="s">
        <v>20</v>
      </c>
      <c r="X5" s="16" t="s">
        <v>21</v>
      </c>
      <c r="Y5" s="1"/>
      <c r="Z5" s="151" t="s">
        <v>22</v>
      </c>
      <c r="AA5" s="151"/>
    </row>
    <row r="6" spans="1:31" x14ac:dyDescent="0.35">
      <c r="A6" s="17" t="s">
        <v>23</v>
      </c>
      <c r="B6" s="18">
        <v>0</v>
      </c>
      <c r="C6" s="19">
        <f t="shared" ref="C6:C18" si="0">B6*0.0166667</f>
        <v>0</v>
      </c>
      <c r="D6" s="19">
        <f t="shared" ref="D6:D18" si="1">B6*0.000277778</f>
        <v>0</v>
      </c>
      <c r="E6" s="3">
        <f t="shared" ref="E6:E18" si="2">0.001*D6</f>
        <v>0</v>
      </c>
      <c r="F6" s="19">
        <f t="shared" ref="F6:F18" si="3">E6/AA$7</f>
        <v>0</v>
      </c>
      <c r="G6" s="19">
        <f t="shared" ref="G6:G18" si="4">F6^(2)</f>
        <v>0</v>
      </c>
      <c r="H6" s="19">
        <f t="shared" ref="H6:H18" si="5">F6*1.94384</f>
        <v>0</v>
      </c>
      <c r="I6" s="20">
        <v>0</v>
      </c>
      <c r="J6" s="20">
        <f t="shared" ref="J6:J18" si="6">I6 * 10</f>
        <v>0</v>
      </c>
      <c r="K6" s="21">
        <f t="shared" ref="K6:K18" si="7">J6*100</f>
        <v>0</v>
      </c>
      <c r="L6" s="3">
        <f t="shared" ref="L6:L18" si="8">(F6*AA$11)/AA$12</f>
        <v>0</v>
      </c>
      <c r="U6" s="22">
        <v>0</v>
      </c>
      <c r="V6" s="23">
        <f t="shared" ref="V6:V31" si="9">(U6*AA$11)/AA$12</f>
        <v>0</v>
      </c>
      <c r="W6" s="23"/>
      <c r="X6" s="23"/>
    </row>
    <row r="7" spans="1:31" x14ac:dyDescent="0.35">
      <c r="A7" s="2" t="s">
        <v>52</v>
      </c>
      <c r="B7" s="2">
        <v>1600</v>
      </c>
      <c r="C7" s="19">
        <f t="shared" si="0"/>
        <v>26.666719999999998</v>
      </c>
      <c r="D7" s="19">
        <f t="shared" si="1"/>
        <v>0.44444480000000003</v>
      </c>
      <c r="E7" s="3">
        <f t="shared" si="2"/>
        <v>4.4444480000000006E-4</v>
      </c>
      <c r="F7" s="19">
        <f t="shared" si="3"/>
        <v>0.88888960000000006</v>
      </c>
      <c r="G7" s="19">
        <f t="shared" si="4"/>
        <v>0.79012472098816011</v>
      </c>
      <c r="H7" s="19">
        <f t="shared" si="5"/>
        <v>1.7278591600640001</v>
      </c>
      <c r="I7" s="2">
        <v>1.1286741935483866</v>
      </c>
      <c r="J7" s="20">
        <f t="shared" si="6"/>
        <v>11.286741935483866</v>
      </c>
      <c r="K7" s="21">
        <f t="shared" si="7"/>
        <v>1128.6741935483865</v>
      </c>
      <c r="L7" s="3">
        <f t="shared" si="8"/>
        <v>15787.049666666668</v>
      </c>
      <c r="M7" s="4">
        <f t="shared" ref="M7:M18" si="10">(AA$15*G7*N7)/8</f>
        <v>5.8785114247311796</v>
      </c>
      <c r="N7" s="4">
        <f t="shared" ref="N7:N18" si="11">(K7*2*AA$11)/(AA$13*AA$15*G7)</f>
        <v>5.8181654881361074E-2</v>
      </c>
      <c r="O7" s="4">
        <f t="shared" ref="O7:O18" si="12">N7/4</f>
        <v>1.4545413720340268E-2</v>
      </c>
      <c r="P7" s="4">
        <f t="shared" ref="P7:P18" si="13">3.7*(10^(-1/(2*SQRT(N7)))-2.51/(L7*SQRT(N7)))</f>
        <v>2.8844165222080168E-2</v>
      </c>
      <c r="Q7" s="68">
        <v>691098.7583333333</v>
      </c>
      <c r="R7" s="2">
        <v>26568.349333333335</v>
      </c>
      <c r="S7" s="72">
        <v>25.97366666666667</v>
      </c>
      <c r="U7" s="22">
        <v>0.1</v>
      </c>
      <c r="V7" s="23">
        <f>(U7*AA$11)/AA$12</f>
        <v>1776.0416666666667</v>
      </c>
      <c r="W7" s="23">
        <f t="shared" ref="W7:W31" si="14">0.292/(V7^(0.25))</f>
        <v>4.498001168030194E-2</v>
      </c>
      <c r="X7" s="23">
        <f>0.0791/(V7^0.25)</f>
        <v>1.2184653849013301E-2</v>
      </c>
      <c r="Y7" s="25"/>
      <c r="Z7" s="1" t="s">
        <v>24</v>
      </c>
      <c r="AA7" s="2">
        <f>AA$9*AA$10</f>
        <v>5.0000000000000001E-4</v>
      </c>
    </row>
    <row r="8" spans="1:31" x14ac:dyDescent="0.35">
      <c r="A8" s="2" t="s">
        <v>53</v>
      </c>
      <c r="B8" s="2">
        <v>2350</v>
      </c>
      <c r="C8" s="19">
        <f t="shared" si="0"/>
        <v>39.166744999999999</v>
      </c>
      <c r="D8" s="19">
        <f t="shared" si="1"/>
        <v>0.65277830000000003</v>
      </c>
      <c r="E8" s="3">
        <f t="shared" si="2"/>
        <v>6.5277830000000001E-4</v>
      </c>
      <c r="F8" s="19">
        <f t="shared" si="3"/>
        <v>1.3055566000000001</v>
      </c>
      <c r="G8" s="19">
        <f t="shared" si="4"/>
        <v>1.7044780358035603</v>
      </c>
      <c r="H8" s="19">
        <f t="shared" si="5"/>
        <v>2.5377931413440002</v>
      </c>
      <c r="I8" s="2">
        <v>2.1840258064516123</v>
      </c>
      <c r="J8" s="20">
        <f t="shared" si="6"/>
        <v>21.840258064516121</v>
      </c>
      <c r="K8" s="21">
        <f t="shared" si="7"/>
        <v>2184.025806451612</v>
      </c>
      <c r="L8" s="3">
        <f t="shared" si="8"/>
        <v>23187.229197916666</v>
      </c>
      <c r="M8" s="4">
        <f t="shared" si="10"/>
        <v>11.375134408602145</v>
      </c>
      <c r="N8" s="4">
        <f t="shared" si="11"/>
        <v>5.2189060768810691E-2</v>
      </c>
      <c r="O8" s="4">
        <f t="shared" si="12"/>
        <v>1.3047265192202673E-2</v>
      </c>
      <c r="P8" s="4">
        <f t="shared" si="13"/>
        <v>2.2209261999011326E-2</v>
      </c>
      <c r="Q8" s="78">
        <v>693129.01933333324</v>
      </c>
      <c r="R8" s="61">
        <v>26019.651000000002</v>
      </c>
      <c r="S8" s="79">
        <v>26.063666666666666</v>
      </c>
      <c r="U8" s="22">
        <v>0.2</v>
      </c>
      <c r="V8" s="23">
        <f t="shared" si="9"/>
        <v>3552.0833333333335</v>
      </c>
      <c r="W8" s="23">
        <f t="shared" si="14"/>
        <v>3.7823530580036124E-2</v>
      </c>
      <c r="X8" s="23">
        <f t="shared" ref="X8:X31" si="15">0.0791/(V8^0.25)</f>
        <v>1.0246031742742663E-2</v>
      </c>
      <c r="Y8" s="25"/>
      <c r="Z8" s="2" t="s">
        <v>25</v>
      </c>
    </row>
    <row r="9" spans="1:31" ht="19" x14ac:dyDescent="0.4">
      <c r="A9" s="2" t="s">
        <v>54</v>
      </c>
      <c r="B9" s="2">
        <v>3050</v>
      </c>
      <c r="C9" s="19">
        <f t="shared" si="0"/>
        <v>50.833435000000001</v>
      </c>
      <c r="D9" s="19">
        <f t="shared" si="1"/>
        <v>0.8472229</v>
      </c>
      <c r="E9" s="3">
        <f t="shared" si="2"/>
        <v>8.472229E-4</v>
      </c>
      <c r="F9" s="19">
        <f t="shared" si="3"/>
        <v>1.6944458</v>
      </c>
      <c r="G9" s="19">
        <f t="shared" si="4"/>
        <v>2.8711465691376401</v>
      </c>
      <c r="H9" s="19">
        <f t="shared" si="5"/>
        <v>3.2937315238720002</v>
      </c>
      <c r="I9" s="2">
        <v>3.7252258064516131</v>
      </c>
      <c r="J9" s="20">
        <f t="shared" si="6"/>
        <v>37.252258064516127</v>
      </c>
      <c r="K9" s="21">
        <f t="shared" si="7"/>
        <v>3725.2258064516127</v>
      </c>
      <c r="L9" s="3">
        <f t="shared" si="8"/>
        <v>30094.063427083329</v>
      </c>
      <c r="M9" s="4">
        <f t="shared" si="10"/>
        <v>19.40221774193548</v>
      </c>
      <c r="N9" s="4">
        <f t="shared" si="11"/>
        <v>5.2845786283725743E-2</v>
      </c>
      <c r="O9" s="4">
        <f t="shared" si="12"/>
        <v>1.3211446570931436E-2</v>
      </c>
      <c r="P9" s="4">
        <f t="shared" si="13"/>
        <v>2.3384716055143421E-2</v>
      </c>
      <c r="Q9" s="78">
        <v>681899.74566666677</v>
      </c>
      <c r="R9" s="61">
        <v>25547.160333333333</v>
      </c>
      <c r="S9" s="79">
        <v>25.971666666666664</v>
      </c>
      <c r="U9" s="22">
        <v>0.3</v>
      </c>
      <c r="V9" s="23">
        <f t="shared" si="9"/>
        <v>5328.125</v>
      </c>
      <c r="W9" s="23">
        <f t="shared" si="14"/>
        <v>3.4177418015718865E-2</v>
      </c>
      <c r="X9" s="23">
        <f t="shared" si="15"/>
        <v>9.2583348117923365E-3</v>
      </c>
      <c r="Y9" s="25"/>
      <c r="Z9" s="1" t="s">
        <v>26</v>
      </c>
      <c r="AA9" s="19">
        <v>0.05</v>
      </c>
      <c r="AD9" s="27" t="s">
        <v>27</v>
      </c>
    </row>
    <row r="10" spans="1:31" ht="18.5" x14ac:dyDescent="0.35">
      <c r="A10" s="2" t="s">
        <v>55</v>
      </c>
      <c r="B10" s="2">
        <v>3800</v>
      </c>
      <c r="C10" s="19">
        <f t="shared" si="0"/>
        <v>63.333459999999995</v>
      </c>
      <c r="D10" s="19">
        <f t="shared" si="1"/>
        <v>1.0555564</v>
      </c>
      <c r="E10" s="3">
        <f t="shared" si="2"/>
        <v>1.0555563999999999E-3</v>
      </c>
      <c r="F10" s="19">
        <f t="shared" si="3"/>
        <v>2.1111127999999999</v>
      </c>
      <c r="G10" s="19">
        <f t="shared" si="4"/>
        <v>4.4567972543238392</v>
      </c>
      <c r="H10" s="19">
        <f t="shared" si="5"/>
        <v>4.1036655051519997</v>
      </c>
      <c r="I10" s="2">
        <v>5.7237999999999989</v>
      </c>
      <c r="J10" s="20">
        <f t="shared" si="6"/>
        <v>57.237999999999985</v>
      </c>
      <c r="K10" s="21">
        <f t="shared" si="7"/>
        <v>5723.7999999999984</v>
      </c>
      <c r="L10" s="3">
        <f t="shared" si="8"/>
        <v>37494.242958333329</v>
      </c>
      <c r="M10" s="4">
        <f t="shared" si="10"/>
        <v>29.811458333333324</v>
      </c>
      <c r="N10" s="4">
        <f t="shared" si="11"/>
        <v>5.2308792756942363E-2</v>
      </c>
      <c r="O10" s="4">
        <f t="shared" si="12"/>
        <v>1.3077198189235591E-2</v>
      </c>
      <c r="P10" s="4">
        <f t="shared" si="13"/>
        <v>2.3018183097957053E-2</v>
      </c>
      <c r="Q10" s="78">
        <v>669610.95633333328</v>
      </c>
      <c r="R10" s="61">
        <v>24832.326333333334</v>
      </c>
      <c r="S10" s="79">
        <v>25.977999999999998</v>
      </c>
      <c r="U10" s="22">
        <v>0.4</v>
      </c>
      <c r="V10" s="23">
        <f t="shared" si="9"/>
        <v>7104.166666666667</v>
      </c>
      <c r="W10" s="23">
        <f t="shared" si="14"/>
        <v>3.1805671276991625E-2</v>
      </c>
      <c r="X10" s="23">
        <f t="shared" si="15"/>
        <v>8.615851363048075E-3</v>
      </c>
      <c r="Y10" s="25"/>
      <c r="Z10" s="1" t="s">
        <v>28</v>
      </c>
      <c r="AA10" s="19">
        <v>0.01</v>
      </c>
      <c r="AD10" s="28" t="s">
        <v>29</v>
      </c>
      <c r="AE10" s="2" t="s">
        <v>30</v>
      </c>
    </row>
    <row r="11" spans="1:31" ht="16.5" x14ac:dyDescent="0.4">
      <c r="A11" s="2" t="s">
        <v>56</v>
      </c>
      <c r="B11" s="2">
        <v>4500</v>
      </c>
      <c r="C11" s="19">
        <f t="shared" si="0"/>
        <v>75.000150000000005</v>
      </c>
      <c r="D11" s="19">
        <f t="shared" si="1"/>
        <v>1.2500010000000001</v>
      </c>
      <c r="E11" s="3">
        <f t="shared" si="2"/>
        <v>1.2500010000000002E-3</v>
      </c>
      <c r="F11" s="19">
        <f t="shared" si="3"/>
        <v>2.5000020000000003</v>
      </c>
      <c r="G11" s="19">
        <f t="shared" si="4"/>
        <v>6.2500100000040018</v>
      </c>
      <c r="H11" s="19">
        <f t="shared" si="5"/>
        <v>4.8596038876800005</v>
      </c>
      <c r="I11" s="2">
        <v>7.7922580645161306</v>
      </c>
      <c r="J11" s="20">
        <f t="shared" si="6"/>
        <v>77.922580645161304</v>
      </c>
      <c r="K11" s="21">
        <f t="shared" si="7"/>
        <v>7792.2580645161306</v>
      </c>
      <c r="L11" s="3">
        <f t="shared" si="8"/>
        <v>44401.077187499999</v>
      </c>
      <c r="M11" s="4">
        <f t="shared" si="10"/>
        <v>40.584677419354847</v>
      </c>
      <c r="N11" s="4">
        <f t="shared" si="11"/>
        <v>5.0780355796143282E-2</v>
      </c>
      <c r="O11" s="4">
        <f t="shared" si="12"/>
        <v>1.2695088949035821E-2</v>
      </c>
      <c r="P11" s="4">
        <f t="shared" si="13"/>
        <v>2.1427162408678271E-2</v>
      </c>
      <c r="Q11" s="94">
        <v>635912.31666666665</v>
      </c>
      <c r="R11" s="22">
        <v>24074.551000000003</v>
      </c>
      <c r="S11" s="100">
        <v>25.705333333333339</v>
      </c>
      <c r="U11" s="22">
        <v>0.5</v>
      </c>
      <c r="V11" s="23">
        <f t="shared" si="9"/>
        <v>8880.2083333333321</v>
      </c>
      <c r="W11" s="23">
        <f t="shared" si="14"/>
        <v>3.0079946728928147E-2</v>
      </c>
      <c r="X11" s="23">
        <f t="shared" si="15"/>
        <v>8.1483691310212901E-3</v>
      </c>
      <c r="Y11" s="25"/>
      <c r="Z11" s="1" t="s">
        <v>163</v>
      </c>
      <c r="AA11" s="4">
        <f>2*(AA9*AA10)/(AA9+AA10)</f>
        <v>1.6666666666666666E-2</v>
      </c>
      <c r="AB11" s="1">
        <f>10*AA11*100</f>
        <v>16.666666666666664</v>
      </c>
      <c r="AD11" s="27" t="s">
        <v>32</v>
      </c>
      <c r="AE11" s="2" t="s">
        <v>33</v>
      </c>
    </row>
    <row r="12" spans="1:31" x14ac:dyDescent="0.35">
      <c r="A12" s="2" t="s">
        <v>63</v>
      </c>
      <c r="B12" s="2">
        <v>5150</v>
      </c>
      <c r="C12" s="19">
        <f t="shared" si="0"/>
        <v>85.833505000000002</v>
      </c>
      <c r="D12" s="19">
        <f t="shared" si="1"/>
        <v>1.4305567000000001</v>
      </c>
      <c r="E12" s="3">
        <f t="shared" si="2"/>
        <v>1.4305567000000002E-3</v>
      </c>
      <c r="F12" s="19">
        <f t="shared" si="3"/>
        <v>2.8611134000000003</v>
      </c>
      <c r="G12" s="19">
        <f t="shared" si="4"/>
        <v>8.1859698876595619</v>
      </c>
      <c r="H12" s="19">
        <f t="shared" si="5"/>
        <v>5.5615466714560009</v>
      </c>
      <c r="I12" s="2">
        <v>8.7792870967741923</v>
      </c>
      <c r="J12" s="20">
        <f t="shared" si="6"/>
        <v>87.792870967741919</v>
      </c>
      <c r="K12" s="21">
        <f t="shared" si="7"/>
        <v>8779.287096774191</v>
      </c>
      <c r="L12" s="3">
        <f t="shared" si="8"/>
        <v>50814.566114583336</v>
      </c>
      <c r="M12" s="4">
        <f t="shared" si="10"/>
        <v>45.725453629032238</v>
      </c>
      <c r="N12" s="4">
        <f t="shared" si="11"/>
        <v>4.3681971705750416E-2</v>
      </c>
      <c r="O12" s="4">
        <f t="shared" si="12"/>
        <v>1.0920492926437604E-2</v>
      </c>
      <c r="P12" s="4">
        <f t="shared" si="13"/>
        <v>1.4118385288044854E-2</v>
      </c>
      <c r="Q12" s="71">
        <v>620256.30433333339</v>
      </c>
      <c r="R12" s="4">
        <v>23642.846999999998</v>
      </c>
      <c r="S12" s="74">
        <v>25.995666666666665</v>
      </c>
      <c r="U12" s="22">
        <v>0.6</v>
      </c>
      <c r="V12" s="23">
        <f t="shared" si="9"/>
        <v>10656.25</v>
      </c>
      <c r="W12" s="23">
        <f t="shared" si="14"/>
        <v>2.8739668292045713E-2</v>
      </c>
      <c r="X12" s="23">
        <f t="shared" si="15"/>
        <v>7.7853005544548503E-3</v>
      </c>
      <c r="Y12" s="25"/>
      <c r="Z12" s="1" t="s">
        <v>164</v>
      </c>
      <c r="AA12" s="31">
        <f>AA$16/AA$15</f>
        <v>9.3841642228739007E-7</v>
      </c>
    </row>
    <row r="13" spans="1:31" ht="16.5" x14ac:dyDescent="0.4">
      <c r="A13" s="2" t="s">
        <v>62</v>
      </c>
      <c r="B13" s="2">
        <v>5150</v>
      </c>
      <c r="C13" s="19">
        <f t="shared" si="0"/>
        <v>85.833505000000002</v>
      </c>
      <c r="D13" s="19">
        <f t="shared" si="1"/>
        <v>1.4305567000000001</v>
      </c>
      <c r="E13" s="3">
        <f t="shared" si="2"/>
        <v>1.4305567000000002E-3</v>
      </c>
      <c r="F13" s="19">
        <f t="shared" si="3"/>
        <v>2.8611134000000003</v>
      </c>
      <c r="G13" s="19">
        <f t="shared" si="4"/>
        <v>8.1859698876595619</v>
      </c>
      <c r="H13" s="19">
        <f t="shared" si="5"/>
        <v>5.5615466714560009</v>
      </c>
      <c r="I13" s="2">
        <v>8.7792870967741923</v>
      </c>
      <c r="J13" s="20">
        <f t="shared" si="6"/>
        <v>87.792870967741919</v>
      </c>
      <c r="K13" s="21">
        <f t="shared" si="7"/>
        <v>8779.287096774191</v>
      </c>
      <c r="L13" s="3">
        <f t="shared" si="8"/>
        <v>50814.566114583336</v>
      </c>
      <c r="M13" s="4">
        <f t="shared" si="10"/>
        <v>45.725453629032238</v>
      </c>
      <c r="N13" s="4">
        <f t="shared" si="11"/>
        <v>4.3681971705750416E-2</v>
      </c>
      <c r="O13" s="4">
        <f t="shared" si="12"/>
        <v>1.0920492926437604E-2</v>
      </c>
      <c r="P13" s="4">
        <f t="shared" si="13"/>
        <v>1.4118385288044854E-2</v>
      </c>
      <c r="Q13" s="71">
        <v>620256.30433333339</v>
      </c>
      <c r="R13" s="4">
        <v>23642.846999999998</v>
      </c>
      <c r="S13" s="74">
        <v>25.995666666666665</v>
      </c>
      <c r="U13" s="22">
        <v>0.7</v>
      </c>
      <c r="V13" s="23">
        <f t="shared" si="9"/>
        <v>12432.291666666664</v>
      </c>
      <c r="W13" s="23">
        <f t="shared" si="14"/>
        <v>2.7653178300659133E-2</v>
      </c>
      <c r="X13" s="23">
        <f t="shared" si="15"/>
        <v>7.4909808341854026E-3</v>
      </c>
      <c r="Y13" s="25"/>
      <c r="Z13" s="1" t="s">
        <v>35</v>
      </c>
      <c r="AA13" s="32">
        <v>0.8</v>
      </c>
      <c r="AD13" s="27" t="s">
        <v>36</v>
      </c>
      <c r="AE13" s="1" t="s">
        <v>37</v>
      </c>
    </row>
    <row r="14" spans="1:31" x14ac:dyDescent="0.35">
      <c r="A14" s="2" t="s">
        <v>57</v>
      </c>
      <c r="B14" s="2">
        <v>4400</v>
      </c>
      <c r="C14" s="19">
        <f t="shared" si="0"/>
        <v>73.333479999999994</v>
      </c>
      <c r="D14" s="19">
        <f t="shared" si="1"/>
        <v>1.2222232</v>
      </c>
      <c r="E14" s="3">
        <f t="shared" si="2"/>
        <v>1.2222232E-3</v>
      </c>
      <c r="F14" s="19">
        <f t="shared" si="3"/>
        <v>2.4444463999999999</v>
      </c>
      <c r="G14" s="19">
        <f t="shared" si="4"/>
        <v>5.9753182024729599</v>
      </c>
      <c r="H14" s="19">
        <f t="shared" si="5"/>
        <v>4.7516126901759996</v>
      </c>
      <c r="I14" s="2">
        <v>7.5205838709677417</v>
      </c>
      <c r="J14" s="20">
        <f t="shared" si="6"/>
        <v>75.205838709677423</v>
      </c>
      <c r="K14" s="21">
        <f t="shared" si="7"/>
        <v>7520.5838709677419</v>
      </c>
      <c r="L14" s="3">
        <f t="shared" si="8"/>
        <v>43414.386583333333</v>
      </c>
      <c r="M14" s="4">
        <f t="shared" si="10"/>
        <v>39.169707661290317</v>
      </c>
      <c r="N14" s="4">
        <f t="shared" si="11"/>
        <v>5.1262956046896499E-2</v>
      </c>
      <c r="O14" s="4">
        <f t="shared" si="12"/>
        <v>1.2815739011724125E-2</v>
      </c>
      <c r="P14" s="4">
        <f t="shared" si="13"/>
        <v>2.1955982323606932E-2</v>
      </c>
      <c r="Q14" s="71">
        <v>668166.76933333336</v>
      </c>
      <c r="R14" s="4">
        <v>24702.116333333335</v>
      </c>
      <c r="S14" s="74">
        <v>25.806666666666668</v>
      </c>
      <c r="U14" s="22">
        <v>0.8</v>
      </c>
      <c r="V14" s="23">
        <f t="shared" si="9"/>
        <v>14208.333333333334</v>
      </c>
      <c r="W14" s="23">
        <f t="shared" si="14"/>
        <v>2.6745274961560289E-2</v>
      </c>
      <c r="X14" s="23">
        <f t="shared" si="15"/>
        <v>7.2450385255459562E-3</v>
      </c>
      <c r="Y14" s="25"/>
      <c r="AA14" s="32"/>
    </row>
    <row r="15" spans="1:31" x14ac:dyDescent="0.35">
      <c r="A15" s="2" t="s">
        <v>58</v>
      </c>
      <c r="B15" s="2">
        <v>3650</v>
      </c>
      <c r="C15" s="19">
        <f t="shared" si="0"/>
        <v>60.833455000000001</v>
      </c>
      <c r="D15" s="19">
        <f t="shared" si="1"/>
        <v>1.0138897</v>
      </c>
      <c r="E15" s="3">
        <f t="shared" si="2"/>
        <v>1.0138897E-3</v>
      </c>
      <c r="F15" s="19">
        <f t="shared" si="3"/>
        <v>2.0277794</v>
      </c>
      <c r="G15" s="19">
        <f t="shared" si="4"/>
        <v>4.1118892950643602</v>
      </c>
      <c r="H15" s="19">
        <f t="shared" si="5"/>
        <v>3.9416787088960001</v>
      </c>
      <c r="I15" s="2">
        <v>5.1054032258064508</v>
      </c>
      <c r="J15" s="20">
        <f t="shared" si="6"/>
        <v>51.05403225806451</v>
      </c>
      <c r="K15" s="21">
        <f t="shared" si="7"/>
        <v>5105.4032258064508</v>
      </c>
      <c r="L15" s="3">
        <f t="shared" si="8"/>
        <v>36014.207052083337</v>
      </c>
      <c r="M15" s="4">
        <f t="shared" si="10"/>
        <v>26.590641801075265</v>
      </c>
      <c r="N15" s="4">
        <f t="shared" si="11"/>
        <v>5.0571025374399496E-2</v>
      </c>
      <c r="O15" s="4">
        <f t="shared" si="12"/>
        <v>1.2642756343599874E-2</v>
      </c>
      <c r="P15" s="4">
        <f t="shared" si="13"/>
        <v>2.0973745994855256E-2</v>
      </c>
      <c r="Q15" s="71">
        <v>711200.91833333333</v>
      </c>
      <c r="R15" s="4">
        <v>25200.744333333332</v>
      </c>
      <c r="S15" s="74">
        <v>26.23266666666667</v>
      </c>
      <c r="T15" s="34"/>
      <c r="U15" s="22">
        <v>0.9</v>
      </c>
      <c r="V15" s="23">
        <f t="shared" si="9"/>
        <v>15984.374999999998</v>
      </c>
      <c r="W15" s="23">
        <f t="shared" si="14"/>
        <v>2.5969221851774842E-2</v>
      </c>
      <c r="X15" s="23">
        <f t="shared" si="15"/>
        <v>7.0348131797102406E-3</v>
      </c>
      <c r="Y15" s="25"/>
      <c r="Z15" s="2" t="s">
        <v>38</v>
      </c>
      <c r="AA15" s="32">
        <f>VLOOKUP(AA17, SW!A4:F34, 3, FALSE)</f>
        <v>1023</v>
      </c>
      <c r="AB15" s="32"/>
    </row>
    <row r="16" spans="1:31" x14ac:dyDescent="0.35">
      <c r="A16" s="2" t="s">
        <v>59</v>
      </c>
      <c r="B16" s="2">
        <v>2900</v>
      </c>
      <c r="C16" s="19">
        <f t="shared" si="0"/>
        <v>48.33343</v>
      </c>
      <c r="D16" s="19">
        <f t="shared" si="1"/>
        <v>0.80555620000000006</v>
      </c>
      <c r="E16" s="3">
        <f t="shared" si="2"/>
        <v>8.0555620000000009E-4</v>
      </c>
      <c r="F16" s="19">
        <f t="shared" si="3"/>
        <v>1.6111124000000001</v>
      </c>
      <c r="G16" s="19">
        <f t="shared" si="4"/>
        <v>2.5956831654337602</v>
      </c>
      <c r="H16" s="19">
        <f t="shared" si="5"/>
        <v>3.1317447276160002</v>
      </c>
      <c r="I16" s="2">
        <v>3.3633806451612891</v>
      </c>
      <c r="J16" s="20">
        <f t="shared" si="6"/>
        <v>33.633806451612891</v>
      </c>
      <c r="K16" s="21">
        <f t="shared" si="7"/>
        <v>3363.3806451612891</v>
      </c>
      <c r="L16" s="3">
        <f t="shared" si="8"/>
        <v>28614.027520833333</v>
      </c>
      <c r="M16" s="4">
        <f t="shared" si="10"/>
        <v>17.517607526881712</v>
      </c>
      <c r="N16" s="4">
        <f t="shared" si="11"/>
        <v>5.277612075735217E-2</v>
      </c>
      <c r="O16" s="4">
        <f t="shared" si="12"/>
        <v>1.3194030189338042E-2</v>
      </c>
      <c r="P16" s="4">
        <f t="shared" si="13"/>
        <v>2.323277624956311E-2</v>
      </c>
      <c r="Q16" s="68">
        <v>698697.36200000008</v>
      </c>
      <c r="R16" s="2">
        <v>24795.629333333331</v>
      </c>
      <c r="S16" s="72">
        <v>26.039000000000001</v>
      </c>
      <c r="U16" s="22">
        <v>1</v>
      </c>
      <c r="V16" s="23">
        <f t="shared" si="9"/>
        <v>17760.416666666664</v>
      </c>
      <c r="W16" s="23">
        <f t="shared" si="14"/>
        <v>2.5294119375378375E-2</v>
      </c>
      <c r="X16" s="23">
        <f t="shared" si="15"/>
        <v>6.8519343924398277E-3</v>
      </c>
      <c r="Y16" s="25"/>
      <c r="Z16" s="2" t="s">
        <v>39</v>
      </c>
      <c r="AA16" s="32">
        <f>VLOOKUP(AA17, SW!A4:F34, 5, FALSE)</f>
        <v>9.6000000000000002E-4</v>
      </c>
    </row>
    <row r="17" spans="1:33" x14ac:dyDescent="0.35">
      <c r="A17" s="2" t="s">
        <v>60</v>
      </c>
      <c r="B17" s="2">
        <v>2300</v>
      </c>
      <c r="C17" s="19">
        <f t="shared" si="0"/>
        <v>38.333410000000001</v>
      </c>
      <c r="D17" s="19">
        <f t="shared" si="1"/>
        <v>0.63888940000000005</v>
      </c>
      <c r="E17" s="3">
        <f t="shared" si="2"/>
        <v>6.3888940000000004E-4</v>
      </c>
      <c r="F17" s="19">
        <f t="shared" si="3"/>
        <v>1.2777788000000001</v>
      </c>
      <c r="G17" s="19">
        <f t="shared" si="4"/>
        <v>1.6327186617294402</v>
      </c>
      <c r="H17" s="19">
        <f t="shared" si="5"/>
        <v>2.4837975425920003</v>
      </c>
      <c r="I17" s="2">
        <v>2.0552645161290322</v>
      </c>
      <c r="J17" s="20">
        <f t="shared" si="6"/>
        <v>20.552645161290322</v>
      </c>
      <c r="K17" s="21">
        <f t="shared" si="7"/>
        <v>2055.264516129032</v>
      </c>
      <c r="L17" s="3">
        <f t="shared" si="8"/>
        <v>22693.883895833333</v>
      </c>
      <c r="M17" s="4">
        <f t="shared" si="10"/>
        <v>10.704502688172042</v>
      </c>
      <c r="N17" s="4">
        <f t="shared" si="11"/>
        <v>5.1270728950733604E-2</v>
      </c>
      <c r="O17" s="4">
        <f t="shared" si="12"/>
        <v>1.2817682237683401E-2</v>
      </c>
      <c r="P17" s="4">
        <f t="shared" si="13"/>
        <v>2.1102304857708341E-2</v>
      </c>
      <c r="Q17" s="68">
        <v>703198.2346666666</v>
      </c>
      <c r="R17" s="2">
        <v>24883.455333333332</v>
      </c>
      <c r="S17" s="72">
        <v>26.245000000000001</v>
      </c>
      <c r="T17" s="14"/>
      <c r="U17" s="22">
        <v>1.1000000000000001</v>
      </c>
      <c r="V17" s="23">
        <f t="shared" si="9"/>
        <v>19536.458333333332</v>
      </c>
      <c r="W17" s="23">
        <f t="shared" si="14"/>
        <v>2.4698546308849025E-2</v>
      </c>
      <c r="X17" s="23">
        <f t="shared" si="15"/>
        <v>6.6905993596916369E-3</v>
      </c>
      <c r="Y17" s="25"/>
      <c r="Z17" s="2" t="s">
        <v>161</v>
      </c>
      <c r="AA17" s="2">
        <v>25</v>
      </c>
      <c r="AD17" s="98"/>
      <c r="AE17" s="98"/>
      <c r="AF17" s="98"/>
      <c r="AG17" s="98"/>
    </row>
    <row r="18" spans="1:33" x14ac:dyDescent="0.35">
      <c r="A18" s="2" t="s">
        <v>61</v>
      </c>
      <c r="B18" s="2">
        <v>1600</v>
      </c>
      <c r="C18" s="19">
        <f t="shared" si="0"/>
        <v>26.666719999999998</v>
      </c>
      <c r="D18" s="19">
        <f t="shared" si="1"/>
        <v>0.44444480000000003</v>
      </c>
      <c r="E18" s="3">
        <f t="shared" si="2"/>
        <v>4.4444480000000006E-4</v>
      </c>
      <c r="F18" s="19">
        <f t="shared" si="3"/>
        <v>0.88888960000000006</v>
      </c>
      <c r="G18" s="19">
        <f t="shared" si="4"/>
        <v>0.79012472098816011</v>
      </c>
      <c r="H18" s="19">
        <f t="shared" si="5"/>
        <v>1.7278591600640001</v>
      </c>
      <c r="I18" s="2">
        <v>0.87665161290322557</v>
      </c>
      <c r="J18" s="20">
        <f t="shared" si="6"/>
        <v>8.7665161290322562</v>
      </c>
      <c r="K18" s="21">
        <f t="shared" si="7"/>
        <v>876.65161290322567</v>
      </c>
      <c r="L18" s="3">
        <f t="shared" si="8"/>
        <v>15787.049666666668</v>
      </c>
      <c r="M18" s="4">
        <f t="shared" si="10"/>
        <v>4.5658938172042998</v>
      </c>
      <c r="N18" s="4">
        <f t="shared" si="11"/>
        <v>4.5190225739787343E-2</v>
      </c>
      <c r="O18" s="4">
        <f t="shared" si="12"/>
        <v>1.1297556434946836E-2</v>
      </c>
      <c r="P18" s="4">
        <f t="shared" si="13"/>
        <v>1.3681942651625357E-2</v>
      </c>
      <c r="U18" s="22">
        <v>1.2</v>
      </c>
      <c r="V18" s="23">
        <f t="shared" si="9"/>
        <v>21312.5</v>
      </c>
      <c r="W18" s="23">
        <f t="shared" si="14"/>
        <v>2.4167084042362088E-2</v>
      </c>
      <c r="X18" s="23">
        <f t="shared" si="15"/>
        <v>6.54663132791384E-3</v>
      </c>
      <c r="Y18" s="25"/>
      <c r="Z18" s="1"/>
      <c r="AA18" s="1"/>
      <c r="AD18" s="119" t="s">
        <v>40</v>
      </c>
      <c r="AE18" s="119"/>
      <c r="AF18" s="119"/>
      <c r="AG18" s="119"/>
    </row>
    <row r="19" spans="1:33" x14ac:dyDescent="0.35">
      <c r="A19" s="24"/>
      <c r="B19" s="18"/>
      <c r="C19" s="19"/>
      <c r="D19" s="19"/>
      <c r="E19" s="3"/>
      <c r="F19" s="19"/>
      <c r="G19" s="19"/>
      <c r="H19" s="19"/>
      <c r="I19" s="20"/>
      <c r="J19" s="20"/>
      <c r="K19" s="21"/>
      <c r="U19" s="22">
        <v>1.3</v>
      </c>
      <c r="V19" s="23">
        <f t="shared" si="9"/>
        <v>23088.541666666668</v>
      </c>
      <c r="W19" s="23">
        <f t="shared" si="14"/>
        <v>2.3688290796718484E-2</v>
      </c>
      <c r="X19" s="23">
        <f t="shared" si="15"/>
        <v>6.4169308288370966E-3</v>
      </c>
      <c r="Y19" s="25"/>
      <c r="AD19" s="120" t="s">
        <v>41</v>
      </c>
      <c r="AE19" s="119" t="s">
        <v>42</v>
      </c>
      <c r="AF19" s="119" t="s">
        <v>43</v>
      </c>
      <c r="AG19" s="119" t="s">
        <v>44</v>
      </c>
    </row>
    <row r="20" spans="1:33" x14ac:dyDescent="0.35">
      <c r="A20" s="24"/>
      <c r="B20" s="18"/>
      <c r="C20" s="19"/>
      <c r="D20" s="19"/>
      <c r="E20" s="3"/>
      <c r="F20" s="19"/>
      <c r="G20" s="19"/>
      <c r="H20" s="19"/>
      <c r="I20" s="20"/>
      <c r="J20" s="20"/>
      <c r="K20" s="21"/>
      <c r="U20" s="22">
        <v>1.4</v>
      </c>
      <c r="V20" s="23">
        <f t="shared" si="9"/>
        <v>24864.583333333328</v>
      </c>
      <c r="W20" s="23">
        <f t="shared" si="14"/>
        <v>2.3253458503396073E-2</v>
      </c>
      <c r="X20" s="23">
        <f t="shared" si="15"/>
        <v>6.2991389302007855E-3</v>
      </c>
      <c r="Y20" s="25"/>
      <c r="Z20" s="1" t="s">
        <v>45</v>
      </c>
      <c r="AA20" s="1">
        <f>4*10^(-6)</f>
        <v>3.9999999999999998E-6</v>
      </c>
      <c r="AD20" s="120" t="s">
        <v>46</v>
      </c>
      <c r="AE20" s="119" t="s">
        <v>47</v>
      </c>
      <c r="AF20" s="119" t="s">
        <v>48</v>
      </c>
      <c r="AG20" s="119" t="s">
        <v>49</v>
      </c>
    </row>
    <row r="21" spans="1:33" x14ac:dyDescent="0.35">
      <c r="A21" s="24"/>
      <c r="B21" s="18"/>
      <c r="C21" s="19"/>
      <c r="D21" s="19"/>
      <c r="E21" s="43"/>
      <c r="F21" s="19"/>
      <c r="G21" s="19"/>
      <c r="H21" s="19"/>
      <c r="I21" s="20"/>
      <c r="J21" s="20"/>
      <c r="K21" s="21"/>
      <c r="U21" s="22">
        <v>1.5</v>
      </c>
      <c r="V21" s="23">
        <f t="shared" si="9"/>
        <v>26640.625</v>
      </c>
      <c r="W21" s="23">
        <f t="shared" si="14"/>
        <v>2.2855816947138497E-2</v>
      </c>
      <c r="X21" s="23">
        <f t="shared" si="15"/>
        <v>6.1914216456118339E-3</v>
      </c>
      <c r="Y21" s="25"/>
      <c r="Z21" s="1" t="s">
        <v>50</v>
      </c>
      <c r="AA21" s="2">
        <f>AA20/AA11</f>
        <v>2.3999999999999998E-4</v>
      </c>
      <c r="AD21" s="119">
        <v>0</v>
      </c>
      <c r="AE21" s="119">
        <v>1.792E-3</v>
      </c>
      <c r="AF21" s="119">
        <v>999.87</v>
      </c>
      <c r="AG21" s="121">
        <v>1.7922329902887374E-6</v>
      </c>
    </row>
    <row r="22" spans="1:33" x14ac:dyDescent="0.35">
      <c r="A22" s="24"/>
      <c r="B22" s="18"/>
      <c r="C22" s="19"/>
      <c r="D22" s="19"/>
      <c r="E22" s="3"/>
      <c r="F22" s="19"/>
      <c r="G22" s="19"/>
      <c r="H22" s="19"/>
      <c r="I22" s="20"/>
      <c r="J22" s="20"/>
      <c r="K22" s="21"/>
      <c r="P22" s="43"/>
      <c r="U22" s="22">
        <v>1.6</v>
      </c>
      <c r="V22" s="23">
        <f t="shared" si="9"/>
        <v>28416.666666666668</v>
      </c>
      <c r="W22" s="23">
        <f t="shared" si="14"/>
        <v>2.2490005840150974E-2</v>
      </c>
      <c r="X22" s="23">
        <f t="shared" si="15"/>
        <v>6.0923269245066513E-3</v>
      </c>
      <c r="Y22" s="25"/>
      <c r="AD22" s="119">
        <v>5</v>
      </c>
      <c r="AE22" s="119">
        <v>1.519E-3</v>
      </c>
      <c r="AF22" s="119">
        <v>999.99</v>
      </c>
      <c r="AG22" s="121">
        <v>1.5190151901519014E-6</v>
      </c>
    </row>
    <row r="23" spans="1:33" x14ac:dyDescent="0.35">
      <c r="B23" s="18"/>
      <c r="C23" s="19"/>
      <c r="D23" s="19"/>
      <c r="E23" s="3"/>
      <c r="F23" s="3"/>
      <c r="G23" s="19"/>
      <c r="H23" s="19"/>
      <c r="I23" s="19"/>
      <c r="J23" s="20"/>
      <c r="K23" s="21"/>
      <c r="U23" s="22">
        <v>1.7</v>
      </c>
      <c r="V23" s="23">
        <f t="shared" si="9"/>
        <v>30192.708333333332</v>
      </c>
      <c r="W23" s="23">
        <f t="shared" si="14"/>
        <v>2.2151713893839374E-2</v>
      </c>
      <c r="X23" s="23">
        <f t="shared" si="15"/>
        <v>6.0006868801462145E-3</v>
      </c>
      <c r="Y23" s="25"/>
      <c r="Z23" s="40"/>
      <c r="AD23" s="119">
        <f>AD22+5</f>
        <v>10</v>
      </c>
      <c r="AE23" s="119">
        <v>1.3079999999999999E-3</v>
      </c>
      <c r="AF23" s="119">
        <v>999.73</v>
      </c>
      <c r="AG23" s="121">
        <v>1.3083532553789522E-6</v>
      </c>
    </row>
    <row r="24" spans="1:33" x14ac:dyDescent="0.35">
      <c r="B24" s="18"/>
      <c r="C24" s="19"/>
      <c r="D24" s="19"/>
      <c r="E24" s="3"/>
      <c r="F24" s="3"/>
      <c r="G24" s="19"/>
      <c r="H24" s="19"/>
      <c r="I24" s="19"/>
      <c r="J24" s="20"/>
      <c r="K24" s="21"/>
      <c r="U24" s="22">
        <v>1.8</v>
      </c>
      <c r="V24" s="23">
        <f t="shared" si="9"/>
        <v>31968.749999999996</v>
      </c>
      <c r="W24" s="23">
        <f t="shared" si="14"/>
        <v>2.1837425562085892E-2</v>
      </c>
      <c r="X24" s="23">
        <f t="shared" si="15"/>
        <v>5.9155491847979261E-3</v>
      </c>
      <c r="Y24" s="4"/>
      <c r="Z24" s="40"/>
      <c r="AD24" s="119" t="e">
        <f>#REF!+5</f>
        <v>#REF!</v>
      </c>
      <c r="AE24" s="119">
        <v>1.005E-3</v>
      </c>
      <c r="AF24" s="119">
        <v>998.23</v>
      </c>
      <c r="AG24" s="121">
        <v>1.0067820041473407E-6</v>
      </c>
    </row>
    <row r="25" spans="1:33" x14ac:dyDescent="0.35">
      <c r="B25" s="18"/>
      <c r="C25" s="19"/>
      <c r="D25" s="19"/>
      <c r="E25" s="3"/>
      <c r="F25" s="3"/>
      <c r="G25" s="19"/>
      <c r="H25" s="19"/>
      <c r="I25" s="19"/>
      <c r="J25" s="20"/>
      <c r="K25" s="21"/>
      <c r="U25" s="22">
        <v>1.9</v>
      </c>
      <c r="V25" s="23">
        <f t="shared" si="9"/>
        <v>33744.791666666657</v>
      </c>
      <c r="W25" s="23">
        <f t="shared" si="14"/>
        <v>2.1544239267008561E-2</v>
      </c>
      <c r="X25" s="23">
        <f t="shared" si="15"/>
        <v>5.8361278288369088E-3</v>
      </c>
      <c r="Y25" s="4"/>
      <c r="Z25" s="40"/>
      <c r="AD25" s="119">
        <v>25</v>
      </c>
      <c r="AE25" s="119">
        <v>8.9400000000000005E-4</v>
      </c>
      <c r="AF25" s="119">
        <v>997.07</v>
      </c>
      <c r="AG25" s="121">
        <v>8.9662711745414066E-7</v>
      </c>
    </row>
    <row r="26" spans="1:33" x14ac:dyDescent="0.35">
      <c r="N26" s="22"/>
      <c r="U26" s="22">
        <v>2</v>
      </c>
      <c r="V26" s="23">
        <f t="shared" si="9"/>
        <v>35520.833333333328</v>
      </c>
      <c r="W26" s="23">
        <f t="shared" si="14"/>
        <v>2.1269734309755199E-2</v>
      </c>
      <c r="X26" s="23">
        <f t="shared" si="15"/>
        <v>5.7617670681562889E-3</v>
      </c>
      <c r="Y26" s="4"/>
      <c r="Z26" s="40"/>
      <c r="AD26" s="122"/>
      <c r="AE26" s="122"/>
      <c r="AF26" s="122"/>
      <c r="AG26" s="122"/>
    </row>
    <row r="27" spans="1:33" x14ac:dyDescent="0.35">
      <c r="K27" s="1"/>
      <c r="L27" s="4"/>
      <c r="N27" s="22"/>
      <c r="U27" s="22">
        <v>2.1</v>
      </c>
      <c r="V27" s="23">
        <f t="shared" si="9"/>
        <v>37296.875</v>
      </c>
      <c r="W27" s="23">
        <f t="shared" si="14"/>
        <v>2.1011871694527066E-2</v>
      </c>
      <c r="X27" s="23">
        <f t="shared" si="15"/>
        <v>5.6919145583462028E-3</v>
      </c>
      <c r="Y27" s="4"/>
      <c r="Z27" s="40"/>
      <c r="AD27" s="32"/>
      <c r="AE27" s="32"/>
      <c r="AF27" s="32"/>
      <c r="AG27" s="32"/>
    </row>
    <row r="28" spans="1:33" x14ac:dyDescent="0.35">
      <c r="U28" s="22">
        <v>2.2000000000000002</v>
      </c>
      <c r="V28" s="23">
        <f t="shared" si="9"/>
        <v>39072.916666666664</v>
      </c>
      <c r="W28" s="23">
        <f t="shared" si="14"/>
        <v>2.0768919053089006E-2</v>
      </c>
      <c r="X28" s="23">
        <f t="shared" si="15"/>
        <v>5.6261010174634956E-3</v>
      </c>
      <c r="Y28" s="4"/>
      <c r="Z28" s="40"/>
      <c r="AD28" s="32"/>
      <c r="AE28" s="32"/>
      <c r="AF28" s="32"/>
      <c r="AG28" s="32"/>
    </row>
    <row r="29" spans="1:33" x14ac:dyDescent="0.35">
      <c r="L29" s="41"/>
      <c r="U29" s="22">
        <v>2.2999999999999998</v>
      </c>
      <c r="V29" s="23">
        <f t="shared" si="9"/>
        <v>40848.958333333328</v>
      </c>
      <c r="W29" s="23">
        <f t="shared" si="14"/>
        <v>2.0539393005263466E-2</v>
      </c>
      <c r="X29" s="23">
        <f t="shared" si="15"/>
        <v>5.563924612042262E-3</v>
      </c>
      <c r="Y29" s="4"/>
      <c r="Z29" s="40"/>
      <c r="AD29" s="32"/>
      <c r="AE29" s="32"/>
      <c r="AF29" s="32"/>
      <c r="AG29" s="32"/>
    </row>
    <row r="30" spans="1:33" x14ac:dyDescent="0.35">
      <c r="U30" s="22">
        <v>2.4</v>
      </c>
      <c r="V30" s="23">
        <f t="shared" si="9"/>
        <v>42625</v>
      </c>
      <c r="W30" s="23">
        <f t="shared" si="14"/>
        <v>2.0322014338357525E-2</v>
      </c>
      <c r="X30" s="23">
        <f t="shared" si="15"/>
        <v>5.5050388156304125E-3</v>
      </c>
      <c r="Y30" s="4"/>
      <c r="Z30" s="40"/>
      <c r="AD30" s="32"/>
      <c r="AE30" s="32"/>
      <c r="AF30" s="32"/>
      <c r="AG30" s="32"/>
    </row>
    <row r="31" spans="1:33" x14ac:dyDescent="0.35">
      <c r="F31" s="1"/>
      <c r="G31" s="1"/>
      <c r="U31" s="22">
        <v>2.5</v>
      </c>
      <c r="V31" s="23">
        <f t="shared" si="9"/>
        <v>44401.041666666664</v>
      </c>
      <c r="W31" s="23">
        <f t="shared" si="14"/>
        <v>2.011567274917794E-2</v>
      </c>
      <c r="X31" s="23">
        <f t="shared" si="15"/>
        <v>5.4491428577396412E-3</v>
      </c>
      <c r="Y31" s="4"/>
      <c r="Z31" s="40"/>
      <c r="AD31" s="32"/>
      <c r="AE31" s="32"/>
      <c r="AF31" s="32"/>
      <c r="AG31" s="32"/>
    </row>
    <row r="32" spans="1:33" x14ac:dyDescent="0.35">
      <c r="G32" s="19"/>
      <c r="Y32" s="4"/>
      <c r="Z32" s="40"/>
    </row>
    <row r="33" spans="7:27" x14ac:dyDescent="0.35">
      <c r="G33" s="19"/>
      <c r="Y33" s="4"/>
      <c r="Z33" s="40"/>
      <c r="AA33" s="1" t="s">
        <v>51</v>
      </c>
    </row>
    <row r="34" spans="7:27" x14ac:dyDescent="0.35">
      <c r="G34" s="19"/>
      <c r="Y34" s="4"/>
      <c r="Z34" s="40"/>
    </row>
    <row r="35" spans="7:27" x14ac:dyDescent="0.35">
      <c r="G35" s="19"/>
      <c r="Y35" s="4"/>
      <c r="Z35" s="40"/>
    </row>
    <row r="36" spans="7:27" x14ac:dyDescent="0.35">
      <c r="G36" s="19"/>
      <c r="Y36" s="4"/>
    </row>
    <row r="37" spans="7:27" x14ac:dyDescent="0.35">
      <c r="G37" s="19"/>
      <c r="Y37" s="4"/>
    </row>
    <row r="38" spans="7:27" x14ac:dyDescent="0.35">
      <c r="R38" s="1" t="s">
        <v>83</v>
      </c>
      <c r="S38" s="99" t="s">
        <v>82</v>
      </c>
      <c r="T38" s="5" t="s">
        <v>84</v>
      </c>
      <c r="Y38" s="4"/>
    </row>
    <row r="39" spans="7:27" x14ac:dyDescent="0.35">
      <c r="Q39" s="68">
        <v>15000</v>
      </c>
      <c r="R39" s="2">
        <f>((-0.0001)*(Q39)^2)+(3.5034*(Q39))+670430</f>
        <v>700481</v>
      </c>
      <c r="S39" s="72">
        <f>((-0.0000007)*(Q39)^2)-(0.0848*Q39)+27642</f>
        <v>26212.5</v>
      </c>
      <c r="T39" s="5">
        <f>((0.0000000001)*(Q39)^2)-((0.00001)*Q39)+26.141</f>
        <v>26.013499999999997</v>
      </c>
      <c r="U39" s="4"/>
      <c r="V39" s="16"/>
      <c r="W39" s="16"/>
      <c r="X39" s="4"/>
      <c r="Y39" s="4"/>
    </row>
    <row r="40" spans="7:27" x14ac:dyDescent="0.35">
      <c r="Q40" s="68">
        <v>22000</v>
      </c>
      <c r="R40" s="2">
        <f>((-0.0001)*(Q40)^2)+(3.5034*(Q40))+670430</f>
        <v>699104.8</v>
      </c>
      <c r="S40" s="72">
        <f t="shared" ref="S40:S41" si="16">((-0.0000007)*(Q40)^2)-(0.0848*Q40)+27642</f>
        <v>25437.599999999999</v>
      </c>
      <c r="T40" s="5">
        <f t="shared" ref="T40:T41" si="17">((0.0000000001)*(Q40)^2)-((0.00001)*Q40)+26.141</f>
        <v>25.969399999999997</v>
      </c>
      <c r="U40" s="4"/>
      <c r="V40" s="16"/>
      <c r="W40" s="16"/>
      <c r="X40" s="4"/>
      <c r="Y40" s="4"/>
    </row>
    <row r="41" spans="7:27" x14ac:dyDescent="0.35">
      <c r="Q41" s="68">
        <v>40000</v>
      </c>
      <c r="R41" s="2">
        <f>((-0.0001)*(Q41)^2)+(3.5034*(Q41))+670430</f>
        <v>650566</v>
      </c>
      <c r="S41" s="72">
        <f t="shared" si="16"/>
        <v>23130</v>
      </c>
      <c r="T41" s="5">
        <f t="shared" si="17"/>
        <v>25.901</v>
      </c>
      <c r="U41" s="4"/>
      <c r="V41" s="16"/>
      <c r="W41" s="16"/>
      <c r="X41" s="4"/>
      <c r="Y41" s="4"/>
    </row>
    <row r="42" spans="7:27" x14ac:dyDescent="0.35">
      <c r="U42" s="4"/>
      <c r="V42" s="16"/>
      <c r="W42" s="16"/>
      <c r="X42" s="4"/>
      <c r="Y42" s="4"/>
    </row>
    <row r="43" spans="7:27" x14ac:dyDescent="0.35">
      <c r="U43" s="4"/>
      <c r="V43" s="16"/>
      <c r="W43" s="16"/>
      <c r="X43" s="4"/>
      <c r="Y43" s="4"/>
    </row>
    <row r="44" spans="7:27" x14ac:dyDescent="0.35">
      <c r="U44" s="4"/>
      <c r="V44" s="16"/>
      <c r="W44" s="16"/>
    </row>
    <row r="45" spans="7:27" x14ac:dyDescent="0.35">
      <c r="U45" s="4"/>
      <c r="V45" s="16"/>
      <c r="W45" s="16"/>
    </row>
    <row r="46" spans="7:27" x14ac:dyDescent="0.35">
      <c r="U46" s="4"/>
      <c r="V46" s="16"/>
      <c r="W46" s="16"/>
    </row>
    <row r="47" spans="7:27" x14ac:dyDescent="0.35">
      <c r="U47" s="4"/>
      <c r="V47" s="16"/>
      <c r="W47" s="16"/>
    </row>
    <row r="48" spans="7:27" x14ac:dyDescent="0.35">
      <c r="U48" s="4"/>
      <c r="V48" s="16"/>
      <c r="W48" s="16"/>
    </row>
    <row r="49" spans="2:23" x14ac:dyDescent="0.35">
      <c r="U49" s="4"/>
      <c r="V49" s="16"/>
      <c r="W49" s="16"/>
    </row>
    <row r="50" spans="2:23" x14ac:dyDescent="0.35">
      <c r="U50" s="4"/>
      <c r="V50" s="16"/>
      <c r="W50" s="16"/>
    </row>
    <row r="51" spans="2:23" x14ac:dyDescent="0.35">
      <c r="U51" s="4"/>
      <c r="V51" s="16"/>
      <c r="W51" s="16"/>
    </row>
    <row r="52" spans="2:23" x14ac:dyDescent="0.35">
      <c r="U52" s="4"/>
      <c r="V52" s="16"/>
      <c r="W52" s="16"/>
    </row>
    <row r="53" spans="2:23" x14ac:dyDescent="0.35">
      <c r="U53" s="4"/>
      <c r="V53" s="16"/>
      <c r="W53" s="16"/>
    </row>
    <row r="54" spans="2:23" x14ac:dyDescent="0.35">
      <c r="U54" s="4"/>
    </row>
    <row r="64" spans="2:23" x14ac:dyDescent="0.35">
      <c r="B64" s="2">
        <v>0</v>
      </c>
    </row>
  </sheetData>
  <mergeCells count="3">
    <mergeCell ref="A3:N3"/>
    <mergeCell ref="Z5:AA5"/>
    <mergeCell ref="Q4:S4"/>
  </mergeCells>
  <pageMargins left="0.7" right="0.7" top="0.75" bottom="0.75" header="0.3" footer="0.3"/>
  <pageSetup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BB315-7CFF-4FB4-AABE-DF1A83B3FBAF}">
  <dimension ref="A1:G33"/>
  <sheetViews>
    <sheetView zoomScale="60" zoomScaleNormal="60" workbookViewId="0">
      <selection activeCell="H40" sqref="H40:L50"/>
    </sheetView>
  </sheetViews>
  <sheetFormatPr defaultRowHeight="15.5" x14ac:dyDescent="0.35"/>
  <cols>
    <col min="6" max="6" width="9.23046875" style="147"/>
  </cols>
  <sheetData>
    <row r="1" spans="1:7" x14ac:dyDescent="0.35">
      <c r="A1" t="s">
        <v>194</v>
      </c>
    </row>
    <row r="2" spans="1:7" x14ac:dyDescent="0.35">
      <c r="B2" s="155" t="s">
        <v>195</v>
      </c>
      <c r="C2" s="155"/>
      <c r="D2" s="155"/>
      <c r="E2" s="155"/>
    </row>
    <row r="3" spans="1:7" x14ac:dyDescent="0.35">
      <c r="B3" t="s">
        <v>196</v>
      </c>
      <c r="C3" t="s">
        <v>197</v>
      </c>
      <c r="D3" s="52" t="s">
        <v>198</v>
      </c>
      <c r="E3" s="52" t="s">
        <v>199</v>
      </c>
      <c r="F3" s="148" t="s">
        <v>200</v>
      </c>
      <c r="G3" s="149" t="s">
        <v>201</v>
      </c>
    </row>
    <row r="4" spans="1:7" x14ac:dyDescent="0.35">
      <c r="A4">
        <v>25</v>
      </c>
      <c r="B4">
        <v>17173.73507936508</v>
      </c>
      <c r="C4">
        <v>8.177587546588011E-3</v>
      </c>
      <c r="D4">
        <v>17173.73507936508</v>
      </c>
      <c r="E4">
        <v>7.2480438418379397E-3</v>
      </c>
      <c r="F4" s="147">
        <f>AVERAGE(B4,D4)</f>
        <v>17173.73507936508</v>
      </c>
      <c r="G4">
        <f>AVERAGE(C4,E4)</f>
        <v>7.7128156942129749E-3</v>
      </c>
    </row>
    <row r="5" spans="1:7" x14ac:dyDescent="0.35">
      <c r="A5">
        <v>30</v>
      </c>
      <c r="B5">
        <v>25760.602619047622</v>
      </c>
      <c r="C5">
        <v>7.8546251968259328E-3</v>
      </c>
      <c r="D5">
        <v>24404.78142857143</v>
      </c>
      <c r="E5">
        <v>6.5133160641055185E-3</v>
      </c>
      <c r="F5" s="147">
        <f t="shared" ref="F5:G9" si="0">AVERAGE(B5,D5)</f>
        <v>25082.692023809526</v>
      </c>
      <c r="G5">
        <f t="shared" si="0"/>
        <v>7.1839706304657261E-3</v>
      </c>
    </row>
    <row r="6" spans="1:7" x14ac:dyDescent="0.35">
      <c r="A6">
        <v>35</v>
      </c>
      <c r="B6">
        <v>31861.797976190479</v>
      </c>
      <c r="C6">
        <v>7.7415345859246877E-3</v>
      </c>
      <c r="D6">
        <v>30957.917182539688</v>
      </c>
      <c r="E6">
        <v>6.3133696245106299E-3</v>
      </c>
      <c r="F6" s="147">
        <f t="shared" si="0"/>
        <v>31409.857579365082</v>
      </c>
      <c r="G6">
        <f t="shared" si="0"/>
        <v>7.0274521052176592E-3</v>
      </c>
    </row>
    <row r="7" spans="1:7" x14ac:dyDescent="0.35">
      <c r="A7">
        <v>40</v>
      </c>
      <c r="B7">
        <v>39318.814523809524</v>
      </c>
      <c r="C7">
        <v>7.4983871209308439E-3</v>
      </c>
      <c r="D7">
        <v>38414.933730158729</v>
      </c>
      <c r="E7">
        <v>6.0794885944367083E-3</v>
      </c>
      <c r="F7" s="147">
        <f t="shared" si="0"/>
        <v>38866.874126984127</v>
      </c>
      <c r="G7">
        <f t="shared" si="0"/>
        <v>6.7889378576837765E-3</v>
      </c>
    </row>
    <row r="8" spans="1:7" x14ac:dyDescent="0.35">
      <c r="A8">
        <v>45</v>
      </c>
      <c r="B8">
        <v>45871.950277777782</v>
      </c>
      <c r="C8">
        <v>7.3294546557718847E-3</v>
      </c>
      <c r="D8">
        <v>45645.980079365079</v>
      </c>
      <c r="E8">
        <v>5.8398676726310675E-3</v>
      </c>
      <c r="F8" s="147">
        <f t="shared" si="0"/>
        <v>45758.96517857143</v>
      </c>
      <c r="G8">
        <f t="shared" si="0"/>
        <v>6.5846611642014757E-3</v>
      </c>
    </row>
    <row r="9" spans="1:7" x14ac:dyDescent="0.35">
      <c r="A9">
        <v>50</v>
      </c>
      <c r="B9">
        <v>52651.056230158734</v>
      </c>
      <c r="C9">
        <v>6.8598709171845025E-3</v>
      </c>
      <c r="D9">
        <v>52425.086031746032</v>
      </c>
      <c r="E9">
        <v>5.6547916735777753E-3</v>
      </c>
      <c r="F9" s="147">
        <f t="shared" si="0"/>
        <v>52538.071130952383</v>
      </c>
      <c r="G9">
        <f t="shared" si="0"/>
        <v>6.2573312953811393E-3</v>
      </c>
    </row>
    <row r="10" spans="1:7" x14ac:dyDescent="0.35">
      <c r="B10" s="155" t="s">
        <v>202</v>
      </c>
      <c r="C10" s="155"/>
      <c r="D10" s="155"/>
      <c r="E10" s="156"/>
    </row>
    <row r="11" spans="1:7" x14ac:dyDescent="0.35">
      <c r="B11" s="52" t="s">
        <v>203</v>
      </c>
      <c r="C11" s="52" t="s">
        <v>204</v>
      </c>
      <c r="D11" t="s">
        <v>198</v>
      </c>
      <c r="E11" t="s">
        <v>199</v>
      </c>
      <c r="F11" s="148" t="s">
        <v>200</v>
      </c>
      <c r="G11" s="149" t="s">
        <v>201</v>
      </c>
    </row>
    <row r="12" spans="1:7" x14ac:dyDescent="0.35">
      <c r="A12">
        <v>25</v>
      </c>
      <c r="B12">
        <v>17643.547615965479</v>
      </c>
      <c r="C12">
        <v>7.3808841301291894E-3</v>
      </c>
      <c r="D12">
        <v>17255.906060606056</v>
      </c>
      <c r="E12">
        <v>7.1668335484965486E-3</v>
      </c>
      <c r="F12" s="147">
        <f>AVERAGE(B12,D12)</f>
        <v>17449.726838285766</v>
      </c>
      <c r="G12">
        <f>AVERAGE(C12,E12)</f>
        <v>7.2738588393128686E-3</v>
      </c>
    </row>
    <row r="13" spans="1:7" x14ac:dyDescent="0.35">
      <c r="A13">
        <v>30</v>
      </c>
      <c r="B13">
        <v>25621.499581445525</v>
      </c>
      <c r="C13">
        <v>7.3768057355044943E-3</v>
      </c>
      <c r="D13">
        <v>24959.435551948049</v>
      </c>
      <c r="E13">
        <v>8.2918058912631841E-3</v>
      </c>
      <c r="F13" s="147">
        <f t="shared" ref="F13:G17" si="1">AVERAGE(B13,D13)</f>
        <v>25290.467566696789</v>
      </c>
      <c r="G13">
        <f t="shared" si="1"/>
        <v>7.8343058133838392E-3</v>
      </c>
    </row>
    <row r="14" spans="1:7" x14ac:dyDescent="0.35">
      <c r="A14">
        <v>35</v>
      </c>
      <c r="B14">
        <v>32985.762934196326</v>
      </c>
      <c r="C14">
        <v>7.6045020159216286E-3</v>
      </c>
      <c r="D14">
        <v>32971.106222943716</v>
      </c>
      <c r="E14">
        <v>8.0103373727871859E-3</v>
      </c>
      <c r="F14" s="147">
        <f t="shared" si="1"/>
        <v>32978.434578570021</v>
      </c>
      <c r="G14">
        <f t="shared" si="1"/>
        <v>7.8074196943544068E-3</v>
      </c>
    </row>
    <row r="15" spans="1:7" x14ac:dyDescent="0.35">
      <c r="A15">
        <v>40</v>
      </c>
      <c r="B15">
        <v>40810.292746494059</v>
      </c>
      <c r="C15">
        <v>7.6823078619262667E-3</v>
      </c>
      <c r="D15">
        <v>40212.423944805189</v>
      </c>
      <c r="E15">
        <v>7.8994868078460165E-3</v>
      </c>
      <c r="F15" s="147">
        <f t="shared" si="1"/>
        <v>40511.358345649627</v>
      </c>
      <c r="G15">
        <f t="shared" si="1"/>
        <v>7.7908973348861411E-3</v>
      </c>
    </row>
    <row r="16" spans="1:7" x14ac:dyDescent="0.35">
      <c r="A16">
        <v>45</v>
      </c>
      <c r="B16">
        <v>46793.756720604091</v>
      </c>
      <c r="C16">
        <v>7.8456121937399356E-3</v>
      </c>
      <c r="D16">
        <v>46837.459307359313</v>
      </c>
      <c r="E16">
        <v>7.1540356801380782E-3</v>
      </c>
      <c r="F16" s="147">
        <f t="shared" si="1"/>
        <v>46815.608013981706</v>
      </c>
      <c r="G16">
        <f t="shared" si="1"/>
        <v>7.4998239369390065E-3</v>
      </c>
    </row>
    <row r="17" spans="1:7" x14ac:dyDescent="0.35">
      <c r="A17">
        <v>50</v>
      </c>
      <c r="B17">
        <v>53544.331460625675</v>
      </c>
      <c r="C17">
        <v>7.5893012677243025E-3</v>
      </c>
      <c r="D17">
        <v>51767.718181818185</v>
      </c>
      <c r="E17">
        <v>6.1201523299938771E-3</v>
      </c>
      <c r="F17" s="147">
        <f t="shared" si="1"/>
        <v>52656.02482122193</v>
      </c>
      <c r="G17">
        <f t="shared" si="1"/>
        <v>6.8547267988590902E-3</v>
      </c>
    </row>
    <row r="18" spans="1:7" x14ac:dyDescent="0.35">
      <c r="B18" s="155" t="s">
        <v>205</v>
      </c>
      <c r="C18" s="155"/>
      <c r="D18" s="155"/>
      <c r="E18" s="156"/>
    </row>
    <row r="19" spans="1:7" x14ac:dyDescent="0.35">
      <c r="B19" t="s">
        <v>203</v>
      </c>
      <c r="C19" t="s">
        <v>204</v>
      </c>
      <c r="D19" t="s">
        <v>198</v>
      </c>
      <c r="E19" t="s">
        <v>199</v>
      </c>
      <c r="F19" s="148" t="s">
        <v>200</v>
      </c>
      <c r="G19" s="149" t="s">
        <v>201</v>
      </c>
    </row>
    <row r="20" spans="1:7" x14ac:dyDescent="0.35">
      <c r="A20">
        <v>25</v>
      </c>
      <c r="B20">
        <v>17092.480290249434</v>
      </c>
      <c r="C20">
        <v>1.2441030586201265E-2</v>
      </c>
      <c r="D20">
        <v>16525.642491230723</v>
      </c>
      <c r="E20">
        <v>1.1911162392933362E-2</v>
      </c>
      <c r="F20" s="147">
        <f>AVERAGE(B20,D20)</f>
        <v>16809.061390740077</v>
      </c>
      <c r="G20">
        <f>AVERAGE(C20,E20)</f>
        <v>1.2176096489567315E-2</v>
      </c>
    </row>
    <row r="21" spans="1:7" x14ac:dyDescent="0.35">
      <c r="A21">
        <v>30</v>
      </c>
      <c r="B21">
        <v>24348.721922902492</v>
      </c>
      <c r="C21">
        <v>1.2423623758869535E-2</v>
      </c>
      <c r="D21">
        <v>23135.899487723014</v>
      </c>
      <c r="E21">
        <v>1.1156585428062358E-2</v>
      </c>
      <c r="F21" s="147">
        <f t="shared" ref="F21:G25" si="2">AVERAGE(B21,D21)</f>
        <v>23742.310705312753</v>
      </c>
      <c r="G21">
        <f t="shared" si="2"/>
        <v>1.1790104593465946E-2</v>
      </c>
    </row>
    <row r="22" spans="1:7" x14ac:dyDescent="0.35">
      <c r="A22">
        <v>35</v>
      </c>
      <c r="B22">
        <v>32249.962811791389</v>
      </c>
      <c r="C22">
        <v>1.256604135507821E-2</v>
      </c>
      <c r="D22">
        <v>30320.96144043202</v>
      </c>
      <c r="E22">
        <v>1.0682836246979188E-2</v>
      </c>
      <c r="F22" s="147">
        <f t="shared" si="2"/>
        <v>31285.462126111706</v>
      </c>
      <c r="G22">
        <f t="shared" si="2"/>
        <v>1.1624438801028699E-2</v>
      </c>
    </row>
    <row r="23" spans="1:7" x14ac:dyDescent="0.35">
      <c r="A23">
        <v>40</v>
      </c>
      <c r="B23">
        <v>39183.704816326535</v>
      </c>
      <c r="C23">
        <v>1.2688328481080976E-2</v>
      </c>
      <c r="D23">
        <v>36500.114719761768</v>
      </c>
      <c r="E23">
        <v>1.042866723901972E-2</v>
      </c>
      <c r="F23" s="147">
        <f t="shared" si="2"/>
        <v>37841.909768044148</v>
      </c>
      <c r="G23">
        <f t="shared" si="2"/>
        <v>1.1558497860050348E-2</v>
      </c>
    </row>
    <row r="24" spans="1:7" x14ac:dyDescent="0.35">
      <c r="A24">
        <v>45</v>
      </c>
      <c r="B24">
        <v>45956.197006802722</v>
      </c>
      <c r="C24">
        <v>1.2236436649216273E-2</v>
      </c>
      <c r="D24">
        <v>43254.072955308235</v>
      </c>
      <c r="E24">
        <v>9.6013458520381265E-3</v>
      </c>
      <c r="F24" s="147">
        <f t="shared" si="2"/>
        <v>44605.134981055482</v>
      </c>
      <c r="G24">
        <f t="shared" si="2"/>
        <v>1.09188912506272E-2</v>
      </c>
    </row>
    <row r="25" spans="1:7" x14ac:dyDescent="0.35">
      <c r="A25">
        <v>50</v>
      </c>
      <c r="B25">
        <v>52486.814476190477</v>
      </c>
      <c r="C25">
        <v>9.7314080436958095E-3</v>
      </c>
      <c r="D25">
        <v>49002.122517475444</v>
      </c>
      <c r="E25">
        <v>8.3077964975756102E-3</v>
      </c>
      <c r="F25" s="147">
        <f t="shared" si="2"/>
        <v>50744.46849683296</v>
      </c>
      <c r="G25">
        <f t="shared" si="2"/>
        <v>9.0196022706357099E-3</v>
      </c>
    </row>
    <row r="26" spans="1:7" x14ac:dyDescent="0.35">
      <c r="B26" s="155" t="s">
        <v>206</v>
      </c>
      <c r="C26" s="155"/>
      <c r="D26" s="155"/>
      <c r="E26" s="156"/>
    </row>
    <row r="27" spans="1:7" x14ac:dyDescent="0.35">
      <c r="B27" t="s">
        <v>203</v>
      </c>
      <c r="C27" t="s">
        <v>204</v>
      </c>
      <c r="D27" t="s">
        <v>198</v>
      </c>
      <c r="E27" t="s">
        <v>199</v>
      </c>
      <c r="F27" s="148" t="s">
        <v>200</v>
      </c>
      <c r="G27" s="149" t="s">
        <v>201</v>
      </c>
    </row>
    <row r="28" spans="1:7" x14ac:dyDescent="0.35">
      <c r="A28">
        <v>25</v>
      </c>
      <c r="D28">
        <v>14901.440328763087</v>
      </c>
      <c r="E28">
        <v>2.4462623109659163E-2</v>
      </c>
      <c r="F28" s="147">
        <v>14901.440328763087</v>
      </c>
      <c r="G28">
        <v>1.3713353415781136E-2</v>
      </c>
    </row>
    <row r="29" spans="1:7" x14ac:dyDescent="0.35">
      <c r="A29">
        <v>30</v>
      </c>
      <c r="D29">
        <v>21722.522169394077</v>
      </c>
      <c r="E29">
        <v>3.2573254877477475E-2</v>
      </c>
      <c r="F29" s="147">
        <v>21722.522169394077</v>
      </c>
      <c r="G29">
        <v>1.512538070955566E-2</v>
      </c>
    </row>
    <row r="30" spans="1:7" x14ac:dyDescent="0.35">
      <c r="A30">
        <v>35</v>
      </c>
      <c r="D30">
        <v>27809.02596564942</v>
      </c>
      <c r="E30">
        <v>3.3435129309467584E-2</v>
      </c>
      <c r="F30" s="147">
        <v>27809.02596564942</v>
      </c>
      <c r="G30">
        <v>1.5215090833516069E-2</v>
      </c>
    </row>
    <row r="31" spans="1:7" x14ac:dyDescent="0.35">
      <c r="A31">
        <v>40</v>
      </c>
      <c r="D31">
        <v>34000.469482529857</v>
      </c>
      <c r="E31">
        <v>2.7105310125050838E-2</v>
      </c>
      <c r="F31" s="147">
        <v>34000.469482529857</v>
      </c>
      <c r="G31">
        <v>1.3945610093808108E-2</v>
      </c>
    </row>
    <row r="32" spans="1:7" x14ac:dyDescent="0.35">
      <c r="A32">
        <v>45</v>
      </c>
      <c r="D32">
        <v>40017.013465035139</v>
      </c>
      <c r="E32">
        <v>1.2661540400639711E-2</v>
      </c>
      <c r="F32" s="147">
        <v>40017.013465035139</v>
      </c>
      <c r="G32">
        <v>1.0595984233301277E-2</v>
      </c>
    </row>
    <row r="33" spans="1:7" x14ac:dyDescent="0.35">
      <c r="A33">
        <v>50</v>
      </c>
      <c r="D33">
        <v>44494.441545039066</v>
      </c>
      <c r="E33">
        <v>6.5980471633934907E-3</v>
      </c>
      <c r="F33" s="147">
        <v>44494.441545039066</v>
      </c>
      <c r="G33">
        <v>8.6969785125901831E-3</v>
      </c>
    </row>
  </sheetData>
  <mergeCells count="4">
    <mergeCell ref="B2:E2"/>
    <mergeCell ref="B10:E10"/>
    <mergeCell ref="B18:E18"/>
    <mergeCell ref="B26:E2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26388-2B5C-439F-8AF3-7294E40A92EC}">
  <dimension ref="A1:AG64"/>
  <sheetViews>
    <sheetView topLeftCell="A5" zoomScale="30" zoomScaleNormal="30" zoomScalePageLayoutView="90" workbookViewId="0">
      <selection activeCell="AB50" sqref="AB50"/>
    </sheetView>
  </sheetViews>
  <sheetFormatPr defaultColWidth="8.69140625" defaultRowHeight="15.5" x14ac:dyDescent="0.35"/>
  <cols>
    <col min="1" max="4" width="8.69140625" style="2"/>
    <col min="5" max="5" width="12.3046875" style="2" customWidth="1"/>
    <col min="6" max="6" width="15.69140625" style="2" bestFit="1" customWidth="1"/>
    <col min="7" max="7" width="8.53515625" style="2" customWidth="1"/>
    <col min="8" max="8" width="8.69140625" style="2"/>
    <col min="9" max="9" width="15.69140625" style="2" bestFit="1" customWidth="1"/>
    <col min="10" max="10" width="12.23046875" style="2" customWidth="1"/>
    <col min="11" max="11" width="10.4609375" style="2" customWidth="1"/>
    <col min="12" max="12" width="8.53515625" style="3" customWidth="1"/>
    <col min="13" max="13" width="6.765625" style="4" customWidth="1"/>
    <col min="14" max="14" width="8.4609375" style="4" customWidth="1"/>
    <col min="15" max="15" width="9.07421875" style="4" customWidth="1"/>
    <col min="16" max="16" width="27.23046875" style="4" customWidth="1"/>
    <col min="17" max="17" width="12.765625" style="68" customWidth="1"/>
    <col min="18" max="18" width="10" style="2" customWidth="1"/>
    <col min="19" max="19" width="10" style="72" customWidth="1"/>
    <col min="20" max="20" width="8.4609375" style="5" customWidth="1"/>
    <col min="21" max="21" width="10.23046875" style="2" customWidth="1"/>
    <col min="22" max="22" width="13.84375" style="2" customWidth="1"/>
    <col min="23" max="25" width="10" style="2" customWidth="1"/>
    <col min="26" max="26" width="21" style="2" customWidth="1"/>
    <col min="27" max="27" width="8.69140625" style="2" customWidth="1"/>
    <col min="28" max="28" width="8.69140625" style="2"/>
    <col min="29" max="29" width="22" style="2" customWidth="1"/>
    <col min="30" max="30" width="35.84375" style="2" customWidth="1"/>
    <col min="31" max="31" width="16.84375" style="2" customWidth="1"/>
    <col min="32" max="16384" width="8.69140625" style="2"/>
  </cols>
  <sheetData>
    <row r="1" spans="1:31" x14ac:dyDescent="0.35">
      <c r="A1" s="1"/>
      <c r="I1" s="1"/>
      <c r="J1" s="1"/>
      <c r="Q1" s="69" t="s">
        <v>116</v>
      </c>
    </row>
    <row r="2" spans="1:31" x14ac:dyDescent="0.35">
      <c r="A2" s="1"/>
      <c r="I2" s="1"/>
      <c r="J2" s="1"/>
      <c r="Q2" s="69" t="s">
        <v>85</v>
      </c>
    </row>
    <row r="3" spans="1:31" x14ac:dyDescent="0.35">
      <c r="A3" s="150" t="s">
        <v>3</v>
      </c>
      <c r="B3" s="150"/>
      <c r="C3" s="150"/>
      <c r="D3" s="150"/>
      <c r="E3" s="150"/>
      <c r="F3" s="150"/>
      <c r="G3" s="150"/>
      <c r="H3" s="150"/>
      <c r="I3" s="150"/>
      <c r="J3" s="150"/>
      <c r="K3" s="150"/>
      <c r="L3" s="150"/>
      <c r="M3" s="150"/>
      <c r="N3" s="150"/>
      <c r="O3" s="66"/>
      <c r="P3" s="66"/>
      <c r="T3" s="7"/>
    </row>
    <row r="4" spans="1:31" x14ac:dyDescent="0.35">
      <c r="Q4" s="152" t="s">
        <v>81</v>
      </c>
      <c r="R4" s="153"/>
      <c r="S4" s="154"/>
    </row>
    <row r="5" spans="1:31" ht="19" x14ac:dyDescent="0.4">
      <c r="A5" s="8"/>
      <c r="B5" s="9" t="s">
        <v>4</v>
      </c>
      <c r="C5" s="9" t="s">
        <v>5</v>
      </c>
      <c r="D5" s="10" t="s">
        <v>6</v>
      </c>
      <c r="E5" s="10" t="s">
        <v>7</v>
      </c>
      <c r="F5" s="10" t="s">
        <v>8</v>
      </c>
      <c r="G5" s="10" t="s">
        <v>9</v>
      </c>
      <c r="H5" s="10" t="s">
        <v>10</v>
      </c>
      <c r="I5" s="9" t="s">
        <v>11</v>
      </c>
      <c r="J5" s="9" t="s">
        <v>12</v>
      </c>
      <c r="K5" s="9" t="s">
        <v>13</v>
      </c>
      <c r="L5" s="11" t="s">
        <v>14</v>
      </c>
      <c r="M5" s="12" t="s">
        <v>15</v>
      </c>
      <c r="N5" s="13" t="s">
        <v>16</v>
      </c>
      <c r="O5" s="14" t="s">
        <v>17</v>
      </c>
      <c r="P5" s="14" t="s">
        <v>18</v>
      </c>
      <c r="Q5" s="75" t="s">
        <v>83</v>
      </c>
      <c r="R5" s="67" t="s">
        <v>82</v>
      </c>
      <c r="S5" s="76" t="s">
        <v>84</v>
      </c>
      <c r="T5" s="14"/>
      <c r="U5" s="15" t="s">
        <v>19</v>
      </c>
      <c r="V5" s="16" t="s">
        <v>14</v>
      </c>
      <c r="W5" s="15" t="s">
        <v>20</v>
      </c>
      <c r="X5" s="16" t="s">
        <v>21</v>
      </c>
      <c r="Y5" s="1"/>
      <c r="Z5" s="151" t="s">
        <v>22</v>
      </c>
      <c r="AA5" s="151"/>
    </row>
    <row r="6" spans="1:31" x14ac:dyDescent="0.35">
      <c r="A6" s="17" t="s">
        <v>23</v>
      </c>
      <c r="B6" s="18">
        <v>0</v>
      </c>
      <c r="C6" s="19">
        <f t="shared" ref="C6:C18" si="0">B6*0.0166667</f>
        <v>0</v>
      </c>
      <c r="D6" s="19">
        <f t="shared" ref="D6:D18" si="1">B6*0.000277778</f>
        <v>0</v>
      </c>
      <c r="E6" s="3">
        <f t="shared" ref="E6:E18" si="2">0.001*D6</f>
        <v>0</v>
      </c>
      <c r="F6" s="19">
        <f t="shared" ref="F6:F18" si="3">E6/AA$7</f>
        <v>0</v>
      </c>
      <c r="G6" s="19">
        <f t="shared" ref="G6:G18" si="4">F6^(2)</f>
        <v>0</v>
      </c>
      <c r="H6" s="19">
        <f t="shared" ref="H6:H18" si="5">F6*1.94384</f>
        <v>0</v>
      </c>
      <c r="I6" s="20">
        <v>0</v>
      </c>
      <c r="J6" s="20">
        <f t="shared" ref="J6:J18" si="6">I6 * 10</f>
        <v>0</v>
      </c>
      <c r="K6" s="21">
        <f t="shared" ref="K6:K18" si="7">J6*100</f>
        <v>0</v>
      </c>
      <c r="L6" s="3">
        <f t="shared" ref="L6:L18" si="8">(F6*AA$11)/AA$12</f>
        <v>0</v>
      </c>
      <c r="U6" s="22">
        <v>0</v>
      </c>
      <c r="V6" s="23">
        <f t="shared" ref="V6:V31" si="9">(U6*AA$11)/AA$12</f>
        <v>0</v>
      </c>
      <c r="W6" s="23"/>
      <c r="X6" s="23"/>
    </row>
    <row r="7" spans="1:31" x14ac:dyDescent="0.35">
      <c r="A7" s="2" t="s">
        <v>52</v>
      </c>
      <c r="B7" s="2">
        <v>1850</v>
      </c>
      <c r="C7" s="19">
        <f t="shared" si="0"/>
        <v>30.833394999999999</v>
      </c>
      <c r="D7" s="19">
        <f t="shared" si="1"/>
        <v>0.51388929999999999</v>
      </c>
      <c r="E7" s="3">
        <f t="shared" si="2"/>
        <v>5.1388930000000001E-4</v>
      </c>
      <c r="F7" s="19">
        <f t="shared" si="3"/>
        <v>1.0277786</v>
      </c>
      <c r="G7" s="19">
        <f t="shared" si="4"/>
        <v>1.05632885061796</v>
      </c>
      <c r="H7" s="19">
        <f t="shared" si="5"/>
        <v>1.9978371538240001</v>
      </c>
      <c r="I7" s="2">
        <v>1.3446129032258063</v>
      </c>
      <c r="J7" s="20">
        <f t="shared" si="6"/>
        <v>13.446129032258064</v>
      </c>
      <c r="K7" s="21">
        <f t="shared" si="7"/>
        <v>1344.6129032258063</v>
      </c>
      <c r="L7" s="3">
        <f t="shared" si="8"/>
        <v>16721.794682539683</v>
      </c>
      <c r="M7" s="4">
        <f t="shared" ref="M7:M18" si="10">(AA$15*G7*N7)/8</f>
        <v>7.0031922043010733</v>
      </c>
      <c r="N7" s="4">
        <f t="shared" ref="N7:N18" si="11">(K7*2*AA$11)/(AA$13*AA$15*G7)</f>
        <v>5.174436074027907E-2</v>
      </c>
      <c r="O7" s="4">
        <f t="shared" ref="O7:O18" si="12">N7/4</f>
        <v>1.2936090185069768E-2</v>
      </c>
      <c r="P7" s="4">
        <f t="shared" ref="P7:P18" si="13">3.7*(10^(-1/(2*SQRT(N7)))-2.51/(L7*SQRT(N7)))</f>
        <v>2.100870251746657E-2</v>
      </c>
      <c r="Q7" s="93" t="s">
        <v>177</v>
      </c>
      <c r="R7" s="98"/>
      <c r="S7" s="101"/>
      <c r="U7" s="22">
        <v>0.1</v>
      </c>
      <c r="V7" s="23">
        <f>(U7*AA$11)/AA$12</f>
        <v>1626.984126984127</v>
      </c>
      <c r="W7" s="23">
        <f t="shared" ref="W7:W31" si="14">0.292/(V7^(0.25))</f>
        <v>4.5976618071962377E-2</v>
      </c>
      <c r="X7" s="23">
        <f>0.0791/(V7^0.25)</f>
        <v>1.2454624964014468E-2</v>
      </c>
      <c r="Y7" s="25"/>
      <c r="Z7" s="1" t="s">
        <v>24</v>
      </c>
      <c r="AA7" s="2">
        <f>AA$9*AA$10</f>
        <v>5.0000000000000001E-4</v>
      </c>
    </row>
    <row r="8" spans="1:31" x14ac:dyDescent="0.35">
      <c r="A8" s="2" t="s">
        <v>53</v>
      </c>
      <c r="B8" s="2">
        <v>2600</v>
      </c>
      <c r="C8" s="19">
        <f t="shared" si="0"/>
        <v>43.333419999999997</v>
      </c>
      <c r="D8" s="19">
        <f t="shared" si="1"/>
        <v>0.72222280000000005</v>
      </c>
      <c r="E8" s="3">
        <f t="shared" si="2"/>
        <v>7.2222280000000007E-4</v>
      </c>
      <c r="F8" s="19">
        <f t="shared" si="3"/>
        <v>1.4444456000000001</v>
      </c>
      <c r="G8" s="19">
        <f t="shared" si="4"/>
        <v>2.0864230913593604</v>
      </c>
      <c r="H8" s="19">
        <f t="shared" si="5"/>
        <v>2.8077711351040002</v>
      </c>
      <c r="I8" s="2">
        <v>2.6717096774193543</v>
      </c>
      <c r="J8" s="20">
        <f t="shared" si="6"/>
        <v>26.717096774193543</v>
      </c>
      <c r="K8" s="21">
        <f t="shared" si="7"/>
        <v>2671.7096774193542</v>
      </c>
      <c r="L8" s="3">
        <f t="shared" si="8"/>
        <v>23500.900634920636</v>
      </c>
      <c r="M8" s="4">
        <f t="shared" si="10"/>
        <v>13.915154569892469</v>
      </c>
      <c r="N8" s="4">
        <f t="shared" si="11"/>
        <v>5.2053720502672089E-2</v>
      </c>
      <c r="O8" s="4">
        <f t="shared" si="12"/>
        <v>1.3013430125668022E-2</v>
      </c>
      <c r="P8" s="4">
        <f t="shared" si="13"/>
        <v>2.2074039306782794E-2</v>
      </c>
      <c r="Q8" s="102"/>
      <c r="R8" s="103"/>
      <c r="S8" s="104"/>
      <c r="U8" s="22">
        <v>0.2</v>
      </c>
      <c r="V8" s="23">
        <f t="shared" si="9"/>
        <v>3253.968253968254</v>
      </c>
      <c r="W8" s="23">
        <f t="shared" si="14"/>
        <v>3.8661573322202318E-2</v>
      </c>
      <c r="X8" s="23">
        <f t="shared" ref="X8:X31" si="15">0.0791/(V8^0.25)</f>
        <v>1.0473049485569191E-2</v>
      </c>
      <c r="Y8" s="25"/>
      <c r="Z8" s="2" t="s">
        <v>25</v>
      </c>
    </row>
    <row r="9" spans="1:31" ht="19" x14ac:dyDescent="0.4">
      <c r="A9" s="2" t="s">
        <v>54</v>
      </c>
      <c r="B9" s="2">
        <v>3500</v>
      </c>
      <c r="C9" s="19">
        <f t="shared" si="0"/>
        <v>58.333449999999999</v>
      </c>
      <c r="D9" s="19">
        <f t="shared" si="1"/>
        <v>0.97222300000000006</v>
      </c>
      <c r="E9" s="3">
        <f t="shared" si="2"/>
        <v>9.7222300000000003E-4</v>
      </c>
      <c r="F9" s="19">
        <f t="shared" si="3"/>
        <v>1.9444460000000001</v>
      </c>
      <c r="G9" s="19">
        <f t="shared" si="4"/>
        <v>3.7808702469160003</v>
      </c>
      <c r="H9" s="19">
        <f t="shared" si="5"/>
        <v>3.7796919126400002</v>
      </c>
      <c r="I9" s="2">
        <v>4.7533225806451611</v>
      </c>
      <c r="J9" s="20">
        <f t="shared" si="6"/>
        <v>47.533225806451611</v>
      </c>
      <c r="K9" s="21">
        <f t="shared" si="7"/>
        <v>4753.322580645161</v>
      </c>
      <c r="L9" s="3">
        <f t="shared" si="8"/>
        <v>31635.827777777777</v>
      </c>
      <c r="M9" s="4">
        <f t="shared" si="10"/>
        <v>24.756888440860212</v>
      </c>
      <c r="N9" s="4">
        <f t="shared" si="11"/>
        <v>5.1105825518817427E-2</v>
      </c>
      <c r="O9" s="4">
        <f t="shared" si="12"/>
        <v>1.2776456379704357E-2</v>
      </c>
      <c r="P9" s="4">
        <f t="shared" si="13"/>
        <v>2.1424042571642585E-2</v>
      </c>
      <c r="Q9" s="78"/>
      <c r="R9" s="61"/>
      <c r="S9" s="79"/>
      <c r="U9" s="22">
        <v>0.3</v>
      </c>
      <c r="V9" s="23">
        <f t="shared" si="9"/>
        <v>4880.9523809523807</v>
      </c>
      <c r="W9" s="23">
        <f t="shared" si="14"/>
        <v>3.493467511665093E-2</v>
      </c>
      <c r="X9" s="23">
        <f t="shared" si="15"/>
        <v>9.4634684990653733E-3</v>
      </c>
      <c r="Y9" s="25"/>
      <c r="Z9" s="1" t="s">
        <v>26</v>
      </c>
      <c r="AA9" s="19">
        <v>0.05</v>
      </c>
      <c r="AD9" s="27" t="s">
        <v>27</v>
      </c>
    </row>
    <row r="10" spans="1:31" ht="18.5" x14ac:dyDescent="0.35">
      <c r="A10" s="2" t="s">
        <v>55</v>
      </c>
      <c r="B10" s="2">
        <v>4200</v>
      </c>
      <c r="C10" s="19">
        <f t="shared" si="0"/>
        <v>70.000140000000002</v>
      </c>
      <c r="D10" s="19">
        <f t="shared" si="1"/>
        <v>1.1666676</v>
      </c>
      <c r="E10" s="3">
        <f t="shared" si="2"/>
        <v>1.1666676000000001E-3</v>
      </c>
      <c r="F10" s="19">
        <f t="shared" si="3"/>
        <v>2.3333352000000001</v>
      </c>
      <c r="G10" s="19">
        <f t="shared" si="4"/>
        <v>5.4444531555590405</v>
      </c>
      <c r="H10" s="19">
        <f t="shared" si="5"/>
        <v>4.5356302951680005</v>
      </c>
      <c r="I10" s="2">
        <v>6.9426774193548404</v>
      </c>
      <c r="J10" s="20">
        <f t="shared" si="6"/>
        <v>69.426774193548397</v>
      </c>
      <c r="K10" s="21">
        <f t="shared" si="7"/>
        <v>6942.6774193548399</v>
      </c>
      <c r="L10" s="3">
        <f t="shared" si="8"/>
        <v>37962.993333333332</v>
      </c>
      <c r="M10" s="4">
        <f t="shared" si="10"/>
        <v>36.159778225806463</v>
      </c>
      <c r="N10" s="4">
        <f t="shared" si="11"/>
        <v>5.1836732038956931E-2</v>
      </c>
      <c r="O10" s="4">
        <f t="shared" si="12"/>
        <v>1.2959183009739233E-2</v>
      </c>
      <c r="P10" s="4">
        <f t="shared" si="13"/>
        <v>2.2481785889954999E-2</v>
      </c>
      <c r="Q10" s="78"/>
      <c r="R10" s="61"/>
      <c r="S10" s="79"/>
      <c r="U10" s="22">
        <v>0.4</v>
      </c>
      <c r="V10" s="23">
        <f t="shared" si="9"/>
        <v>6507.936507936508</v>
      </c>
      <c r="W10" s="23">
        <f t="shared" si="14"/>
        <v>3.2510378414708573E-2</v>
      </c>
      <c r="X10" s="23">
        <f t="shared" si="15"/>
        <v>8.8067497691898915E-3</v>
      </c>
      <c r="Y10" s="25"/>
      <c r="Z10" s="1" t="s">
        <v>28</v>
      </c>
      <c r="AA10" s="19">
        <v>0.01</v>
      </c>
      <c r="AD10" s="28" t="s">
        <v>29</v>
      </c>
      <c r="AE10" s="2" t="s">
        <v>30</v>
      </c>
    </row>
    <row r="11" spans="1:31" ht="16.5" x14ac:dyDescent="0.4">
      <c r="A11" s="2" t="s">
        <v>56</v>
      </c>
      <c r="B11" s="2">
        <v>4850</v>
      </c>
      <c r="C11" s="19">
        <f t="shared" si="0"/>
        <v>80.833494999999999</v>
      </c>
      <c r="D11" s="19">
        <f t="shared" si="1"/>
        <v>1.3472233</v>
      </c>
      <c r="E11" s="3">
        <f t="shared" si="2"/>
        <v>1.3472233000000001E-3</v>
      </c>
      <c r="F11" s="19">
        <f t="shared" si="3"/>
        <v>2.6944466</v>
      </c>
      <c r="G11" s="19">
        <f t="shared" si="4"/>
        <v>7.2600424802515597</v>
      </c>
      <c r="H11" s="19">
        <f t="shared" si="5"/>
        <v>5.237573078944</v>
      </c>
      <c r="I11" s="2">
        <v>9.1581612903225764</v>
      </c>
      <c r="J11" s="20">
        <f t="shared" si="6"/>
        <v>91.581612903225761</v>
      </c>
      <c r="K11" s="21">
        <f t="shared" si="7"/>
        <v>9158.161290322576</v>
      </c>
      <c r="L11" s="3">
        <f t="shared" si="8"/>
        <v>43838.21849206349</v>
      </c>
      <c r="M11" s="4">
        <f t="shared" si="10"/>
        <v>47.698756720430083</v>
      </c>
      <c r="N11" s="4">
        <f t="shared" si="11"/>
        <v>5.1278347240263804E-2</v>
      </c>
      <c r="O11" s="4">
        <f t="shared" si="12"/>
        <v>1.2819586810065951E-2</v>
      </c>
      <c r="P11" s="4">
        <f t="shared" si="13"/>
        <v>2.1982741168394028E-2</v>
      </c>
      <c r="Q11" s="94"/>
      <c r="R11" s="22"/>
      <c r="S11" s="100"/>
      <c r="U11" s="22">
        <v>0.5</v>
      </c>
      <c r="V11" s="23">
        <f t="shared" si="9"/>
        <v>8134.9206349206352</v>
      </c>
      <c r="W11" s="23">
        <f t="shared" si="14"/>
        <v>3.0746417591228595E-2</v>
      </c>
      <c r="X11" s="23">
        <f t="shared" si="15"/>
        <v>8.3289096968019935E-3</v>
      </c>
      <c r="Y11" s="25"/>
      <c r="Z11" s="1" t="s">
        <v>163</v>
      </c>
      <c r="AA11" s="4">
        <f>2*(AA9*AA10)/(AA9+AA10)</f>
        <v>1.6666666666666666E-2</v>
      </c>
      <c r="AB11" s="1">
        <f>10*AA11*100</f>
        <v>16.666666666666664</v>
      </c>
      <c r="AD11" s="27" t="s">
        <v>32</v>
      </c>
      <c r="AE11" s="2" t="s">
        <v>33</v>
      </c>
    </row>
    <row r="12" spans="1:31" x14ac:dyDescent="0.35">
      <c r="A12" s="2" t="s">
        <v>63</v>
      </c>
      <c r="C12" s="19">
        <f t="shared" si="0"/>
        <v>0</v>
      </c>
      <c r="D12" s="19">
        <f t="shared" si="1"/>
        <v>0</v>
      </c>
      <c r="E12" s="3">
        <f t="shared" si="2"/>
        <v>0</v>
      </c>
      <c r="F12" s="19">
        <f t="shared" si="3"/>
        <v>0</v>
      </c>
      <c r="G12" s="19">
        <f t="shared" si="4"/>
        <v>0</v>
      </c>
      <c r="H12" s="19">
        <f t="shared" si="5"/>
        <v>0</v>
      </c>
      <c r="J12" s="20">
        <f t="shared" si="6"/>
        <v>0</v>
      </c>
      <c r="K12" s="21">
        <f t="shared" si="7"/>
        <v>0</v>
      </c>
      <c r="L12" s="3">
        <f t="shared" si="8"/>
        <v>0</v>
      </c>
      <c r="M12" s="4" t="e">
        <f t="shared" si="10"/>
        <v>#DIV/0!</v>
      </c>
      <c r="N12" s="4" t="e">
        <f t="shared" si="11"/>
        <v>#DIV/0!</v>
      </c>
      <c r="O12" s="4" t="e">
        <f t="shared" si="12"/>
        <v>#DIV/0!</v>
      </c>
      <c r="P12" s="4" t="e">
        <f t="shared" si="13"/>
        <v>#DIV/0!</v>
      </c>
      <c r="Q12" s="71"/>
      <c r="R12" s="4"/>
      <c r="S12" s="74"/>
      <c r="U12" s="22">
        <v>0.6</v>
      </c>
      <c r="V12" s="23">
        <f t="shared" si="9"/>
        <v>9761.9047619047615</v>
      </c>
      <c r="W12" s="23">
        <f t="shared" si="14"/>
        <v>2.9376443073644908E-2</v>
      </c>
      <c r="X12" s="23">
        <f t="shared" si="15"/>
        <v>7.9577967367305217E-3</v>
      </c>
      <c r="Y12" s="25"/>
      <c r="Z12" s="1" t="s">
        <v>164</v>
      </c>
      <c r="AA12" s="31">
        <f>AA$16/AA$15</f>
        <v>1.024390243902439E-6</v>
      </c>
    </row>
    <row r="13" spans="1:31" ht="16.5" x14ac:dyDescent="0.4">
      <c r="A13" s="2" t="s">
        <v>62</v>
      </c>
      <c r="C13" s="19">
        <f t="shared" si="0"/>
        <v>0</v>
      </c>
      <c r="D13" s="19">
        <f t="shared" si="1"/>
        <v>0</v>
      </c>
      <c r="E13" s="3">
        <f t="shared" si="2"/>
        <v>0</v>
      </c>
      <c r="F13" s="19">
        <f t="shared" si="3"/>
        <v>0</v>
      </c>
      <c r="G13" s="19">
        <f t="shared" si="4"/>
        <v>0</v>
      </c>
      <c r="H13" s="19">
        <f t="shared" si="5"/>
        <v>0</v>
      </c>
      <c r="J13" s="20">
        <f t="shared" si="6"/>
        <v>0</v>
      </c>
      <c r="K13" s="21">
        <f t="shared" si="7"/>
        <v>0</v>
      </c>
      <c r="L13" s="3">
        <f t="shared" si="8"/>
        <v>0</v>
      </c>
      <c r="M13" s="4" t="e">
        <f t="shared" si="10"/>
        <v>#DIV/0!</v>
      </c>
      <c r="N13" s="4" t="e">
        <f t="shared" si="11"/>
        <v>#DIV/0!</v>
      </c>
      <c r="O13" s="4" t="e">
        <f t="shared" si="12"/>
        <v>#DIV/0!</v>
      </c>
      <c r="P13" s="4" t="e">
        <f t="shared" si="13"/>
        <v>#DIV/0!</v>
      </c>
      <c r="Q13" s="71"/>
      <c r="R13" s="4"/>
      <c r="S13" s="74"/>
      <c r="U13" s="22">
        <v>0.7</v>
      </c>
      <c r="V13" s="23">
        <f t="shared" si="9"/>
        <v>11388.888888888887</v>
      </c>
      <c r="W13" s="23">
        <f t="shared" si="14"/>
        <v>2.8265880103407474E-2</v>
      </c>
      <c r="X13" s="23">
        <f t="shared" si="15"/>
        <v>7.6569558773271623E-3</v>
      </c>
      <c r="Y13" s="25"/>
      <c r="Z13" s="1" t="s">
        <v>35</v>
      </c>
      <c r="AA13" s="32">
        <v>0.8</v>
      </c>
      <c r="AD13" s="27" t="s">
        <v>36</v>
      </c>
      <c r="AE13" s="1" t="s">
        <v>37</v>
      </c>
    </row>
    <row r="14" spans="1:31" x14ac:dyDescent="0.35">
      <c r="A14" s="2" t="s">
        <v>57</v>
      </c>
      <c r="B14" s="2">
        <v>4750</v>
      </c>
      <c r="C14" s="19">
        <f t="shared" si="0"/>
        <v>79.166825000000003</v>
      </c>
      <c r="D14" s="19">
        <f t="shared" si="1"/>
        <v>1.3194455</v>
      </c>
      <c r="E14" s="3">
        <f t="shared" si="2"/>
        <v>1.3194455E-3</v>
      </c>
      <c r="F14" s="19">
        <f t="shared" si="3"/>
        <v>2.6388910000000001</v>
      </c>
      <c r="G14" s="19">
        <f t="shared" si="4"/>
        <v>6.9637457098810005</v>
      </c>
      <c r="H14" s="19">
        <f t="shared" si="5"/>
        <v>5.12958188144</v>
      </c>
      <c r="I14" s="2">
        <v>8.8052580645161296</v>
      </c>
      <c r="J14" s="20">
        <f t="shared" si="6"/>
        <v>88.052580645161299</v>
      </c>
      <c r="K14" s="21">
        <f t="shared" si="7"/>
        <v>8805.2580645161306</v>
      </c>
      <c r="L14" s="3">
        <f t="shared" si="8"/>
        <v>42934.337698412695</v>
      </c>
      <c r="M14" s="4">
        <f t="shared" si="10"/>
        <v>45.860719086021518</v>
      </c>
      <c r="N14" s="4">
        <f t="shared" si="11"/>
        <v>5.1400113474547635E-2</v>
      </c>
      <c r="O14" s="4">
        <f t="shared" si="12"/>
        <v>1.2850028368636909E-2</v>
      </c>
      <c r="P14" s="4">
        <f t="shared" si="13"/>
        <v>2.2102693981852009E-2</v>
      </c>
      <c r="Q14" s="71"/>
      <c r="R14" s="4"/>
      <c r="S14" s="74"/>
      <c r="U14" s="22">
        <v>0.8</v>
      </c>
      <c r="V14" s="23">
        <f t="shared" si="9"/>
        <v>13015.873015873016</v>
      </c>
      <c r="W14" s="23">
        <f t="shared" si="14"/>
        <v>2.7337860667470175E-2</v>
      </c>
      <c r="X14" s="23">
        <f t="shared" si="15"/>
        <v>7.4055643109482575E-3</v>
      </c>
      <c r="Y14" s="25"/>
      <c r="AA14" s="32"/>
    </row>
    <row r="15" spans="1:31" x14ac:dyDescent="0.35">
      <c r="A15" s="2" t="s">
        <v>58</v>
      </c>
      <c r="B15" s="2">
        <v>4100</v>
      </c>
      <c r="C15" s="19">
        <f t="shared" si="0"/>
        <v>68.333469999999991</v>
      </c>
      <c r="D15" s="19">
        <f t="shared" si="1"/>
        <v>1.1388898000000001</v>
      </c>
      <c r="E15" s="3">
        <f t="shared" si="2"/>
        <v>1.1388898000000002E-3</v>
      </c>
      <c r="F15" s="19">
        <f t="shared" si="3"/>
        <v>2.2777796000000001</v>
      </c>
      <c r="G15" s="19">
        <f t="shared" si="4"/>
        <v>5.1882799061761604</v>
      </c>
      <c r="H15" s="19">
        <f t="shared" si="5"/>
        <v>4.4276390976640005</v>
      </c>
      <c r="I15" s="2">
        <v>6.5888064516129026</v>
      </c>
      <c r="J15" s="20">
        <f t="shared" si="6"/>
        <v>65.88806451612902</v>
      </c>
      <c r="K15" s="21">
        <f t="shared" si="7"/>
        <v>6588.8064516129016</v>
      </c>
      <c r="L15" s="3">
        <f t="shared" si="8"/>
        <v>37059.112539682537</v>
      </c>
      <c r="M15" s="4">
        <f t="shared" si="10"/>
        <v>34.3167002688172</v>
      </c>
      <c r="N15" s="4">
        <f t="shared" si="11"/>
        <v>5.162359500223479E-2</v>
      </c>
      <c r="O15" s="4">
        <f t="shared" si="12"/>
        <v>1.2905898750558698E-2</v>
      </c>
      <c r="P15" s="4">
        <f t="shared" si="13"/>
        <v>2.2208941593133406E-2</v>
      </c>
      <c r="Q15" s="71"/>
      <c r="R15" s="4"/>
      <c r="S15" s="74"/>
      <c r="T15" s="34"/>
      <c r="U15" s="22">
        <v>0.9</v>
      </c>
      <c r="V15" s="23">
        <f t="shared" si="9"/>
        <v>14642.857142857143</v>
      </c>
      <c r="W15" s="23">
        <f t="shared" si="14"/>
        <v>2.6544612820276092E-2</v>
      </c>
      <c r="X15" s="23">
        <f t="shared" si="15"/>
        <v>7.1906810756295868E-3</v>
      </c>
      <c r="Y15" s="25"/>
      <c r="Z15" s="2" t="s">
        <v>38</v>
      </c>
      <c r="AA15" s="32">
        <f>VLOOKUP(AA17, SW!A4:F34, 3, FALSE)</f>
        <v>1025</v>
      </c>
      <c r="AB15" s="32"/>
    </row>
    <row r="16" spans="1:31" x14ac:dyDescent="0.35">
      <c r="A16" s="2" t="s">
        <v>59</v>
      </c>
      <c r="B16" s="2">
        <v>3200</v>
      </c>
      <c r="C16" s="19">
        <f t="shared" si="0"/>
        <v>53.333439999999996</v>
      </c>
      <c r="D16" s="19">
        <f t="shared" si="1"/>
        <v>0.88888960000000006</v>
      </c>
      <c r="E16" s="3">
        <f t="shared" si="2"/>
        <v>8.8888960000000012E-4</v>
      </c>
      <c r="F16" s="19">
        <f t="shared" si="3"/>
        <v>1.7777792000000001</v>
      </c>
      <c r="G16" s="19">
        <f t="shared" si="4"/>
        <v>3.1604988839526404</v>
      </c>
      <c r="H16" s="19">
        <f t="shared" si="5"/>
        <v>3.4557183201280002</v>
      </c>
      <c r="I16" s="2">
        <v>4.2223548387096779</v>
      </c>
      <c r="J16" s="20">
        <f t="shared" si="6"/>
        <v>42.223548387096777</v>
      </c>
      <c r="K16" s="21">
        <f t="shared" si="7"/>
        <v>4222.354838709678</v>
      </c>
      <c r="L16" s="3">
        <f t="shared" si="8"/>
        <v>28924.1853968254</v>
      </c>
      <c r="M16" s="4">
        <f t="shared" si="10"/>
        <v>21.991431451612904</v>
      </c>
      <c r="N16" s="4">
        <f t="shared" si="11"/>
        <v>5.4308021265077715E-2</v>
      </c>
      <c r="O16" s="4">
        <f t="shared" si="12"/>
        <v>1.3577005316269429E-2</v>
      </c>
      <c r="P16" s="4">
        <f t="shared" si="13"/>
        <v>2.508617109892259E-2</v>
      </c>
      <c r="U16" s="22">
        <v>1</v>
      </c>
      <c r="V16" s="23">
        <f t="shared" si="9"/>
        <v>16269.84126984127</v>
      </c>
      <c r="W16" s="23">
        <f t="shared" si="14"/>
        <v>2.5854552334357874E-2</v>
      </c>
      <c r="X16" s="23">
        <f t="shared" si="15"/>
        <v>7.0037503070126987E-3</v>
      </c>
      <c r="Y16" s="25"/>
      <c r="Z16" s="2" t="s">
        <v>39</v>
      </c>
      <c r="AA16" s="32">
        <f>VLOOKUP(AA17, SW!A4:F34, 5, FALSE)</f>
        <v>1.0499999999999999E-3</v>
      </c>
    </row>
    <row r="17" spans="1:33" x14ac:dyDescent="0.35">
      <c r="A17" s="2" t="s">
        <v>60</v>
      </c>
      <c r="B17" s="2">
        <v>2550</v>
      </c>
      <c r="C17" s="19">
        <f t="shared" si="0"/>
        <v>42.500084999999999</v>
      </c>
      <c r="D17" s="19">
        <f t="shared" si="1"/>
        <v>0.70833390000000007</v>
      </c>
      <c r="E17" s="3">
        <f t="shared" si="2"/>
        <v>7.083339000000001E-4</v>
      </c>
      <c r="F17" s="19">
        <f t="shared" si="3"/>
        <v>1.4166678000000001</v>
      </c>
      <c r="G17" s="19">
        <f t="shared" si="4"/>
        <v>2.0069476555568406</v>
      </c>
      <c r="H17" s="19">
        <f t="shared" si="5"/>
        <v>2.7537755363520002</v>
      </c>
      <c r="I17" s="2">
        <v>2.6481612903225811</v>
      </c>
      <c r="J17" s="20">
        <f t="shared" si="6"/>
        <v>26.481612903225809</v>
      </c>
      <c r="K17" s="21">
        <f t="shared" si="7"/>
        <v>2648.161290322581</v>
      </c>
      <c r="L17" s="3">
        <f t="shared" si="8"/>
        <v>23048.960238095238</v>
      </c>
      <c r="M17" s="4">
        <f t="shared" si="10"/>
        <v>13.79250672043011</v>
      </c>
      <c r="N17" s="4">
        <f t="shared" si="11"/>
        <v>5.3638086993392189E-2</v>
      </c>
      <c r="O17" s="4">
        <f t="shared" si="12"/>
        <v>1.3409521748348047E-2</v>
      </c>
      <c r="P17" s="4">
        <f t="shared" si="13"/>
        <v>2.3922664588009231E-2</v>
      </c>
      <c r="T17" s="14"/>
      <c r="U17" s="22">
        <v>1.1000000000000001</v>
      </c>
      <c r="V17" s="23">
        <f t="shared" si="9"/>
        <v>17896.825396825396</v>
      </c>
      <c r="W17" s="23">
        <f t="shared" si="14"/>
        <v>2.5245783363633954E-2</v>
      </c>
      <c r="X17" s="23">
        <f t="shared" si="15"/>
        <v>6.8388406303542667E-3</v>
      </c>
      <c r="Y17" s="25"/>
      <c r="Z17" s="2" t="s">
        <v>161</v>
      </c>
      <c r="AA17" s="2">
        <v>21</v>
      </c>
    </row>
    <row r="18" spans="1:33" x14ac:dyDescent="0.35">
      <c r="A18" s="2" t="s">
        <v>61</v>
      </c>
      <c r="B18" s="2">
        <v>1800</v>
      </c>
      <c r="C18" s="19">
        <f t="shared" si="0"/>
        <v>30.000059999999998</v>
      </c>
      <c r="D18" s="19">
        <f t="shared" si="1"/>
        <v>0.50000040000000001</v>
      </c>
      <c r="E18" s="3">
        <f t="shared" si="2"/>
        <v>5.0000040000000004E-4</v>
      </c>
      <c r="F18" s="19">
        <f t="shared" si="3"/>
        <v>1.0000008</v>
      </c>
      <c r="G18" s="19">
        <f t="shared" si="4"/>
        <v>1.00000160000064</v>
      </c>
      <c r="H18" s="19">
        <f t="shared" si="5"/>
        <v>1.9438415550720001</v>
      </c>
      <c r="I18" s="2">
        <v>1.3252580645161287</v>
      </c>
      <c r="J18" s="20">
        <f t="shared" si="6"/>
        <v>13.252580645161288</v>
      </c>
      <c r="K18" s="21">
        <f t="shared" si="7"/>
        <v>1325.2580645161288</v>
      </c>
      <c r="L18" s="3">
        <f t="shared" si="8"/>
        <v>16269.854285714286</v>
      </c>
      <c r="M18" s="4">
        <f t="shared" si="10"/>
        <v>6.9023857526881702</v>
      </c>
      <c r="N18" s="4">
        <f t="shared" si="11"/>
        <v>5.3872192849828048E-2</v>
      </c>
      <c r="O18" s="4">
        <f t="shared" si="12"/>
        <v>1.3468048212457012E-2</v>
      </c>
      <c r="P18" s="4">
        <f t="shared" si="13"/>
        <v>2.3482117607525915E-2</v>
      </c>
      <c r="U18" s="22">
        <v>1.2</v>
      </c>
      <c r="V18" s="23">
        <f t="shared" si="9"/>
        <v>19523.809523809523</v>
      </c>
      <c r="W18" s="23">
        <f t="shared" si="14"/>
        <v>2.4702545673532816E-2</v>
      </c>
      <c r="X18" s="23">
        <f t="shared" si="15"/>
        <v>6.6916827492344037E-3</v>
      </c>
      <c r="Y18" s="25"/>
      <c r="Z18" s="1"/>
      <c r="AA18" s="1"/>
      <c r="AD18" s="119" t="s">
        <v>40</v>
      </c>
      <c r="AE18" s="119"/>
      <c r="AF18" s="119"/>
      <c r="AG18" s="119"/>
    </row>
    <row r="19" spans="1:33" x14ac:dyDescent="0.35">
      <c r="A19" s="24"/>
      <c r="B19" s="18"/>
      <c r="C19" s="19"/>
      <c r="D19" s="19"/>
      <c r="E19" s="3"/>
      <c r="F19" s="19"/>
      <c r="G19" s="19"/>
      <c r="H19" s="19"/>
      <c r="I19" s="20"/>
      <c r="J19" s="20"/>
      <c r="K19" s="21"/>
      <c r="U19" s="22">
        <v>1.3</v>
      </c>
      <c r="V19" s="23">
        <f t="shared" si="9"/>
        <v>21150.79365079365</v>
      </c>
      <c r="W19" s="23">
        <f t="shared" si="14"/>
        <v>2.4213143973354254E-2</v>
      </c>
      <c r="X19" s="23">
        <f t="shared" si="15"/>
        <v>6.5591085215490471E-3</v>
      </c>
      <c r="Y19" s="25"/>
      <c r="AD19" s="120" t="s">
        <v>41</v>
      </c>
      <c r="AE19" s="119" t="s">
        <v>42</v>
      </c>
      <c r="AF19" s="119" t="s">
        <v>43</v>
      </c>
      <c r="AG19" s="119" t="s">
        <v>44</v>
      </c>
    </row>
    <row r="20" spans="1:33" x14ac:dyDescent="0.35">
      <c r="A20" s="24"/>
      <c r="B20" s="18"/>
      <c r="C20" s="19"/>
      <c r="D20" s="19"/>
      <c r="E20" s="3"/>
      <c r="F20" s="19"/>
      <c r="G20" s="19"/>
      <c r="H20" s="19"/>
      <c r="I20" s="20"/>
      <c r="J20" s="20"/>
      <c r="K20" s="21"/>
      <c r="U20" s="22">
        <v>1.4</v>
      </c>
      <c r="V20" s="23">
        <f t="shared" si="9"/>
        <v>22777.777777777774</v>
      </c>
      <c r="W20" s="23">
        <f t="shared" si="14"/>
        <v>2.3768677252946641E-2</v>
      </c>
      <c r="X20" s="23">
        <f t="shared" si="15"/>
        <v>6.4387067490002722E-3</v>
      </c>
      <c r="Y20" s="25"/>
      <c r="Z20" s="1" t="s">
        <v>45</v>
      </c>
      <c r="AA20" s="1">
        <f>4*10^(-6)</f>
        <v>3.9999999999999998E-6</v>
      </c>
      <c r="AD20" s="120" t="s">
        <v>46</v>
      </c>
      <c r="AE20" s="119" t="s">
        <v>47</v>
      </c>
      <c r="AF20" s="119" t="s">
        <v>48</v>
      </c>
      <c r="AG20" s="119" t="s">
        <v>49</v>
      </c>
    </row>
    <row r="21" spans="1:33" x14ac:dyDescent="0.35">
      <c r="A21" s="24"/>
      <c r="B21" s="18"/>
      <c r="C21" s="19"/>
      <c r="D21" s="19"/>
      <c r="E21" s="43"/>
      <c r="F21" s="19"/>
      <c r="G21" s="19"/>
      <c r="H21" s="19"/>
      <c r="I21" s="20"/>
      <c r="J21" s="20"/>
      <c r="K21" s="21"/>
      <c r="U21" s="22">
        <v>1.5</v>
      </c>
      <c r="V21" s="23">
        <f t="shared" si="9"/>
        <v>24404.761904761905</v>
      </c>
      <c r="W21" s="23">
        <f t="shared" si="14"/>
        <v>2.3362225291761372E-2</v>
      </c>
      <c r="X21" s="23">
        <f t="shared" si="15"/>
        <v>6.3286028101997415E-3</v>
      </c>
      <c r="Y21" s="25"/>
      <c r="Z21" s="1" t="s">
        <v>50</v>
      </c>
      <c r="AA21" s="2">
        <f>AA20/AA11</f>
        <v>2.3999999999999998E-4</v>
      </c>
      <c r="AD21" s="119">
        <v>0</v>
      </c>
      <c r="AE21" s="119">
        <v>1.792E-3</v>
      </c>
      <c r="AF21" s="119">
        <v>999.87</v>
      </c>
      <c r="AG21" s="121">
        <v>1.7922329902887374E-6</v>
      </c>
    </row>
    <row r="22" spans="1:33" x14ac:dyDescent="0.35">
      <c r="A22" s="24"/>
      <c r="B22" s="18"/>
      <c r="C22" s="19"/>
      <c r="D22" s="19"/>
      <c r="E22" s="3"/>
      <c r="F22" s="19"/>
      <c r="G22" s="19"/>
      <c r="H22" s="19"/>
      <c r="I22" s="20"/>
      <c r="J22" s="20"/>
      <c r="K22" s="21"/>
      <c r="P22" s="43"/>
      <c r="U22" s="22">
        <v>1.6</v>
      </c>
      <c r="V22" s="23">
        <f t="shared" si="9"/>
        <v>26031.746031746032</v>
      </c>
      <c r="W22" s="23">
        <f t="shared" si="14"/>
        <v>2.2988309035981189E-2</v>
      </c>
      <c r="X22" s="23">
        <f t="shared" si="15"/>
        <v>6.2273124820072341E-3</v>
      </c>
      <c r="Y22" s="25"/>
      <c r="AD22" s="119">
        <v>5</v>
      </c>
      <c r="AE22" s="119">
        <v>1.519E-3</v>
      </c>
      <c r="AF22" s="119">
        <v>999.99</v>
      </c>
      <c r="AG22" s="121">
        <v>1.5190151901519014E-6</v>
      </c>
    </row>
    <row r="23" spans="1:33" x14ac:dyDescent="0.35">
      <c r="B23" s="18"/>
      <c r="C23" s="19"/>
      <c r="D23" s="19"/>
      <c r="E23" s="3"/>
      <c r="F23" s="3"/>
      <c r="G23" s="19"/>
      <c r="H23" s="19"/>
      <c r="I23" s="19"/>
      <c r="J23" s="20"/>
      <c r="K23" s="21"/>
      <c r="U23" s="22">
        <v>1.7</v>
      </c>
      <c r="V23" s="23">
        <f t="shared" si="9"/>
        <v>27658.730158730159</v>
      </c>
      <c r="W23" s="23">
        <f t="shared" si="14"/>
        <v>2.2642521673298031E-2</v>
      </c>
      <c r="X23" s="23">
        <f t="shared" si="15"/>
        <v>6.1336420012255977E-3</v>
      </c>
      <c r="Y23" s="25"/>
      <c r="Z23" s="40"/>
      <c r="AD23" s="119">
        <f>AD22+5</f>
        <v>10</v>
      </c>
      <c r="AE23" s="119">
        <v>1.3079999999999999E-3</v>
      </c>
      <c r="AF23" s="119">
        <v>999.73</v>
      </c>
      <c r="AG23" s="121">
        <v>1.3083532553789522E-6</v>
      </c>
    </row>
    <row r="24" spans="1:33" x14ac:dyDescent="0.35">
      <c r="B24" s="18"/>
      <c r="C24" s="19"/>
      <c r="D24" s="19"/>
      <c r="E24" s="3"/>
      <c r="F24" s="3"/>
      <c r="G24" s="19"/>
      <c r="H24" s="19"/>
      <c r="I24" s="19"/>
      <c r="J24" s="20"/>
      <c r="K24" s="21"/>
      <c r="U24" s="22">
        <v>1.8</v>
      </c>
      <c r="V24" s="23">
        <f t="shared" si="9"/>
        <v>29285.714285714286</v>
      </c>
      <c r="W24" s="23">
        <f t="shared" si="14"/>
        <v>2.2321269764867958E-2</v>
      </c>
      <c r="X24" s="23">
        <f t="shared" si="15"/>
        <v>6.0466179397296429E-3</v>
      </c>
      <c r="Y24" s="4"/>
      <c r="Z24" s="40"/>
      <c r="AD24" s="119" t="e">
        <f>#REF!+5</f>
        <v>#REF!</v>
      </c>
      <c r="AE24" s="119">
        <v>1.005E-3</v>
      </c>
      <c r="AF24" s="119">
        <v>998.23</v>
      </c>
      <c r="AG24" s="121">
        <v>1.0067820041473407E-6</v>
      </c>
    </row>
    <row r="25" spans="1:33" x14ac:dyDescent="0.35">
      <c r="B25" s="18"/>
      <c r="C25" s="19"/>
      <c r="D25" s="19"/>
      <c r="E25" s="3"/>
      <c r="F25" s="3"/>
      <c r="G25" s="19"/>
      <c r="H25" s="19"/>
      <c r="I25" s="19"/>
      <c r="J25" s="20"/>
      <c r="K25" s="21"/>
      <c r="U25" s="22">
        <v>1.9</v>
      </c>
      <c r="V25" s="23">
        <f t="shared" si="9"/>
        <v>30912.69841269841</v>
      </c>
      <c r="W25" s="23">
        <f t="shared" si="14"/>
        <v>2.202158744356239E-2</v>
      </c>
      <c r="X25" s="23">
        <f t="shared" si="15"/>
        <v>5.9654368725540596E-3</v>
      </c>
      <c r="Y25" s="4"/>
      <c r="Z25" s="40"/>
      <c r="AD25" s="119">
        <v>25</v>
      </c>
      <c r="AE25" s="119">
        <v>8.9400000000000005E-4</v>
      </c>
      <c r="AF25" s="119">
        <v>997.07</v>
      </c>
      <c r="AG25" s="121">
        <v>8.9662711745414066E-7</v>
      </c>
    </row>
    <row r="26" spans="1:33" x14ac:dyDescent="0.35">
      <c r="N26" s="22"/>
      <c r="U26" s="22">
        <v>2</v>
      </c>
      <c r="V26" s="23">
        <f t="shared" si="9"/>
        <v>32539.682539682541</v>
      </c>
      <c r="W26" s="23">
        <f t="shared" si="14"/>
        <v>2.1741000375951093E-2</v>
      </c>
      <c r="X26" s="23">
        <f t="shared" si="15"/>
        <v>5.8894285264990808E-3</v>
      </c>
      <c r="Y26" s="4"/>
      <c r="Z26" s="40"/>
      <c r="AD26" s="122"/>
      <c r="AE26" s="122"/>
      <c r="AF26" s="122"/>
      <c r="AG26" s="122"/>
    </row>
    <row r="27" spans="1:33" x14ac:dyDescent="0.35">
      <c r="K27" s="1"/>
      <c r="L27" s="4"/>
      <c r="N27" s="22"/>
      <c r="U27" s="22">
        <v>2.1</v>
      </c>
      <c r="V27" s="23">
        <f t="shared" si="9"/>
        <v>34166.666666666672</v>
      </c>
      <c r="W27" s="23">
        <f t="shared" si="14"/>
        <v>2.147742438891832E-2</v>
      </c>
      <c r="X27" s="23">
        <f t="shared" si="15"/>
        <v>5.8180283190528738E-3</v>
      </c>
      <c r="Y27" s="4"/>
      <c r="Z27" s="40"/>
      <c r="AD27" s="32"/>
      <c r="AE27" s="32"/>
      <c r="AF27" s="32"/>
      <c r="AG27" s="32"/>
    </row>
    <row r="28" spans="1:33" x14ac:dyDescent="0.35">
      <c r="U28" s="22">
        <v>2.2000000000000002</v>
      </c>
      <c r="V28" s="23">
        <f t="shared" si="9"/>
        <v>35793.650793650791</v>
      </c>
      <c r="W28" s="23">
        <f t="shared" si="14"/>
        <v>2.1229088730751654E-2</v>
      </c>
      <c r="X28" s="23">
        <f t="shared" si="15"/>
        <v>5.7507565705563566E-3</v>
      </c>
      <c r="Y28" s="4"/>
      <c r="Z28" s="40"/>
      <c r="AD28" s="32"/>
      <c r="AE28" s="32"/>
      <c r="AF28" s="32"/>
      <c r="AG28" s="32"/>
    </row>
    <row r="29" spans="1:33" x14ac:dyDescent="0.35">
      <c r="L29" s="41"/>
      <c r="U29" s="22">
        <v>2.2999999999999998</v>
      </c>
      <c r="V29" s="23">
        <f t="shared" si="9"/>
        <v>37420.634920634919</v>
      </c>
      <c r="W29" s="23">
        <f t="shared" si="14"/>
        <v>2.0994477154537609E-2</v>
      </c>
      <c r="X29" s="23">
        <f t="shared" si="15"/>
        <v>5.6872025442600178E-3</v>
      </c>
      <c r="Y29" s="4"/>
      <c r="Z29" s="40"/>
      <c r="AD29" s="32"/>
      <c r="AE29" s="32"/>
      <c r="AF29" s="32"/>
      <c r="AG29" s="32"/>
    </row>
    <row r="30" spans="1:33" x14ac:dyDescent="0.35">
      <c r="U30" s="22">
        <v>2.4</v>
      </c>
      <c r="V30" s="23">
        <f t="shared" si="9"/>
        <v>39047.619047619046</v>
      </c>
      <c r="W30" s="23">
        <f t="shared" si="14"/>
        <v>2.07722821045149E-2</v>
      </c>
      <c r="X30" s="23">
        <f t="shared" si="15"/>
        <v>5.6270120358463309E-3</v>
      </c>
      <c r="Y30" s="4"/>
      <c r="Z30" s="40"/>
      <c r="AD30" s="32"/>
      <c r="AE30" s="32"/>
      <c r="AF30" s="32"/>
      <c r="AG30" s="32"/>
    </row>
    <row r="31" spans="1:33" x14ac:dyDescent="0.35">
      <c r="F31" s="1"/>
      <c r="G31" s="1"/>
      <c r="U31" s="22">
        <v>2.5</v>
      </c>
      <c r="V31" s="23">
        <f t="shared" si="9"/>
        <v>40674.603174603173</v>
      </c>
      <c r="W31" s="23">
        <f t="shared" si="14"/>
        <v>2.0561368676890641E-2</v>
      </c>
      <c r="X31" s="23">
        <f t="shared" si="15"/>
        <v>5.5698776107604448E-3</v>
      </c>
      <c r="Y31" s="4"/>
      <c r="Z31" s="40"/>
      <c r="AD31" s="32"/>
      <c r="AE31" s="32"/>
      <c r="AF31" s="32"/>
      <c r="AG31" s="32"/>
    </row>
    <row r="32" spans="1:33" x14ac:dyDescent="0.35">
      <c r="G32" s="19"/>
      <c r="Y32" s="4"/>
      <c r="Z32" s="40"/>
    </row>
    <row r="33" spans="7:27" x14ac:dyDescent="0.35">
      <c r="G33" s="19"/>
      <c r="Y33" s="4"/>
      <c r="Z33" s="40"/>
      <c r="AA33" s="1" t="s">
        <v>51</v>
      </c>
    </row>
    <row r="34" spans="7:27" x14ac:dyDescent="0.35">
      <c r="G34" s="19"/>
      <c r="Y34" s="4"/>
      <c r="Z34" s="40"/>
    </row>
    <row r="35" spans="7:27" x14ac:dyDescent="0.35">
      <c r="G35" s="19"/>
      <c r="Y35" s="4"/>
      <c r="Z35" s="40"/>
    </row>
    <row r="36" spans="7:27" x14ac:dyDescent="0.35">
      <c r="G36" s="19"/>
      <c r="Y36" s="4"/>
    </row>
    <row r="37" spans="7:27" x14ac:dyDescent="0.35">
      <c r="G37" s="19"/>
      <c r="Y37" s="4"/>
    </row>
    <row r="38" spans="7:27" x14ac:dyDescent="0.35">
      <c r="R38" s="1" t="s">
        <v>83</v>
      </c>
      <c r="S38" s="99" t="s">
        <v>82</v>
      </c>
      <c r="Y38" s="4"/>
    </row>
    <row r="39" spans="7:27" x14ac:dyDescent="0.35">
      <c r="Q39" s="68">
        <v>15000</v>
      </c>
      <c r="R39" s="2">
        <f>((-0.0001)*(Q39)^2)+(3.5034*(Q39))+670430</f>
        <v>700481</v>
      </c>
      <c r="S39" s="72">
        <f>((-0.0000007)*(Q39)^2)-(0.0848*Q39)+27642</f>
        <v>26212.5</v>
      </c>
      <c r="U39" s="4"/>
      <c r="V39" s="16"/>
      <c r="W39" s="16"/>
      <c r="X39" s="4"/>
      <c r="Y39" s="4"/>
    </row>
    <row r="40" spans="7:27" x14ac:dyDescent="0.35">
      <c r="Q40" s="68">
        <v>22000</v>
      </c>
      <c r="R40" s="2">
        <f>((-0.0001)*(Q40)^2)+(3.5034*(Q40))+670430</f>
        <v>699104.8</v>
      </c>
      <c r="S40" s="72">
        <f t="shared" ref="S40:S41" si="16">((-0.0000007)*(Q40)^2)-(0.0848*Q40)+27642</f>
        <v>25437.599999999999</v>
      </c>
      <c r="U40" s="4"/>
      <c r="V40" s="16"/>
      <c r="W40" s="16"/>
      <c r="X40" s="4"/>
      <c r="Y40" s="4"/>
    </row>
    <row r="41" spans="7:27" x14ac:dyDescent="0.35">
      <c r="Q41" s="68">
        <v>40000</v>
      </c>
      <c r="R41" s="2">
        <f>((-0.0001)*(Q41)^2)+(3.5034*(Q41))+670430</f>
        <v>650566</v>
      </c>
      <c r="S41" s="72">
        <f t="shared" si="16"/>
        <v>23130</v>
      </c>
      <c r="U41" s="4"/>
      <c r="V41" s="16"/>
      <c r="W41" s="16"/>
      <c r="X41" s="4"/>
      <c r="Y41" s="4"/>
    </row>
    <row r="42" spans="7:27" x14ac:dyDescent="0.35">
      <c r="U42" s="4"/>
      <c r="V42" s="16"/>
      <c r="W42" s="16"/>
      <c r="X42" s="4"/>
      <c r="Y42" s="4"/>
    </row>
    <row r="43" spans="7:27" x14ac:dyDescent="0.35">
      <c r="U43" s="4"/>
      <c r="V43" s="16"/>
      <c r="W43" s="16"/>
      <c r="X43" s="4"/>
      <c r="Y43" s="4"/>
    </row>
    <row r="44" spans="7:27" x14ac:dyDescent="0.35">
      <c r="U44" s="4"/>
      <c r="V44" s="16"/>
      <c r="W44" s="16"/>
    </row>
    <row r="45" spans="7:27" x14ac:dyDescent="0.35">
      <c r="U45" s="4"/>
      <c r="V45" s="16"/>
      <c r="W45" s="16"/>
    </row>
    <row r="46" spans="7:27" x14ac:dyDescent="0.35">
      <c r="U46" s="4"/>
      <c r="V46" s="16"/>
      <c r="W46" s="16"/>
    </row>
    <row r="47" spans="7:27" x14ac:dyDescent="0.35">
      <c r="U47" s="4"/>
      <c r="V47" s="16"/>
      <c r="W47" s="16"/>
    </row>
    <row r="48" spans="7:27" x14ac:dyDescent="0.35">
      <c r="U48" s="4"/>
      <c r="V48" s="16"/>
      <c r="W48" s="16"/>
    </row>
    <row r="49" spans="2:23" x14ac:dyDescent="0.35">
      <c r="U49" s="4"/>
      <c r="V49" s="16"/>
      <c r="W49" s="16"/>
    </row>
    <row r="50" spans="2:23" x14ac:dyDescent="0.35">
      <c r="U50" s="4"/>
      <c r="V50" s="16"/>
      <c r="W50" s="16"/>
    </row>
    <row r="51" spans="2:23" x14ac:dyDescent="0.35">
      <c r="U51" s="4"/>
      <c r="V51" s="16"/>
      <c r="W51" s="16"/>
    </row>
    <row r="52" spans="2:23" x14ac:dyDescent="0.35">
      <c r="U52" s="4"/>
      <c r="V52" s="16"/>
      <c r="W52" s="16"/>
    </row>
    <row r="53" spans="2:23" x14ac:dyDescent="0.35">
      <c r="U53" s="4"/>
      <c r="V53" s="16"/>
      <c r="W53" s="16"/>
    </row>
    <row r="54" spans="2:23" x14ac:dyDescent="0.35">
      <c r="U54" s="4"/>
    </row>
    <row r="64" spans="2:23" x14ac:dyDescent="0.35">
      <c r="B64" s="2">
        <v>0</v>
      </c>
    </row>
  </sheetData>
  <mergeCells count="3">
    <mergeCell ref="A3:N3"/>
    <mergeCell ref="Z5:AA5"/>
    <mergeCell ref="Q4:S4"/>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BFF1B-A2CA-4550-B510-E1F78CFCA560}">
  <dimension ref="A1:AI54"/>
  <sheetViews>
    <sheetView zoomScale="60" zoomScaleNormal="60" zoomScalePageLayoutView="90" workbookViewId="0">
      <selection activeCell="Q10" sqref="Q10"/>
    </sheetView>
  </sheetViews>
  <sheetFormatPr defaultColWidth="8.69140625" defaultRowHeight="15.5" x14ac:dyDescent="0.35"/>
  <cols>
    <col min="1" max="4" width="8.69140625" style="2"/>
    <col min="5" max="5" width="8.07421875" style="2" bestFit="1" customWidth="1"/>
    <col min="6" max="6" width="8.69140625" style="2"/>
    <col min="7" max="7" width="8.53515625" style="2" customWidth="1"/>
    <col min="8" max="8" width="8.69140625" style="2"/>
    <col min="9" max="9" width="11.23046875" style="2" customWidth="1"/>
    <col min="10" max="10" width="12.23046875" style="2" customWidth="1"/>
    <col min="11" max="12" width="10.4609375" style="2" customWidth="1"/>
    <col min="13" max="13" width="8.53515625" style="3" customWidth="1"/>
    <col min="14" max="14" width="6.765625" style="4" customWidth="1"/>
    <col min="15" max="15" width="9.4609375" style="4" bestFit="1" customWidth="1"/>
    <col min="16" max="16" width="9.3046875" style="4" bestFit="1" customWidth="1"/>
    <col min="17" max="17" width="9.07421875" style="4" customWidth="1"/>
    <col min="18" max="18" width="27.23046875" style="4" customWidth="1"/>
    <col min="19" max="19" width="12.765625" style="68" customWidth="1"/>
    <col min="20" max="20" width="10" style="2" customWidth="1"/>
    <col min="21" max="21" width="10" style="72" customWidth="1"/>
    <col min="22" max="22" width="8.4609375" style="5" customWidth="1"/>
    <col min="23" max="23" width="10.23046875" style="2" customWidth="1"/>
    <col min="24" max="24" width="13.84375" style="2" customWidth="1"/>
    <col min="25" max="27" width="10" style="2" customWidth="1"/>
    <col min="28" max="28" width="21" style="2" customWidth="1"/>
    <col min="29" max="29" width="8.69140625" style="2" customWidth="1"/>
    <col min="30" max="30" width="8.69140625" style="2"/>
    <col min="31" max="31" width="22" style="2" customWidth="1"/>
    <col min="32" max="32" width="35.84375" style="2" customWidth="1"/>
    <col min="33" max="33" width="16.84375" style="2" customWidth="1"/>
    <col min="34" max="16384" width="8.69140625" style="2"/>
  </cols>
  <sheetData>
    <row r="1" spans="1:33" x14ac:dyDescent="0.35">
      <c r="A1" s="1" t="s">
        <v>0</v>
      </c>
      <c r="I1" s="1" t="s">
        <v>1</v>
      </c>
      <c r="J1" s="1" t="s">
        <v>2</v>
      </c>
      <c r="S1" s="69" t="s">
        <v>117</v>
      </c>
    </row>
    <row r="2" spans="1:33" x14ac:dyDescent="0.35">
      <c r="A2" s="1"/>
      <c r="I2" s="1"/>
      <c r="J2" s="1"/>
      <c r="S2" s="69" t="s">
        <v>85</v>
      </c>
    </row>
    <row r="3" spans="1:33" x14ac:dyDescent="0.35">
      <c r="A3" s="150" t="s">
        <v>3</v>
      </c>
      <c r="B3" s="150"/>
      <c r="C3" s="150"/>
      <c r="D3" s="150"/>
      <c r="E3" s="150"/>
      <c r="F3" s="150"/>
      <c r="G3" s="150"/>
      <c r="H3" s="150"/>
      <c r="I3" s="150"/>
      <c r="J3" s="150"/>
      <c r="K3" s="150"/>
      <c r="L3" s="150"/>
      <c r="M3" s="150"/>
      <c r="N3" s="150"/>
      <c r="O3" s="150"/>
      <c r="P3" s="63"/>
      <c r="Q3" s="63"/>
      <c r="R3" s="63"/>
      <c r="V3" s="7"/>
    </row>
    <row r="4" spans="1:33" x14ac:dyDescent="0.35">
      <c r="S4" s="152" t="s">
        <v>81</v>
      </c>
      <c r="T4" s="153"/>
      <c r="U4" s="154"/>
    </row>
    <row r="5" spans="1:33" ht="19" x14ac:dyDescent="0.4">
      <c r="A5" s="8"/>
      <c r="B5" s="9" t="s">
        <v>4</v>
      </c>
      <c r="C5" s="9" t="s">
        <v>5</v>
      </c>
      <c r="D5" s="10" t="s">
        <v>6</v>
      </c>
      <c r="E5" s="10" t="s">
        <v>7</v>
      </c>
      <c r="F5" s="10" t="s">
        <v>8</v>
      </c>
      <c r="G5" s="10" t="s">
        <v>9</v>
      </c>
      <c r="H5" s="10" t="s">
        <v>10</v>
      </c>
      <c r="I5" s="9" t="s">
        <v>11</v>
      </c>
      <c r="J5" s="9" t="s">
        <v>12</v>
      </c>
      <c r="K5" s="9" t="s">
        <v>13</v>
      </c>
      <c r="L5" s="9" t="s">
        <v>71</v>
      </c>
      <c r="M5" s="11" t="s">
        <v>14</v>
      </c>
      <c r="N5" s="12" t="s">
        <v>15</v>
      </c>
      <c r="O5" s="13" t="s">
        <v>16</v>
      </c>
      <c r="P5" s="14" t="s">
        <v>17</v>
      </c>
      <c r="Q5" s="14" t="s">
        <v>64</v>
      </c>
      <c r="R5" s="14" t="s">
        <v>18</v>
      </c>
      <c r="S5" s="75" t="s">
        <v>83</v>
      </c>
      <c r="T5" s="67" t="s">
        <v>82</v>
      </c>
      <c r="U5" s="76" t="s">
        <v>84</v>
      </c>
      <c r="V5" s="14"/>
      <c r="W5" s="15" t="s">
        <v>19</v>
      </c>
      <c r="X5" s="16" t="s">
        <v>14</v>
      </c>
      <c r="Y5" s="15" t="s">
        <v>20</v>
      </c>
      <c r="Z5" s="16" t="s">
        <v>21</v>
      </c>
      <c r="AA5" s="1"/>
      <c r="AB5" s="151" t="s">
        <v>22</v>
      </c>
      <c r="AC5" s="151"/>
    </row>
    <row r="6" spans="1:33" x14ac:dyDescent="0.35">
      <c r="A6" s="17" t="s">
        <v>23</v>
      </c>
      <c r="B6" s="18">
        <v>0</v>
      </c>
      <c r="C6" s="19">
        <f t="shared" ref="C6:C12" si="0">B6*0.0166667</f>
        <v>0</v>
      </c>
      <c r="D6" s="19">
        <f t="shared" ref="D6:D12" si="1">B6*0.000277778</f>
        <v>0</v>
      </c>
      <c r="E6" s="3">
        <f t="shared" ref="E6:E12" si="2">0.001*D6</f>
        <v>0</v>
      </c>
      <c r="F6" s="19">
        <f t="shared" ref="F6:F12" si="3">E6/AC$7</f>
        <v>0</v>
      </c>
      <c r="G6" s="19">
        <f t="shared" ref="G6:G12" si="4">F6^(2)</f>
        <v>0</v>
      </c>
      <c r="H6" s="19">
        <f t="shared" ref="H6:H12" si="5">F6*1.94384</f>
        <v>0</v>
      </c>
      <c r="I6" s="20">
        <v>0</v>
      </c>
      <c r="J6" s="20">
        <f t="shared" ref="J6:J12" si="6">I6 * 10</f>
        <v>0</v>
      </c>
      <c r="K6" s="21">
        <f t="shared" ref="K6:K12" si="7">J6*100</f>
        <v>0</v>
      </c>
      <c r="L6" s="54">
        <v>0</v>
      </c>
      <c r="M6" s="3">
        <f t="shared" ref="M6:M12" si="8">(F6*AC$11)/AC$12</f>
        <v>0</v>
      </c>
      <c r="W6" s="22">
        <v>0</v>
      </c>
      <c r="X6" s="23">
        <f t="shared" ref="X6:X31" si="9">(W6*AC$11)/AC$12</f>
        <v>0</v>
      </c>
      <c r="Y6" s="23"/>
      <c r="Z6" s="23"/>
    </row>
    <row r="7" spans="1:33" x14ac:dyDescent="0.35">
      <c r="A7" s="2" t="s">
        <v>52</v>
      </c>
      <c r="B7" s="2">
        <f>AVERAGEA('P80 sandpaper '!B7, '2 P80 sandpaper'!B7, '3 P80 sandpaper'!B7)</f>
        <v>1766.6666666666667</v>
      </c>
      <c r="C7" s="19">
        <f t="shared" si="0"/>
        <v>29.444503333333333</v>
      </c>
      <c r="D7" s="19">
        <f t="shared" si="1"/>
        <v>0.49074113333333336</v>
      </c>
      <c r="E7" s="3">
        <f t="shared" si="2"/>
        <v>4.9074113333333336E-4</v>
      </c>
      <c r="F7" s="19">
        <f t="shared" si="3"/>
        <v>0.98148226666666671</v>
      </c>
      <c r="G7" s="19">
        <f t="shared" si="4"/>
        <v>0.96330743978113786</v>
      </c>
      <c r="H7" s="19">
        <f t="shared" si="5"/>
        <v>1.9078444892373334</v>
      </c>
      <c r="I7" s="2">
        <f>AVERAGEA('P80 sandpaper '!I7,'2 P80 sandpaper'!I7, '3 P80 sandpaper'!I7)</f>
        <v>1.1781279569247309</v>
      </c>
      <c r="J7" s="20">
        <f t="shared" si="6"/>
        <v>11.78127956924731</v>
      </c>
      <c r="K7" s="21">
        <f t="shared" si="7"/>
        <v>1178.1279569247311</v>
      </c>
      <c r="L7" s="54">
        <f t="shared" ref="L7:L12" si="10">K7/1000</f>
        <v>1.1781279569247312</v>
      </c>
      <c r="M7" s="3">
        <f t="shared" si="8"/>
        <v>17092.480290249434</v>
      </c>
      <c r="N7" s="4">
        <f t="shared" ref="N7:N12" si="11">(AC$15*G7*O7)/8</f>
        <v>6.136083108982973</v>
      </c>
      <c r="O7" s="4">
        <f t="shared" ref="O7:O12" si="12">(K7*2*AC$11)/(AC$13*AC$15*G7)</f>
        <v>4.976412234480506E-2</v>
      </c>
      <c r="P7" s="4">
        <f t="shared" ref="P7:P12" si="13">O7/4</f>
        <v>1.2441030586201265E-2</v>
      </c>
      <c r="R7" s="4">
        <f>3.7*(10^(-1/(2*SQRT(O7)))-2.51/(M7*SQRT(O7)))</f>
        <v>1.8789019488241333E-2</v>
      </c>
      <c r="S7" s="68">
        <f>AVERAGEA('P80 sandpaper '!Q7,'2 P80 sandpaper'!Q7)</f>
        <v>709385.42383333342</v>
      </c>
      <c r="T7" s="68">
        <f>AVERAGEA('P80 sandpaper '!R7,'2 P80 sandpaper'!R7)</f>
        <v>25087.406833333334</v>
      </c>
      <c r="U7" s="68">
        <f>AVERAGEA('P80 sandpaper '!S7,'2 P80 sandpaper'!S7)</f>
        <v>29.768000000000001</v>
      </c>
      <c r="W7" s="22">
        <v>0.1</v>
      </c>
      <c r="X7" s="23">
        <f>(W7*AC$11)/AC$12</f>
        <v>1741.4965986394559</v>
      </c>
      <c r="Y7" s="23">
        <f t="shared" ref="Y7:Y31" si="14">0.292/(X7^(0.25))</f>
        <v>4.5201432015606779E-2</v>
      </c>
      <c r="Z7" s="23">
        <f>0.0791/(X7^0.25)</f>
        <v>1.2244634494638687E-2</v>
      </c>
      <c r="AA7" s="25"/>
      <c r="AB7" s="1" t="s">
        <v>24</v>
      </c>
      <c r="AC7" s="2">
        <f>AC$9*AC$10</f>
        <v>5.0000000000000001E-4</v>
      </c>
    </row>
    <row r="8" spans="1:33" x14ac:dyDescent="0.35">
      <c r="A8" s="2" t="s">
        <v>53</v>
      </c>
      <c r="B8" s="2">
        <f>AVERAGEA('P80 sandpaper '!B8, '2 P80 sandpaper'!B8, '3 P80 sandpaper'!B8)</f>
        <v>2516.6666666666665</v>
      </c>
      <c r="C8" s="19">
        <f t="shared" si="0"/>
        <v>41.944528333333331</v>
      </c>
      <c r="D8" s="19">
        <f t="shared" si="1"/>
        <v>0.69907463333333331</v>
      </c>
      <c r="E8" s="3">
        <f t="shared" si="2"/>
        <v>6.9907463333333331E-4</v>
      </c>
      <c r="F8" s="19">
        <f t="shared" si="3"/>
        <v>1.3981492666666666</v>
      </c>
      <c r="G8" s="19">
        <f t="shared" si="4"/>
        <v>1.9548213718805376</v>
      </c>
      <c r="H8" s="19">
        <f t="shared" si="5"/>
        <v>2.7177784705173331</v>
      </c>
      <c r="I8" s="2">
        <f>AVERAGEA('P80 sandpaper '!I8,'2 P80 sandpaper'!I8, '3 P80 sandpaper'!I8)</f>
        <v>2.3874075269569892</v>
      </c>
      <c r="J8" s="20">
        <f t="shared" si="6"/>
        <v>23.874075269569893</v>
      </c>
      <c r="K8" s="21">
        <f t="shared" si="7"/>
        <v>2387.4075269569894</v>
      </c>
      <c r="L8" s="54">
        <f t="shared" si="10"/>
        <v>2.3874075269569892</v>
      </c>
      <c r="M8" s="3">
        <f t="shared" si="8"/>
        <v>24348.721922902492</v>
      </c>
      <c r="N8" s="4">
        <f t="shared" si="11"/>
        <v>12.434414202900985</v>
      </c>
      <c r="O8" s="4">
        <f t="shared" si="12"/>
        <v>4.969449503547814E-2</v>
      </c>
      <c r="P8" s="4">
        <f t="shared" si="13"/>
        <v>1.2423623758869535E-2</v>
      </c>
      <c r="R8" s="4">
        <f t="shared" ref="R8:R12" si="15">3.7*(10^(-1/(2*SQRT(O8)))-2.51/(M8*SQRT(O8)))</f>
        <v>1.9437101059931225E-2</v>
      </c>
      <c r="S8" s="68">
        <f>AVERAGEA('P80 sandpaper '!Q8,'2 P80 sandpaper'!Q8)</f>
        <v>614071.18350000004</v>
      </c>
      <c r="T8" s="68">
        <f>AVERAGEA('P80 sandpaper '!R8,'2 P80 sandpaper'!R8)</f>
        <v>22481.323499999999</v>
      </c>
      <c r="U8" s="68">
        <f>AVERAGEA('P80 sandpaper '!S8,'2 P80 sandpaper'!S8)</f>
        <v>28.279</v>
      </c>
      <c r="W8" s="22">
        <v>0.2</v>
      </c>
      <c r="X8" s="23">
        <f t="shared" si="9"/>
        <v>3482.9931972789118</v>
      </c>
      <c r="Y8" s="23">
        <f t="shared" si="14"/>
        <v>3.8009722146258217E-2</v>
      </c>
      <c r="Z8" s="23">
        <f t="shared" ref="Z8:Z31" si="16">0.0791/(X8^0.25)</f>
        <v>1.0296469252633647E-2</v>
      </c>
      <c r="AA8" s="25"/>
      <c r="AB8" s="2" t="s">
        <v>25</v>
      </c>
    </row>
    <row r="9" spans="1:33" ht="19" x14ac:dyDescent="0.4">
      <c r="A9" s="2" t="s">
        <v>54</v>
      </c>
      <c r="B9" s="2">
        <f>AVERAGEA('P80 sandpaper '!B9, '2 P80 sandpaper'!B9, '3 P80 sandpaper'!B9)</f>
        <v>3333.3333333333335</v>
      </c>
      <c r="C9" s="19">
        <f t="shared" si="0"/>
        <v>55.555666666666667</v>
      </c>
      <c r="D9" s="19">
        <f t="shared" si="1"/>
        <v>0.92592666666666679</v>
      </c>
      <c r="E9" s="3">
        <f t="shared" si="2"/>
        <v>9.2592666666666684E-4</v>
      </c>
      <c r="F9" s="19">
        <f t="shared" si="3"/>
        <v>1.8518533333333336</v>
      </c>
      <c r="G9" s="19">
        <f t="shared" si="4"/>
        <v>3.4293607681777787</v>
      </c>
      <c r="H9" s="19">
        <f t="shared" si="5"/>
        <v>3.5997065834666673</v>
      </c>
      <c r="I9" s="2">
        <f>AVERAGEA('P80 sandpaper '!I9,'2 P80 sandpaper'!I9, '3 P80 sandpaper'!I9)</f>
        <v>4.2362623656989244</v>
      </c>
      <c r="J9" s="20">
        <f t="shared" si="6"/>
        <v>42.362623656989243</v>
      </c>
      <c r="K9" s="21">
        <f t="shared" si="7"/>
        <v>4236.2623656989244</v>
      </c>
      <c r="L9" s="54">
        <f t="shared" si="10"/>
        <v>4.2362623656989244</v>
      </c>
      <c r="M9" s="3">
        <f t="shared" si="8"/>
        <v>32249.962811791389</v>
      </c>
      <c r="N9" s="4">
        <f t="shared" si="11"/>
        <v>22.063866488015229</v>
      </c>
      <c r="O9" s="4">
        <f t="shared" si="12"/>
        <v>5.026416542031284E-2</v>
      </c>
      <c r="P9" s="4">
        <f t="shared" si="13"/>
        <v>1.256604135507821E-2</v>
      </c>
      <c r="R9" s="4">
        <f t="shared" si="15"/>
        <v>2.049351893950779E-2</v>
      </c>
      <c r="S9" s="68">
        <f>AVERAGEA('P80 sandpaper '!Q9,'2 P80 sandpaper'!Q9)</f>
        <v>596117.16783333337</v>
      </c>
      <c r="T9" s="68">
        <f>AVERAGEA('P80 sandpaper '!R9,'2 P80 sandpaper'!R9)</f>
        <v>21663.187333333335</v>
      </c>
      <c r="U9" s="68">
        <f>AVERAGEA('P80 sandpaper '!S9,'2 P80 sandpaper'!S9)</f>
        <v>24.749333333333333</v>
      </c>
      <c r="W9" s="22">
        <v>0.3</v>
      </c>
      <c r="X9" s="23">
        <f t="shared" si="9"/>
        <v>5224.4897959183672</v>
      </c>
      <c r="Y9" s="23">
        <f t="shared" si="14"/>
        <v>3.4345661088012416E-2</v>
      </c>
      <c r="Z9" s="23">
        <f t="shared" si="16"/>
        <v>9.3039102467869263E-3</v>
      </c>
      <c r="AA9" s="25"/>
      <c r="AB9" s="1" t="s">
        <v>26</v>
      </c>
      <c r="AC9" s="19">
        <v>0.05</v>
      </c>
      <c r="AE9" s="2">
        <f>AC9*AC13</f>
        <v>4.0000000000000008E-2</v>
      </c>
      <c r="AF9" s="27" t="s">
        <v>27</v>
      </c>
    </row>
    <row r="10" spans="1:33" ht="18.5" x14ac:dyDescent="0.35">
      <c r="A10" s="2" t="s">
        <v>55</v>
      </c>
      <c r="B10" s="2">
        <f>AVERAGEA('P80 sandpaper '!B10, '2 P80 sandpaper'!B10, '3 P80 sandpaper'!B10)</f>
        <v>4050</v>
      </c>
      <c r="C10" s="19">
        <f t="shared" si="0"/>
        <v>67.500135</v>
      </c>
      <c r="D10" s="19">
        <f t="shared" si="1"/>
        <v>1.1250009000000001</v>
      </c>
      <c r="E10" s="3">
        <f t="shared" si="2"/>
        <v>1.1250009E-3</v>
      </c>
      <c r="F10" s="19">
        <f t="shared" si="3"/>
        <v>2.2500018000000002</v>
      </c>
      <c r="G10" s="19">
        <f t="shared" si="4"/>
        <v>5.0625081000032406</v>
      </c>
      <c r="H10" s="19">
        <f t="shared" si="5"/>
        <v>4.3736434989120001</v>
      </c>
      <c r="I10" s="2">
        <f>AVERAGEA('P80 sandpaper '!I10,'2 P80 sandpaper'!I10, '3 P80 sandpaper'!I10)</f>
        <v>6.3145344084516131</v>
      </c>
      <c r="J10" s="20">
        <f t="shared" si="6"/>
        <v>63.145344084516132</v>
      </c>
      <c r="K10" s="21">
        <f t="shared" si="7"/>
        <v>6314.5344084516137</v>
      </c>
      <c r="L10" s="54">
        <f t="shared" si="10"/>
        <v>6.314534408451614</v>
      </c>
      <c r="M10" s="3">
        <f t="shared" si="8"/>
        <v>39183.704816326535</v>
      </c>
      <c r="N10" s="4">
        <f t="shared" si="11"/>
        <v>32.888200044018816</v>
      </c>
      <c r="O10" s="4">
        <f t="shared" si="12"/>
        <v>5.0753313924323903E-2</v>
      </c>
      <c r="P10" s="4">
        <f t="shared" si="13"/>
        <v>1.2688328481080976E-2</v>
      </c>
      <c r="R10" s="4">
        <f t="shared" si="15"/>
        <v>2.127289065338523E-2</v>
      </c>
      <c r="S10" s="68">
        <f>AVERAGEA('P80 sandpaper '!Q10,'2 P80 sandpaper'!Q10)</f>
        <v>602767.93449999997</v>
      </c>
      <c r="T10" s="68">
        <f>AVERAGEA('P80 sandpaper '!R10,'2 P80 sandpaper'!R10)</f>
        <v>21944.5065</v>
      </c>
      <c r="U10" s="68">
        <f>AVERAGEA('P80 sandpaper '!S10,'2 P80 sandpaper'!S10)</f>
        <v>25.540166666666664</v>
      </c>
      <c r="W10" s="22">
        <v>0.4</v>
      </c>
      <c r="X10" s="23">
        <f t="shared" si="9"/>
        <v>6965.9863945578236</v>
      </c>
      <c r="Y10" s="23">
        <f t="shared" si="14"/>
        <v>3.1962239097578254E-2</v>
      </c>
      <c r="Z10" s="23">
        <f t="shared" si="16"/>
        <v>8.6582640843097265E-3</v>
      </c>
      <c r="AA10" s="25"/>
      <c r="AB10" s="1" t="s">
        <v>28</v>
      </c>
      <c r="AC10" s="19">
        <v>0.01</v>
      </c>
      <c r="AE10" s="2">
        <v>0.04</v>
      </c>
      <c r="AF10" s="28" t="s">
        <v>29</v>
      </c>
      <c r="AG10" s="2" t="s">
        <v>30</v>
      </c>
    </row>
    <row r="11" spans="1:33" ht="16.5" x14ac:dyDescent="0.4">
      <c r="A11" s="2" t="s">
        <v>56</v>
      </c>
      <c r="B11" s="2">
        <f>AVERAGEA('P80 sandpaper '!B11, '2 P80 sandpaper'!B11, '3 P80 sandpaper'!B11)</f>
        <v>4750</v>
      </c>
      <c r="C11" s="19">
        <f t="shared" si="0"/>
        <v>79.166825000000003</v>
      </c>
      <c r="D11" s="19">
        <f t="shared" si="1"/>
        <v>1.3194455</v>
      </c>
      <c r="E11" s="3">
        <f t="shared" si="2"/>
        <v>1.3194455E-3</v>
      </c>
      <c r="F11" s="19">
        <f t="shared" si="3"/>
        <v>2.6388910000000001</v>
      </c>
      <c r="G11" s="19">
        <f t="shared" si="4"/>
        <v>6.9637457098810005</v>
      </c>
      <c r="H11" s="19">
        <f t="shared" si="5"/>
        <v>5.12958188144</v>
      </c>
      <c r="I11" s="2">
        <f>AVERAGEA('P80 sandpaper '!I11,'2 P80 sandpaper'!I11, '3 P80 sandpaper'!I11)</f>
        <v>8.3766247312795699</v>
      </c>
      <c r="J11" s="20">
        <f t="shared" si="6"/>
        <v>83.766247312795699</v>
      </c>
      <c r="K11" s="21">
        <f t="shared" si="7"/>
        <v>8376.6247312795695</v>
      </c>
      <c r="L11" s="54">
        <f t="shared" si="10"/>
        <v>8.3766247312795699</v>
      </c>
      <c r="M11" s="3">
        <f t="shared" si="8"/>
        <v>45956.197006802722</v>
      </c>
      <c r="N11" s="4">
        <f t="shared" si="11"/>
        <v>43.628253808747758</v>
      </c>
      <c r="O11" s="4">
        <f t="shared" si="12"/>
        <v>4.894574659686509E-2</v>
      </c>
      <c r="P11" s="4">
        <f t="shared" si="13"/>
        <v>1.2236436649216273E-2</v>
      </c>
      <c r="R11" s="4">
        <f t="shared" si="15"/>
        <v>1.9418589657106414E-2</v>
      </c>
      <c r="S11" s="68">
        <f>AVERAGEA('P80 sandpaper '!Q11,'2 P80 sandpaper'!Q11)</f>
        <v>598650.61883333325</v>
      </c>
      <c r="T11" s="68">
        <f>AVERAGEA('P80 sandpaper '!R11,'2 P80 sandpaper'!R11)</f>
        <v>21191.652666666669</v>
      </c>
      <c r="U11" s="68">
        <f>AVERAGEA('P80 sandpaper '!S11,'2 P80 sandpaper'!S11)</f>
        <v>27.54516666666667</v>
      </c>
      <c r="W11" s="22">
        <v>0.5</v>
      </c>
      <c r="X11" s="23">
        <f t="shared" si="9"/>
        <v>8707.4829931972799</v>
      </c>
      <c r="Y11" s="23">
        <f t="shared" si="14"/>
        <v>3.0228019431487878E-2</v>
      </c>
      <c r="Z11" s="23">
        <f t="shared" si="16"/>
        <v>8.1884806062694909E-3</v>
      </c>
      <c r="AA11" s="25"/>
      <c r="AB11" s="1" t="s">
        <v>163</v>
      </c>
      <c r="AC11" s="4">
        <f>2*(AC9*AC10)/(AC9+AC10)</f>
        <v>1.6666666666666666E-2</v>
      </c>
      <c r="AD11" s="1">
        <f>10*AC11*100</f>
        <v>16.666666666666664</v>
      </c>
      <c r="AF11" s="27" t="s">
        <v>32</v>
      </c>
      <c r="AG11" s="2" t="s">
        <v>33</v>
      </c>
    </row>
    <row r="12" spans="1:33" x14ac:dyDescent="0.35">
      <c r="A12" s="2" t="s">
        <v>63</v>
      </c>
      <c r="B12" s="2">
        <f>AVERAGEA('P80 sandpaper '!B12, '2 P80 sandpaper'!B12)</f>
        <v>5425</v>
      </c>
      <c r="C12" s="19">
        <f t="shared" si="0"/>
        <v>90.416847500000003</v>
      </c>
      <c r="D12" s="19">
        <f t="shared" si="1"/>
        <v>1.50694565</v>
      </c>
      <c r="E12" s="3">
        <f t="shared" si="2"/>
        <v>1.50694565E-3</v>
      </c>
      <c r="F12" s="19">
        <f t="shared" si="3"/>
        <v>3.0138913000000001</v>
      </c>
      <c r="G12" s="19">
        <f t="shared" si="4"/>
        <v>9.0835407682156895</v>
      </c>
      <c r="H12" s="19">
        <f t="shared" si="5"/>
        <v>5.8585224645920002</v>
      </c>
      <c r="I12" s="2">
        <f>AVERAGEA('P80 sandpaper '!I12,'2 P80 sandpaper'!I12)</f>
        <v>8.6896451613870962</v>
      </c>
      <c r="J12" s="20">
        <f t="shared" si="6"/>
        <v>86.896451613870966</v>
      </c>
      <c r="K12" s="21">
        <f t="shared" si="7"/>
        <v>8689.6451613870959</v>
      </c>
      <c r="L12" s="54">
        <f t="shared" si="10"/>
        <v>8.6896451613870962</v>
      </c>
      <c r="M12" s="3">
        <f t="shared" si="8"/>
        <v>52486.814476190477</v>
      </c>
      <c r="N12" s="4">
        <f t="shared" si="11"/>
        <v>45.25856854889112</v>
      </c>
      <c r="O12" s="4">
        <f t="shared" si="12"/>
        <v>3.8925632174783238E-2</v>
      </c>
      <c r="P12" s="4">
        <f t="shared" si="13"/>
        <v>9.7314080436958095E-3</v>
      </c>
      <c r="R12" s="4">
        <f t="shared" si="15"/>
        <v>9.9159191042219891E-3</v>
      </c>
      <c r="S12" s="68">
        <f>AVERAGEA('P80 sandpaper '!Q12,'2 P80 sandpaper'!Q12)</f>
        <v>563515.27</v>
      </c>
      <c r="T12" s="68">
        <f>AVERAGEA('P80 sandpaper '!R12,'2 P80 sandpaper'!R12)</f>
        <v>20239.237499999999</v>
      </c>
      <c r="U12" s="68">
        <f>AVERAGEA('P80 sandpaper '!S12,'2 P80 sandpaper'!S12)</f>
        <v>27.423333333333332</v>
      </c>
      <c r="W12" s="22">
        <v>0.6</v>
      </c>
      <c r="X12" s="23">
        <f t="shared" si="9"/>
        <v>10448.979591836734</v>
      </c>
      <c r="Y12" s="23">
        <f t="shared" si="14"/>
        <v>2.8881143288428633E-2</v>
      </c>
      <c r="Z12" s="23">
        <f t="shared" si="16"/>
        <v>7.8236247743654289E-3</v>
      </c>
      <c r="AA12" s="25"/>
      <c r="AB12" s="1" t="s">
        <v>164</v>
      </c>
      <c r="AC12" s="31">
        <f>AC$16/AC$15</f>
        <v>9.5703124999999997E-7</v>
      </c>
    </row>
    <row r="13" spans="1:33" ht="16.5" x14ac:dyDescent="0.4">
      <c r="C13" s="19"/>
      <c r="D13" s="19"/>
      <c r="E13" s="3"/>
      <c r="F13" s="19"/>
      <c r="G13" s="19"/>
      <c r="H13" s="19"/>
      <c r="J13" s="20"/>
      <c r="K13" s="21"/>
      <c r="L13" s="54"/>
      <c r="S13" s="71"/>
      <c r="T13" s="4"/>
      <c r="U13" s="74"/>
      <c r="W13" s="22">
        <v>0.7</v>
      </c>
      <c r="X13" s="23">
        <f t="shared" si="9"/>
        <v>12190.476190476189</v>
      </c>
      <c r="Y13" s="23">
        <f t="shared" si="14"/>
        <v>2.778930489962704E-2</v>
      </c>
      <c r="Z13" s="23">
        <f t="shared" si="16"/>
        <v>7.527856224522257E-3</v>
      </c>
      <c r="AA13" s="25"/>
      <c r="AB13" s="1" t="s">
        <v>35</v>
      </c>
      <c r="AC13" s="32">
        <v>0.8</v>
      </c>
      <c r="AF13" s="27" t="s">
        <v>36</v>
      </c>
      <c r="AG13" s="1" t="s">
        <v>37</v>
      </c>
    </row>
    <row r="14" spans="1:33" x14ac:dyDescent="0.35">
      <c r="A14" s="32"/>
      <c r="B14" s="32"/>
      <c r="C14" s="32"/>
      <c r="D14" s="32"/>
      <c r="E14" s="32"/>
      <c r="F14" s="32"/>
      <c r="G14" s="32"/>
      <c r="H14" s="32"/>
      <c r="I14" s="32"/>
      <c r="J14" s="32"/>
      <c r="K14" s="32"/>
      <c r="L14" s="32"/>
      <c r="M14" s="130"/>
      <c r="N14" s="5"/>
      <c r="O14" s="5"/>
      <c r="P14" s="5"/>
      <c r="Q14" s="5"/>
      <c r="R14" s="5"/>
      <c r="S14" s="95"/>
      <c r="T14" s="4"/>
      <c r="U14" s="74"/>
      <c r="W14" s="22">
        <v>0.8</v>
      </c>
      <c r="X14" s="23">
        <f t="shared" si="9"/>
        <v>13931.972789115647</v>
      </c>
      <c r="Y14" s="23">
        <f t="shared" si="14"/>
        <v>2.6876932280635684E-2</v>
      </c>
      <c r="Z14" s="23">
        <f t="shared" si="16"/>
        <v>7.2807032308160368E-3</v>
      </c>
      <c r="AA14" s="25"/>
      <c r="AC14" s="32"/>
    </row>
    <row r="15" spans="1:33" x14ac:dyDescent="0.35">
      <c r="A15" s="32"/>
      <c r="B15" s="32"/>
      <c r="C15" s="32"/>
      <c r="D15" s="32"/>
      <c r="E15" s="32"/>
      <c r="F15" s="32"/>
      <c r="G15" s="32"/>
      <c r="H15" s="32"/>
      <c r="I15" s="32"/>
      <c r="J15" s="32"/>
      <c r="K15" s="32"/>
      <c r="L15" s="32"/>
      <c r="M15" s="130"/>
      <c r="N15" s="5"/>
      <c r="O15" s="5"/>
      <c r="P15" s="5"/>
      <c r="Q15" s="5"/>
      <c r="R15" s="5"/>
      <c r="S15" s="95"/>
      <c r="T15" s="4"/>
      <c r="U15" s="74"/>
      <c r="V15" s="34"/>
      <c r="W15" s="22">
        <v>0.9</v>
      </c>
      <c r="X15" s="23">
        <f t="shared" si="9"/>
        <v>15673.469387755102</v>
      </c>
      <c r="Y15" s="23">
        <f t="shared" si="14"/>
        <v>2.6097058941967139E-2</v>
      </c>
      <c r="Z15" s="23">
        <f t="shared" si="16"/>
        <v>7.0694430216082221E-3</v>
      </c>
      <c r="AA15" s="25"/>
      <c r="AB15" s="2" t="s">
        <v>38</v>
      </c>
      <c r="AC15" s="32">
        <f>VLOOKUP(AC17, SW!A4:F34, 3, FALSE)</f>
        <v>1024</v>
      </c>
      <c r="AD15" s="32"/>
    </row>
    <row r="16" spans="1:33" x14ac:dyDescent="0.35">
      <c r="A16" s="32"/>
      <c r="B16" s="32"/>
      <c r="C16" s="32"/>
      <c r="D16" s="32"/>
      <c r="E16" s="32"/>
      <c r="F16" s="32"/>
      <c r="G16" s="32"/>
      <c r="H16" s="32"/>
      <c r="I16" s="32"/>
      <c r="J16" s="32"/>
      <c r="K16" s="32"/>
      <c r="L16" s="32"/>
      <c r="M16" s="130"/>
      <c r="N16" s="5"/>
      <c r="O16" s="5"/>
      <c r="P16" s="5"/>
      <c r="Q16" s="5"/>
      <c r="R16" s="5"/>
      <c r="S16" s="93"/>
      <c r="W16" s="22">
        <v>1</v>
      </c>
      <c r="X16" s="23">
        <f t="shared" si="9"/>
        <v>17414.96598639456</v>
      </c>
      <c r="Y16" s="23">
        <f t="shared" si="14"/>
        <v>2.5418633180157784E-2</v>
      </c>
      <c r="Z16" s="23">
        <f t="shared" si="16"/>
        <v>6.8856639881865788E-3</v>
      </c>
      <c r="AA16" s="25"/>
      <c r="AB16" s="2" t="s">
        <v>39</v>
      </c>
      <c r="AC16" s="32">
        <f>VLOOKUP(AC17, SW!A4:F34, 5, FALSE)</f>
        <v>9.7999999999999997E-4</v>
      </c>
    </row>
    <row r="17" spans="1:35" x14ac:dyDescent="0.35">
      <c r="A17" s="32"/>
      <c r="B17" s="32"/>
      <c r="C17" s="32"/>
      <c r="D17" s="32"/>
      <c r="E17" s="32"/>
      <c r="F17" s="32"/>
      <c r="G17" s="32"/>
      <c r="H17" s="32"/>
      <c r="I17" s="32"/>
      <c r="J17" s="32"/>
      <c r="K17" s="32"/>
      <c r="L17" s="32"/>
      <c r="M17" s="130"/>
      <c r="N17" s="5"/>
      <c r="O17" s="5"/>
      <c r="P17" s="5"/>
      <c r="Q17" s="5"/>
      <c r="R17" s="5"/>
      <c r="V17" s="14"/>
      <c r="W17" s="22">
        <v>1.1000000000000001</v>
      </c>
      <c r="X17" s="23">
        <f t="shared" si="9"/>
        <v>19156.462585034013</v>
      </c>
      <c r="Y17" s="23">
        <f t="shared" si="14"/>
        <v>2.4820128322747034E-2</v>
      </c>
      <c r="Z17" s="23">
        <f t="shared" si="16"/>
        <v>6.7235347614016802E-3</v>
      </c>
      <c r="AA17" s="25"/>
      <c r="AB17" s="2" t="s">
        <v>161</v>
      </c>
      <c r="AC17" s="2">
        <v>24</v>
      </c>
    </row>
    <row r="18" spans="1:35" x14ac:dyDescent="0.35">
      <c r="A18" s="32"/>
      <c r="B18" s="32"/>
      <c r="C18" s="32"/>
      <c r="D18" s="32"/>
      <c r="E18" s="32"/>
      <c r="F18" s="32"/>
      <c r="G18" s="32"/>
      <c r="H18" s="32"/>
      <c r="I18" s="32"/>
      <c r="J18" s="32"/>
      <c r="K18" s="32"/>
      <c r="L18" s="32"/>
      <c r="M18" s="130"/>
      <c r="N18" s="5"/>
      <c r="O18" s="5"/>
      <c r="P18" s="5"/>
      <c r="Q18" s="5"/>
      <c r="R18" s="5"/>
      <c r="W18" s="22">
        <v>1.2</v>
      </c>
      <c r="X18" s="23">
        <f t="shared" si="9"/>
        <v>20897.959183673469</v>
      </c>
      <c r="Y18" s="23">
        <f t="shared" si="14"/>
        <v>2.4286049859668517E-2</v>
      </c>
      <c r="Z18" s="23">
        <f t="shared" si="16"/>
        <v>6.5788580270540404E-3</v>
      </c>
      <c r="AA18" s="25"/>
      <c r="AB18" s="1"/>
      <c r="AC18" s="1">
        <f>AVERAGE('P80 sandpaper '!AA17,'2 P80 sandpaper'!AA17,'3 P80 sandpaper'!AA17)</f>
        <v>23.666666666666668</v>
      </c>
      <c r="AF18" s="119" t="s">
        <v>40</v>
      </c>
      <c r="AG18" s="119"/>
      <c r="AH18" s="119"/>
      <c r="AI18" s="119"/>
    </row>
    <row r="19" spans="1:35" x14ac:dyDescent="0.35">
      <c r="A19" s="24"/>
      <c r="B19" s="131"/>
      <c r="C19" s="132"/>
      <c r="D19" s="132"/>
      <c r="E19" s="130"/>
      <c r="F19" s="132"/>
      <c r="G19" s="132"/>
      <c r="H19" s="132"/>
      <c r="I19" s="34"/>
      <c r="J19" s="34"/>
      <c r="K19" s="133"/>
      <c r="L19" s="133"/>
      <c r="M19" s="130"/>
      <c r="N19" s="5"/>
      <c r="O19" s="5"/>
      <c r="P19" s="5"/>
      <c r="Q19" s="5"/>
      <c r="R19" s="5"/>
      <c r="W19" s="22">
        <v>1.3</v>
      </c>
      <c r="X19" s="23">
        <f t="shared" si="9"/>
        <v>22639.455782312925</v>
      </c>
      <c r="Y19" s="23">
        <f t="shared" si="14"/>
        <v>2.3804899687980836E-2</v>
      </c>
      <c r="Z19" s="23">
        <f t="shared" si="16"/>
        <v>6.4485190593126171E-3</v>
      </c>
      <c r="AA19" s="25"/>
      <c r="AF19" s="120" t="s">
        <v>41</v>
      </c>
      <c r="AG19" s="119" t="s">
        <v>42</v>
      </c>
      <c r="AH19" s="119" t="s">
        <v>43</v>
      </c>
      <c r="AI19" s="119" t="s">
        <v>44</v>
      </c>
    </row>
    <row r="20" spans="1:35" x14ac:dyDescent="0.35">
      <c r="A20" s="24"/>
      <c r="B20" s="131"/>
      <c r="C20" s="132"/>
      <c r="D20" s="132"/>
      <c r="E20" s="130"/>
      <c r="F20" s="132"/>
      <c r="G20" s="132"/>
      <c r="H20" s="132"/>
      <c r="I20" s="32"/>
      <c r="J20" s="34"/>
      <c r="K20" s="133"/>
      <c r="L20" s="123"/>
      <c r="M20" s="130"/>
      <c r="N20" s="5"/>
      <c r="O20" s="5"/>
      <c r="P20" s="5"/>
      <c r="Q20" s="5"/>
      <c r="R20" s="5"/>
      <c r="W20" s="22">
        <v>1.4</v>
      </c>
      <c r="X20" s="23">
        <f t="shared" si="9"/>
        <v>24380.952380952378</v>
      </c>
      <c r="Y20" s="23">
        <f t="shared" si="14"/>
        <v>2.3367926872488863E-2</v>
      </c>
      <c r="Z20" s="23">
        <f t="shared" si="16"/>
        <v>6.3301473137461275E-3</v>
      </c>
      <c r="AA20" s="25"/>
      <c r="AB20" s="1" t="s">
        <v>45</v>
      </c>
      <c r="AC20" s="1">
        <f>4*10^(-6)</f>
        <v>3.9999999999999998E-6</v>
      </c>
      <c r="AF20" s="120" t="s">
        <v>46</v>
      </c>
      <c r="AG20" s="119" t="s">
        <v>47</v>
      </c>
      <c r="AH20" s="119" t="s">
        <v>48</v>
      </c>
      <c r="AI20" s="119" t="s">
        <v>49</v>
      </c>
    </row>
    <row r="21" spans="1:35" x14ac:dyDescent="0.35">
      <c r="A21" s="24"/>
      <c r="B21" s="131"/>
      <c r="C21" s="132"/>
      <c r="D21" s="130"/>
      <c r="E21" s="132"/>
      <c r="F21" s="130"/>
      <c r="G21" s="132"/>
      <c r="H21" s="132"/>
      <c r="I21" s="32"/>
      <c r="J21" s="34"/>
      <c r="K21" s="133"/>
      <c r="L21" s="123"/>
      <c r="M21" s="130"/>
      <c r="N21" s="5"/>
      <c r="O21" s="5"/>
      <c r="P21" s="5"/>
      <c r="Q21" s="5"/>
      <c r="R21" s="5"/>
      <c r="W21" s="22">
        <v>1.5</v>
      </c>
      <c r="X21" s="23">
        <f t="shared" si="9"/>
        <v>26122.448979591838</v>
      </c>
      <c r="Y21" s="23">
        <f t="shared" si="14"/>
        <v>2.2968327870614258E-2</v>
      </c>
      <c r="Z21" s="23">
        <f t="shared" si="16"/>
        <v>6.2218997759095479E-3</v>
      </c>
      <c r="AA21" s="25"/>
      <c r="AB21" s="1" t="s">
        <v>50</v>
      </c>
      <c r="AC21" s="2">
        <f>AC20/AC11</f>
        <v>2.3999999999999998E-4</v>
      </c>
      <c r="AF21" s="119">
        <v>0</v>
      </c>
      <c r="AG21" s="119">
        <v>1.792E-3</v>
      </c>
      <c r="AH21" s="119">
        <v>999.87</v>
      </c>
      <c r="AI21" s="121">
        <v>1.7922329902887374E-6</v>
      </c>
    </row>
    <row r="22" spans="1:35" x14ac:dyDescent="0.35">
      <c r="A22" s="24"/>
      <c r="B22" s="131"/>
      <c r="C22" s="132"/>
      <c r="D22" s="132"/>
      <c r="E22" s="130"/>
      <c r="F22" s="32"/>
      <c r="G22" s="132"/>
      <c r="H22" s="132"/>
      <c r="I22" s="32"/>
      <c r="J22" s="34"/>
      <c r="K22" s="133"/>
      <c r="L22" s="133"/>
      <c r="M22" s="130"/>
      <c r="N22" s="5"/>
      <c r="O22" s="5"/>
      <c r="P22" s="5"/>
      <c r="Q22" s="5"/>
      <c r="R22" s="134"/>
      <c r="W22" s="22">
        <v>1.6</v>
      </c>
      <c r="X22" s="23">
        <f t="shared" si="9"/>
        <v>27863.945578231294</v>
      </c>
      <c r="Y22" s="23">
        <f t="shared" si="14"/>
        <v>2.260071600780339E-2</v>
      </c>
      <c r="Z22" s="23">
        <f t="shared" si="16"/>
        <v>6.1223172473193442E-3</v>
      </c>
      <c r="AA22" s="25"/>
      <c r="AF22" s="119">
        <v>5</v>
      </c>
      <c r="AG22" s="119">
        <v>1.519E-3</v>
      </c>
      <c r="AH22" s="119">
        <v>999.99</v>
      </c>
      <c r="AI22" s="121">
        <v>1.5190151901519014E-6</v>
      </c>
    </row>
    <row r="23" spans="1:35" x14ac:dyDescent="0.35">
      <c r="A23" s="32"/>
      <c r="B23" s="131"/>
      <c r="C23" s="132"/>
      <c r="D23" s="132"/>
      <c r="E23" s="130"/>
      <c r="F23" s="135"/>
      <c r="G23" s="132"/>
      <c r="H23" s="132"/>
      <c r="I23" s="32"/>
      <c r="J23" s="34"/>
      <c r="K23" s="133"/>
      <c r="L23" s="133"/>
      <c r="M23" s="130"/>
      <c r="N23" s="5"/>
      <c r="O23" s="5"/>
      <c r="P23" s="5"/>
      <c r="Q23" s="5"/>
      <c r="R23" s="5"/>
      <c r="W23" s="22">
        <v>1.7</v>
      </c>
      <c r="X23" s="23">
        <f t="shared" si="9"/>
        <v>29605.442176870747</v>
      </c>
      <c r="Y23" s="23">
        <f t="shared" si="14"/>
        <v>2.2260758772547098E-2</v>
      </c>
      <c r="Z23" s="23">
        <f t="shared" si="16"/>
        <v>6.0302260921523132E-3</v>
      </c>
      <c r="AA23" s="25"/>
      <c r="AB23" s="40"/>
      <c r="AF23" s="119">
        <f>AF22+5</f>
        <v>10</v>
      </c>
      <c r="AG23" s="119">
        <v>1.3079999999999999E-3</v>
      </c>
      <c r="AH23" s="119">
        <v>999.73</v>
      </c>
      <c r="AI23" s="121">
        <v>1.3083532553789522E-6</v>
      </c>
    </row>
    <row r="24" spans="1:35" x14ac:dyDescent="0.35">
      <c r="A24" s="32"/>
      <c r="B24" s="131"/>
      <c r="C24" s="132"/>
      <c r="D24" s="132"/>
      <c r="E24" s="130"/>
      <c r="F24" s="132"/>
      <c r="G24" s="132"/>
      <c r="H24" s="132"/>
      <c r="I24" s="32"/>
      <c r="J24" s="34"/>
      <c r="K24" s="133"/>
      <c r="L24" s="133"/>
      <c r="M24" s="130"/>
      <c r="N24" s="5"/>
      <c r="O24" s="5"/>
      <c r="P24" s="5"/>
      <c r="Q24" s="5"/>
      <c r="R24" s="5"/>
      <c r="W24" s="22">
        <v>1.8</v>
      </c>
      <c r="X24" s="23">
        <f t="shared" si="9"/>
        <v>31346.938775510203</v>
      </c>
      <c r="Y24" s="23">
        <f t="shared" si="14"/>
        <v>2.1944923312965062E-2</v>
      </c>
      <c r="Z24" s="23">
        <f t="shared" si="16"/>
        <v>5.9446692947107424E-3</v>
      </c>
      <c r="AA24" s="4"/>
      <c r="AB24" s="40"/>
      <c r="AF24" s="119" t="e">
        <f>#REF!+5</f>
        <v>#REF!</v>
      </c>
      <c r="AG24" s="119">
        <v>1.005E-3</v>
      </c>
      <c r="AH24" s="119">
        <v>998.23</v>
      </c>
      <c r="AI24" s="121">
        <v>1.0067820041473407E-6</v>
      </c>
    </row>
    <row r="25" spans="1:35" x14ac:dyDescent="0.35">
      <c r="A25" s="32"/>
      <c r="B25" s="131"/>
      <c r="C25" s="132"/>
      <c r="D25" s="132"/>
      <c r="E25" s="130"/>
      <c r="F25" s="130"/>
      <c r="G25" s="132"/>
      <c r="H25" s="132"/>
      <c r="I25" s="132"/>
      <c r="J25" s="34"/>
      <c r="K25" s="133"/>
      <c r="L25" s="133"/>
      <c r="M25" s="130"/>
      <c r="N25" s="5"/>
      <c r="O25" s="5"/>
      <c r="P25" s="5"/>
      <c r="Q25" s="5"/>
      <c r="R25" s="5"/>
      <c r="W25" s="22">
        <v>1.9</v>
      </c>
      <c r="X25" s="23">
        <f t="shared" si="9"/>
        <v>33088.43537414966</v>
      </c>
      <c r="Y25" s="23">
        <f t="shared" si="14"/>
        <v>2.1650293767756439E-2</v>
      </c>
      <c r="Z25" s="23">
        <f t="shared" si="16"/>
        <v>5.8648569761285433E-3</v>
      </c>
      <c r="AA25" s="4"/>
      <c r="AB25" s="40"/>
      <c r="AF25" s="119">
        <v>25</v>
      </c>
      <c r="AG25" s="119">
        <v>8.9400000000000005E-4</v>
      </c>
      <c r="AH25" s="119">
        <v>997.07</v>
      </c>
      <c r="AI25" s="121">
        <v>8.9662711745414066E-7</v>
      </c>
    </row>
    <row r="26" spans="1:35" x14ac:dyDescent="0.35">
      <c r="A26" s="32"/>
      <c r="B26" s="32"/>
      <c r="C26" s="32"/>
      <c r="D26" s="32"/>
      <c r="E26" s="32"/>
      <c r="F26" s="32"/>
      <c r="G26" s="32"/>
      <c r="H26" s="32"/>
      <c r="I26" s="32"/>
      <c r="J26" s="32"/>
      <c r="K26" s="32"/>
      <c r="L26" s="32"/>
      <c r="M26" s="130"/>
      <c r="N26" s="5"/>
      <c r="O26" s="89"/>
      <c r="P26" s="5"/>
      <c r="Q26" s="5"/>
      <c r="R26" s="5"/>
      <c r="W26" s="22">
        <v>2</v>
      </c>
      <c r="X26" s="23">
        <f t="shared" si="9"/>
        <v>34829.93197278912</v>
      </c>
      <c r="Y26" s="23">
        <f t="shared" si="14"/>
        <v>2.1374437521843804E-2</v>
      </c>
      <c r="Z26" s="23">
        <f t="shared" si="16"/>
        <v>5.7901301643076891E-3</v>
      </c>
      <c r="AA26" s="4"/>
      <c r="AB26" s="40"/>
      <c r="AF26" s="32"/>
      <c r="AG26" s="32"/>
      <c r="AH26" s="32"/>
      <c r="AI26" s="32"/>
    </row>
    <row r="27" spans="1:35" x14ac:dyDescent="0.35">
      <c r="A27" s="32"/>
      <c r="B27" s="32"/>
      <c r="C27" s="32"/>
      <c r="D27" s="32"/>
      <c r="E27" s="32"/>
      <c r="F27" s="32"/>
      <c r="G27" s="32"/>
      <c r="H27" s="32"/>
      <c r="I27" s="32"/>
      <c r="J27" s="32"/>
      <c r="K27" s="136"/>
      <c r="L27" s="136"/>
      <c r="M27" s="5"/>
      <c r="N27" s="5"/>
      <c r="O27" s="89"/>
      <c r="P27" s="5"/>
      <c r="Q27" s="5"/>
      <c r="R27" s="5"/>
      <c r="W27" s="22">
        <v>2.1</v>
      </c>
      <c r="X27" s="23">
        <f t="shared" si="9"/>
        <v>36571.428571428572</v>
      </c>
      <c r="Y27" s="23">
        <f t="shared" si="14"/>
        <v>2.1115305542189267E-2</v>
      </c>
      <c r="Z27" s="23">
        <f t="shared" si="16"/>
        <v>5.7199337958464764E-3</v>
      </c>
      <c r="AA27" s="4"/>
      <c r="AB27" s="40"/>
      <c r="AF27" s="32"/>
      <c r="AG27" s="32"/>
      <c r="AH27" s="32"/>
      <c r="AI27" s="32"/>
    </row>
    <row r="28" spans="1:35" x14ac:dyDescent="0.35">
      <c r="W28" s="22">
        <v>2.2000000000000002</v>
      </c>
      <c r="X28" s="23">
        <f t="shared" si="9"/>
        <v>38312.925170068025</v>
      </c>
      <c r="Y28" s="23">
        <f t="shared" si="14"/>
        <v>2.0871156932735172E-2</v>
      </c>
      <c r="Z28" s="23">
        <f t="shared" si="16"/>
        <v>5.6537962786964123E-3</v>
      </c>
      <c r="AA28" s="4"/>
      <c r="AB28" s="40"/>
      <c r="AF28" s="32"/>
      <c r="AG28" s="32"/>
      <c r="AH28" s="32"/>
      <c r="AI28" s="32"/>
    </row>
    <row r="29" spans="1:35" x14ac:dyDescent="0.35">
      <c r="M29" s="41"/>
      <c r="W29" s="22">
        <v>2.2999999999999998</v>
      </c>
      <c r="X29" s="23">
        <f t="shared" si="9"/>
        <v>40054.421768707478</v>
      </c>
      <c r="Y29" s="23">
        <f t="shared" si="14"/>
        <v>2.0640501011159659E-2</v>
      </c>
      <c r="Z29" s="23">
        <f t="shared" si="16"/>
        <v>5.5913138013107162E-3</v>
      </c>
      <c r="AA29" s="4"/>
      <c r="AB29" s="40"/>
      <c r="AF29" s="32"/>
      <c r="AG29" s="32"/>
      <c r="AH29" s="32"/>
      <c r="AI29" s="32"/>
    </row>
    <row r="30" spans="1:35" x14ac:dyDescent="0.35">
      <c r="W30" s="22">
        <v>2.4</v>
      </c>
      <c r="X30" s="23">
        <f t="shared" si="9"/>
        <v>41795.918367346938</v>
      </c>
      <c r="Y30" s="23">
        <f t="shared" si="14"/>
        <v>2.0422052267668231E-2</v>
      </c>
      <c r="Z30" s="23">
        <f t="shared" si="16"/>
        <v>5.5321381314128674E-3</v>
      </c>
      <c r="AA30" s="4"/>
      <c r="AB30" s="40"/>
      <c r="AF30" s="32"/>
      <c r="AG30" s="32"/>
      <c r="AH30" s="32"/>
      <c r="AI30" s="32"/>
    </row>
    <row r="31" spans="1:35" x14ac:dyDescent="0.35">
      <c r="F31" s="1"/>
      <c r="G31" s="1"/>
      <c r="W31" s="22">
        <v>2.5</v>
      </c>
      <c r="X31" s="23">
        <f t="shared" si="9"/>
        <v>43537.414965986391</v>
      </c>
      <c r="Y31" s="23">
        <f t="shared" si="14"/>
        <v>2.0214694933446419E-2</v>
      </c>
      <c r="Z31" s="23">
        <f t="shared" si="16"/>
        <v>5.4759670179301773E-3</v>
      </c>
      <c r="AA31" s="4"/>
      <c r="AB31" s="40"/>
      <c r="AF31" s="32"/>
      <c r="AG31" s="32"/>
      <c r="AH31" s="32"/>
      <c r="AI31" s="32"/>
    </row>
    <row r="32" spans="1:35" x14ac:dyDescent="0.35">
      <c r="G32" s="19"/>
      <c r="AA32" s="4"/>
      <c r="AB32" s="40"/>
    </row>
    <row r="33" spans="7:29" x14ac:dyDescent="0.35">
      <c r="G33" s="19"/>
      <c r="AA33" s="4"/>
      <c r="AB33" s="40"/>
      <c r="AC33" s="1"/>
    </row>
    <row r="34" spans="7:29" x14ac:dyDescent="0.35">
      <c r="G34" s="19"/>
      <c r="AA34" s="4"/>
      <c r="AB34" s="40"/>
    </row>
    <row r="35" spans="7:29" x14ac:dyDescent="0.35">
      <c r="G35" s="19"/>
      <c r="AA35" s="4"/>
      <c r="AB35" s="40"/>
    </row>
    <row r="36" spans="7:29" x14ac:dyDescent="0.35">
      <c r="G36" s="19"/>
      <c r="AA36" s="4"/>
    </row>
    <row r="37" spans="7:29" x14ac:dyDescent="0.35">
      <c r="G37" s="19"/>
      <c r="S37" s="93"/>
      <c r="AA37" s="4"/>
    </row>
    <row r="38" spans="7:29" x14ac:dyDescent="0.35">
      <c r="S38" s="93"/>
      <c r="T38" s="1"/>
      <c r="U38" s="99"/>
      <c r="AA38" s="4"/>
    </row>
    <row r="39" spans="7:29" x14ac:dyDescent="0.35">
      <c r="W39" s="4"/>
      <c r="X39" s="16"/>
      <c r="Y39" s="16"/>
      <c r="Z39" s="4"/>
      <c r="AA39" s="4"/>
    </row>
    <row r="40" spans="7:29" x14ac:dyDescent="0.35">
      <c r="S40" s="69"/>
      <c r="T40" s="1"/>
      <c r="U40" s="99"/>
      <c r="V40" s="89"/>
      <c r="W40" s="4"/>
      <c r="X40" s="16"/>
      <c r="Y40" s="16"/>
      <c r="Z40" s="4"/>
      <c r="AA40" s="4"/>
    </row>
    <row r="41" spans="7:29" x14ac:dyDescent="0.35">
      <c r="U41" s="2"/>
      <c r="V41" s="2"/>
      <c r="W41" s="4"/>
      <c r="X41" s="16"/>
      <c r="Y41" s="16"/>
      <c r="Z41" s="4"/>
      <c r="AA41" s="4"/>
    </row>
    <row r="42" spans="7:29" x14ac:dyDescent="0.35">
      <c r="U42" s="2"/>
      <c r="V42" s="2"/>
      <c r="W42" s="4"/>
      <c r="X42" s="16"/>
      <c r="Y42" s="16"/>
      <c r="Z42" s="4"/>
      <c r="AA42" s="4"/>
      <c r="AC42"/>
    </row>
    <row r="43" spans="7:29" x14ac:dyDescent="0.35">
      <c r="U43" s="2"/>
      <c r="V43" s="2"/>
      <c r="W43" s="4"/>
      <c r="X43" s="16"/>
      <c r="Y43" s="16"/>
      <c r="Z43" s="4"/>
      <c r="AA43" s="4"/>
      <c r="AC43" s="53"/>
    </row>
    <row r="44" spans="7:29" x14ac:dyDescent="0.35">
      <c r="U44" s="2"/>
      <c r="V44" s="2"/>
      <c r="W44" s="4"/>
      <c r="X44" s="16"/>
      <c r="Y44" s="16"/>
    </row>
    <row r="45" spans="7:29" x14ac:dyDescent="0.35">
      <c r="U45" s="2"/>
      <c r="V45" s="2"/>
      <c r="W45" s="4"/>
      <c r="X45" s="16"/>
      <c r="Y45" s="16"/>
    </row>
    <row r="46" spans="7:29" x14ac:dyDescent="0.35">
      <c r="U46" s="2"/>
      <c r="V46" s="2"/>
      <c r="W46" s="4"/>
      <c r="X46" s="16"/>
      <c r="Y46" s="16"/>
    </row>
    <row r="47" spans="7:29" x14ac:dyDescent="0.35">
      <c r="W47" s="4"/>
      <c r="X47" s="16"/>
      <c r="Y47" s="16"/>
    </row>
    <row r="48" spans="7:29" x14ac:dyDescent="0.35">
      <c r="W48" s="4"/>
      <c r="X48" s="16"/>
      <c r="Y48" s="16"/>
    </row>
    <row r="49" spans="23:25" x14ac:dyDescent="0.35">
      <c r="W49" s="4"/>
      <c r="X49" s="16"/>
      <c r="Y49" s="16"/>
    </row>
    <row r="50" spans="23:25" x14ac:dyDescent="0.35">
      <c r="W50" s="4"/>
      <c r="X50" s="16"/>
      <c r="Y50" s="16"/>
    </row>
    <row r="51" spans="23:25" x14ac:dyDescent="0.35">
      <c r="W51" s="4"/>
      <c r="X51" s="16"/>
      <c r="Y51" s="16"/>
    </row>
    <row r="52" spans="23:25" x14ac:dyDescent="0.35">
      <c r="W52" s="4"/>
      <c r="X52" s="16"/>
      <c r="Y52" s="16"/>
    </row>
    <row r="53" spans="23:25" x14ac:dyDescent="0.35">
      <c r="W53" s="4"/>
      <c r="X53" s="16"/>
      <c r="Y53" s="16"/>
    </row>
    <row r="54" spans="23:25" x14ac:dyDescent="0.35">
      <c r="W54" s="4"/>
    </row>
  </sheetData>
  <mergeCells count="3">
    <mergeCell ref="A3:O3"/>
    <mergeCell ref="AB5:AC5"/>
    <mergeCell ref="S4:U4"/>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535AF-281C-498A-B993-030CE43033B7}">
  <dimension ref="A1:I26"/>
  <sheetViews>
    <sheetView zoomScale="60" zoomScaleNormal="60" workbookViewId="0">
      <selection activeCell="A2" sqref="A2:XFD31"/>
    </sheetView>
  </sheetViews>
  <sheetFormatPr defaultRowHeight="15.5" x14ac:dyDescent="0.35"/>
  <cols>
    <col min="1" max="1" width="30.07421875" customWidth="1"/>
    <col min="2" max="2" width="12.07421875" bestFit="1" customWidth="1"/>
    <col min="3" max="3" width="12.84375" bestFit="1" customWidth="1"/>
    <col min="4" max="5" width="12.84375" customWidth="1"/>
  </cols>
  <sheetData>
    <row r="1" spans="1:1" x14ac:dyDescent="0.35">
      <c r="A1" t="s">
        <v>78</v>
      </c>
    </row>
    <row r="20" spans="1:9" x14ac:dyDescent="0.35">
      <c r="A20" s="105"/>
      <c r="B20" s="105"/>
      <c r="C20" s="105"/>
      <c r="D20" s="105"/>
      <c r="E20" s="105"/>
      <c r="F20" s="105"/>
      <c r="G20" s="105"/>
      <c r="H20" s="105"/>
      <c r="I20" s="105"/>
    </row>
    <row r="21" spans="1:9" x14ac:dyDescent="0.35">
      <c r="A21" s="105" t="s">
        <v>119</v>
      </c>
      <c r="B21" s="105"/>
      <c r="C21" s="105"/>
      <c r="D21" s="105"/>
      <c r="E21" s="105"/>
      <c r="F21" s="105"/>
      <c r="G21" s="105"/>
      <c r="H21" s="105"/>
      <c r="I21" s="105"/>
    </row>
    <row r="22" spans="1:9" x14ac:dyDescent="0.35">
      <c r="A22" s="105"/>
      <c r="B22" s="105" t="s">
        <v>65</v>
      </c>
      <c r="C22" s="105" t="s">
        <v>77</v>
      </c>
      <c r="D22" s="105" t="s">
        <v>122</v>
      </c>
      <c r="E22" s="105"/>
      <c r="F22" s="105" t="s">
        <v>66</v>
      </c>
      <c r="G22" s="105" t="s">
        <v>67</v>
      </c>
      <c r="H22" s="105"/>
      <c r="I22" s="105"/>
    </row>
    <row r="23" spans="1:9" x14ac:dyDescent="0.35">
      <c r="A23" s="105">
        <v>1</v>
      </c>
      <c r="B23" s="105">
        <f>0.0199*(22000^-0.058)</f>
        <v>1.1142754468814886E-2</v>
      </c>
      <c r="C23" s="105">
        <f>0.0199*(15000^-0.058)</f>
        <v>1.1393044229643831E-2</v>
      </c>
      <c r="D23" s="105">
        <f>0.0199*(40000^-0.058)</f>
        <v>1.076300636016762E-2</v>
      </c>
      <c r="E23" s="105"/>
      <c r="F23" s="105">
        <f>AVERAGEA(B23:B25)</f>
        <v>1.2557030114617384E-2</v>
      </c>
      <c r="G23" s="105">
        <f>_xlfn.STDEV.P(B23:B25)</f>
        <v>1.000092075371029E-3</v>
      </c>
      <c r="H23" s="105"/>
      <c r="I23" s="105"/>
    </row>
    <row r="24" spans="1:9" x14ac:dyDescent="0.35">
      <c r="A24" s="105">
        <v>2</v>
      </c>
      <c r="B24" s="105">
        <f>0.0795*(22000^-0.179)</f>
        <v>1.3276190295745798E-2</v>
      </c>
      <c r="C24" s="105">
        <f>0.0795*(15000^-0.179)</f>
        <v>1.4218271185598238E-2</v>
      </c>
      <c r="D24" s="105">
        <f>0.0795*(40000^-0.179)</f>
        <v>1.1928844854060596E-2</v>
      </c>
      <c r="E24" s="105"/>
      <c r="F24" s="105"/>
      <c r="G24" s="105"/>
      <c r="H24" s="105"/>
      <c r="I24" s="105"/>
    </row>
    <row r="25" spans="1:9" x14ac:dyDescent="0.35">
      <c r="A25" s="105">
        <v>3</v>
      </c>
      <c r="B25" s="105">
        <f>0.0145*(22000^-0.009)</f>
        <v>1.3252145579291469E-2</v>
      </c>
      <c r="C25" s="105">
        <f>0.0145*(15000^-0.009)</f>
        <v>1.3297903618114266E-2</v>
      </c>
      <c r="D25" s="105">
        <f>0.0145*(40000^-0.009)</f>
        <v>1.3181033454716615E-2</v>
      </c>
      <c r="E25" s="105"/>
      <c r="F25" s="105"/>
      <c r="G25" s="105"/>
      <c r="H25" s="105"/>
      <c r="I25" s="105"/>
    </row>
    <row r="26" spans="1:9" x14ac:dyDescent="0.35">
      <c r="A26" s="105"/>
      <c r="B26" s="105"/>
      <c r="C26" s="105"/>
      <c r="D26" s="105"/>
      <c r="E26" s="105"/>
      <c r="F26" s="105"/>
      <c r="G26" s="105"/>
      <c r="H26" s="105"/>
      <c r="I26" s="105"/>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4585F1ED11D614F8115969A8019BAE4" ma:contentTypeVersion="9" ma:contentTypeDescription="Create a new document." ma:contentTypeScope="" ma:versionID="b6a470954b6175a89dfd41aca4ca5809">
  <xsd:schema xmlns:xsd="http://www.w3.org/2001/XMLSchema" xmlns:xs="http://www.w3.org/2001/XMLSchema" xmlns:p="http://schemas.microsoft.com/office/2006/metadata/properties" xmlns:ns3="3d10b454-172a-445b-809d-a4d42c4fbd7f" targetNamespace="http://schemas.microsoft.com/office/2006/metadata/properties" ma:root="true" ma:fieldsID="b97fea4e5cf3f7747e385ffedc5fd8e8" ns3:_="">
    <xsd:import namespace="3d10b454-172a-445b-809d-a4d42c4fbd7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10b454-172a-445b-809d-a4d42c4fbd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1CF51A-9DCF-4D26-A5DF-18028AE4833F}">
  <ds:schemaRefs>
    <ds:schemaRef ds:uri="http://purl.org/dc/elements/1.1/"/>
    <ds:schemaRef ds:uri="http://purl.org/dc/dcmitype/"/>
    <ds:schemaRef ds:uri="http://schemas.microsoft.com/office/infopath/2007/PartnerControls"/>
    <ds:schemaRef ds:uri="http://purl.org/dc/terms/"/>
    <ds:schemaRef ds:uri="http://schemas.microsoft.com/office/2006/documentManagement/types"/>
    <ds:schemaRef ds:uri="3d10b454-172a-445b-809d-a4d42c4fbd7f"/>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832303F5-0414-4F54-8FE9-F0DD699AB0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10b454-172a-445b-809d-a4d42c4fbd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AF0DD2-E254-45AC-847E-D4A0AEB2BF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ReadMe</vt:lpstr>
      <vt:lpstr>SW</vt:lpstr>
      <vt:lpstr>Cf vs Re curve</vt:lpstr>
      <vt:lpstr>Shape</vt:lpstr>
      <vt:lpstr>P80 sandpaper </vt:lpstr>
      <vt:lpstr>2 P80 sandpaper</vt:lpstr>
      <vt:lpstr>3 P80 sandpaper</vt:lpstr>
      <vt:lpstr>P80 sandpaper AVGS</vt:lpstr>
      <vt:lpstr>P80 sandpaper SUMMARY</vt:lpstr>
      <vt:lpstr>P240 sandpaper</vt:lpstr>
      <vt:lpstr>2 P240 sandpaper</vt:lpstr>
      <vt:lpstr>3 P240 sandpaper</vt:lpstr>
      <vt:lpstr>P240 sandpaper AVGS</vt:lpstr>
      <vt:lpstr>P240 sandpaper SUMMARY</vt:lpstr>
      <vt:lpstr>1 EF25 P40</vt:lpstr>
      <vt:lpstr>2 EF25 P40</vt:lpstr>
      <vt:lpstr>3 EF25 P40</vt:lpstr>
      <vt:lpstr>4 EF25 P40</vt:lpstr>
      <vt:lpstr>EF25 P40 AVGS</vt:lpstr>
      <vt:lpstr>EF25 P40 SUMMARY</vt:lpstr>
      <vt:lpstr>1 EF25 P80</vt:lpstr>
      <vt:lpstr>2 EF25 P80</vt:lpstr>
      <vt:lpstr>3 EF25 P80</vt:lpstr>
      <vt:lpstr>EF25 P80 AVGS</vt:lpstr>
      <vt:lpstr>EF25 P80 SUMMARY</vt:lpstr>
      <vt:lpstr>1 EF25 P240</vt:lpstr>
      <vt:lpstr>2 EF25 P240</vt:lpstr>
      <vt:lpstr>3 EF25 P240</vt:lpstr>
      <vt:lpstr>EF25 P240 AVGS</vt:lpstr>
      <vt:lpstr>EF25 P240 SUMMARY</vt:lpstr>
      <vt:lpstr>1 EF25 flat</vt:lpstr>
      <vt:lpstr>2 EF25 flat</vt:lpstr>
      <vt:lpstr>EF25 flat AVGS</vt:lpstr>
      <vt:lpstr>EF25 flat SUMMARY</vt:lpstr>
      <vt:lpstr> 1 MMSHE P40</vt:lpstr>
      <vt:lpstr> 2 MMSHE P40</vt:lpstr>
      <vt:lpstr> 3 MMSHE P40</vt:lpstr>
      <vt:lpstr> 4 MMSHE P40</vt:lpstr>
      <vt:lpstr>MMHSE P40 AVGS</vt:lpstr>
      <vt:lpstr>MMHSE P40 SUMMARY</vt:lpstr>
      <vt:lpstr> 1 MMSHE P80</vt:lpstr>
      <vt:lpstr> 2 MMSHE P80</vt:lpstr>
      <vt:lpstr> 3 MMSHE P80</vt:lpstr>
      <vt:lpstr>MMHSE P80 AVGS</vt:lpstr>
      <vt:lpstr>MMHSE P80 SUMMARY</vt:lpstr>
      <vt:lpstr>1MMHSE P240</vt:lpstr>
      <vt:lpstr>2 MMHSE P240</vt:lpstr>
      <vt:lpstr>3 MMHSE P240</vt:lpstr>
      <vt:lpstr>MMHSE P240 AVG</vt:lpstr>
      <vt:lpstr>MMHSE P240 SUMMARY</vt:lpstr>
      <vt:lpstr>1MMHSE flat</vt:lpstr>
      <vt:lpstr>2 MMHSE flat</vt:lpstr>
      <vt:lpstr>MMHSE flat AVG</vt:lpstr>
      <vt:lpstr>MMHSE flat SUMMARY</vt:lpstr>
      <vt:lpstr>1 Plain Panel</vt:lpstr>
      <vt:lpstr>2 Plain Panel</vt:lpstr>
      <vt:lpstr>3 Plain Panel</vt:lpstr>
      <vt:lpstr>PLAIN PANEL AVGS</vt:lpstr>
      <vt:lpstr>Plain Panel Summary</vt:lpstr>
      <vt:lpstr>Rigid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Longyear, J.E. (Jennifer)</dc:creator>
  <cp:lastModifiedBy>Alexandra Jackson</cp:lastModifiedBy>
  <dcterms:created xsi:type="dcterms:W3CDTF">2020-01-20T09:25:14Z</dcterms:created>
  <dcterms:modified xsi:type="dcterms:W3CDTF">2022-07-04T13:59:57Z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0x010100D4585F1ED11D614F8115969A8019BAE4</vt:lpwstr>
  </property>
</Properties>
</file>