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store.soton.ac.uk\users\hjk1n15\mydocuments\PhD\Reports\Thesis\Data in thesis\"/>
    </mc:Choice>
  </mc:AlternateContent>
  <bookViews>
    <workbookView xWindow="0" yWindow="0" windowWidth="19200" windowHeight="6770"/>
  </bookViews>
  <sheets>
    <sheet name="Dat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 i="1" l="1"/>
  <c r="T6" i="1"/>
  <c r="T3" i="1"/>
  <c r="S7" i="1"/>
  <c r="S6" i="1"/>
  <c r="S3" i="1"/>
  <c r="R6" i="1"/>
  <c r="R5" i="1"/>
  <c r="R4" i="1"/>
  <c r="R3" i="1"/>
  <c r="Q7" i="1"/>
  <c r="Q6" i="1"/>
  <c r="P7" i="1"/>
  <c r="P6" i="1"/>
  <c r="Q5" i="1"/>
  <c r="Q4" i="1"/>
  <c r="Q3" i="1"/>
  <c r="P5" i="1"/>
  <c r="P4" i="1"/>
  <c r="P3" i="1"/>
  <c r="O7" i="1"/>
  <c r="O6" i="1"/>
  <c r="O5" i="1"/>
  <c r="O4" i="1"/>
  <c r="O3" i="1"/>
  <c r="N6" i="1"/>
  <c r="N5" i="1"/>
  <c r="N4" i="1"/>
  <c r="N3" i="1"/>
  <c r="M8" i="1"/>
  <c r="M7" i="1"/>
  <c r="M6" i="1"/>
  <c r="M5" i="1"/>
  <c r="M4" i="1"/>
  <c r="M3" i="1"/>
  <c r="M2" i="1"/>
  <c r="AJ52" i="1" l="1"/>
  <c r="AK52" i="1"/>
  <c r="AI52" i="1"/>
  <c r="X52" i="1"/>
  <c r="Y52" i="1"/>
  <c r="Z52" i="1"/>
  <c r="AA52" i="1"/>
  <c r="AB52" i="1"/>
  <c r="AC52" i="1"/>
  <c r="W52" i="1"/>
  <c r="W51" i="1"/>
  <c r="X51" i="1"/>
  <c r="Y51" i="1"/>
  <c r="Z51" i="1"/>
  <c r="AA51" i="1"/>
  <c r="AC51" i="1"/>
  <c r="AB51" i="1"/>
  <c r="AK51" i="1"/>
  <c r="AJ51" i="1"/>
  <c r="AI51" i="1"/>
  <c r="AL53" i="1"/>
  <c r="AL52" i="1"/>
  <c r="AL51" i="1"/>
  <c r="AL43" i="1"/>
  <c r="AL44" i="1"/>
  <c r="AL45" i="1"/>
  <c r="AL46" i="1"/>
  <c r="AL47" i="1"/>
  <c r="AL48" i="1"/>
  <c r="AL49" i="1"/>
  <c r="AL50" i="1"/>
  <c r="AL42" i="1"/>
  <c r="AK43" i="1"/>
  <c r="AK44" i="1"/>
  <c r="AK45" i="1"/>
  <c r="AK46" i="1"/>
  <c r="AK47" i="1"/>
  <c r="AK48" i="1"/>
  <c r="AK49" i="1"/>
  <c r="AK50" i="1"/>
  <c r="AJ43" i="1"/>
  <c r="AJ44" i="1"/>
  <c r="AJ45" i="1"/>
  <c r="AJ46" i="1"/>
  <c r="AJ47" i="1"/>
  <c r="AJ48" i="1"/>
  <c r="AJ49" i="1"/>
  <c r="AJ50" i="1"/>
  <c r="AJ42" i="1"/>
  <c r="AK42" i="1" s="1"/>
  <c r="Z43" i="1"/>
  <c r="Z44" i="1"/>
  <c r="Z45" i="1"/>
  <c r="Z46" i="1"/>
  <c r="Z47" i="1"/>
  <c r="Z48" i="1"/>
  <c r="Z49" i="1"/>
  <c r="Z50" i="1"/>
  <c r="Z42" i="1"/>
  <c r="X43" i="1"/>
  <c r="X44" i="1"/>
  <c r="X45" i="1"/>
  <c r="X46" i="1"/>
  <c r="X47" i="1"/>
  <c r="X48" i="1"/>
  <c r="X49" i="1"/>
  <c r="X50" i="1"/>
  <c r="X42" i="1"/>
  <c r="AI45" i="1"/>
  <c r="AI49" i="1"/>
  <c r="Y34" i="1"/>
  <c r="W25" i="1"/>
  <c r="Y25" i="1"/>
  <c r="AA25" i="1"/>
  <c r="AB25" i="1"/>
  <c r="AC25" i="1"/>
  <c r="AD25" i="1"/>
  <c r="AE25" i="1"/>
  <c r="V25" i="1"/>
  <c r="W24" i="1"/>
  <c r="Y24" i="1"/>
  <c r="AA24" i="1"/>
  <c r="AB24" i="1"/>
  <c r="AC24" i="1"/>
  <c r="AD24" i="1"/>
  <c r="AE24" i="1"/>
  <c r="V24" i="1"/>
  <c r="W23" i="1"/>
  <c r="Y23" i="1"/>
  <c r="AA23" i="1"/>
  <c r="AB23" i="1"/>
  <c r="AC23" i="1"/>
  <c r="AD23" i="1"/>
  <c r="AE23" i="1"/>
  <c r="V23" i="1"/>
  <c r="AI46" i="1" s="1"/>
  <c r="AI48" i="1" l="1"/>
  <c r="AI44" i="1"/>
  <c r="AI42" i="1"/>
  <c r="AI47" i="1"/>
  <c r="AI43" i="1"/>
  <c r="AI50" i="1"/>
  <c r="I40" i="1"/>
  <c r="I39" i="1"/>
  <c r="I38" i="1"/>
  <c r="L32" i="1" l="1"/>
  <c r="L31" i="1"/>
  <c r="L30" i="1"/>
  <c r="J51" i="1"/>
  <c r="J50" i="1"/>
  <c r="J49" i="1"/>
  <c r="G27" i="1"/>
  <c r="G26" i="1"/>
  <c r="G25" i="1"/>
  <c r="C28" i="1" l="1"/>
  <c r="D28" i="1" s="1"/>
  <c r="B27" i="1"/>
  <c r="C27" i="1" s="1"/>
  <c r="D27" i="1" s="1"/>
  <c r="B28" i="1"/>
  <c r="B29" i="1"/>
  <c r="C29" i="1" s="1"/>
  <c r="D29" i="1" s="1"/>
  <c r="C19" i="1"/>
  <c r="D19" i="1" s="1"/>
  <c r="C23" i="1"/>
  <c r="D23" i="1" s="1"/>
  <c r="C17" i="1"/>
  <c r="D17" i="1" s="1"/>
  <c r="B18" i="1"/>
  <c r="C18" i="1" s="1"/>
  <c r="D18" i="1" s="1"/>
  <c r="B19" i="1"/>
  <c r="B20" i="1"/>
  <c r="C20" i="1" s="1"/>
  <c r="D20" i="1" s="1"/>
  <c r="B21" i="1"/>
  <c r="C21" i="1" s="1"/>
  <c r="D21" i="1" s="1"/>
  <c r="B22" i="1"/>
  <c r="C22" i="1" s="1"/>
  <c r="D22" i="1" s="1"/>
  <c r="B23" i="1"/>
  <c r="B24" i="1"/>
  <c r="C24" i="1" s="1"/>
  <c r="D24" i="1" s="1"/>
  <c r="B25" i="1"/>
  <c r="C25" i="1" s="1"/>
  <c r="D25" i="1" s="1"/>
  <c r="B26" i="1"/>
  <c r="C26" i="1" s="1"/>
  <c r="D26" i="1" s="1"/>
  <c r="B17" i="1"/>
  <c r="I36" i="1" l="1"/>
  <c r="I35" i="1"/>
  <c r="I32" i="1"/>
  <c r="I30" i="1"/>
  <c r="I34" i="1"/>
  <c r="I31" i="1"/>
  <c r="D32" i="1"/>
  <c r="D31" i="1"/>
  <c r="D30" i="1"/>
</calcChain>
</file>

<file path=xl/sharedStrings.xml><?xml version="1.0" encoding="utf-8"?>
<sst xmlns="http://schemas.openxmlformats.org/spreadsheetml/2006/main" count="143" uniqueCount="111">
  <si>
    <t>Using Field Max II TOP Coherent power meter and OP-2 vis sensor</t>
  </si>
  <si>
    <t>Normal light reading</t>
  </si>
  <si>
    <t>µW/cm2</t>
  </si>
  <si>
    <t>Area compensation</t>
  </si>
  <si>
    <t>mm</t>
  </si>
  <si>
    <t>diameter</t>
  </si>
  <si>
    <t>Wavelength setting</t>
  </si>
  <si>
    <t>Reading</t>
  </si>
  <si>
    <t>Conversion from cm2 to m2</t>
  </si>
  <si>
    <t>Wavelength compensation</t>
  </si>
  <si>
    <t>In W/cm2</t>
  </si>
  <si>
    <t>In W/m2</t>
  </si>
  <si>
    <t>Average</t>
  </si>
  <si>
    <t>SD</t>
  </si>
  <si>
    <t>N</t>
  </si>
  <si>
    <t>Voltacraft PL110</t>
  </si>
  <si>
    <t>Bench book ref pg 140</t>
  </si>
  <si>
    <t>Average from both methods</t>
  </si>
  <si>
    <t>P value and statistical significance:</t>
  </si>
  <si>
    <t>  The two-tailed P value is less than 0.0001</t>
  </si>
  <si>
    <t>  By conventional criteria, this difference is considered to be extremely statistically significant.</t>
  </si>
  <si>
    <t>Confidence interval:</t>
  </si>
  <si>
    <t>  The mean of Group One minus Group Two equals 189.4815</t>
  </si>
  <si>
    <t>  95% confidence interval of this difference: From 116.9813 to 261.9818</t>
  </si>
  <si>
    <t>Intermediate values used in calculations:</t>
  </si>
  <si>
    <t>  t = 5.4517</t>
  </si>
  <si>
    <t>  df = 20</t>
  </si>
  <si>
    <t>  standard error of difference = 34.756</t>
  </si>
  <si>
    <t>Bench book ref green pg 21</t>
  </si>
  <si>
    <t>Measured 16 Dec 2019</t>
  </si>
  <si>
    <t>Using MAX function on meter</t>
  </si>
  <si>
    <t>Average from all methods</t>
  </si>
  <si>
    <t>Average from Solar meter</t>
  </si>
  <si>
    <t>n</t>
  </si>
  <si>
    <t>Using RERA Aystem calibrated silicon cell</t>
  </si>
  <si>
    <t>Cal value at 1 KW/m2</t>
  </si>
  <si>
    <t>Date of calibration</t>
  </si>
  <si>
    <t>Radboud University Nijmegen PV Measurement Facility to calibrate the cells. The calibration is done against an NREL calibrated reference cell. This results in reference cells which are very well suited for indoor applications.</t>
  </si>
  <si>
    <t>mA</t>
  </si>
  <si>
    <t>Isc</t>
  </si>
  <si>
    <t>Efficiency(%)</t>
  </si>
  <si>
    <t>FF(%)</t>
  </si>
  <si>
    <t>Isc(mA)</t>
  </si>
  <si>
    <t>Voc(V)</t>
  </si>
  <si>
    <t>Im(mA)</t>
  </si>
  <si>
    <t>Vm(V)</t>
  </si>
  <si>
    <t>Jsc(mA/cm2)</t>
  </si>
  <si>
    <t>Jm(mA)</t>
  </si>
  <si>
    <t>Area(cm^2)</t>
  </si>
  <si>
    <t>File name</t>
  </si>
  <si>
    <t>Date</t>
  </si>
  <si>
    <t>SolarIV_ReraSystems_CalibrationCell_Height01.txt</t>
  </si>
  <si>
    <t>SolarIV_ReraSystems_CalibrationCell_Height02_2.4cm.txt</t>
  </si>
  <si>
    <t>SolarIV_ReraSystems_CalibrationCell_Height02_6cm.txt</t>
  </si>
  <si>
    <t>SolarIV_ReraSystems_CalibrationCell_Height04_11.5cm.txt</t>
  </si>
  <si>
    <t>SolarIV_ReraSystems_CalibrationCell_Height04_11.5cm_2.txt</t>
  </si>
  <si>
    <t>dark</t>
  </si>
  <si>
    <t>Solar simluator at 1 KW/m2</t>
  </si>
  <si>
    <t>Close agreement with calibration value of 89.7</t>
  </si>
  <si>
    <t>Fill factor</t>
  </si>
  <si>
    <t>FF</t>
  </si>
  <si>
    <t>FF=(VmIm)/(VocIsc)</t>
  </si>
  <si>
    <t>Efficiency</t>
  </si>
  <si>
    <t>η</t>
  </si>
  <si>
    <t>η=VocIscFF/Pin</t>
  </si>
  <si>
    <t>For cell Pin</t>
  </si>
  <si>
    <t>W/m2</t>
  </si>
  <si>
    <t>mW/cm2</t>
  </si>
  <si>
    <t>W</t>
  </si>
  <si>
    <t>cell area is 3.6 cm2</t>
  </si>
  <si>
    <r>
      <t xml:space="preserve">Assuming </t>
    </r>
    <r>
      <rPr>
        <sz val="11"/>
        <color theme="1"/>
        <rFont val="Calibri"/>
        <family val="2"/>
      </rPr>
      <t>η same at Pin for lamp</t>
    </r>
  </si>
  <si>
    <t>Pin lamp</t>
  </si>
  <si>
    <r>
      <t>Pin lamp = VocIscFF/</t>
    </r>
    <r>
      <rPr>
        <sz val="11"/>
        <color theme="1"/>
        <rFont val="Calibri"/>
        <family val="2"/>
      </rPr>
      <t>η</t>
    </r>
  </si>
  <si>
    <t>Lamp data</t>
  </si>
  <si>
    <t>SolarIV_RERA_Systems_RefCell_SolarLightNormalPosition_02.txt</t>
  </si>
  <si>
    <t>SolarIV_RERA_Systems_RefCell_SolarLightNormalPosition_03.txt</t>
  </si>
  <si>
    <t>SolarIV_RERA_Systems_RefCell_SolarLightNormalPosition_04.txt</t>
  </si>
  <si>
    <t>SolarIV_RERA_Systems_RefCell_SolarLightNormalPosition_05.txt</t>
  </si>
  <si>
    <t>SolarIV_RERA_Systems_RefCell_SolarLightNormalPosition_06.txt</t>
  </si>
  <si>
    <t>SolarIV_RERA_Systems_RefCell_SolarLightNormalPosition_07.txt</t>
  </si>
  <si>
    <t>SolarIV_RERA_Systems_RefCell_SolarLightNormalPosition_08.txt</t>
  </si>
  <si>
    <t>SolarIV_RERA_Systems_RefCell_SolarLightNormalPosition_09.txt</t>
  </si>
  <si>
    <t>SolarIV_RERA_Systems_RefCell_SolarLightNormalPosition_10.txt</t>
  </si>
  <si>
    <t>η cell</t>
  </si>
  <si>
    <t>Pin</t>
  </si>
  <si>
    <t>Per cm2</t>
  </si>
  <si>
    <t>Isc(A)</t>
  </si>
  <si>
    <t>FF not %</t>
  </si>
  <si>
    <t>Per m2</t>
  </si>
  <si>
    <t>In W</t>
  </si>
  <si>
    <r>
      <t>The </t>
    </r>
    <r>
      <rPr>
        <i/>
        <sz val="11"/>
        <color rgb="FFFF0000"/>
        <rFont val="Open Sans"/>
      </rPr>
      <t>t</t>
    </r>
    <r>
      <rPr>
        <sz val="11"/>
        <color rgb="FFFF0000"/>
        <rFont val="Open Sans"/>
      </rPr>
      <t>-value is -1.55654. The </t>
    </r>
    <r>
      <rPr>
        <i/>
        <sz val="11"/>
        <color rgb="FFFF0000"/>
        <rFont val="Open Sans"/>
      </rPr>
      <t>p</t>
    </r>
    <r>
      <rPr>
        <sz val="11"/>
        <color rgb="FFFF0000"/>
        <rFont val="Open Sans"/>
      </rPr>
      <t>-value is .135262. The result is </t>
    </r>
    <r>
      <rPr>
        <i/>
        <sz val="11"/>
        <color rgb="FFFF0000"/>
        <rFont val="Open Sans"/>
      </rPr>
      <t>not</t>
    </r>
    <r>
      <rPr>
        <sz val="11"/>
        <color rgb="FFFF0000"/>
        <rFont val="Open Sans"/>
      </rPr>
      <t> significant at </t>
    </r>
    <r>
      <rPr>
        <i/>
        <sz val="11"/>
        <color rgb="FFFF0000"/>
        <rFont val="Open Sans"/>
      </rPr>
      <t>p</t>
    </r>
    <r>
      <rPr>
        <sz val="11"/>
        <color rgb="FFFF0000"/>
        <rFont val="Open Sans"/>
      </rPr>
      <t> &lt; .05.</t>
    </r>
  </si>
  <si>
    <t>Comparison with Field Max II TOP Coherent power meter and OP-2 vis sensor</t>
  </si>
  <si>
    <t>Measurement of SSL light intensity</t>
  </si>
  <si>
    <t>Table S3</t>
  </si>
  <si>
    <t>Data in columns U to AL as highlighted</t>
  </si>
  <si>
    <t>Also shown results from using a different power meter a Voltacraft PL1100 - not accurate for anything apart from sunlight</t>
  </si>
  <si>
    <t>Using a ReRA system calibrated silicon cell</t>
  </si>
  <si>
    <t>Refers to broadband paper</t>
  </si>
  <si>
    <r>
      <t>I</t>
    </r>
    <r>
      <rPr>
        <b/>
        <i/>
        <vertAlign val="subscript"/>
        <sz val="11"/>
        <color rgb="FF000000"/>
        <rFont val="Calibri"/>
        <family val="2"/>
        <scheme val="minor"/>
      </rPr>
      <t>sc</t>
    </r>
    <r>
      <rPr>
        <b/>
        <sz val="11"/>
        <color rgb="FF000000"/>
        <rFont val="Calibri"/>
        <family val="2"/>
        <scheme val="minor"/>
      </rPr>
      <t xml:space="preserve"> / mA</t>
    </r>
  </si>
  <si>
    <r>
      <t>v</t>
    </r>
    <r>
      <rPr>
        <b/>
        <i/>
        <vertAlign val="subscript"/>
        <sz val="11"/>
        <color rgb="FF000000"/>
        <rFont val="Calibri"/>
        <family val="2"/>
        <scheme val="minor"/>
      </rPr>
      <t>oc</t>
    </r>
    <r>
      <rPr>
        <b/>
        <sz val="11"/>
        <color rgb="FF000000"/>
        <rFont val="Calibri"/>
        <family val="2"/>
        <scheme val="minor"/>
      </rPr>
      <t xml:space="preserve"> / V</t>
    </r>
  </si>
  <si>
    <r>
      <t>I</t>
    </r>
    <r>
      <rPr>
        <b/>
        <i/>
        <vertAlign val="subscript"/>
        <sz val="11"/>
        <color rgb="FF000000"/>
        <rFont val="Calibri"/>
        <family val="2"/>
        <scheme val="minor"/>
      </rPr>
      <t>max</t>
    </r>
    <r>
      <rPr>
        <b/>
        <sz val="11"/>
        <color rgb="FF000000"/>
        <rFont val="Calibri"/>
        <family val="2"/>
        <scheme val="minor"/>
      </rPr>
      <t xml:space="preserve"> / mA</t>
    </r>
  </si>
  <si>
    <r>
      <t>v</t>
    </r>
    <r>
      <rPr>
        <b/>
        <i/>
        <vertAlign val="subscript"/>
        <sz val="11"/>
        <color rgb="FF000000"/>
        <rFont val="Calibri"/>
        <family val="2"/>
        <scheme val="minor"/>
      </rPr>
      <t>max</t>
    </r>
    <r>
      <rPr>
        <b/>
        <sz val="11"/>
        <color rgb="FF000000"/>
        <rFont val="Calibri"/>
        <family val="2"/>
        <scheme val="minor"/>
      </rPr>
      <t xml:space="preserve"> / V</t>
    </r>
  </si>
  <si>
    <r>
      <t>FF</t>
    </r>
    <r>
      <rPr>
        <b/>
        <sz val="11"/>
        <color rgb="FF000000"/>
        <rFont val="Calibri"/>
        <family val="2"/>
        <scheme val="minor"/>
      </rPr>
      <t xml:space="preserve"> / %</t>
    </r>
  </si>
  <si>
    <r>
      <t>η</t>
    </r>
    <r>
      <rPr>
        <b/>
        <i/>
        <vertAlign val="subscript"/>
        <sz val="11"/>
        <color rgb="FF000000"/>
        <rFont val="Calibri"/>
        <family val="2"/>
        <scheme val="minor"/>
      </rPr>
      <t>cell</t>
    </r>
    <r>
      <rPr>
        <b/>
        <sz val="11"/>
        <color rgb="FF000000"/>
        <rFont val="Calibri"/>
        <family val="2"/>
        <scheme val="minor"/>
      </rPr>
      <t xml:space="preserve"> / %</t>
    </r>
  </si>
  <si>
    <r>
      <t>P</t>
    </r>
    <r>
      <rPr>
        <b/>
        <i/>
        <vertAlign val="subscript"/>
        <sz val="11"/>
        <color rgb="FF000000"/>
        <rFont val="Calibri"/>
        <family val="2"/>
        <scheme val="minor"/>
      </rPr>
      <t>i</t>
    </r>
    <r>
      <rPr>
        <b/>
        <i/>
        <sz val="11"/>
        <color rgb="FF000000"/>
        <rFont val="Calibri"/>
        <family val="2"/>
        <scheme val="minor"/>
      </rPr>
      <t xml:space="preserve"> </t>
    </r>
    <r>
      <rPr>
        <b/>
        <sz val="11"/>
        <color rgb="FF000000"/>
        <rFont val="Calibri"/>
        <family val="2"/>
        <scheme val="minor"/>
      </rPr>
      <t>/ W</t>
    </r>
  </si>
  <si>
    <r>
      <t>I</t>
    </r>
    <r>
      <rPr>
        <b/>
        <i/>
        <vertAlign val="subscript"/>
        <sz val="11"/>
        <color rgb="FF000000"/>
        <rFont val="Calibri"/>
        <family val="2"/>
        <scheme val="minor"/>
      </rPr>
      <t>L</t>
    </r>
    <r>
      <rPr>
        <b/>
        <sz val="11"/>
        <color rgb="FF000000"/>
        <rFont val="Calibri"/>
        <family val="2"/>
        <scheme val="minor"/>
      </rPr>
      <t xml:space="preserve"> / Wm</t>
    </r>
    <r>
      <rPr>
        <b/>
        <vertAlign val="superscript"/>
        <sz val="11"/>
        <color rgb="FF000000"/>
        <rFont val="Calibri"/>
        <family val="2"/>
        <scheme val="minor"/>
      </rPr>
      <t>-2</t>
    </r>
  </si>
  <si>
    <t>Calibration value</t>
  </si>
  <si>
    <r>
      <t>Measured value (1000 Wm</t>
    </r>
    <r>
      <rPr>
        <vertAlign val="superscript"/>
        <sz val="11"/>
        <color theme="1"/>
        <rFont val="Calibri"/>
        <family val="2"/>
        <scheme val="minor"/>
      </rPr>
      <t>-2</t>
    </r>
    <r>
      <rPr>
        <sz val="11"/>
        <color theme="1"/>
        <rFont val="Calibri"/>
        <family val="2"/>
        <scheme val="minor"/>
      </rPr>
      <t>)</t>
    </r>
  </si>
  <si>
    <r>
      <t>At lamp setting (</t>
    </r>
    <r>
      <rPr>
        <i/>
        <sz val="11"/>
        <color theme="1"/>
        <rFont val="Calibri"/>
        <family val="2"/>
        <scheme val="minor"/>
      </rPr>
      <t>N</t>
    </r>
    <r>
      <rPr>
        <sz val="11"/>
        <color theme="1"/>
        <rFont val="Calibri"/>
        <family val="2"/>
        <scheme val="minor"/>
      </rPr>
      <t xml:space="preserve"> = 9)</t>
    </r>
  </si>
  <si>
    <t>σ</t>
  </si>
  <si>
    <t>σ standard deviation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</si>
</sst>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8" formatCode="0.0000"/>
    <numFmt numFmtId="169" formatCode="0.000"/>
    <numFmt numFmtId="170" formatCode="0.0"/>
  </numFmts>
  <fonts count="13">
    <font>
      <sz val="11"/>
      <color theme="1"/>
      <name val="Calibri"/>
      <family val="2"/>
      <scheme val="minor"/>
    </font>
    <font>
      <sz val="11"/>
      <color theme="1"/>
      <name val="Calibri"/>
      <family val="2"/>
    </font>
    <font>
      <b/>
      <sz val="11"/>
      <color rgb="FF494949"/>
      <name val="Calibri"/>
      <family val="2"/>
      <scheme val="minor"/>
    </font>
    <font>
      <sz val="11"/>
      <color rgb="FF494949"/>
      <name val="Calibri"/>
      <family val="2"/>
      <scheme val="minor"/>
    </font>
    <font>
      <sz val="11"/>
      <name val="Calibri"/>
      <family val="2"/>
      <scheme val="minor"/>
    </font>
    <font>
      <sz val="11"/>
      <color rgb="FFFF0000"/>
      <name val="Open Sans"/>
    </font>
    <font>
      <i/>
      <sz val="11"/>
      <color rgb="FFFF0000"/>
      <name val="Open Sans"/>
    </font>
    <font>
      <b/>
      <sz val="11"/>
      <color rgb="FF000000"/>
      <name val="Calibri"/>
      <family val="2"/>
      <scheme val="minor"/>
    </font>
    <font>
      <b/>
      <i/>
      <sz val="11"/>
      <color rgb="FF000000"/>
      <name val="Calibri"/>
      <family val="2"/>
      <scheme val="minor"/>
    </font>
    <font>
      <b/>
      <i/>
      <vertAlign val="subscript"/>
      <sz val="11"/>
      <color rgb="FF000000"/>
      <name val="Calibri"/>
      <family val="2"/>
      <scheme val="minor"/>
    </font>
    <font>
      <b/>
      <vertAlign val="superscript"/>
      <sz val="11"/>
      <color rgb="FF000000"/>
      <name val="Calibri"/>
      <family val="2"/>
      <scheme val="minor"/>
    </font>
    <font>
      <vertAlign val="superscript"/>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CCCCFF"/>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1">
    <xf numFmtId="0" fontId="0" fillId="0" borderId="0"/>
  </cellStyleXfs>
  <cellXfs count="22">
    <xf numFmtId="0" fontId="0" fillId="0" borderId="0" xfId="0"/>
    <xf numFmtId="0" fontId="1" fillId="0" borderId="0" xfId="0" applyFont="1"/>
    <xf numFmtId="0" fontId="2" fillId="0" borderId="0" xfId="0" applyFont="1"/>
    <xf numFmtId="0" fontId="0" fillId="0" borderId="0" xfId="0" applyFont="1"/>
    <xf numFmtId="0" fontId="3" fillId="0" borderId="0" xfId="0" applyFont="1"/>
    <xf numFmtId="14" fontId="0" fillId="0" borderId="0" xfId="0" applyNumberFormat="1"/>
    <xf numFmtId="0" fontId="4" fillId="0" borderId="0" xfId="0" applyFont="1"/>
    <xf numFmtId="22" fontId="0" fillId="0" borderId="0" xfId="0" applyNumberFormat="1"/>
    <xf numFmtId="0" fontId="5" fillId="0" borderId="0" xfId="0" applyFont="1"/>
    <xf numFmtId="0" fontId="0" fillId="2" borderId="0" xfId="0" applyFill="1"/>
    <xf numFmtId="0" fontId="1" fillId="2" borderId="0" xfId="0" applyFont="1" applyFill="1"/>
    <xf numFmtId="0" fontId="0" fillId="3" borderId="0" xfId="0" applyFill="1"/>
    <xf numFmtId="0" fontId="8" fillId="3" borderId="1" xfId="0" applyFont="1" applyFill="1" applyBorder="1" applyAlignment="1">
      <alignment vertical="top" wrapText="1"/>
    </xf>
    <xf numFmtId="0" fontId="8" fillId="3" borderId="2" xfId="0" applyFont="1" applyFill="1" applyBorder="1" applyAlignment="1">
      <alignment vertical="top" wrapText="1"/>
    </xf>
    <xf numFmtId="0" fontId="0" fillId="3" borderId="1" xfId="0" applyFill="1" applyBorder="1" applyAlignment="1">
      <alignment vertical="center" wrapText="1"/>
    </xf>
    <xf numFmtId="0" fontId="0" fillId="3" borderId="3" xfId="0" applyFill="1" applyBorder="1" applyAlignment="1">
      <alignment vertical="center" wrapText="1"/>
    </xf>
    <xf numFmtId="170" fontId="0" fillId="3" borderId="0" xfId="0" applyNumberFormat="1" applyFill="1"/>
    <xf numFmtId="169" fontId="0" fillId="3" borderId="0" xfId="0" applyNumberFormat="1" applyFill="1"/>
    <xf numFmtId="2" fontId="0" fillId="3" borderId="0" xfId="0" applyNumberFormat="1" applyFill="1"/>
    <xf numFmtId="0" fontId="1" fillId="3" borderId="3" xfId="0" applyFont="1" applyFill="1" applyBorder="1" applyAlignment="1">
      <alignment vertical="center" wrapText="1"/>
    </xf>
    <xf numFmtId="168" fontId="0" fillId="3" borderId="0" xfId="0" applyNumberFormat="1" applyFill="1"/>
    <xf numFmtId="0" fontId="0" fillId="3" borderId="4" xfId="0" applyFont="1" applyFill="1" applyBorder="1" applyAlignment="1">
      <alignment vertical="center" wrapText="1"/>
    </xf>
  </cellXfs>
  <cellStyles count="1">
    <cellStyle name="Normal" xfId="0" builtinId="0"/>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3"/>
  <sheetViews>
    <sheetView tabSelected="1" topLeftCell="H1" workbookViewId="0">
      <selection activeCell="K17" sqref="K17"/>
    </sheetView>
  </sheetViews>
  <sheetFormatPr defaultRowHeight="14.5"/>
  <cols>
    <col min="10" max="12" width="22.08984375" customWidth="1"/>
    <col min="25" max="25" width="10.453125" bestFit="1" customWidth="1"/>
    <col min="26" max="26" width="10.453125" customWidth="1"/>
    <col min="33" max="33" width="48.7265625" customWidth="1"/>
    <col min="34" max="34" width="35.7265625" customWidth="1"/>
  </cols>
  <sheetData>
    <row r="1" spans="1:30" ht="34.5" thickBot="1">
      <c r="A1" s="11" t="s">
        <v>92</v>
      </c>
      <c r="B1" s="11"/>
      <c r="C1" s="11"/>
      <c r="D1" s="11"/>
      <c r="E1" s="11"/>
      <c r="F1" s="11" t="s">
        <v>96</v>
      </c>
      <c r="G1" s="11"/>
      <c r="H1" s="11"/>
      <c r="I1" s="11"/>
      <c r="L1" s="11"/>
      <c r="M1" s="12" t="s">
        <v>98</v>
      </c>
      <c r="N1" s="13" t="s">
        <v>99</v>
      </c>
      <c r="O1" s="13" t="s">
        <v>100</v>
      </c>
      <c r="P1" s="13" t="s">
        <v>101</v>
      </c>
      <c r="Q1" s="13" t="s">
        <v>102</v>
      </c>
      <c r="R1" s="13" t="s">
        <v>103</v>
      </c>
      <c r="S1" s="13" t="s">
        <v>104</v>
      </c>
      <c r="T1" s="13" t="s">
        <v>105</v>
      </c>
    </row>
    <row r="2" spans="1:30" ht="15" thickBot="1">
      <c r="A2" s="9" t="s">
        <v>93</v>
      </c>
      <c r="B2" s="9" t="s">
        <v>94</v>
      </c>
      <c r="C2" s="9"/>
      <c r="D2" s="9"/>
      <c r="E2" s="9"/>
      <c r="F2" t="s">
        <v>97</v>
      </c>
      <c r="L2" s="14" t="s">
        <v>106</v>
      </c>
      <c r="M2" s="11">
        <f>89.7</f>
        <v>89.7</v>
      </c>
      <c r="N2" s="11"/>
      <c r="O2" s="11"/>
      <c r="P2" s="11"/>
      <c r="Q2" s="11"/>
      <c r="R2" s="11"/>
      <c r="S2" s="11"/>
      <c r="T2" s="11"/>
    </row>
    <row r="3" spans="1:30" ht="31.5" thickBot="1">
      <c r="A3" s="9"/>
      <c r="B3" s="9"/>
      <c r="C3" s="9"/>
      <c r="D3" s="9"/>
      <c r="E3" s="9"/>
      <c r="L3" s="15" t="s">
        <v>107</v>
      </c>
      <c r="M3" s="16">
        <f>Y23</f>
        <v>89.919684716575361</v>
      </c>
      <c r="N3" s="17">
        <f>AA23</f>
        <v>0.54698400000005498</v>
      </c>
      <c r="O3" s="18">
        <f>AB23</f>
        <v>79.551590964391508</v>
      </c>
      <c r="P3" s="17">
        <f>AC23</f>
        <v>0.3737000000000491</v>
      </c>
      <c r="Q3" s="18">
        <f>W23</f>
        <v>60.459715033677668</v>
      </c>
      <c r="R3" s="18">
        <f>V23</f>
        <v>8.2578970953880564</v>
      </c>
      <c r="S3" s="11">
        <f>Y34</f>
        <v>0.36</v>
      </c>
      <c r="T3" s="11">
        <f>Y32</f>
        <v>1000</v>
      </c>
    </row>
    <row r="4" spans="1:30" ht="15" thickBot="1">
      <c r="A4" s="9"/>
      <c r="B4" s="9"/>
      <c r="C4" s="9"/>
      <c r="D4" s="9"/>
      <c r="E4" s="9"/>
      <c r="L4" s="19" t="s">
        <v>110</v>
      </c>
      <c r="M4" s="16">
        <f>Y25</f>
        <v>3.5487653893504376</v>
      </c>
      <c r="N4" s="20">
        <f>AA25</f>
        <v>5.7000000000007045E-4</v>
      </c>
      <c r="O4" s="18">
        <f>AB25</f>
        <v>2.4020043884582023</v>
      </c>
      <c r="P4" s="11">
        <f>AC25</f>
        <v>0</v>
      </c>
      <c r="Q4" s="18">
        <f>W25</f>
        <v>0.62790406158075984</v>
      </c>
      <c r="R4" s="18">
        <f>V25</f>
        <v>0.2493413999908182</v>
      </c>
      <c r="S4" s="11"/>
      <c r="T4" s="11"/>
    </row>
    <row r="5" spans="1:30" ht="15" thickBot="1">
      <c r="A5" s="9"/>
      <c r="B5" s="9"/>
      <c r="C5" s="9"/>
      <c r="D5" s="9"/>
      <c r="E5" s="9"/>
      <c r="L5" s="15" t="s">
        <v>14</v>
      </c>
      <c r="M5" s="11">
        <f>Y24</f>
        <v>4</v>
      </c>
      <c r="N5" s="11">
        <f>AA24</f>
        <v>4</v>
      </c>
      <c r="O5" s="11">
        <f>AB24</f>
        <v>4</v>
      </c>
      <c r="P5" s="11">
        <f>AC24</f>
        <v>4</v>
      </c>
      <c r="Q5" s="11">
        <f>W24</f>
        <v>4</v>
      </c>
      <c r="R5" s="11">
        <f>V24</f>
        <v>4</v>
      </c>
      <c r="S5" s="11"/>
      <c r="T5" s="11"/>
    </row>
    <row r="6" spans="1:30" ht="15" thickBot="1">
      <c r="A6" s="9"/>
      <c r="B6" s="9"/>
      <c r="C6" s="9"/>
      <c r="D6" s="9"/>
      <c r="E6" s="9"/>
      <c r="L6" s="15" t="s">
        <v>108</v>
      </c>
      <c r="M6" s="18">
        <f>Y51</f>
        <v>107.45638962269602</v>
      </c>
      <c r="N6" s="17">
        <f>AA51</f>
        <v>0.55442122222227797</v>
      </c>
      <c r="O6" s="18">
        <f>AB51</f>
        <v>103.14248297853902</v>
      </c>
      <c r="P6" s="17">
        <f>AC51</f>
        <v>0.34439777777782754</v>
      </c>
      <c r="Q6" s="18">
        <f>W51</f>
        <v>59.537476050855716</v>
      </c>
      <c r="R6" s="18">
        <f>AI51</f>
        <v>8.2578970953880582</v>
      </c>
      <c r="S6" s="17">
        <f>AJ51</f>
        <v>0.42881748757786431</v>
      </c>
      <c r="T6" s="16">
        <f>AL51</f>
        <v>1191.1596877162899</v>
      </c>
    </row>
    <row r="7" spans="1:30">
      <c r="A7" s="9"/>
      <c r="B7" s="9"/>
      <c r="C7" s="9"/>
      <c r="D7" s="9"/>
      <c r="E7" s="9"/>
      <c r="L7" s="21" t="s">
        <v>109</v>
      </c>
      <c r="M7" s="16">
        <f>Y52</f>
        <v>5.6669584832180933</v>
      </c>
      <c r="N7" s="11"/>
      <c r="O7" s="18">
        <f>AB52</f>
        <v>6.379807200599819</v>
      </c>
      <c r="P7" s="18">
        <f>AC52</f>
        <v>2.291091539953E-2</v>
      </c>
      <c r="Q7" s="18">
        <f>W52</f>
        <v>2.72283815051849</v>
      </c>
      <c r="R7" s="11"/>
      <c r="S7" s="18">
        <f>AJ52</f>
        <v>1.4504952431200362E-2</v>
      </c>
      <c r="T7" s="18">
        <f>AL52</f>
        <v>40.291534531112113</v>
      </c>
    </row>
    <row r="8" spans="1:30">
      <c r="A8" s="9"/>
      <c r="B8" s="9"/>
      <c r="C8" s="9"/>
      <c r="D8" s="9"/>
      <c r="E8" s="9"/>
      <c r="L8" s="21" t="s">
        <v>14</v>
      </c>
      <c r="M8" s="11">
        <f>COUNT(Y42:Y50)</f>
        <v>9</v>
      </c>
      <c r="N8" s="11"/>
      <c r="O8" s="11"/>
      <c r="P8" s="11"/>
      <c r="Q8" s="11"/>
      <c r="R8" s="11"/>
      <c r="S8" s="11"/>
      <c r="T8" s="11"/>
    </row>
    <row r="10" spans="1:30">
      <c r="A10" t="s">
        <v>95</v>
      </c>
    </row>
    <row r="11" spans="1:30">
      <c r="A11" t="s">
        <v>0</v>
      </c>
    </row>
    <row r="12" spans="1:30">
      <c r="D12" t="s">
        <v>1</v>
      </c>
      <c r="G12" t="s">
        <v>3</v>
      </c>
      <c r="I12">
        <v>7.9</v>
      </c>
      <c r="J12" t="s">
        <v>4</v>
      </c>
      <c r="M12" t="s">
        <v>5</v>
      </c>
      <c r="V12" t="s">
        <v>34</v>
      </c>
    </row>
    <row r="13" spans="1:30">
      <c r="A13" t="s">
        <v>6</v>
      </c>
      <c r="C13">
        <v>1080</v>
      </c>
      <c r="D13">
        <v>150.30000000000001</v>
      </c>
      <c r="E13" s="1" t="s">
        <v>2</v>
      </c>
      <c r="G13" t="s">
        <v>8</v>
      </c>
      <c r="J13">
        <v>1E-4</v>
      </c>
      <c r="Y13" t="s">
        <v>36</v>
      </c>
    </row>
    <row r="14" spans="1:30">
      <c r="C14">
        <v>800</v>
      </c>
      <c r="D14">
        <v>29.2</v>
      </c>
      <c r="E14" s="1" t="s">
        <v>2</v>
      </c>
      <c r="V14" t="s">
        <v>35</v>
      </c>
      <c r="Y14" s="5">
        <v>40246</v>
      </c>
      <c r="Z14" s="5"/>
      <c r="AB14">
        <v>89.7</v>
      </c>
      <c r="AC14" t="s">
        <v>38</v>
      </c>
      <c r="AD14" t="s">
        <v>39</v>
      </c>
    </row>
    <row r="15" spans="1:30">
      <c r="G15" t="s">
        <v>15</v>
      </c>
      <c r="V15" s="6" t="s">
        <v>37</v>
      </c>
    </row>
    <row r="16" spans="1:30">
      <c r="A16" t="s">
        <v>7</v>
      </c>
      <c r="B16" t="s">
        <v>9</v>
      </c>
      <c r="C16" t="s">
        <v>10</v>
      </c>
      <c r="D16" t="s">
        <v>11</v>
      </c>
      <c r="G16" t="s">
        <v>16</v>
      </c>
      <c r="J16" t="s">
        <v>28</v>
      </c>
      <c r="M16" s="2" t="s">
        <v>18</v>
      </c>
      <c r="N16" s="3"/>
      <c r="O16" s="3"/>
      <c r="P16" s="3"/>
      <c r="V16" t="s">
        <v>57</v>
      </c>
    </row>
    <row r="17" spans="1:35">
      <c r="A17">
        <v>0.51</v>
      </c>
      <c r="B17">
        <f>D$14/D$13</f>
        <v>0.19427811044577509</v>
      </c>
      <c r="C17">
        <f>A17*B17</f>
        <v>9.9081836327345296E-2</v>
      </c>
      <c r="D17">
        <f>C17/J$13</f>
        <v>990.81836327345286</v>
      </c>
      <c r="G17">
        <v>966</v>
      </c>
      <c r="J17" t="s">
        <v>29</v>
      </c>
      <c r="L17" t="s">
        <v>30</v>
      </c>
      <c r="M17" s="4" t="s">
        <v>19</v>
      </c>
      <c r="N17" s="3"/>
      <c r="O17" s="3"/>
      <c r="P17" s="3"/>
      <c r="V17" t="s">
        <v>40</v>
      </c>
      <c r="W17" t="s">
        <v>41</v>
      </c>
      <c r="Y17" t="s">
        <v>42</v>
      </c>
      <c r="AA17" t="s">
        <v>43</v>
      </c>
      <c r="AB17" t="s">
        <v>44</v>
      </c>
      <c r="AC17" t="s">
        <v>45</v>
      </c>
      <c r="AD17" t="s">
        <v>46</v>
      </c>
      <c r="AE17" t="s">
        <v>47</v>
      </c>
      <c r="AF17" t="s">
        <v>48</v>
      </c>
      <c r="AG17" t="s">
        <v>49</v>
      </c>
      <c r="AH17" t="s">
        <v>50</v>
      </c>
    </row>
    <row r="18" spans="1:35">
      <c r="A18">
        <v>0.54100000000000004</v>
      </c>
      <c r="B18">
        <f t="shared" ref="B18:B29" si="0">D$14/D$13</f>
        <v>0.19427811044577509</v>
      </c>
      <c r="C18">
        <f t="shared" ref="C18:C29" si="1">A18*B18</f>
        <v>0.10510445775116432</v>
      </c>
      <c r="D18">
        <f t="shared" ref="D18:D29" si="2">C18/J$13</f>
        <v>1051.0445775116432</v>
      </c>
      <c r="G18">
        <v>934</v>
      </c>
      <c r="J18">
        <v>988</v>
      </c>
      <c r="L18">
        <v>1045</v>
      </c>
      <c r="M18" s="4" t="s">
        <v>20</v>
      </c>
      <c r="N18" s="3"/>
      <c r="O18" s="3"/>
      <c r="P18" s="3"/>
      <c r="V18">
        <v>7.9599237438127695</v>
      </c>
      <c r="W18">
        <v>61.212821886410204</v>
      </c>
      <c r="Y18">
        <v>85.688531962413009</v>
      </c>
      <c r="AA18">
        <v>0.54631900000005484</v>
      </c>
      <c r="AB18">
        <v>76.681095739154955</v>
      </c>
      <c r="AC18">
        <v>0.3737000000000491</v>
      </c>
      <c r="AD18">
        <v>23.802369989559168</v>
      </c>
      <c r="AE18">
        <v>21.300304371987487</v>
      </c>
      <c r="AF18">
        <v>3.6</v>
      </c>
      <c r="AG18" t="s">
        <v>51</v>
      </c>
      <c r="AH18" s="7">
        <v>43847.672858796293</v>
      </c>
    </row>
    <row r="19" spans="1:35">
      <c r="A19">
        <v>0.59499999999999997</v>
      </c>
      <c r="B19">
        <f t="shared" si="0"/>
        <v>0.19427811044577509</v>
      </c>
      <c r="C19">
        <f t="shared" si="1"/>
        <v>0.11559547571523617</v>
      </c>
      <c r="D19">
        <f t="shared" si="2"/>
        <v>1155.9547571523617</v>
      </c>
      <c r="G19">
        <v>925</v>
      </c>
      <c r="J19">
        <v>947</v>
      </c>
      <c r="L19">
        <v>1035</v>
      </c>
      <c r="M19" s="3"/>
      <c r="N19" s="3"/>
      <c r="O19" s="3"/>
      <c r="P19" s="3"/>
      <c r="V19">
        <v>8.1528538536117221</v>
      </c>
      <c r="W19">
        <v>60.690168610828785</v>
      </c>
      <c r="Y19">
        <v>88.459714736511657</v>
      </c>
      <c r="AA19">
        <v>0.54669900000005489</v>
      </c>
      <c r="AB19">
        <v>78.539667843185299</v>
      </c>
      <c r="AC19">
        <v>0.3737000000000491</v>
      </c>
      <c r="AD19">
        <v>24.572142982364348</v>
      </c>
      <c r="AE19">
        <v>21.816574400884804</v>
      </c>
      <c r="AF19">
        <v>3.6</v>
      </c>
      <c r="AG19" t="s">
        <v>52</v>
      </c>
      <c r="AH19" s="7">
        <v>43847.674247685187</v>
      </c>
    </row>
    <row r="20" spans="1:35">
      <c r="A20">
        <v>0.64</v>
      </c>
      <c r="B20">
        <f t="shared" si="0"/>
        <v>0.19427811044577509</v>
      </c>
      <c r="C20">
        <f t="shared" si="1"/>
        <v>0.12433799068529607</v>
      </c>
      <c r="D20">
        <f t="shared" si="2"/>
        <v>1243.3799068529606</v>
      </c>
      <c r="G20">
        <v>971</v>
      </c>
      <c r="J20">
        <v>1003</v>
      </c>
      <c r="L20">
        <v>1039</v>
      </c>
      <c r="M20" s="2" t="s">
        <v>21</v>
      </c>
      <c r="N20" s="3"/>
      <c r="O20" s="3"/>
      <c r="P20" s="3"/>
      <c r="V20">
        <v>8.4070603201951801</v>
      </c>
      <c r="W20">
        <v>60.166449540076471</v>
      </c>
      <c r="Y20">
        <v>91.884166516850243</v>
      </c>
      <c r="AA20">
        <v>0.54745900000005498</v>
      </c>
      <c r="AB20">
        <v>80.988539343587576</v>
      </c>
      <c r="AC20">
        <v>0.3737000000000491</v>
      </c>
      <c r="AD20">
        <v>25.523379588013956</v>
      </c>
      <c r="AE20">
        <v>22.49681648432988</v>
      </c>
      <c r="AF20">
        <v>3.6</v>
      </c>
      <c r="AG20" t="s">
        <v>53</v>
      </c>
      <c r="AH20" s="7">
        <v>43847.675775462965</v>
      </c>
    </row>
    <row r="21" spans="1:35">
      <c r="A21">
        <v>0.65100000000000002</v>
      </c>
      <c r="B21">
        <f t="shared" si="0"/>
        <v>0.19427811044577509</v>
      </c>
      <c r="C21">
        <f t="shared" si="1"/>
        <v>0.12647504990019959</v>
      </c>
      <c r="D21">
        <f t="shared" si="2"/>
        <v>1264.7504990019959</v>
      </c>
      <c r="G21">
        <v>898</v>
      </c>
      <c r="J21">
        <v>1139</v>
      </c>
      <c r="L21">
        <v>1069</v>
      </c>
      <c r="M21" s="4" t="s">
        <v>22</v>
      </c>
      <c r="N21" s="3"/>
      <c r="O21" s="3"/>
      <c r="P21" s="3"/>
      <c r="V21">
        <v>8.511750463932561</v>
      </c>
      <c r="W21">
        <v>59.769420097395184</v>
      </c>
      <c r="Y21">
        <v>93.646325650526549</v>
      </c>
      <c r="AA21">
        <v>0.54745900000005498</v>
      </c>
      <c r="AB21">
        <v>81.997060931638217</v>
      </c>
      <c r="AC21">
        <v>0.3737000000000491</v>
      </c>
      <c r="AD21">
        <v>26.012868236257376</v>
      </c>
      <c r="AE21">
        <v>22.776961369899503</v>
      </c>
      <c r="AF21">
        <v>3.6</v>
      </c>
      <c r="AG21" t="s">
        <v>54</v>
      </c>
      <c r="AH21" s="7">
        <v>43847.676689814813</v>
      </c>
    </row>
    <row r="22" spans="1:35">
      <c r="A22">
        <v>0.621</v>
      </c>
      <c r="B22">
        <f t="shared" si="0"/>
        <v>0.19427811044577509</v>
      </c>
      <c r="C22">
        <f t="shared" si="1"/>
        <v>0.12064670658682633</v>
      </c>
      <c r="D22">
        <f t="shared" si="2"/>
        <v>1206.4670658682633</v>
      </c>
      <c r="G22">
        <v>932</v>
      </c>
      <c r="J22">
        <v>1076</v>
      </c>
      <c r="L22">
        <v>1037</v>
      </c>
      <c r="M22" s="4" t="s">
        <v>23</v>
      </c>
      <c r="N22" s="3"/>
      <c r="O22" s="3"/>
      <c r="P22" s="3"/>
      <c r="V22">
        <v>5.1312486718354405E-4</v>
      </c>
      <c r="W22">
        <v>34.652875360966391</v>
      </c>
      <c r="Y22">
        <v>4.3911505981963257E-2</v>
      </c>
      <c r="AA22">
        <v>0.12139700000005467</v>
      </c>
      <c r="AB22">
        <v>2.6076362533305357E-2</v>
      </c>
      <c r="AC22">
        <v>7.0840000000053943E-2</v>
      </c>
      <c r="AD22">
        <v>1.219764055054535E-2</v>
      </c>
      <c r="AE22">
        <v>7.2434340370292659E-3</v>
      </c>
      <c r="AF22">
        <v>3.6</v>
      </c>
      <c r="AG22" t="s">
        <v>55</v>
      </c>
      <c r="AH22" s="7">
        <v>43847.678310185183</v>
      </c>
      <c r="AI22" t="s">
        <v>56</v>
      </c>
    </row>
    <row r="23" spans="1:35">
      <c r="A23">
        <v>0.626</v>
      </c>
      <c r="B23">
        <f t="shared" si="0"/>
        <v>0.19427811044577509</v>
      </c>
      <c r="C23">
        <f t="shared" si="1"/>
        <v>0.12161809713905521</v>
      </c>
      <c r="D23">
        <f t="shared" si="2"/>
        <v>1216.180971390552</v>
      </c>
      <c r="G23">
        <v>968</v>
      </c>
      <c r="J23">
        <v>1055</v>
      </c>
      <c r="L23">
        <v>1066</v>
      </c>
      <c r="M23" s="3"/>
      <c r="N23" s="3"/>
      <c r="O23" s="3"/>
      <c r="P23" s="3"/>
      <c r="U23" t="s">
        <v>12</v>
      </c>
      <c r="V23">
        <f>AVERAGE(V18:V21)</f>
        <v>8.2578970953880564</v>
      </c>
      <c r="W23">
        <f t="shared" ref="W23:AE23" si="3">AVERAGE(W18:W21)</f>
        <v>60.459715033677668</v>
      </c>
      <c r="Y23" s="9">
        <f t="shared" si="3"/>
        <v>89.919684716575361</v>
      </c>
      <c r="AA23" s="9">
        <f t="shared" si="3"/>
        <v>0.54698400000005498</v>
      </c>
      <c r="AB23" s="9">
        <f t="shared" si="3"/>
        <v>79.551590964391508</v>
      </c>
      <c r="AC23" s="9">
        <f t="shared" si="3"/>
        <v>0.3737000000000491</v>
      </c>
      <c r="AD23" s="9">
        <f t="shared" si="3"/>
        <v>24.977690199048713</v>
      </c>
      <c r="AE23" s="9">
        <f t="shared" si="3"/>
        <v>22.097664156775416</v>
      </c>
    </row>
    <row r="24" spans="1:35">
      <c r="A24">
        <v>0.623</v>
      </c>
      <c r="B24">
        <f t="shared" si="0"/>
        <v>0.19427811044577509</v>
      </c>
      <c r="C24">
        <f t="shared" si="1"/>
        <v>0.12103526280771788</v>
      </c>
      <c r="D24">
        <f t="shared" si="2"/>
        <v>1210.3526280771787</v>
      </c>
      <c r="G24">
        <v>974</v>
      </c>
      <c r="J24">
        <v>1044</v>
      </c>
      <c r="L24">
        <v>1070</v>
      </c>
      <c r="M24" s="2" t="s">
        <v>24</v>
      </c>
      <c r="N24" s="3"/>
      <c r="O24" s="3"/>
      <c r="P24" s="3"/>
      <c r="U24" t="s">
        <v>33</v>
      </c>
      <c r="V24">
        <f>COUNT(V18:V21)</f>
        <v>4</v>
      </c>
      <c r="W24">
        <f t="shared" ref="W24:AE24" si="4">COUNT(W18:W21)</f>
        <v>4</v>
      </c>
      <c r="Y24" s="9">
        <f t="shared" si="4"/>
        <v>4</v>
      </c>
      <c r="AA24" s="9">
        <f t="shared" si="4"/>
        <v>4</v>
      </c>
      <c r="AB24" s="9">
        <f t="shared" si="4"/>
        <v>4</v>
      </c>
      <c r="AC24" s="9">
        <f t="shared" si="4"/>
        <v>4</v>
      </c>
      <c r="AD24" s="9">
        <f t="shared" si="4"/>
        <v>4</v>
      </c>
      <c r="AE24" s="9">
        <f t="shared" si="4"/>
        <v>4</v>
      </c>
    </row>
    <row r="25" spans="1:35">
      <c r="A25">
        <v>0.61499999999999999</v>
      </c>
      <c r="B25">
        <f t="shared" si="0"/>
        <v>0.19427811044577509</v>
      </c>
      <c r="C25">
        <f t="shared" si="1"/>
        <v>0.11948103792415167</v>
      </c>
      <c r="D25">
        <f t="shared" si="2"/>
        <v>1194.8103792415166</v>
      </c>
      <c r="F25" t="s">
        <v>12</v>
      </c>
      <c r="G25">
        <f>AVERAGE(G12:G24)</f>
        <v>946</v>
      </c>
      <c r="J25">
        <v>1054</v>
      </c>
      <c r="L25">
        <v>1029</v>
      </c>
      <c r="M25" s="4" t="s">
        <v>25</v>
      </c>
      <c r="N25" s="3"/>
      <c r="O25" s="3"/>
      <c r="P25" s="3"/>
      <c r="U25" t="s">
        <v>13</v>
      </c>
      <c r="V25">
        <f>STDEV(V18:V21)</f>
        <v>0.2493413999908182</v>
      </c>
      <c r="W25">
        <f t="shared" ref="W25:AE25" si="5">STDEV(W18:W21)</f>
        <v>0.62790406158075984</v>
      </c>
      <c r="Y25" s="9">
        <f t="shared" si="5"/>
        <v>3.5487653893504376</v>
      </c>
      <c r="AA25" s="9">
        <f t="shared" si="5"/>
        <v>5.7000000000007045E-4</v>
      </c>
      <c r="AB25" s="9">
        <f t="shared" si="5"/>
        <v>2.4020043884582023</v>
      </c>
      <c r="AC25" s="9">
        <f t="shared" si="5"/>
        <v>0</v>
      </c>
      <c r="AD25" s="9">
        <f t="shared" si="5"/>
        <v>0.98576816370845599</v>
      </c>
      <c r="AE25" s="9">
        <f t="shared" si="5"/>
        <v>0.66722344123838917</v>
      </c>
    </row>
    <row r="26" spans="1:35">
      <c r="A26">
        <v>0.60799999999999998</v>
      </c>
      <c r="B26">
        <f t="shared" si="0"/>
        <v>0.19427811044577509</v>
      </c>
      <c r="C26">
        <f t="shared" si="1"/>
        <v>0.11812109115103125</v>
      </c>
      <c r="D26">
        <f t="shared" si="2"/>
        <v>1181.2109115103126</v>
      </c>
      <c r="G26">
        <f>_xlfn.STDEV.S(G12:G24)</f>
        <v>27.717967354871359</v>
      </c>
      <c r="J26">
        <v>1025</v>
      </c>
      <c r="L26">
        <v>1043</v>
      </c>
      <c r="M26" s="4" t="s">
        <v>26</v>
      </c>
      <c r="N26" s="3"/>
      <c r="O26" s="3"/>
      <c r="P26" s="3"/>
    </row>
    <row r="27" spans="1:35">
      <c r="A27">
        <v>0.52900000000000003</v>
      </c>
      <c r="B27">
        <f t="shared" si="0"/>
        <v>0.19427811044577509</v>
      </c>
      <c r="C27">
        <f t="shared" si="1"/>
        <v>0.10277312042581503</v>
      </c>
      <c r="D27">
        <f t="shared" si="2"/>
        <v>1027.7312042581502</v>
      </c>
      <c r="G27">
        <f>COUNT(G12:G24)</f>
        <v>8</v>
      </c>
      <c r="J27">
        <v>1033</v>
      </c>
      <c r="L27">
        <v>1049</v>
      </c>
      <c r="M27" s="4" t="s">
        <v>27</v>
      </c>
      <c r="N27" s="3"/>
      <c r="O27" s="3"/>
      <c r="P27" s="3"/>
      <c r="V27" s="9" t="s">
        <v>58</v>
      </c>
      <c r="W27" s="9"/>
      <c r="X27" s="9"/>
      <c r="Y27" s="9"/>
      <c r="Z27" s="9"/>
      <c r="AG27" t="s">
        <v>91</v>
      </c>
    </row>
    <row r="28" spans="1:35">
      <c r="A28">
        <v>0.52200000000000002</v>
      </c>
      <c r="B28">
        <f t="shared" si="0"/>
        <v>0.19427811044577509</v>
      </c>
      <c r="C28">
        <f t="shared" si="1"/>
        <v>0.1014131736526946</v>
      </c>
      <c r="D28">
        <f t="shared" si="2"/>
        <v>1014.1317365269459</v>
      </c>
      <c r="J28">
        <v>1027</v>
      </c>
      <c r="L28">
        <v>1043</v>
      </c>
      <c r="AG28" s="8" t="s">
        <v>90</v>
      </c>
    </row>
    <row r="29" spans="1:35">
      <c r="A29">
        <v>0.51700000000000002</v>
      </c>
      <c r="B29">
        <f t="shared" si="0"/>
        <v>0.19427811044577509</v>
      </c>
      <c r="C29">
        <f t="shared" si="1"/>
        <v>0.10044178310046573</v>
      </c>
      <c r="D29">
        <f t="shared" si="2"/>
        <v>1004.4178310046572</v>
      </c>
      <c r="J29">
        <v>1047</v>
      </c>
      <c r="L29">
        <v>1065</v>
      </c>
      <c r="V29" t="s">
        <v>59</v>
      </c>
      <c r="W29" t="s">
        <v>60</v>
      </c>
      <c r="Y29" t="s">
        <v>61</v>
      </c>
    </row>
    <row r="30" spans="1:35">
      <c r="A30" t="s">
        <v>12</v>
      </c>
      <c r="D30">
        <f>AVERAGE(D17:D29)</f>
        <v>1135.480833205384</v>
      </c>
      <c r="F30" t="s">
        <v>17</v>
      </c>
      <c r="I30">
        <f>AVERAGE(D17:D29,G17:G24)</f>
        <v>1063.2976586509519</v>
      </c>
      <c r="J30">
        <v>988</v>
      </c>
      <c r="K30" t="s">
        <v>12</v>
      </c>
      <c r="L30">
        <f>AVERAGE(L17:L29)</f>
        <v>1049.1666666666667</v>
      </c>
    </row>
    <row r="31" spans="1:35">
      <c r="A31" t="s">
        <v>13</v>
      </c>
      <c r="D31">
        <f>_xlfn.STDEV.S(D17:D29)</f>
        <v>101.28771901324737</v>
      </c>
      <c r="F31" t="s">
        <v>13</v>
      </c>
      <c r="I31">
        <f>_xlfn.STDEV.S(D17:D29,G17:G24)</f>
        <v>123.75251290956993</v>
      </c>
      <c r="J31">
        <v>1004</v>
      </c>
      <c r="L31">
        <f>_xlfn.STDEV.S(L17:L29)</f>
        <v>14.502873278538063</v>
      </c>
      <c r="V31" t="s">
        <v>62</v>
      </c>
      <c r="W31" s="1" t="s">
        <v>63</v>
      </c>
      <c r="X31" s="1"/>
      <c r="Y31" s="1" t="s">
        <v>64</v>
      </c>
      <c r="Z31" s="1"/>
    </row>
    <row r="32" spans="1:35">
      <c r="A32" t="s">
        <v>14</v>
      </c>
      <c r="D32">
        <f>COUNT(D17:D29)</f>
        <v>13</v>
      </c>
      <c r="F32" t="s">
        <v>14</v>
      </c>
      <c r="I32">
        <f>COUNT(D17:D29,G17:G24)</f>
        <v>21</v>
      </c>
      <c r="J32">
        <v>1006</v>
      </c>
      <c r="L32">
        <f>COUNT(L17:L29)</f>
        <v>12</v>
      </c>
      <c r="V32" t="s">
        <v>65</v>
      </c>
      <c r="Y32">
        <v>1000</v>
      </c>
      <c r="AA32" t="s">
        <v>66</v>
      </c>
    </row>
    <row r="33" spans="6:38">
      <c r="J33">
        <v>1012</v>
      </c>
      <c r="Y33">
        <v>100</v>
      </c>
      <c r="AA33" t="s">
        <v>67</v>
      </c>
    </row>
    <row r="34" spans="6:38">
      <c r="F34" t="s">
        <v>31</v>
      </c>
      <c r="I34">
        <f>AVERAGE(D17:D29,G17:G24,J18:J48,L18:L29)</f>
        <v>1043.4414192448435</v>
      </c>
      <c r="J34">
        <v>1029</v>
      </c>
      <c r="V34" t="s">
        <v>69</v>
      </c>
      <c r="Y34">
        <f>(AF22*100)/1000</f>
        <v>0.36</v>
      </c>
      <c r="AA34" t="s">
        <v>68</v>
      </c>
    </row>
    <row r="35" spans="6:38">
      <c r="F35" t="s">
        <v>13</v>
      </c>
      <c r="I35">
        <f>_xlfn.STDEV.S(D17:D29,G17:G24,J18:J48,L18:L29)</f>
        <v>74.996837229482196</v>
      </c>
      <c r="J35">
        <v>1015</v>
      </c>
      <c r="V35" t="s">
        <v>70</v>
      </c>
    </row>
    <row r="36" spans="6:38">
      <c r="F36" t="s">
        <v>14</v>
      </c>
      <c r="I36">
        <f>COUNT(D17:D29,G17:G24,J18:J48,L18:L29)</f>
        <v>64</v>
      </c>
      <c r="J36">
        <v>1044</v>
      </c>
    </row>
    <row r="37" spans="6:38">
      <c r="J37">
        <v>1015</v>
      </c>
      <c r="V37" t="s">
        <v>71</v>
      </c>
      <c r="Y37" t="s">
        <v>72</v>
      </c>
    </row>
    <row r="38" spans="6:38">
      <c r="F38" t="s">
        <v>32</v>
      </c>
      <c r="I38">
        <f>AVERAGE(G17:G24,J18:J48,L18:L29)</f>
        <v>1019.9803921568628</v>
      </c>
      <c r="J38">
        <v>1024</v>
      </c>
    </row>
    <row r="39" spans="6:38">
      <c r="F39" t="s">
        <v>13</v>
      </c>
      <c r="I39">
        <f>STDEV(G17:G24,J18:J48,L18:L29)</f>
        <v>43.136291076576548</v>
      </c>
      <c r="J39">
        <v>1021</v>
      </c>
      <c r="V39" t="s">
        <v>73</v>
      </c>
    </row>
    <row r="40" spans="6:38">
      <c r="F40" t="s">
        <v>33</v>
      </c>
      <c r="I40">
        <f>COUNT(G17:G24,J18:J48,L18:L29)</f>
        <v>51</v>
      </c>
      <c r="J40">
        <v>1036</v>
      </c>
      <c r="AK40" t="s">
        <v>89</v>
      </c>
      <c r="AL40" s="9" t="s">
        <v>89</v>
      </c>
    </row>
    <row r="41" spans="6:38">
      <c r="J41">
        <v>1022</v>
      </c>
      <c r="W41" t="s">
        <v>41</v>
      </c>
      <c r="X41" t="s">
        <v>87</v>
      </c>
      <c r="Y41" t="s">
        <v>42</v>
      </c>
      <c r="Z41" t="s">
        <v>86</v>
      </c>
      <c r="AA41" t="s">
        <v>43</v>
      </c>
      <c r="AB41" t="s">
        <v>44</v>
      </c>
      <c r="AC41" t="s">
        <v>45</v>
      </c>
      <c r="AD41" t="s">
        <v>46</v>
      </c>
      <c r="AE41" t="s">
        <v>47</v>
      </c>
      <c r="AF41" t="s">
        <v>48</v>
      </c>
      <c r="AG41" t="s">
        <v>49</v>
      </c>
      <c r="AH41" t="s">
        <v>50</v>
      </c>
      <c r="AI41" s="1" t="s">
        <v>83</v>
      </c>
      <c r="AJ41" s="1" t="s">
        <v>84</v>
      </c>
      <c r="AK41" s="1" t="s">
        <v>85</v>
      </c>
      <c r="AL41" s="10" t="s">
        <v>88</v>
      </c>
    </row>
    <row r="42" spans="6:38">
      <c r="J42">
        <v>1032</v>
      </c>
      <c r="W42">
        <v>56.233156673763432</v>
      </c>
      <c r="X42">
        <f>W42/100</f>
        <v>0.56233156673763429</v>
      </c>
      <c r="Y42">
        <v>106.83753582875586</v>
      </c>
      <c r="Z42">
        <f>Y42/1000</f>
        <v>0.10683753582875587</v>
      </c>
      <c r="AA42">
        <v>0.55885900000005639</v>
      </c>
      <c r="AB42">
        <v>92.672363939685994</v>
      </c>
      <c r="AC42">
        <v>0.36230000000004936</v>
      </c>
      <c r="AD42">
        <v>29.677093285765515</v>
      </c>
      <c r="AE42">
        <v>25.742323316579441</v>
      </c>
      <c r="AF42">
        <v>3.6</v>
      </c>
      <c r="AG42" t="s">
        <v>74</v>
      </c>
      <c r="AH42" s="7">
        <v>43852.437673611108</v>
      </c>
      <c r="AI42">
        <f>$V$23</f>
        <v>8.2578970953880564</v>
      </c>
      <c r="AJ42">
        <f>(AA42*Z42*X42)/(AI42/100)</f>
        <v>0.40658289958716221</v>
      </c>
      <c r="AK42">
        <f>AJ42/AF42</f>
        <v>0.11293969432976728</v>
      </c>
      <c r="AL42" s="9">
        <f>AK42*10000</f>
        <v>1129.3969432976728</v>
      </c>
    </row>
    <row r="43" spans="6:38">
      <c r="J43">
        <v>1039</v>
      </c>
      <c r="W43">
        <v>62.885985729043561</v>
      </c>
      <c r="X43">
        <f t="shared" ref="X43:X50" si="6">W43/100</f>
        <v>0.62885985729043559</v>
      </c>
      <c r="Y43">
        <v>98.633310891265694</v>
      </c>
      <c r="Z43">
        <f t="shared" ref="Z43:Z50" si="7">Y43/1000</f>
        <v>9.8633310891265688E-2</v>
      </c>
      <c r="AA43">
        <v>0.55353900000005574</v>
      </c>
      <c r="AB43">
        <v>102.97553621600534</v>
      </c>
      <c r="AC43">
        <v>0.33342000000005001</v>
      </c>
      <c r="AD43">
        <v>27.398141914240469</v>
      </c>
      <c r="AE43">
        <v>28.604315615557038</v>
      </c>
      <c r="AF43">
        <v>3.6</v>
      </c>
      <c r="AG43" t="s">
        <v>75</v>
      </c>
      <c r="AH43" s="7">
        <v>43852.438067129631</v>
      </c>
      <c r="AI43">
        <f t="shared" ref="AI43:AI50" si="8">$V$23</f>
        <v>8.2578970953880564</v>
      </c>
      <c r="AJ43">
        <f t="shared" ref="AJ43:AJ50" si="9">(AA43*Z43*X43)/(AI43/100)</f>
        <v>0.41577296118549195</v>
      </c>
      <c r="AK43">
        <f t="shared" ref="AK43:AK50" si="10">AJ43/AF43</f>
        <v>0.1154924892181922</v>
      </c>
      <c r="AL43" s="9">
        <f t="shared" ref="AL43:AL50" si="11">AK43*10000</f>
        <v>1154.9248921819221</v>
      </c>
    </row>
    <row r="44" spans="6:38">
      <c r="J44">
        <v>1026</v>
      </c>
      <c r="W44">
        <v>57.636477022850343</v>
      </c>
      <c r="X44">
        <f t="shared" si="6"/>
        <v>0.57636477022850341</v>
      </c>
      <c r="Y44">
        <v>111.51684840408819</v>
      </c>
      <c r="Z44">
        <f t="shared" si="7"/>
        <v>0.1115168484040882</v>
      </c>
      <c r="AA44">
        <v>0.55391900000005578</v>
      </c>
      <c r="AB44">
        <v>98.268842933186889</v>
      </c>
      <c r="AC44">
        <v>0.36230000000004936</v>
      </c>
      <c r="AD44">
        <v>30.976902334468942</v>
      </c>
      <c r="AE44">
        <v>27.296900814774133</v>
      </c>
      <c r="AF44">
        <v>3.6</v>
      </c>
      <c r="AG44" t="s">
        <v>76</v>
      </c>
      <c r="AH44" s="7">
        <v>43852.438784722224</v>
      </c>
      <c r="AI44">
        <f t="shared" si="8"/>
        <v>8.2578970953880564</v>
      </c>
      <c r="AJ44">
        <f t="shared" si="9"/>
        <v>0.43113641867228192</v>
      </c>
      <c r="AK44">
        <f t="shared" si="10"/>
        <v>0.11976011629785609</v>
      </c>
      <c r="AL44" s="9">
        <f t="shared" si="11"/>
        <v>1197.601162978561</v>
      </c>
    </row>
    <row r="45" spans="6:38">
      <c r="J45">
        <v>1030</v>
      </c>
      <c r="W45">
        <v>58.728633903043793</v>
      </c>
      <c r="X45">
        <f t="shared" si="6"/>
        <v>0.58728633903043792</v>
      </c>
      <c r="Y45">
        <v>105.37163410247932</v>
      </c>
      <c r="Z45">
        <f t="shared" si="7"/>
        <v>0.10537163410247932</v>
      </c>
      <c r="AA45">
        <v>0.55543900000005597</v>
      </c>
      <c r="AB45">
        <v>103.09042667057048</v>
      </c>
      <c r="AC45">
        <v>0.33342000000005001</v>
      </c>
      <c r="AD45">
        <v>29.269898361799811</v>
      </c>
      <c r="AE45">
        <v>28.63622963071402</v>
      </c>
      <c r="AF45">
        <v>3.6</v>
      </c>
      <c r="AG45" t="s">
        <v>77</v>
      </c>
      <c r="AH45" s="7">
        <v>43852.439155092594</v>
      </c>
      <c r="AI45">
        <f t="shared" si="8"/>
        <v>8.2578970953880564</v>
      </c>
      <c r="AJ45">
        <f t="shared" si="9"/>
        <v>0.41623684169791081</v>
      </c>
      <c r="AK45">
        <f t="shared" si="10"/>
        <v>0.11562134491608633</v>
      </c>
      <c r="AL45" s="9">
        <f t="shared" si="11"/>
        <v>1156.2134491608633</v>
      </c>
    </row>
    <row r="46" spans="6:38">
      <c r="J46">
        <v>1036</v>
      </c>
      <c r="W46">
        <v>58.09943686321256</v>
      </c>
      <c r="X46">
        <f t="shared" si="6"/>
        <v>0.58099436863212561</v>
      </c>
      <c r="Y46">
        <v>116.09113041414294</v>
      </c>
      <c r="Z46">
        <f t="shared" si="7"/>
        <v>0.11609113041414294</v>
      </c>
      <c r="AA46">
        <v>0.55619900000005607</v>
      </c>
      <c r="AB46">
        <v>95.901306633103601</v>
      </c>
      <c r="AC46">
        <v>0.39118000000004871</v>
      </c>
      <c r="AD46">
        <v>32.247536226150814</v>
      </c>
      <c r="AE46">
        <v>26.639251842528779</v>
      </c>
      <c r="AF46">
        <v>3.6</v>
      </c>
      <c r="AG46" t="s">
        <v>78</v>
      </c>
      <c r="AH46" s="7">
        <v>43852.439444444448</v>
      </c>
      <c r="AI46">
        <f t="shared" si="8"/>
        <v>8.2578970953880564</v>
      </c>
      <c r="AJ46">
        <f t="shared" si="9"/>
        <v>0.45428845498321452</v>
      </c>
      <c r="AK46">
        <f t="shared" si="10"/>
        <v>0.12619123749533737</v>
      </c>
      <c r="AL46" s="9">
        <f t="shared" si="11"/>
        <v>1261.9123749533737</v>
      </c>
    </row>
    <row r="47" spans="6:38">
      <c r="J47">
        <v>1018</v>
      </c>
      <c r="W47">
        <v>63.020651229250454</v>
      </c>
      <c r="X47">
        <f t="shared" si="6"/>
        <v>0.63020651229250457</v>
      </c>
      <c r="Y47">
        <v>101.53924445319112</v>
      </c>
      <c r="Z47">
        <f t="shared" si="7"/>
        <v>0.10153924445319111</v>
      </c>
      <c r="AA47">
        <v>0.55049900000005536</v>
      </c>
      <c r="AB47">
        <v>111.23085748365187</v>
      </c>
      <c r="AC47">
        <v>0.31670000000005039</v>
      </c>
      <c r="AD47">
        <v>28.205345681441976</v>
      </c>
      <c r="AE47">
        <v>30.897460412125522</v>
      </c>
      <c r="AF47">
        <v>3.6</v>
      </c>
      <c r="AG47" t="s">
        <v>79</v>
      </c>
      <c r="AH47" s="7">
        <v>43852.440081018518</v>
      </c>
      <c r="AI47">
        <f t="shared" si="8"/>
        <v>8.2578970953880564</v>
      </c>
      <c r="AJ47">
        <f t="shared" si="9"/>
        <v>0.42658333178736191</v>
      </c>
      <c r="AK47">
        <f t="shared" si="10"/>
        <v>0.11849536994093386</v>
      </c>
      <c r="AL47" s="9">
        <f t="shared" si="11"/>
        <v>1184.9536994093387</v>
      </c>
    </row>
    <row r="48" spans="6:38">
      <c r="J48">
        <v>1026</v>
      </c>
      <c r="W48">
        <v>63.263235038584519</v>
      </c>
      <c r="X48">
        <f t="shared" si="6"/>
        <v>0.6326323503858452</v>
      </c>
      <c r="Y48">
        <v>103.83512787605511</v>
      </c>
      <c r="Z48">
        <f t="shared" si="7"/>
        <v>0.10383512787605512</v>
      </c>
      <c r="AA48">
        <v>0.55425900000005468</v>
      </c>
      <c r="AB48">
        <v>109.19853327594225</v>
      </c>
      <c r="AC48">
        <v>0.33342000000005001</v>
      </c>
      <c r="AD48">
        <v>28.843091076681976</v>
      </c>
      <c r="AE48">
        <v>30.33292590998396</v>
      </c>
      <c r="AF48">
        <v>3.6</v>
      </c>
      <c r="AG48" t="s">
        <v>80</v>
      </c>
      <c r="AH48" s="7">
        <v>43852.440474537034</v>
      </c>
      <c r="AI48">
        <f t="shared" si="8"/>
        <v>8.2578970953880564</v>
      </c>
      <c r="AJ48">
        <f t="shared" si="9"/>
        <v>0.4408988698249115</v>
      </c>
      <c r="AK48">
        <f t="shared" si="10"/>
        <v>0.12247190828469763</v>
      </c>
      <c r="AL48" s="9">
        <f t="shared" si="11"/>
        <v>1224.7190828469763</v>
      </c>
    </row>
    <row r="49" spans="9:39">
      <c r="I49" t="s">
        <v>12</v>
      </c>
      <c r="J49">
        <f>AVERAGE(J18:J48)</f>
        <v>1027.7741935483871</v>
      </c>
      <c r="W49">
        <v>58.050799737517487</v>
      </c>
      <c r="X49">
        <f t="shared" si="6"/>
        <v>0.58050799737517489</v>
      </c>
      <c r="Y49">
        <v>111.90558308316183</v>
      </c>
      <c r="Z49">
        <f t="shared" si="7"/>
        <v>0.11190558308316183</v>
      </c>
      <c r="AA49">
        <v>0.55315900000005569</v>
      </c>
      <c r="AB49">
        <v>107.77506595687863</v>
      </c>
      <c r="AC49">
        <v>0.33342000000005001</v>
      </c>
      <c r="AD49">
        <v>31.084884189767173</v>
      </c>
      <c r="AE49">
        <v>29.937518321355174</v>
      </c>
      <c r="AF49">
        <v>3.6</v>
      </c>
      <c r="AG49" t="s">
        <v>81</v>
      </c>
      <c r="AH49" s="7">
        <v>43852.440833333334</v>
      </c>
      <c r="AI49">
        <f t="shared" si="8"/>
        <v>8.2578970953880564</v>
      </c>
      <c r="AJ49">
        <f t="shared" si="9"/>
        <v>0.43515149288330085</v>
      </c>
      <c r="AK49">
        <f t="shared" si="10"/>
        <v>0.12087541468980578</v>
      </c>
      <c r="AL49" s="9">
        <f t="shared" si="11"/>
        <v>1208.7541468980578</v>
      </c>
    </row>
    <row r="50" spans="9:39">
      <c r="I50" t="s">
        <v>13</v>
      </c>
      <c r="J50">
        <f>_xlfn.STDEV.S(J18:J48)</f>
        <v>31.334442899594645</v>
      </c>
      <c r="W50">
        <v>57.918908260435273</v>
      </c>
      <c r="X50">
        <f t="shared" si="6"/>
        <v>0.57918908260435276</v>
      </c>
      <c r="Y50">
        <v>111.37709155112414</v>
      </c>
      <c r="Z50">
        <f t="shared" si="7"/>
        <v>0.11137709155112414</v>
      </c>
      <c r="AA50">
        <v>0.55391900000005578</v>
      </c>
      <c r="AB50">
        <v>107.16941369782602</v>
      </c>
      <c r="AC50">
        <v>0.33342000000005001</v>
      </c>
      <c r="AD50">
        <v>30.938080986423373</v>
      </c>
      <c r="AE50">
        <v>29.769281582729448</v>
      </c>
      <c r="AF50">
        <v>3.6</v>
      </c>
      <c r="AG50" t="s">
        <v>82</v>
      </c>
      <c r="AH50" s="7">
        <v>43852.441203703704</v>
      </c>
      <c r="AI50">
        <f t="shared" si="8"/>
        <v>8.2578970953880564</v>
      </c>
      <c r="AJ50">
        <f t="shared" si="9"/>
        <v>0.4327061175791434</v>
      </c>
      <c r="AK50">
        <f t="shared" si="10"/>
        <v>0.12019614377198427</v>
      </c>
      <c r="AL50" s="9">
        <f t="shared" si="11"/>
        <v>1201.9614377198427</v>
      </c>
    </row>
    <row r="51" spans="9:39">
      <c r="I51" t="s">
        <v>14</v>
      </c>
      <c r="J51">
        <f>COUNT(J18:J48)</f>
        <v>31</v>
      </c>
      <c r="V51" t="s">
        <v>12</v>
      </c>
      <c r="W51">
        <f t="shared" ref="W51:AC51" si="12">AVERAGE(W42:W50)</f>
        <v>59.537476050855716</v>
      </c>
      <c r="X51">
        <f t="shared" si="12"/>
        <v>0.59537476050855731</v>
      </c>
      <c r="Y51" s="9">
        <f t="shared" si="12"/>
        <v>107.45638962269602</v>
      </c>
      <c r="Z51" s="9">
        <f t="shared" si="12"/>
        <v>0.10745638962269602</v>
      </c>
      <c r="AA51" s="9">
        <f t="shared" si="12"/>
        <v>0.55442122222227797</v>
      </c>
      <c r="AB51" s="9">
        <f t="shared" si="12"/>
        <v>103.14248297853902</v>
      </c>
      <c r="AC51" s="9">
        <f t="shared" si="12"/>
        <v>0.34439777777782754</v>
      </c>
      <c r="AI51" s="9">
        <f>AVERAGE(AI42:AI50)</f>
        <v>8.2578970953880582</v>
      </c>
      <c r="AJ51" s="9">
        <f>AVERAGE(AJ42:AJ50)</f>
        <v>0.42881748757786431</v>
      </c>
      <c r="AK51">
        <f>AVERAGE(AK42:AK50)</f>
        <v>0.11911596877162897</v>
      </c>
      <c r="AL51" s="9">
        <f>AVERAGE(AL42:AL50)</f>
        <v>1191.1596877162899</v>
      </c>
      <c r="AM51" t="s">
        <v>12</v>
      </c>
    </row>
    <row r="52" spans="9:39">
      <c r="V52" t="s">
        <v>13</v>
      </c>
      <c r="W52">
        <f>STDEV(W42:W50)</f>
        <v>2.72283815051849</v>
      </c>
      <c r="X52">
        <f t="shared" ref="X52:AC52" si="13">STDEV(X42:X50)</f>
        <v>2.72283815051849E-2</v>
      </c>
      <c r="Y52" s="9">
        <f t="shared" si="13"/>
        <v>5.6669584832180933</v>
      </c>
      <c r="Z52" s="9">
        <f t="shared" si="13"/>
        <v>5.6669584832180963E-3</v>
      </c>
      <c r="AA52" s="9">
        <f t="shared" si="13"/>
        <v>2.2960933004662061E-3</v>
      </c>
      <c r="AB52" s="9">
        <f t="shared" si="13"/>
        <v>6.379807200599819</v>
      </c>
      <c r="AC52" s="9">
        <f t="shared" si="13"/>
        <v>2.291091539953E-2</v>
      </c>
      <c r="AI52" s="9">
        <f>STDEV(AI42:AI50)</f>
        <v>1.8841109504205299E-15</v>
      </c>
      <c r="AJ52" s="9">
        <f t="shared" ref="AJ52:AK52" si="14">STDEV(AJ42:AJ50)</f>
        <v>1.4504952431200362E-2</v>
      </c>
      <c r="AK52">
        <f t="shared" si="14"/>
        <v>4.0291534531112115E-3</v>
      </c>
      <c r="AL52" s="9">
        <f>STDEV(AL42:AL50)</f>
        <v>40.291534531112113</v>
      </c>
      <c r="AM52" t="s">
        <v>13</v>
      </c>
    </row>
    <row r="53" spans="9:39">
      <c r="AL53" s="9">
        <f>COUNT(AL42:AL50)</f>
        <v>9</v>
      </c>
      <c r="AM53" t="s">
        <v>33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Company>none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Kimpton H.J.</dc:creator>
  <cp:lastModifiedBy>Kimpton H.J.</cp:lastModifiedBy>
  <dcterms:created xsi:type="dcterms:W3CDTF">2019-12-06T08:47:14Z</dcterms:created>
  <dcterms:modified xsi:type="dcterms:W3CDTF">2022-03-03T12:49:23Z</dcterms:modified>
</cp:coreProperties>
</file>