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tore.soton.ac.uk\users\hjk1n15\mydocuments\PhD\Reports\Thesis\Data in thesis\"/>
    </mc:Choice>
  </mc:AlternateContent>
  <bookViews>
    <workbookView xWindow="0" yWindow="0" windowWidth="28800" windowHeight="11890" firstSheet="2" activeTab="2"/>
  </bookViews>
  <sheets>
    <sheet name="TEM" sheetId="1" r:id="rId1"/>
    <sheet name="absorption eff from UV-vis-IR" sheetId="3" r:id="rId2"/>
    <sheet name="Solar simulator performance" sheetId="4" r:id="rId3"/>
    <sheet name="UV-vis and UV-vis-IR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" i="3" l="1"/>
  <c r="S4" i="3"/>
  <c r="Q4" i="3"/>
  <c r="T3" i="3"/>
  <c r="S3" i="3"/>
  <c r="Q3" i="3"/>
  <c r="T2" i="3"/>
  <c r="S2" i="3"/>
  <c r="Q2" i="3"/>
  <c r="AD6" i="4"/>
  <c r="AD5" i="4"/>
  <c r="AD4" i="4"/>
  <c r="AC6" i="4"/>
  <c r="AC5" i="4"/>
  <c r="AC4" i="4"/>
  <c r="AA6" i="4"/>
  <c r="AA5" i="4"/>
  <c r="AA4" i="4"/>
  <c r="AA15" i="4"/>
  <c r="AC15" i="4" s="1"/>
  <c r="AD15" i="4" s="1"/>
  <c r="X15" i="4"/>
  <c r="AD14" i="4"/>
  <c r="AC14" i="4"/>
  <c r="AA14" i="4"/>
  <c r="X14" i="4"/>
  <c r="AD13" i="4"/>
  <c r="AC13" i="4"/>
  <c r="AA13" i="4"/>
  <c r="X13" i="4"/>
  <c r="AD12" i="4"/>
  <c r="AC12" i="4"/>
  <c r="AA12" i="4"/>
  <c r="X12" i="4"/>
  <c r="AD11" i="4"/>
  <c r="AC11" i="4"/>
  <c r="AA11" i="4"/>
  <c r="X11" i="4"/>
  <c r="AD10" i="4"/>
  <c r="AC10" i="4"/>
  <c r="AA10" i="4"/>
  <c r="X10" i="4"/>
  <c r="AD9" i="4"/>
  <c r="AC9" i="4"/>
  <c r="AC8" i="4"/>
  <c r="AA9" i="4"/>
  <c r="X9" i="4"/>
  <c r="X8" i="4"/>
  <c r="AA8" i="4" s="1"/>
  <c r="P12" i="4"/>
  <c r="M13" i="4"/>
  <c r="P13" i="4" s="1"/>
  <c r="P11" i="4"/>
  <c r="P10" i="4"/>
  <c r="P9" i="4"/>
  <c r="P8" i="4"/>
  <c r="G14" i="4"/>
  <c r="D13" i="4"/>
  <c r="G13" i="4" s="1"/>
  <c r="G12" i="4"/>
  <c r="D12" i="4"/>
  <c r="G11" i="4"/>
  <c r="G10" i="4"/>
  <c r="G9" i="4"/>
  <c r="G8" i="4"/>
  <c r="AD8" i="4" l="1"/>
  <c r="P14" i="4"/>
  <c r="P15" i="4" s="1"/>
  <c r="G15" i="4"/>
  <c r="N8" i="3" l="1"/>
  <c r="Q8" i="3" s="1"/>
  <c r="S8" i="3" s="1"/>
  <c r="T8" i="3" s="1"/>
  <c r="N9" i="3"/>
  <c r="Q9" i="3" s="1"/>
  <c r="S9" i="3" s="1"/>
  <c r="T9" i="3" s="1"/>
  <c r="L9" i="3"/>
  <c r="K9" i="3"/>
  <c r="J9" i="3"/>
  <c r="I9" i="3"/>
  <c r="L8" i="3"/>
  <c r="K8" i="3"/>
  <c r="J8" i="3"/>
  <c r="I8" i="3"/>
  <c r="N7" i="3"/>
  <c r="Q7" i="3" s="1"/>
  <c r="S7" i="3" s="1"/>
  <c r="T7" i="3" s="1"/>
  <c r="L7" i="3"/>
  <c r="K7" i="3"/>
  <c r="J7" i="3"/>
  <c r="I7" i="3"/>
  <c r="S6" i="3"/>
  <c r="L6" i="3"/>
  <c r="K6" i="3"/>
  <c r="N6" i="3" s="1"/>
  <c r="J6" i="3"/>
  <c r="I6" i="3"/>
  <c r="AQ4" i="3"/>
  <c r="AP4" i="3"/>
  <c r="AQ3" i="3"/>
  <c r="AP3" i="3"/>
  <c r="AQ2" i="3"/>
  <c r="AP2" i="3"/>
  <c r="AK4" i="3"/>
  <c r="AJ4" i="3"/>
  <c r="AK3" i="3"/>
  <c r="AJ3" i="3"/>
  <c r="AK2" i="3"/>
  <c r="AJ2" i="3"/>
  <c r="AE4" i="3"/>
  <c r="AD4" i="3"/>
  <c r="AE3" i="3"/>
  <c r="AD3" i="3"/>
  <c r="AE2" i="3"/>
  <c r="AD2" i="3"/>
  <c r="Y4" i="3"/>
  <c r="X4" i="3"/>
  <c r="Y3" i="3"/>
  <c r="X3" i="3"/>
  <c r="Y2" i="3"/>
  <c r="X2" i="3"/>
  <c r="G11" i="3"/>
  <c r="G10" i="3"/>
  <c r="G9" i="3"/>
  <c r="G8" i="3"/>
  <c r="G7" i="3"/>
  <c r="G6" i="3"/>
  <c r="Q6" i="3" l="1"/>
  <c r="T6" i="3" s="1"/>
  <c r="R5" i="1" l="1"/>
  <c r="R4" i="1"/>
  <c r="R3" i="1"/>
  <c r="U3" i="1"/>
  <c r="U5" i="1"/>
  <c r="U4" i="1"/>
  <c r="O27" i="1"/>
  <c r="R27" i="1" s="1"/>
  <c r="T27" i="1" s="1"/>
  <c r="U27" i="1" s="1"/>
  <c r="O28" i="1"/>
  <c r="R28" i="1" s="1"/>
  <c r="T28" i="1" s="1"/>
  <c r="U28" i="1" s="1"/>
  <c r="O29" i="1"/>
  <c r="R29" i="1" s="1"/>
  <c r="T29" i="1" s="1"/>
  <c r="U29" i="1" s="1"/>
  <c r="O30" i="1"/>
  <c r="R30" i="1" s="1"/>
  <c r="T30" i="1" s="1"/>
  <c r="U30" i="1" s="1"/>
  <c r="O31" i="1"/>
  <c r="R31" i="1" s="1"/>
  <c r="T31" i="1" s="1"/>
  <c r="U31" i="1" s="1"/>
  <c r="O32" i="1"/>
  <c r="R32" i="1" s="1"/>
  <c r="T32" i="1" s="1"/>
  <c r="U32" i="1" s="1"/>
  <c r="O33" i="1"/>
  <c r="R33" i="1" s="1"/>
  <c r="T33" i="1" s="1"/>
  <c r="U33" i="1" s="1"/>
  <c r="O34" i="1"/>
  <c r="R34" i="1" s="1"/>
  <c r="T34" i="1" s="1"/>
  <c r="U34" i="1" s="1"/>
  <c r="O35" i="1"/>
  <c r="R35" i="1" s="1"/>
  <c r="T35" i="1" s="1"/>
  <c r="U35" i="1" s="1"/>
  <c r="O36" i="1"/>
  <c r="R36" i="1" s="1"/>
  <c r="T36" i="1" s="1"/>
  <c r="U36" i="1" s="1"/>
  <c r="O37" i="1"/>
  <c r="R37" i="1" s="1"/>
  <c r="T37" i="1" s="1"/>
  <c r="U37" i="1" s="1"/>
  <c r="O38" i="1"/>
  <c r="R38" i="1" s="1"/>
  <c r="T38" i="1" s="1"/>
  <c r="U38" i="1" s="1"/>
  <c r="O39" i="1"/>
  <c r="R39" i="1" s="1"/>
  <c r="T39" i="1" s="1"/>
  <c r="U39" i="1" s="1"/>
  <c r="O40" i="1"/>
  <c r="R40" i="1" s="1"/>
  <c r="T40" i="1" s="1"/>
  <c r="U40" i="1" s="1"/>
  <c r="O41" i="1"/>
  <c r="R41" i="1" s="1"/>
  <c r="T41" i="1" s="1"/>
  <c r="U41" i="1" s="1"/>
  <c r="O23" i="1"/>
  <c r="R23" i="1" s="1"/>
  <c r="T23" i="1" s="1"/>
  <c r="U23" i="1" s="1"/>
  <c r="O24" i="1"/>
  <c r="R24" i="1" s="1"/>
  <c r="T24" i="1" s="1"/>
  <c r="U24" i="1" s="1"/>
  <c r="O25" i="1"/>
  <c r="R25" i="1" s="1"/>
  <c r="T25" i="1" s="1"/>
  <c r="U25" i="1" s="1"/>
  <c r="O26" i="1"/>
  <c r="R26" i="1" s="1"/>
  <c r="T26" i="1" s="1"/>
  <c r="U26" i="1" s="1"/>
  <c r="O22" i="1"/>
  <c r="R22" i="1" s="1"/>
  <c r="T22" i="1" s="1"/>
  <c r="U22" i="1" s="1"/>
  <c r="U17" i="1"/>
  <c r="U18" i="1"/>
  <c r="U19" i="1"/>
  <c r="U20" i="1"/>
  <c r="U21" i="1"/>
  <c r="U12" i="1"/>
  <c r="U13" i="1"/>
  <c r="U14" i="1"/>
  <c r="U15" i="1"/>
  <c r="U16" i="1"/>
  <c r="O16" i="1"/>
  <c r="R16" i="1" s="1"/>
  <c r="T16" i="1" s="1"/>
  <c r="O17" i="1"/>
  <c r="R17" i="1" s="1"/>
  <c r="T17" i="1" s="1"/>
  <c r="O18" i="1"/>
  <c r="R18" i="1" s="1"/>
  <c r="T18" i="1" s="1"/>
  <c r="O19" i="1"/>
  <c r="R19" i="1" s="1"/>
  <c r="T19" i="1" s="1"/>
  <c r="O20" i="1"/>
  <c r="R20" i="1" s="1"/>
  <c r="T20" i="1" s="1"/>
  <c r="O21" i="1"/>
  <c r="R21" i="1" s="1"/>
  <c r="T21" i="1" s="1"/>
  <c r="O11" i="1"/>
  <c r="R11" i="1" s="1"/>
  <c r="T11" i="1" s="1"/>
  <c r="U11" i="1" s="1"/>
  <c r="O12" i="1"/>
  <c r="R12" i="1" s="1"/>
  <c r="T12" i="1" s="1"/>
  <c r="O13" i="1"/>
  <c r="R13" i="1" s="1"/>
  <c r="T13" i="1" s="1"/>
  <c r="O14" i="1"/>
  <c r="R14" i="1" s="1"/>
  <c r="T14" i="1" s="1"/>
  <c r="O15" i="1"/>
  <c r="R15" i="1" s="1"/>
  <c r="T15" i="1" s="1"/>
  <c r="U10" i="1"/>
  <c r="T10" i="1"/>
  <c r="R10" i="1"/>
  <c r="O10" i="1"/>
  <c r="AC17" i="2" l="1"/>
  <c r="V17" i="2"/>
  <c r="U17" i="2"/>
  <c r="X17" i="2" s="1"/>
  <c r="T17" i="2"/>
  <c r="AC16" i="2"/>
  <c r="V16" i="2"/>
  <c r="U16" i="2"/>
  <c r="T16" i="2"/>
  <c r="AC15" i="2"/>
  <c r="V15" i="2"/>
  <c r="U15" i="2"/>
  <c r="T15" i="2"/>
  <c r="X16" i="2"/>
  <c r="AD10" i="2"/>
  <c r="AD11" i="2"/>
  <c r="AD9" i="2"/>
  <c r="AC11" i="2"/>
  <c r="AC10" i="2"/>
  <c r="AC9" i="2"/>
  <c r="AA10" i="2"/>
  <c r="AA11" i="2"/>
  <c r="AA9" i="2"/>
  <c r="X10" i="2"/>
  <c r="X11" i="2"/>
  <c r="X9" i="2"/>
  <c r="V11" i="2"/>
  <c r="V10" i="2"/>
  <c r="V9" i="2"/>
  <c r="U11" i="2"/>
  <c r="U10" i="2"/>
  <c r="U9" i="2"/>
  <c r="T11" i="2"/>
  <c r="T10" i="2"/>
  <c r="T9" i="2"/>
  <c r="AP3" i="2"/>
  <c r="AO3" i="2"/>
  <c r="AP2" i="2"/>
  <c r="AO2" i="2"/>
  <c r="AP1" i="2"/>
  <c r="AO1" i="2"/>
  <c r="AL3" i="2"/>
  <c r="AK3" i="2"/>
  <c r="AL2" i="2"/>
  <c r="AK2" i="2"/>
  <c r="AL1" i="2"/>
  <c r="AK1" i="2"/>
  <c r="AH3" i="2"/>
  <c r="AH2" i="2"/>
  <c r="AH1" i="2"/>
  <c r="AG3" i="2"/>
  <c r="AG2" i="2"/>
  <c r="AG1" i="2"/>
  <c r="AA17" i="2" l="1"/>
  <c r="AD17" i="2" s="1"/>
  <c r="AA16" i="2"/>
  <c r="AD16" i="2" s="1"/>
  <c r="X15" i="2"/>
  <c r="AA15" i="2" s="1"/>
  <c r="AD15" i="2" s="1"/>
  <c r="M19" i="2"/>
  <c r="P19" i="2" s="1"/>
  <c r="M18" i="2"/>
  <c r="P18" i="2" s="1"/>
  <c r="M15" i="2"/>
  <c r="P15" i="2" s="1"/>
  <c r="M14" i="2"/>
  <c r="P14" i="2" s="1"/>
  <c r="M13" i="2"/>
  <c r="P13" i="2" s="1"/>
  <c r="M10" i="2"/>
  <c r="P10" i="2" s="1"/>
  <c r="M9" i="2"/>
  <c r="P9" i="2" s="1"/>
  <c r="D18" i="2"/>
  <c r="D19" i="2"/>
  <c r="G19" i="2" s="1"/>
  <c r="G18" i="2"/>
  <c r="G20" i="2" s="1"/>
  <c r="D15" i="2"/>
  <c r="G15" i="2" s="1"/>
  <c r="D13" i="2"/>
  <c r="D14" i="2"/>
  <c r="G14" i="2" s="1"/>
  <c r="G13" i="2"/>
  <c r="G16" i="2" s="1"/>
  <c r="D10" i="2"/>
  <c r="G10" i="2" s="1"/>
  <c r="D9" i="2"/>
  <c r="G9" i="2" s="1"/>
  <c r="P20" i="2" l="1"/>
  <c r="P21" i="2" s="1"/>
  <c r="P11" i="2"/>
  <c r="P12" i="2" s="1"/>
  <c r="P16" i="2"/>
  <c r="P17" i="2" s="1"/>
  <c r="G11" i="2"/>
  <c r="G12" i="2" s="1"/>
  <c r="G21" i="2"/>
  <c r="G17" i="2"/>
  <c r="O8" i="1" l="1"/>
  <c r="R8" i="1" s="1"/>
  <c r="T8" i="1" s="1"/>
  <c r="U8" i="1" s="1"/>
  <c r="O9" i="1"/>
  <c r="R9" i="1" s="1"/>
  <c r="T9" i="1" s="1"/>
  <c r="U9" i="1" s="1"/>
  <c r="O7" i="1"/>
  <c r="R7" i="1" s="1"/>
  <c r="T7" i="1" s="1"/>
  <c r="U7" i="1" s="1"/>
  <c r="G10" i="1"/>
  <c r="G9" i="1"/>
  <c r="G8" i="1"/>
  <c r="G7" i="1"/>
</calcChain>
</file>

<file path=xl/sharedStrings.xml><?xml version="1.0" encoding="utf-8"?>
<sst xmlns="http://schemas.openxmlformats.org/spreadsheetml/2006/main" count="823" uniqueCount="238">
  <si>
    <t>TEM measurements</t>
  </si>
  <si>
    <t>Source of uncertainty</t>
  </si>
  <si>
    <t>Comment</t>
  </si>
  <si>
    <t>Probability distribution</t>
  </si>
  <si>
    <t>Divisor</t>
  </si>
  <si>
    <t>Standard uncertainty</t>
  </si>
  <si>
    <t>Unit</t>
  </si>
  <si>
    <t>calibration of line length</t>
  </si>
  <si>
    <r>
      <t xml:space="preserve">resolution of 100 nm line used to calibrate line length 200 pxs - assumed to be </t>
    </r>
    <r>
      <rPr>
        <sz val="11"/>
        <color theme="1"/>
        <rFont val="Calibri"/>
        <family val="2"/>
      </rPr>
      <t>± 1 nm</t>
    </r>
  </si>
  <si>
    <t>rectangular</t>
  </si>
  <si>
    <t>%</t>
  </si>
  <si>
    <t>Resolution of TEM</t>
  </si>
  <si>
    <t>assumed to be ± 1 nm - for a particle of 50 nm</t>
  </si>
  <si>
    <t>normal</t>
  </si>
  <si>
    <t>assumed normal</t>
  </si>
  <si>
    <t>Type B uncertainties only</t>
  </si>
  <si>
    <r>
      <t xml:space="preserve">The half width between the upper and lower limits is denoted by D. The standard deviation is denoted by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and N is the number of measurements </t>
    </r>
  </si>
  <si>
    <r>
      <t>D/</t>
    </r>
    <r>
      <rPr>
        <sz val="11"/>
        <color theme="1"/>
        <rFont val="Calibri"/>
        <family val="2"/>
      </rPr>
      <t>√3</t>
    </r>
  </si>
  <si>
    <t>D/√3</t>
  </si>
  <si>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>/</t>
    </r>
    <r>
      <rPr>
        <sz val="11"/>
        <color theme="1"/>
        <rFont val="Calibri"/>
        <family val="2"/>
      </rPr>
      <t>√N</t>
    </r>
  </si>
  <si>
    <r>
      <t xml:space="preserve">All </t>
    </r>
    <r>
      <rPr>
        <sz val="11"/>
        <color theme="1"/>
        <rFont val="Calibri"/>
        <family val="2"/>
      </rPr>
      <t>σ values expessed as %</t>
    </r>
  </si>
  <si>
    <r>
      <t>Value /</t>
    </r>
    <r>
      <rPr>
        <b/>
        <sz val="11"/>
        <color theme="1"/>
        <rFont val="Calibri"/>
        <family val="2"/>
      </rPr>
      <t>±</t>
    </r>
    <r>
      <rPr>
        <b/>
        <sz val="11"/>
        <color theme="1"/>
        <rFont val="Calibri"/>
        <family val="2"/>
        <scheme val="minor"/>
      </rPr>
      <t>%</t>
    </r>
  </si>
  <si>
    <t>Symbol</t>
  </si>
  <si>
    <t>Combined type B uncertainty</t>
  </si>
  <si>
    <r>
      <t>u</t>
    </r>
    <r>
      <rPr>
        <i/>
        <vertAlign val="subscript"/>
        <sz val="11"/>
        <color theme="1"/>
        <rFont val="Calibri"/>
        <family val="2"/>
        <scheme val="minor"/>
      </rPr>
      <t>R1</t>
    </r>
    <r>
      <rPr>
        <i/>
        <sz val="11"/>
        <color theme="1"/>
        <rFont val="Calibri"/>
        <family val="2"/>
        <scheme val="minor"/>
      </rPr>
      <t>(Type B)</t>
    </r>
  </si>
  <si>
    <r>
      <t>u</t>
    </r>
    <r>
      <rPr>
        <i/>
        <vertAlign val="subscript"/>
        <sz val="11"/>
        <color theme="1"/>
        <rFont val="Calibri"/>
        <family val="2"/>
        <scheme val="minor"/>
      </rPr>
      <t>R2</t>
    </r>
    <r>
      <rPr>
        <i/>
        <sz val="11"/>
        <color theme="1"/>
        <rFont val="Calibri"/>
        <family val="2"/>
        <scheme val="minor"/>
      </rPr>
      <t>(Type B)</t>
    </r>
  </si>
  <si>
    <r>
      <t>u</t>
    </r>
    <r>
      <rPr>
        <i/>
        <vertAlign val="subscript"/>
        <sz val="11"/>
        <color theme="1"/>
        <rFont val="Calibri"/>
        <family val="2"/>
        <scheme val="minor"/>
      </rPr>
      <t>R(com)</t>
    </r>
    <r>
      <rPr>
        <i/>
        <sz val="11"/>
        <color theme="1"/>
        <rFont val="Calibri"/>
        <family val="2"/>
        <scheme val="minor"/>
      </rPr>
      <t>(Type B)</t>
    </r>
  </si>
  <si>
    <t>Expanded type B</t>
  </si>
  <si>
    <t>using a k value of 2</t>
  </si>
  <si>
    <t>k is the coverage factor</t>
  </si>
  <si>
    <t>When k =2 confidence is approximately 95%</t>
  </si>
  <si>
    <t>U(Type B)</t>
  </si>
  <si>
    <t>Type A</t>
  </si>
  <si>
    <t>Sample</t>
  </si>
  <si>
    <t>Mean (nm)</t>
  </si>
  <si>
    <t>σ /nm</t>
  </si>
  <si>
    <t xml:space="preserve">N </t>
  </si>
  <si>
    <r>
      <t xml:space="preserve">relative uncertainty / </t>
    </r>
    <r>
      <rPr>
        <i/>
        <sz val="11"/>
        <color theme="1"/>
        <rFont val="Calibri"/>
        <family val="2"/>
        <scheme val="minor"/>
      </rPr>
      <t>u</t>
    </r>
    <r>
      <rPr>
        <i/>
        <vertAlign val="subscript"/>
        <sz val="11"/>
        <color theme="1"/>
        <rFont val="Calibri"/>
        <family val="2"/>
        <scheme val="minor"/>
      </rPr>
      <t>R</t>
    </r>
    <r>
      <rPr>
        <i/>
        <sz val="11"/>
        <color theme="1"/>
        <rFont val="Calibri"/>
        <family val="2"/>
        <scheme val="minor"/>
      </rPr>
      <t xml:space="preserve"> (Type A)</t>
    </r>
  </si>
  <si>
    <r>
      <rPr>
        <i/>
        <sz val="11"/>
        <color theme="1"/>
        <rFont val="Calibri"/>
        <family val="2"/>
        <scheme val="minor"/>
      </rPr>
      <t>u</t>
    </r>
    <r>
      <rPr>
        <i/>
        <vertAlign val="subscript"/>
        <sz val="11"/>
        <color theme="1"/>
        <rFont val="Calibri"/>
        <family val="2"/>
        <scheme val="minor"/>
      </rPr>
      <t>R</t>
    </r>
    <r>
      <rPr>
        <i/>
        <sz val="11"/>
        <color theme="1"/>
        <rFont val="Calibri"/>
        <family val="2"/>
        <scheme val="minor"/>
      </rPr>
      <t xml:space="preserve"> (Type A+B)</t>
    </r>
  </si>
  <si>
    <r>
      <t>Expanded uncertainty /</t>
    </r>
    <r>
      <rPr>
        <i/>
        <sz val="11"/>
        <color theme="1"/>
        <rFont val="Calibri"/>
        <family val="2"/>
        <scheme val="minor"/>
      </rPr>
      <t xml:space="preserve"> U</t>
    </r>
    <r>
      <rPr>
        <sz val="11"/>
        <color theme="1"/>
        <rFont val="Calibri"/>
        <family val="2"/>
        <scheme val="minor"/>
      </rPr>
      <t xml:space="preserve"> in %</t>
    </r>
  </si>
  <si>
    <t>UV-vis and UV-vis-IR</t>
  </si>
  <si>
    <t>UV-vis Expanded type B</t>
  </si>
  <si>
    <t>Step rate 1 nm for UV-vis. Maximum uncertainty at 200 nm</t>
  </si>
  <si>
    <r>
      <t xml:space="preserve">UV-vis Resolution of </t>
    </r>
    <r>
      <rPr>
        <sz val="11"/>
        <color theme="1"/>
        <rFont val="Calibri"/>
        <family val="2"/>
      </rPr>
      <t>λ</t>
    </r>
  </si>
  <si>
    <r>
      <t xml:space="preserve">Using mid </t>
    </r>
    <r>
      <rPr>
        <sz val="11"/>
        <color theme="1"/>
        <rFont val="Calibri"/>
        <family val="2"/>
      </rPr>
      <t>λ sample 1 - UV-vis λ</t>
    </r>
    <r>
      <rPr>
        <vertAlign val="subscript"/>
        <sz val="11"/>
        <color theme="1"/>
        <rFont val="Calibri"/>
        <family val="2"/>
      </rPr>
      <t>max</t>
    </r>
    <r>
      <rPr>
        <sz val="11"/>
        <color theme="1"/>
        <rFont val="Calibri"/>
        <family val="2"/>
      </rPr>
      <t xml:space="preserve"> = 666 nm, UV-vis-IR-1 λ</t>
    </r>
    <r>
      <rPr>
        <vertAlign val="subscript"/>
        <sz val="11"/>
        <color theme="1"/>
        <rFont val="Calibri"/>
        <family val="2"/>
      </rPr>
      <t>max</t>
    </r>
    <r>
      <rPr>
        <sz val="11"/>
        <color theme="1"/>
        <rFont val="Calibri"/>
        <family val="2"/>
      </rPr>
      <t xml:space="preserve"> = 664 nm 2 samples</t>
    </r>
  </si>
  <si>
    <t>σ/√N</t>
  </si>
  <si>
    <t>Spectroscope used UV-vis vs UV-vis-IR-1</t>
  </si>
  <si>
    <r>
      <t xml:space="preserve">Uncertainty in </t>
    </r>
    <r>
      <rPr>
        <b/>
        <sz val="11"/>
        <color theme="1"/>
        <rFont val="Calibri"/>
        <family val="2"/>
      </rPr>
      <t>λ</t>
    </r>
    <r>
      <rPr>
        <b/>
        <vertAlign val="subscript"/>
        <sz val="11"/>
        <color theme="1"/>
        <rFont val="Calibri"/>
        <family val="2"/>
      </rPr>
      <t>max</t>
    </r>
  </si>
  <si>
    <t>UV-vis Combined type B uncertainty</t>
  </si>
  <si>
    <r>
      <t xml:space="preserve">UV-vis-IR-1 Resolution of </t>
    </r>
    <r>
      <rPr>
        <sz val="11"/>
        <color theme="1"/>
        <rFont val="Calibri"/>
        <family val="2"/>
      </rPr>
      <t>λ</t>
    </r>
  </si>
  <si>
    <t>UV-vis-IR-1 Combined type B uncertainty</t>
  </si>
  <si>
    <t>UV-vis-IR-1 Expanded type B</t>
  </si>
  <si>
    <t>Spectroscope used UV-vis-IR-1 vs UV-vis-IR-2</t>
  </si>
  <si>
    <r>
      <t>u</t>
    </r>
    <r>
      <rPr>
        <i/>
        <vertAlign val="subscript"/>
        <sz val="11"/>
        <color theme="1"/>
        <rFont val="Calibri"/>
        <family val="2"/>
        <scheme val="minor"/>
      </rPr>
      <t>R3</t>
    </r>
    <r>
      <rPr>
        <i/>
        <sz val="11"/>
        <color theme="1"/>
        <rFont val="Calibri"/>
        <family val="2"/>
        <scheme val="minor"/>
      </rPr>
      <t>(Type B)</t>
    </r>
  </si>
  <si>
    <r>
      <t xml:space="preserve">Using mid </t>
    </r>
    <r>
      <rPr>
        <sz val="11"/>
        <color theme="1"/>
        <rFont val="Calibri"/>
        <family val="2"/>
      </rPr>
      <t>λ sample 2 - UV-vis-IR-1 λ</t>
    </r>
    <r>
      <rPr>
        <vertAlign val="subscript"/>
        <sz val="11"/>
        <color theme="1"/>
        <rFont val="Calibri"/>
        <family val="2"/>
      </rPr>
      <t>max</t>
    </r>
    <r>
      <rPr>
        <sz val="11"/>
        <color theme="1"/>
        <rFont val="Calibri"/>
        <family val="2"/>
      </rPr>
      <t xml:space="preserve"> = 592 nm, UV-vis-IR-2 λ</t>
    </r>
    <r>
      <rPr>
        <vertAlign val="subscript"/>
        <sz val="11"/>
        <color theme="1"/>
        <rFont val="Calibri"/>
        <family val="2"/>
      </rPr>
      <t>max</t>
    </r>
    <r>
      <rPr>
        <sz val="11"/>
        <color theme="1"/>
        <rFont val="Calibri"/>
        <family val="2"/>
      </rPr>
      <t xml:space="preserve"> = 591 nm 2 samples</t>
    </r>
  </si>
  <si>
    <r>
      <t xml:space="preserve">UV-vis-IR-2 Resolution of </t>
    </r>
    <r>
      <rPr>
        <sz val="11"/>
        <color theme="1"/>
        <rFont val="Calibri"/>
        <family val="2"/>
      </rPr>
      <t>λ</t>
    </r>
  </si>
  <si>
    <t>UV-vis-IR-2 Combined type B uncertainty</t>
  </si>
  <si>
    <t>UV-vis-IR-2 Expanded type B</t>
  </si>
  <si>
    <t>Step rate 1 nm for UV-vis-IR-1. Maximum uncertainty at 300 nm</t>
  </si>
  <si>
    <r>
      <t xml:space="preserve">Uncertainty in </t>
    </r>
    <r>
      <rPr>
        <b/>
        <i/>
        <sz val="11"/>
        <color theme="1"/>
        <rFont val="Calibri"/>
        <family val="2"/>
        <scheme val="minor"/>
      </rPr>
      <t>Ab</t>
    </r>
    <r>
      <rPr>
        <b/>
        <i/>
        <vertAlign val="subscript"/>
        <sz val="11"/>
        <color theme="1"/>
        <rFont val="Calibri"/>
        <family val="2"/>
        <scheme val="minor"/>
      </rPr>
      <t>max</t>
    </r>
  </si>
  <si>
    <r>
      <t xml:space="preserve">Assumed similar to </t>
    </r>
    <r>
      <rPr>
        <sz val="11"/>
        <color theme="1"/>
        <rFont val="Calibri"/>
        <family val="2"/>
      </rPr>
      <t>λ resolution</t>
    </r>
  </si>
  <si>
    <r>
      <t xml:space="preserve">Using mid </t>
    </r>
    <r>
      <rPr>
        <sz val="11"/>
        <color theme="1"/>
        <rFont val="Calibri"/>
        <family val="2"/>
      </rPr>
      <t>λ sample 1 - UV-vis Ab</t>
    </r>
    <r>
      <rPr>
        <vertAlign val="subscript"/>
        <sz val="11"/>
        <color theme="1"/>
        <rFont val="Calibri"/>
        <family val="2"/>
      </rPr>
      <t>max</t>
    </r>
    <r>
      <rPr>
        <sz val="11"/>
        <color theme="1"/>
        <rFont val="Calibri"/>
        <family val="2"/>
      </rPr>
      <t xml:space="preserve"> = 1.32 au, UV-vis-IR-1 Ab</t>
    </r>
    <r>
      <rPr>
        <vertAlign val="subscript"/>
        <sz val="11"/>
        <color theme="1"/>
        <rFont val="Calibri"/>
        <family val="2"/>
      </rPr>
      <t>max</t>
    </r>
    <r>
      <rPr>
        <sz val="11"/>
        <color theme="1"/>
        <rFont val="Calibri"/>
        <family val="2"/>
      </rPr>
      <t xml:space="preserve"> = 1.315 au 2 samples</t>
    </r>
  </si>
  <si>
    <r>
      <t xml:space="preserve">UV-vis Resolution of </t>
    </r>
    <r>
      <rPr>
        <i/>
        <sz val="11"/>
        <color theme="1"/>
        <rFont val="Calibri"/>
        <family val="2"/>
        <scheme val="minor"/>
      </rPr>
      <t>Ab</t>
    </r>
  </si>
  <si>
    <r>
      <t xml:space="preserve">UV-vis-IR-1 Resolution of </t>
    </r>
    <r>
      <rPr>
        <i/>
        <sz val="11"/>
        <color theme="1"/>
        <rFont val="Calibri"/>
        <family val="2"/>
        <scheme val="minor"/>
      </rPr>
      <t>Ab</t>
    </r>
  </si>
  <si>
    <r>
      <t xml:space="preserve">Using mid </t>
    </r>
    <r>
      <rPr>
        <sz val="11"/>
        <color theme="1"/>
        <rFont val="Calibri"/>
        <family val="2"/>
      </rPr>
      <t>λ sample 2 - UV-vis Ab</t>
    </r>
    <r>
      <rPr>
        <vertAlign val="subscript"/>
        <sz val="11"/>
        <color theme="1"/>
        <rFont val="Calibri"/>
        <family val="2"/>
      </rPr>
      <t>max</t>
    </r>
    <r>
      <rPr>
        <sz val="11"/>
        <color theme="1"/>
        <rFont val="Calibri"/>
        <family val="2"/>
      </rPr>
      <t xml:space="preserve"> = 1.493 au, UV-vis-IR-1 Ab</t>
    </r>
    <r>
      <rPr>
        <vertAlign val="subscript"/>
        <sz val="11"/>
        <color theme="1"/>
        <rFont val="Calibri"/>
        <family val="2"/>
      </rPr>
      <t>max</t>
    </r>
    <r>
      <rPr>
        <sz val="11"/>
        <color theme="1"/>
        <rFont val="Calibri"/>
        <family val="2"/>
      </rPr>
      <t xml:space="preserve"> = 1.454 au 2 samples</t>
    </r>
  </si>
  <si>
    <r>
      <t xml:space="preserve">UV-vis-IR-2 Resolution of </t>
    </r>
    <r>
      <rPr>
        <i/>
        <sz val="11"/>
        <color theme="1"/>
        <rFont val="Calibri"/>
        <family val="2"/>
        <scheme val="minor"/>
      </rPr>
      <t>Ab</t>
    </r>
  </si>
  <si>
    <t>Step rate 1 nm for UV-vis-IR-1. Assume similar sensitivity for UV-vis-IR-2. Maximum uncertainty at 330 nm</t>
  </si>
  <si>
    <t>Type A uncertainties</t>
  </si>
  <si>
    <r>
      <t>long</t>
    </r>
    <r>
      <rPr>
        <i/>
        <sz val="11"/>
        <color theme="1"/>
        <rFont val="Calibri"/>
        <family val="2"/>
        <scheme val="minor"/>
      </rPr>
      <t xml:space="preserve"> λ</t>
    </r>
  </si>
  <si>
    <r>
      <t>mid</t>
    </r>
    <r>
      <rPr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</rPr>
      <t>λ</t>
    </r>
  </si>
  <si>
    <r>
      <t>short</t>
    </r>
    <r>
      <rPr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</rPr>
      <t>λ</t>
    </r>
  </si>
  <si>
    <t>Time = 0 samples only</t>
  </si>
  <si>
    <r>
      <t>long</t>
    </r>
    <r>
      <rPr>
        <i/>
        <sz val="11"/>
        <color theme="1"/>
        <rFont val="Calibri"/>
        <family val="2"/>
        <scheme val="minor"/>
      </rPr>
      <t xml:space="preserve"> λ-1</t>
    </r>
  </si>
  <si>
    <r>
      <t>long</t>
    </r>
    <r>
      <rPr>
        <i/>
        <sz val="11"/>
        <color theme="1"/>
        <rFont val="Calibri"/>
        <family val="2"/>
        <scheme val="minor"/>
      </rPr>
      <t xml:space="preserve"> λ-2</t>
    </r>
    <r>
      <rPr>
        <sz val="11"/>
        <color theme="1"/>
        <rFont val="Calibri"/>
        <family val="2"/>
        <scheme val="minor"/>
      </rPr>
      <t/>
    </r>
  </si>
  <si>
    <r>
      <t>long</t>
    </r>
    <r>
      <rPr>
        <i/>
        <sz val="11"/>
        <color theme="1"/>
        <rFont val="Calibri"/>
        <family val="2"/>
        <scheme val="minor"/>
      </rPr>
      <t xml:space="preserve"> λ-3</t>
    </r>
    <r>
      <rPr>
        <sz val="11"/>
        <color theme="1"/>
        <rFont val="Calibri"/>
        <family val="2"/>
        <scheme val="minor"/>
      </rPr>
      <t/>
    </r>
  </si>
  <si>
    <r>
      <t>long</t>
    </r>
    <r>
      <rPr>
        <i/>
        <sz val="11"/>
        <color theme="1"/>
        <rFont val="Calibri"/>
        <family val="2"/>
        <scheme val="minor"/>
      </rPr>
      <t xml:space="preserve"> λ-4</t>
    </r>
    <r>
      <rPr>
        <sz val="11"/>
        <color theme="1"/>
        <rFont val="Calibri"/>
        <family val="2"/>
        <scheme val="minor"/>
      </rPr>
      <t/>
    </r>
  </si>
  <si>
    <r>
      <t>long</t>
    </r>
    <r>
      <rPr>
        <i/>
        <sz val="11"/>
        <color theme="1"/>
        <rFont val="Calibri"/>
        <family val="2"/>
        <scheme val="minor"/>
      </rPr>
      <t xml:space="preserve"> λ-5</t>
    </r>
    <r>
      <rPr>
        <sz val="11"/>
        <color theme="1"/>
        <rFont val="Calibri"/>
        <family val="2"/>
        <scheme val="minor"/>
      </rPr>
      <t/>
    </r>
  </si>
  <si>
    <r>
      <t>long</t>
    </r>
    <r>
      <rPr>
        <i/>
        <sz val="11"/>
        <color theme="1"/>
        <rFont val="Calibri"/>
        <family val="2"/>
        <scheme val="minor"/>
      </rPr>
      <t xml:space="preserve"> λ-6</t>
    </r>
    <r>
      <rPr>
        <sz val="11"/>
        <color theme="1"/>
        <rFont val="Calibri"/>
        <family val="2"/>
        <scheme val="minor"/>
      </rPr>
      <t/>
    </r>
  </si>
  <si>
    <r>
      <t>long</t>
    </r>
    <r>
      <rPr>
        <i/>
        <sz val="11"/>
        <color theme="1"/>
        <rFont val="Calibri"/>
        <family val="2"/>
        <scheme val="minor"/>
      </rPr>
      <t xml:space="preserve"> λ-7</t>
    </r>
    <r>
      <rPr>
        <sz val="11"/>
        <color theme="1"/>
        <rFont val="Calibri"/>
        <family val="2"/>
        <scheme val="minor"/>
      </rPr>
      <t/>
    </r>
  </si>
  <si>
    <r>
      <t>long</t>
    </r>
    <r>
      <rPr>
        <i/>
        <sz val="11"/>
        <color theme="1"/>
        <rFont val="Calibri"/>
        <family val="2"/>
        <scheme val="minor"/>
      </rPr>
      <t xml:space="preserve"> λ-8</t>
    </r>
    <r>
      <rPr>
        <sz val="11"/>
        <color theme="1"/>
        <rFont val="Calibri"/>
        <family val="2"/>
        <scheme val="minor"/>
      </rPr>
      <t/>
    </r>
  </si>
  <si>
    <r>
      <t>long</t>
    </r>
    <r>
      <rPr>
        <i/>
        <sz val="11"/>
        <color theme="1"/>
        <rFont val="Calibri"/>
        <family val="2"/>
        <scheme val="minor"/>
      </rPr>
      <t xml:space="preserve"> λ-9</t>
    </r>
    <r>
      <rPr>
        <sz val="11"/>
        <color theme="1"/>
        <rFont val="Calibri"/>
        <family val="2"/>
        <scheme val="minor"/>
      </rPr>
      <t/>
    </r>
  </si>
  <si>
    <r>
      <t>long</t>
    </r>
    <r>
      <rPr>
        <i/>
        <sz val="11"/>
        <color theme="1"/>
        <rFont val="Calibri"/>
        <family val="2"/>
        <scheme val="minor"/>
      </rPr>
      <t xml:space="preserve"> λ-10</t>
    </r>
    <r>
      <rPr>
        <sz val="11"/>
        <color theme="1"/>
        <rFont val="Calibri"/>
        <family val="2"/>
        <scheme val="minor"/>
      </rPr>
      <t/>
    </r>
  </si>
  <si>
    <r>
      <t>long</t>
    </r>
    <r>
      <rPr>
        <i/>
        <sz val="11"/>
        <color theme="1"/>
        <rFont val="Calibri"/>
        <family val="2"/>
        <scheme val="minor"/>
      </rPr>
      <t xml:space="preserve"> λ-11</t>
    </r>
    <r>
      <rPr>
        <sz val="11"/>
        <color theme="1"/>
        <rFont val="Calibri"/>
        <family val="2"/>
        <scheme val="minor"/>
      </rPr>
      <t/>
    </r>
  </si>
  <si>
    <r>
      <t>long</t>
    </r>
    <r>
      <rPr>
        <i/>
        <sz val="11"/>
        <color theme="1"/>
        <rFont val="Calibri"/>
        <family val="2"/>
        <scheme val="minor"/>
      </rPr>
      <t xml:space="preserve"> λ-12</t>
    </r>
    <r>
      <rPr>
        <sz val="11"/>
        <color theme="1"/>
        <rFont val="Calibri"/>
        <family val="2"/>
        <scheme val="minor"/>
      </rPr>
      <t/>
    </r>
  </si>
  <si>
    <r>
      <t>long</t>
    </r>
    <r>
      <rPr>
        <i/>
        <sz val="11"/>
        <color theme="1"/>
        <rFont val="Calibri"/>
        <family val="2"/>
        <scheme val="minor"/>
      </rPr>
      <t xml:space="preserve"> λ-13</t>
    </r>
    <r>
      <rPr>
        <sz val="11"/>
        <color theme="1"/>
        <rFont val="Calibri"/>
        <family val="2"/>
        <scheme val="minor"/>
      </rPr>
      <t/>
    </r>
  </si>
  <si>
    <r>
      <t>long</t>
    </r>
    <r>
      <rPr>
        <i/>
        <sz val="11"/>
        <color theme="1"/>
        <rFont val="Calibri"/>
        <family val="2"/>
        <scheme val="minor"/>
      </rPr>
      <t xml:space="preserve"> λ-14</t>
    </r>
    <r>
      <rPr>
        <sz val="11"/>
        <color theme="1"/>
        <rFont val="Calibri"/>
        <family val="2"/>
        <scheme val="minor"/>
      </rPr>
      <t/>
    </r>
  </si>
  <si>
    <r>
      <t>long</t>
    </r>
    <r>
      <rPr>
        <i/>
        <sz val="11"/>
        <color theme="1"/>
        <rFont val="Calibri"/>
        <family val="2"/>
        <scheme val="minor"/>
      </rPr>
      <t xml:space="preserve"> λ-15</t>
    </r>
    <r>
      <rPr>
        <sz val="11"/>
        <color theme="1"/>
        <rFont val="Calibri"/>
        <family val="2"/>
        <scheme val="minor"/>
      </rPr>
      <t/>
    </r>
  </si>
  <si>
    <r>
      <t>long</t>
    </r>
    <r>
      <rPr>
        <i/>
        <sz val="11"/>
        <color theme="1"/>
        <rFont val="Calibri"/>
        <family val="2"/>
        <scheme val="minor"/>
      </rPr>
      <t xml:space="preserve"> λ-16</t>
    </r>
    <r>
      <rPr>
        <sz val="11"/>
        <color theme="1"/>
        <rFont val="Calibri"/>
        <family val="2"/>
        <scheme val="minor"/>
      </rPr>
      <t/>
    </r>
  </si>
  <si>
    <r>
      <t>long</t>
    </r>
    <r>
      <rPr>
        <i/>
        <sz val="11"/>
        <color theme="1"/>
        <rFont val="Calibri"/>
        <family val="2"/>
        <scheme val="minor"/>
      </rPr>
      <t xml:space="preserve"> λ-17</t>
    </r>
    <r>
      <rPr>
        <sz val="11"/>
        <color theme="1"/>
        <rFont val="Calibri"/>
        <family val="2"/>
        <scheme val="minor"/>
      </rPr>
      <t/>
    </r>
  </si>
  <si>
    <r>
      <t>long</t>
    </r>
    <r>
      <rPr>
        <i/>
        <sz val="11"/>
        <color theme="1"/>
        <rFont val="Calibri"/>
        <family val="2"/>
        <scheme val="minor"/>
      </rPr>
      <t xml:space="preserve"> λ-18</t>
    </r>
    <r>
      <rPr>
        <sz val="11"/>
        <color theme="1"/>
        <rFont val="Calibri"/>
        <family val="2"/>
        <scheme val="minor"/>
      </rPr>
      <t/>
    </r>
  </si>
  <si>
    <r>
      <t>long</t>
    </r>
    <r>
      <rPr>
        <i/>
        <sz val="11"/>
        <color theme="1"/>
        <rFont val="Calibri"/>
        <family val="2"/>
        <scheme val="minor"/>
      </rPr>
      <t xml:space="preserve"> λ-19</t>
    </r>
    <r>
      <rPr>
        <sz val="11"/>
        <color theme="1"/>
        <rFont val="Calibri"/>
        <family val="2"/>
        <scheme val="minor"/>
      </rPr>
      <t/>
    </r>
  </si>
  <si>
    <r>
      <t>long</t>
    </r>
    <r>
      <rPr>
        <i/>
        <sz val="11"/>
        <color theme="1"/>
        <rFont val="Calibri"/>
        <family val="2"/>
        <scheme val="minor"/>
      </rPr>
      <t xml:space="preserve"> λ-20</t>
    </r>
    <r>
      <rPr>
        <sz val="11"/>
        <color theme="1"/>
        <rFont val="Calibri"/>
        <family val="2"/>
        <scheme val="minor"/>
      </rPr>
      <t/>
    </r>
  </si>
  <si>
    <t>mean</t>
  </si>
  <si>
    <t>σ</t>
  </si>
  <si>
    <t>N</t>
  </si>
  <si>
    <r>
      <t>long</t>
    </r>
    <r>
      <rPr>
        <b/>
        <i/>
        <sz val="11"/>
        <color theme="1"/>
        <rFont val="Calibri"/>
        <family val="2"/>
        <scheme val="minor"/>
      </rPr>
      <t xml:space="preserve"> λ</t>
    </r>
  </si>
  <si>
    <r>
      <t>λ</t>
    </r>
    <r>
      <rPr>
        <b/>
        <i/>
        <vertAlign val="subscript"/>
        <sz val="11"/>
        <color theme="1"/>
        <rFont val="Calibri"/>
        <family val="2"/>
      </rPr>
      <t>max</t>
    </r>
  </si>
  <si>
    <r>
      <t>Ab</t>
    </r>
    <r>
      <rPr>
        <b/>
        <i/>
        <vertAlign val="subscript"/>
        <sz val="11"/>
        <color theme="1"/>
        <rFont val="Calibri"/>
        <family val="2"/>
        <scheme val="minor"/>
      </rPr>
      <t>max</t>
    </r>
  </si>
  <si>
    <r>
      <t>long and mid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</rPr>
      <t>λ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measured on UV-vis-IR-1</t>
    </r>
  </si>
  <si>
    <r>
      <t xml:space="preserve">short </t>
    </r>
    <r>
      <rPr>
        <b/>
        <i/>
        <sz val="11"/>
        <color theme="1"/>
        <rFont val="Calibri"/>
        <family val="2"/>
      </rPr>
      <t>λ</t>
    </r>
    <r>
      <rPr>
        <b/>
        <sz val="11"/>
        <color theme="1"/>
        <rFont val="Calibri"/>
        <family val="2"/>
      </rPr>
      <t xml:space="preserve"> on UV-vis</t>
    </r>
  </si>
  <si>
    <t>mid λ</t>
  </si>
  <si>
    <t>mid λ-1</t>
  </si>
  <si>
    <t>mid λ-2</t>
  </si>
  <si>
    <t>mid λ-3</t>
  </si>
  <si>
    <t>mid λ-4</t>
  </si>
  <si>
    <t>mid λ-5</t>
  </si>
  <si>
    <t>mid λ-6</t>
  </si>
  <si>
    <t>mid λ-7</t>
  </si>
  <si>
    <t>mid λ-8</t>
  </si>
  <si>
    <t>short λ-1</t>
  </si>
  <si>
    <t>short λ</t>
  </si>
  <si>
    <t>short λ-2</t>
  </si>
  <si>
    <t>short λ-3</t>
  </si>
  <si>
    <t>short λ-4</t>
  </si>
  <si>
    <t>short λ-5</t>
  </si>
  <si>
    <t>short λ-6</t>
  </si>
  <si>
    <t>short λ-7</t>
  </si>
  <si>
    <t>short λ-8</t>
  </si>
  <si>
    <t>short λ-9</t>
  </si>
  <si>
    <t>short λ-10</t>
  </si>
  <si>
    <t>short λ-11</t>
  </si>
  <si>
    <t>short λ-12</t>
  </si>
  <si>
    <r>
      <t xml:space="preserve">Value 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 xml:space="preserve"> /</t>
    </r>
    <r>
      <rPr>
        <sz val="11"/>
        <color theme="1"/>
        <rFont val="Calibri"/>
        <family val="2"/>
      </rPr>
      <t xml:space="preserve">± </t>
    </r>
    <r>
      <rPr>
        <sz val="11"/>
        <color theme="1"/>
        <rFont val="Calibri"/>
        <family val="2"/>
        <scheme val="minor"/>
      </rPr>
      <t>%</t>
    </r>
  </si>
  <si>
    <r>
      <t xml:space="preserve">Uncertainty in </t>
    </r>
    <r>
      <rPr>
        <b/>
        <i/>
        <sz val="11"/>
        <color theme="1"/>
        <rFont val="Calibri"/>
        <family val="2"/>
        <scheme val="minor"/>
      </rPr>
      <t>Ab</t>
    </r>
    <r>
      <rPr>
        <b/>
        <i/>
        <vertAlign val="subscript"/>
        <sz val="11"/>
        <color theme="1"/>
        <rFont val="Calibri"/>
        <family val="2"/>
      </rPr>
      <t>max</t>
    </r>
  </si>
  <si>
    <r>
      <t xml:space="preserve">Long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</rPr>
      <t xml:space="preserve"> before testing triangles</t>
    </r>
  </si>
  <si>
    <r>
      <t xml:space="preserve">Long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</rPr>
      <t xml:space="preserve"> before testing rounded triangles</t>
    </r>
  </si>
  <si>
    <r>
      <t xml:space="preserve">Long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</rPr>
      <t xml:space="preserve"> before testing other</t>
    </r>
  </si>
  <si>
    <r>
      <t xml:space="preserve">Long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</rPr>
      <t xml:space="preserve"> before testing &lt; 10 nm</t>
    </r>
  </si>
  <si>
    <r>
      <t xml:space="preserve">Mid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</rPr>
      <t xml:space="preserve"> before testing triangles</t>
    </r>
  </si>
  <si>
    <r>
      <t xml:space="preserve">Mid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</rPr>
      <t xml:space="preserve"> before testing rounded triangles</t>
    </r>
  </si>
  <si>
    <r>
      <t xml:space="preserve">Mid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</rPr>
      <t xml:space="preserve"> before testing other</t>
    </r>
  </si>
  <si>
    <r>
      <t xml:space="preserve">Mid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</rPr>
      <t xml:space="preserve"> before testing &lt; 10 nm</t>
    </r>
  </si>
  <si>
    <r>
      <t xml:space="preserve">Long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</rPr>
      <t xml:space="preserve"> before testing thickness</t>
    </r>
  </si>
  <si>
    <r>
      <t xml:space="preserve">Mid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</rPr>
      <t xml:space="preserve"> before testing thickness</t>
    </r>
  </si>
  <si>
    <r>
      <t xml:space="preserve">Short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</rPr>
      <t xml:space="preserve"> before testing triangles</t>
    </r>
  </si>
  <si>
    <r>
      <t xml:space="preserve">Short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</rPr>
      <t xml:space="preserve"> before testing rounded triangles</t>
    </r>
  </si>
  <si>
    <r>
      <t xml:space="preserve">Short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</rPr>
      <t xml:space="preserve"> before testing other</t>
    </r>
  </si>
  <si>
    <r>
      <t>Short</t>
    </r>
    <r>
      <rPr>
        <i/>
        <sz val="11"/>
        <color theme="1"/>
        <rFont val="Calibri"/>
        <family val="2"/>
      </rPr>
      <t xml:space="preserve"> λ</t>
    </r>
    <r>
      <rPr>
        <sz val="11"/>
        <color theme="1"/>
        <rFont val="Calibri"/>
        <family val="2"/>
      </rPr>
      <t xml:space="preserve"> before testing &lt; 10 nm</t>
    </r>
  </si>
  <si>
    <r>
      <t xml:space="preserve">Short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</rPr>
      <t xml:space="preserve"> before testing thickness</t>
    </r>
  </si>
  <si>
    <t>Broadband mixture before testing triangles</t>
  </si>
  <si>
    <t>Broadband mixture before testing rounded triangles</t>
  </si>
  <si>
    <t>Broadband mixture before testing other</t>
  </si>
  <si>
    <t>Broadband mixture before testing &lt; 10 nm</t>
  </si>
  <si>
    <t>Broadband mixture before testing thickness</t>
  </si>
  <si>
    <r>
      <t xml:space="preserve">Long </t>
    </r>
    <r>
      <rPr>
        <i/>
        <sz val="11"/>
        <color theme="1"/>
        <rFont val="Calibri"/>
        <family val="2"/>
      </rPr>
      <t xml:space="preserve">λ </t>
    </r>
    <r>
      <rPr>
        <sz val="11"/>
        <color theme="1"/>
        <rFont val="Calibri"/>
        <family val="2"/>
      </rPr>
      <t>cf 1/4 vol water repeat 1 before testing other</t>
    </r>
  </si>
  <si>
    <r>
      <t xml:space="preserve">Long </t>
    </r>
    <r>
      <rPr>
        <i/>
        <sz val="11"/>
        <color theme="1"/>
        <rFont val="Calibri"/>
        <family val="2"/>
      </rPr>
      <t xml:space="preserve">λ </t>
    </r>
    <r>
      <rPr>
        <sz val="11"/>
        <color theme="1"/>
        <rFont val="Calibri"/>
        <family val="2"/>
      </rPr>
      <t>cf 1/4 vol water repeat 1 before testing triangles</t>
    </r>
  </si>
  <si>
    <r>
      <t xml:space="preserve">Long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  <scheme val="minor"/>
      </rPr>
      <t>@SiO</t>
    </r>
    <r>
      <rPr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cf 1/4 vol water repeat 1 before testing coating thickness</t>
    </r>
  </si>
  <si>
    <r>
      <t xml:space="preserve">Long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  <scheme val="minor"/>
      </rPr>
      <t>@SiO</t>
    </r>
    <r>
      <rPr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cf 1/4 vol water repeat 1 before testing Ag inside</t>
    </r>
  </si>
  <si>
    <r>
      <t xml:space="preserve">Long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  <scheme val="minor"/>
      </rPr>
      <t>@SiO</t>
    </r>
    <r>
      <rPr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cf 1/4 vol water repeat 1 before testing SiO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 particles no Ag core</t>
    </r>
  </si>
  <si>
    <r>
      <t xml:space="preserve">Long </t>
    </r>
    <r>
      <rPr>
        <i/>
        <sz val="11"/>
        <color theme="1"/>
        <rFont val="Calibri"/>
        <family val="2"/>
      </rPr>
      <t xml:space="preserve">λ </t>
    </r>
    <r>
      <rPr>
        <sz val="11"/>
        <color theme="1"/>
        <rFont val="Calibri"/>
        <family val="2"/>
      </rPr>
      <t>cf 1/4 vol water repeat 2 before testing triangles</t>
    </r>
  </si>
  <si>
    <r>
      <t xml:space="preserve">Long </t>
    </r>
    <r>
      <rPr>
        <i/>
        <sz val="11"/>
        <color theme="1"/>
        <rFont val="Calibri"/>
        <family val="2"/>
      </rPr>
      <t xml:space="preserve">λ </t>
    </r>
    <r>
      <rPr>
        <sz val="11"/>
        <color theme="1"/>
        <rFont val="Calibri"/>
        <family val="2"/>
      </rPr>
      <t>cf 1/4 vol water repeat 2 before testing other</t>
    </r>
  </si>
  <si>
    <r>
      <t xml:space="preserve">Long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  <scheme val="minor"/>
      </rPr>
      <t>@SiO</t>
    </r>
    <r>
      <rPr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cf 1/4 vol water repeat 2 before testing coating thickness</t>
    </r>
  </si>
  <si>
    <r>
      <t xml:space="preserve">Long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  <scheme val="minor"/>
      </rPr>
      <t>@SiO</t>
    </r>
    <r>
      <rPr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cf 1/4 vol water repeat 2 before testing Ag inside</t>
    </r>
  </si>
  <si>
    <r>
      <t xml:space="preserve">Long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  <scheme val="minor"/>
      </rPr>
      <t>@SiO</t>
    </r>
    <r>
      <rPr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cf 1/4 vol water repeat 2 before testing SiO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 particles no Ag core</t>
    </r>
  </si>
  <si>
    <r>
      <t xml:space="preserve">Long </t>
    </r>
    <r>
      <rPr>
        <i/>
        <sz val="11"/>
        <color theme="1"/>
        <rFont val="Calibri"/>
        <family val="2"/>
      </rPr>
      <t xml:space="preserve">λ </t>
    </r>
    <r>
      <rPr>
        <sz val="11"/>
        <color theme="1"/>
        <rFont val="Calibri"/>
        <family val="2"/>
      </rPr>
      <t>cf 1/4 vol water repeat 3 before testing triangles</t>
    </r>
  </si>
  <si>
    <r>
      <t xml:space="preserve">Long </t>
    </r>
    <r>
      <rPr>
        <i/>
        <sz val="11"/>
        <color theme="1"/>
        <rFont val="Calibri"/>
        <family val="2"/>
      </rPr>
      <t xml:space="preserve">λ </t>
    </r>
    <r>
      <rPr>
        <sz val="11"/>
        <color theme="1"/>
        <rFont val="Calibri"/>
        <family val="2"/>
      </rPr>
      <t>cf 1/4 vol water repeat 3 before testing other</t>
    </r>
  </si>
  <si>
    <r>
      <t xml:space="preserve">Long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  <scheme val="minor"/>
      </rPr>
      <t>@SiO</t>
    </r>
    <r>
      <rPr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cf 1/4 vol water repeat 3 before testing coating thickness</t>
    </r>
  </si>
  <si>
    <r>
      <t xml:space="preserve">Long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  <scheme val="minor"/>
      </rPr>
      <t>@SiO</t>
    </r>
    <r>
      <rPr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cf 1/4 vol water repeat 3 before testing Ag inside</t>
    </r>
  </si>
  <si>
    <r>
      <t xml:space="preserve">Long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  <scheme val="minor"/>
      </rPr>
      <t>@SiO</t>
    </r>
    <r>
      <rPr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cf 1/4 vol water repeat 3 before testing SiO</t>
    </r>
    <r>
      <rPr>
        <vertAlign val="sub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 particles no Ag core</t>
    </r>
  </si>
  <si>
    <t>Max</t>
  </si>
  <si>
    <t>Min</t>
  </si>
  <si>
    <t>Type B</t>
  </si>
  <si>
    <t>Samples measured using UV-vis-IR-1</t>
  </si>
  <si>
    <r>
      <t xml:space="preserve">Uncertainties associated with calculating absorption efficiency </t>
    </r>
    <r>
      <rPr>
        <sz val="11"/>
        <color theme="1"/>
        <rFont val="Calibri"/>
        <family val="2"/>
      </rPr>
      <t>η / %</t>
    </r>
  </si>
  <si>
    <r>
      <t xml:space="preserve">Measuring sample sprectrum on UV-vis-IR-1 uncertainty in </t>
    </r>
    <r>
      <rPr>
        <i/>
        <sz val="11"/>
        <color theme="1"/>
        <rFont val="Calibri"/>
        <family val="2"/>
      </rPr>
      <t>λ</t>
    </r>
    <r>
      <rPr>
        <i/>
        <vertAlign val="subscript"/>
        <sz val="11"/>
        <color theme="1"/>
        <rFont val="Calibri"/>
        <family val="2"/>
      </rPr>
      <t>ma</t>
    </r>
    <r>
      <rPr>
        <vertAlign val="subscript"/>
        <sz val="11"/>
        <color theme="1"/>
        <rFont val="Calibri"/>
        <family val="2"/>
      </rPr>
      <t>x</t>
    </r>
  </si>
  <si>
    <r>
      <t xml:space="preserve">Measuring sample sprectrum on UV-vis-IR-1 uncertainty in </t>
    </r>
    <r>
      <rPr>
        <i/>
        <sz val="11"/>
        <color theme="1"/>
        <rFont val="Calibri"/>
        <family val="2"/>
        <scheme val="minor"/>
      </rPr>
      <t>Ab</t>
    </r>
    <r>
      <rPr>
        <i/>
        <vertAlign val="subscript"/>
        <sz val="11"/>
        <color theme="1"/>
        <rFont val="Calibri"/>
        <family val="2"/>
        <scheme val="minor"/>
      </rPr>
      <t>max</t>
    </r>
  </si>
  <si>
    <r>
      <t xml:space="preserve">Measuring solar simulator output using UV-vis-IR-2 uncertainty in </t>
    </r>
    <r>
      <rPr>
        <i/>
        <sz val="11"/>
        <color theme="1"/>
        <rFont val="Calibri"/>
        <family val="2"/>
        <scheme val="minor"/>
      </rPr>
      <t>λ</t>
    </r>
    <r>
      <rPr>
        <i/>
        <vertAlign val="subscript"/>
        <sz val="11"/>
        <color theme="1"/>
        <rFont val="Calibri"/>
        <family val="2"/>
        <scheme val="minor"/>
      </rPr>
      <t>max</t>
    </r>
  </si>
  <si>
    <r>
      <t>Measuring solar simulator output using UV-vis-IR-2 uncertainty in Ab</t>
    </r>
    <r>
      <rPr>
        <i/>
        <vertAlign val="subscript"/>
        <sz val="11"/>
        <color theme="1"/>
        <rFont val="Calibri"/>
        <family val="2"/>
        <scheme val="minor"/>
      </rPr>
      <t>max</t>
    </r>
  </si>
  <si>
    <r>
      <t>u</t>
    </r>
    <r>
      <rPr>
        <i/>
        <vertAlign val="subscript"/>
        <sz val="11"/>
        <color theme="1"/>
        <rFont val="Calibri"/>
        <family val="2"/>
        <scheme val="minor"/>
      </rPr>
      <t>R(1)</t>
    </r>
    <r>
      <rPr>
        <i/>
        <sz val="11"/>
        <color theme="1"/>
        <rFont val="Calibri"/>
        <family val="2"/>
        <scheme val="minor"/>
      </rPr>
      <t>(Type B)</t>
    </r>
  </si>
  <si>
    <r>
      <t>u</t>
    </r>
    <r>
      <rPr>
        <i/>
        <vertAlign val="subscript"/>
        <sz val="11"/>
        <color theme="1"/>
        <rFont val="Calibri"/>
        <family val="2"/>
        <scheme val="minor"/>
      </rPr>
      <t>R(2)</t>
    </r>
    <r>
      <rPr>
        <i/>
        <sz val="11"/>
        <color theme="1"/>
        <rFont val="Calibri"/>
        <family val="2"/>
        <scheme val="minor"/>
      </rPr>
      <t>(Type B)</t>
    </r>
  </si>
  <si>
    <r>
      <t>u</t>
    </r>
    <r>
      <rPr>
        <i/>
        <vertAlign val="subscript"/>
        <sz val="11"/>
        <color theme="1"/>
        <rFont val="Calibri"/>
        <family val="2"/>
        <scheme val="minor"/>
      </rPr>
      <t>R(3)</t>
    </r>
    <r>
      <rPr>
        <i/>
        <sz val="11"/>
        <color theme="1"/>
        <rFont val="Calibri"/>
        <family val="2"/>
        <scheme val="minor"/>
      </rPr>
      <t>(Type B)</t>
    </r>
  </si>
  <si>
    <r>
      <t>u</t>
    </r>
    <r>
      <rPr>
        <i/>
        <vertAlign val="subscript"/>
        <sz val="11"/>
        <color theme="1"/>
        <rFont val="Calibri"/>
        <family val="2"/>
        <scheme val="minor"/>
      </rPr>
      <t>R(4)</t>
    </r>
    <r>
      <rPr>
        <i/>
        <sz val="11"/>
        <color theme="1"/>
        <rFont val="Calibri"/>
        <family val="2"/>
        <scheme val="minor"/>
      </rPr>
      <t>(Type B)</t>
    </r>
  </si>
  <si>
    <t>see UV-vis and UV-vis-IR spreadsheet</t>
  </si>
  <si>
    <r>
      <t xml:space="preserve">Uncertainty in area = uncertainty in </t>
    </r>
    <r>
      <rPr>
        <i/>
        <sz val="11"/>
        <color theme="1"/>
        <rFont val="Calibri"/>
        <family val="2"/>
        <scheme val="minor"/>
      </rPr>
      <t>Ab</t>
    </r>
    <r>
      <rPr>
        <i/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+ uncertainty in </t>
    </r>
    <r>
      <rPr>
        <i/>
        <sz val="11"/>
        <color theme="1"/>
        <rFont val="Calibri"/>
        <family val="2"/>
      </rPr>
      <t>λ</t>
    </r>
    <r>
      <rPr>
        <i/>
        <vertAlign val="subscript"/>
        <sz val="11"/>
        <color theme="1"/>
        <rFont val="Calibri"/>
        <family val="2"/>
      </rPr>
      <t>max</t>
    </r>
  </si>
  <si>
    <r>
      <t xml:space="preserve">using </t>
    </r>
    <r>
      <rPr>
        <sz val="11"/>
        <color theme="1"/>
        <rFont val="Calibri"/>
        <family val="2"/>
      </rPr>
      <t>√(</t>
    </r>
    <r>
      <rPr>
        <i/>
        <sz val="11"/>
        <color theme="1"/>
        <rFont val="Calibri"/>
        <family val="2"/>
      </rPr>
      <t>Ab</t>
    </r>
    <r>
      <rPr>
        <i/>
        <vertAlign val="subscript"/>
        <sz val="11"/>
        <color theme="1"/>
        <rFont val="Calibri"/>
        <family val="2"/>
      </rPr>
      <t>ma</t>
    </r>
    <r>
      <rPr>
        <vertAlign val="subscript"/>
        <sz val="11"/>
        <color theme="1"/>
        <rFont val="Calibri"/>
        <family val="2"/>
      </rPr>
      <t>x</t>
    </r>
    <r>
      <rPr>
        <sz val="11"/>
        <color theme="1"/>
        <rFont val="Calibri"/>
        <family val="2"/>
      </rPr>
      <t>^2 +</t>
    </r>
    <r>
      <rPr>
        <i/>
        <sz val="11"/>
        <color theme="1"/>
        <rFont val="Calibri"/>
        <family val="2"/>
      </rPr>
      <t xml:space="preserve"> λ</t>
    </r>
    <r>
      <rPr>
        <i/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</rPr>
      <t>^2)</t>
    </r>
  </si>
  <si>
    <t>Expanded uncertainty (Type B)</t>
  </si>
  <si>
    <t>Sample type</t>
  </si>
  <si>
    <t>Repeat</t>
  </si>
  <si>
    <t>initial</t>
  </si>
  <si>
    <t>4 wks</t>
  </si>
  <si>
    <t>30 min SSL</t>
  </si>
  <si>
    <r>
      <rPr>
        <sz val="11"/>
        <color theme="1"/>
        <rFont val="Calibri"/>
        <family val="2"/>
      </rPr>
      <t>η</t>
    </r>
    <r>
      <rPr>
        <sz val="11"/>
        <color theme="1"/>
        <rFont val="Calibri"/>
        <family val="2"/>
        <scheme val="minor"/>
      </rPr>
      <t xml:space="preserve"> 300-1350 %</t>
    </r>
  </si>
  <si>
    <r>
      <rPr>
        <sz val="11"/>
        <color theme="1"/>
        <rFont val="Calibri"/>
        <family val="2"/>
      </rPr>
      <t>η</t>
    </r>
    <r>
      <rPr>
        <sz val="11"/>
        <color theme="1"/>
        <rFont val="Calibri"/>
        <family val="2"/>
        <scheme val="minor"/>
      </rPr>
      <t xml:space="preserve"> lamp 330  -1100 nm %</t>
    </r>
  </si>
  <si>
    <t>Broadband mixture</t>
  </si>
  <si>
    <t>calculated</t>
  </si>
  <si>
    <t>Measurement point</t>
  </si>
  <si>
    <r>
      <t xml:space="preserve">Long </t>
    </r>
    <r>
      <rPr>
        <sz val="11"/>
        <color theme="1"/>
        <rFont val="Calibri"/>
        <family val="2"/>
      </rPr>
      <t>λ</t>
    </r>
  </si>
  <si>
    <r>
      <t xml:space="preserve">Mid </t>
    </r>
    <r>
      <rPr>
        <sz val="11"/>
        <color theme="1"/>
        <rFont val="Calibri"/>
        <family val="2"/>
      </rPr>
      <t>λ</t>
    </r>
  </si>
  <si>
    <r>
      <t xml:space="preserve">Short </t>
    </r>
    <r>
      <rPr>
        <sz val="11"/>
        <color theme="1"/>
        <rFont val="Calibri"/>
        <family val="2"/>
      </rPr>
      <t>λ</t>
    </r>
  </si>
  <si>
    <t>Long λ</t>
  </si>
  <si>
    <t>Mid λ</t>
  </si>
  <si>
    <t>Short λ</t>
  </si>
  <si>
    <t>SSL = simulated sunlight</t>
  </si>
  <si>
    <t>Mean / %</t>
  </si>
  <si>
    <t>σ /%</t>
  </si>
  <si>
    <t>Solar simulator Set-up A</t>
  </si>
  <si>
    <r>
      <t xml:space="preserve">Measurement of </t>
    </r>
    <r>
      <rPr>
        <b/>
        <i/>
        <sz val="11"/>
        <color theme="1"/>
        <rFont val="Calibri"/>
        <family val="2"/>
      </rPr>
      <t>η</t>
    </r>
    <r>
      <rPr>
        <b/>
        <i/>
        <vertAlign val="subscript"/>
        <sz val="11"/>
        <color theme="1"/>
        <rFont val="Calibri"/>
        <family val="2"/>
      </rPr>
      <t>PE</t>
    </r>
  </si>
  <si>
    <t>When k = 2 confidence is approximately 95%</t>
  </si>
  <si>
    <t>Equation</t>
  </si>
  <si>
    <r>
      <rPr>
        <i/>
        <sz val="11"/>
        <color theme="1"/>
        <rFont val="Calibri"/>
        <family val="2"/>
        <scheme val="minor"/>
      </rPr>
      <t>η</t>
    </r>
    <r>
      <rPr>
        <i/>
        <vertAlign val="subscript"/>
        <sz val="11"/>
        <color theme="1"/>
        <rFont val="Calibri"/>
        <family val="2"/>
        <scheme val="minor"/>
      </rPr>
      <t>PE</t>
    </r>
    <r>
      <rPr>
        <i/>
        <sz val="11"/>
        <color theme="1"/>
        <rFont val="Calibri"/>
        <family val="2"/>
        <scheme val="minor"/>
      </rPr>
      <t xml:space="preserve"> = m</t>
    </r>
    <r>
      <rPr>
        <i/>
        <vertAlign val="subscript"/>
        <sz val="11"/>
        <color theme="1"/>
        <rFont val="Calibri"/>
        <family val="2"/>
        <scheme val="minor"/>
      </rPr>
      <t>w</t>
    </r>
    <r>
      <rPr>
        <i/>
        <sz val="11"/>
        <color theme="1"/>
        <rFont val="Calibri"/>
        <family val="2"/>
        <scheme val="minor"/>
      </rPr>
      <t>c</t>
    </r>
    <r>
      <rPr>
        <i/>
        <vertAlign val="subscript"/>
        <sz val="11"/>
        <color theme="1"/>
        <rFont val="Calibri"/>
        <family val="2"/>
        <scheme val="minor"/>
      </rPr>
      <t>w</t>
    </r>
    <r>
      <rPr>
        <i/>
        <sz val="11"/>
        <color theme="1"/>
        <rFont val="Calibri"/>
        <family val="2"/>
      </rPr>
      <t>∆T/I</t>
    </r>
    <r>
      <rPr>
        <i/>
        <vertAlign val="subscript"/>
        <sz val="11"/>
        <color theme="1"/>
        <rFont val="Calibri"/>
        <family val="2"/>
      </rPr>
      <t>L</t>
    </r>
    <r>
      <rPr>
        <i/>
        <sz val="11"/>
        <color theme="1"/>
        <rFont val="Calibri"/>
        <family val="2"/>
      </rPr>
      <t>A∆</t>
    </r>
    <r>
      <rPr>
        <i/>
        <sz val="11"/>
        <color theme="1"/>
        <rFont val="Calibri"/>
        <family val="2"/>
        <scheme val="minor"/>
      </rPr>
      <t>t</t>
    </r>
  </si>
  <si>
    <r>
      <t xml:space="preserve">Change in </t>
    </r>
    <r>
      <rPr>
        <i/>
        <sz val="11"/>
        <color theme="1"/>
        <rFont val="Calibri"/>
        <family val="2"/>
        <scheme val="minor"/>
      </rPr>
      <t>c</t>
    </r>
    <r>
      <rPr>
        <i/>
        <vertAlign val="subscript"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 with temperature</t>
    </r>
  </si>
  <si>
    <r>
      <rPr>
        <i/>
        <sz val="11"/>
        <color theme="1"/>
        <rFont val="Calibri"/>
        <family val="2"/>
        <scheme val="minor"/>
      </rPr>
      <t>c</t>
    </r>
    <r>
      <rPr>
        <i/>
        <vertAlign val="subscript"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 changes from 4.182 to 4.190 KJKg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K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over temperature range 20 - 70 </t>
    </r>
    <r>
      <rPr>
        <sz val="11"/>
        <color theme="1"/>
        <rFont val="Calibri"/>
        <family val="2"/>
      </rPr>
      <t>°C</t>
    </r>
  </si>
  <si>
    <r>
      <t>uncertainty in measuring</t>
    </r>
    <r>
      <rPr>
        <i/>
        <sz val="11"/>
        <color theme="1"/>
        <rFont val="Calibri"/>
        <family val="2"/>
        <scheme val="minor"/>
      </rPr>
      <t xml:space="preserve"> m</t>
    </r>
    <r>
      <rPr>
        <i/>
        <vertAlign val="subscript"/>
        <sz val="11"/>
        <color theme="1"/>
        <rFont val="Calibri"/>
        <family val="2"/>
        <scheme val="minor"/>
      </rPr>
      <t>w</t>
    </r>
  </si>
  <si>
    <r>
      <t xml:space="preserve">1000 </t>
    </r>
    <r>
      <rPr>
        <sz val="11"/>
        <color theme="1"/>
        <rFont val="Calibri"/>
        <family val="2"/>
      </rPr>
      <t xml:space="preserve">µl </t>
    </r>
    <r>
      <rPr>
        <sz val="11"/>
        <color theme="1"/>
        <rFont val="Calibri"/>
        <family val="2"/>
        <scheme val="minor"/>
      </rPr>
      <t xml:space="preserve">Micropipette used to measure amount with accuracy of </t>
    </r>
    <r>
      <rPr>
        <sz val="11"/>
        <color theme="1"/>
        <rFont val="Calibri"/>
        <family val="2"/>
      </rPr>
      <t>± 0.3%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</si>
  <si>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Change in </t>
    </r>
    <r>
      <rPr>
        <i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with temperature</t>
    </r>
  </si>
  <si>
    <t>Due to thermal expansion of liquid (water thermal expansion used)</t>
  </si>
  <si>
    <r>
      <t>u</t>
    </r>
    <r>
      <rPr>
        <i/>
        <vertAlign val="subscript"/>
        <sz val="11"/>
        <color theme="1"/>
        <rFont val="Calibri"/>
        <family val="2"/>
        <scheme val="minor"/>
      </rPr>
      <t>R4</t>
    </r>
    <r>
      <rPr>
        <i/>
        <sz val="11"/>
        <color theme="1"/>
        <rFont val="Calibri"/>
        <family val="2"/>
        <scheme val="minor"/>
      </rPr>
      <t>(Type B)</t>
    </r>
  </si>
  <si>
    <r>
      <t xml:space="preserve">Variation in </t>
    </r>
    <r>
      <rPr>
        <i/>
        <sz val="11"/>
        <color theme="1"/>
        <rFont val="Calibri"/>
        <family val="2"/>
        <scheme val="minor"/>
      </rPr>
      <t>I</t>
    </r>
    <r>
      <rPr>
        <i/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due to lamp output variation</t>
    </r>
  </si>
  <si>
    <r>
      <t xml:space="preserve">Lamp output varies by </t>
    </r>
    <r>
      <rPr>
        <sz val="11"/>
        <color theme="1"/>
        <rFont val="Calibri"/>
        <family val="2"/>
      </rPr>
      <t>± 6%</t>
    </r>
  </si>
  <si>
    <r>
      <t xml:space="preserve">Uncertainty in measuring </t>
    </r>
    <r>
      <rPr>
        <i/>
        <sz val="11"/>
        <color theme="1"/>
        <rFont val="Calibri"/>
        <family val="2"/>
        <scheme val="minor"/>
      </rPr>
      <t>I</t>
    </r>
    <r>
      <rPr>
        <i/>
        <vertAlign val="subscript"/>
        <sz val="11"/>
        <color theme="1"/>
        <rFont val="Calibri"/>
        <family val="2"/>
        <scheme val="minor"/>
      </rPr>
      <t>L</t>
    </r>
  </si>
  <si>
    <r>
      <t>u</t>
    </r>
    <r>
      <rPr>
        <i/>
        <vertAlign val="subscript"/>
        <sz val="11"/>
        <color theme="1"/>
        <rFont val="Calibri"/>
        <family val="2"/>
        <scheme val="minor"/>
      </rPr>
      <t>R5</t>
    </r>
    <r>
      <rPr>
        <i/>
        <sz val="11"/>
        <color theme="1"/>
        <rFont val="Calibri"/>
        <family val="2"/>
        <scheme val="minor"/>
      </rPr>
      <t>(Type B)</t>
    </r>
  </si>
  <si>
    <r>
      <t xml:space="preserve">Voltacraft PL-110 SM solar meter </t>
    </r>
    <r>
      <rPr>
        <sz val="11"/>
        <color theme="1"/>
        <rFont val="Calibri"/>
        <family val="2"/>
      </rPr>
      <t>± 10 Wm</t>
    </r>
    <r>
      <rPr>
        <vertAlign val="superscript"/>
        <sz val="11"/>
        <color theme="1"/>
        <rFont val="Calibri"/>
        <family val="2"/>
      </rPr>
      <t>-2</t>
    </r>
    <r>
      <rPr>
        <sz val="11"/>
        <color theme="1"/>
        <rFont val="Calibri"/>
        <family val="2"/>
      </rPr>
      <t xml:space="preserve"> for sunlight. Assumed to be 5 x for lamp (similar value to ReRa PV cell)</t>
    </r>
  </si>
  <si>
    <t>uncertainty of temperature measurement because of thermocouples</t>
  </si>
  <si>
    <r>
      <t>u</t>
    </r>
    <r>
      <rPr>
        <i/>
        <vertAlign val="subscript"/>
        <sz val="11"/>
        <color theme="1"/>
        <rFont val="Calibri"/>
        <family val="2"/>
        <scheme val="minor"/>
      </rPr>
      <t>R6</t>
    </r>
    <r>
      <rPr>
        <i/>
        <sz val="11"/>
        <color theme="1"/>
        <rFont val="Calibri"/>
        <family val="2"/>
        <scheme val="minor"/>
      </rPr>
      <t>(Type B)</t>
    </r>
  </si>
  <si>
    <r>
      <t xml:space="preserve">Assumed to be </t>
    </r>
    <r>
      <rPr>
        <sz val="11"/>
        <color theme="1"/>
        <rFont val="Calibri"/>
        <family val="2"/>
      </rPr>
      <t>±</t>
    </r>
    <r>
      <rPr>
        <sz val="11"/>
        <color theme="1"/>
        <rFont val="Calibri"/>
        <family val="2"/>
      </rPr>
      <t xml:space="preserve"> 0.5°C which equates to 0.5/20*100 %</t>
    </r>
  </si>
  <si>
    <t>Solar simulator Set-up B</t>
  </si>
  <si>
    <r>
      <rPr>
        <i/>
        <sz val="11"/>
        <color theme="1"/>
        <rFont val="Calibri"/>
        <family val="2"/>
        <scheme val="minor"/>
      </rPr>
      <t>c</t>
    </r>
    <r>
      <rPr>
        <i/>
        <vertAlign val="subscript"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 changes from 4.1844 to 4.1796 KJKg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K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over temperature range 20 - 40 </t>
    </r>
    <r>
      <rPr>
        <sz val="11"/>
        <color theme="1"/>
        <rFont val="Calibri"/>
        <family val="2"/>
      </rPr>
      <t>°C</t>
    </r>
  </si>
  <si>
    <r>
      <t xml:space="preserve">Using ReRa calibrated PV cell </t>
    </r>
    <r>
      <rPr>
        <i/>
        <sz val="11"/>
        <color theme="1"/>
        <rFont val="Calibri"/>
        <family val="2"/>
        <scheme val="minor"/>
      </rPr>
      <t>I</t>
    </r>
    <r>
      <rPr>
        <i/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is 1191.16 </t>
    </r>
    <r>
      <rPr>
        <sz val="11"/>
        <color theme="1"/>
        <rFont val="Calibri"/>
        <family val="2"/>
      </rPr>
      <t>± 40.29. n is 9</t>
    </r>
  </si>
  <si>
    <r>
      <t xml:space="preserve">Value </t>
    </r>
    <r>
      <rPr>
        <b/>
        <sz val="11"/>
        <color theme="1"/>
        <rFont val="Calibri"/>
        <family val="2"/>
      </rPr>
      <t>σ</t>
    </r>
    <r>
      <rPr>
        <b/>
        <sz val="11"/>
        <color theme="1"/>
        <rFont val="Calibri"/>
        <family val="2"/>
        <scheme val="minor"/>
      </rPr>
      <t xml:space="preserve"> /</t>
    </r>
    <r>
      <rPr>
        <b/>
        <sz val="11"/>
        <color theme="1"/>
        <rFont val="Calibri"/>
        <family val="2"/>
      </rPr>
      <t xml:space="preserve">± </t>
    </r>
    <r>
      <rPr>
        <b/>
        <sz val="11"/>
        <color theme="1"/>
        <rFont val="Calibri"/>
        <family val="2"/>
        <scheme val="minor"/>
      </rPr>
      <t>%</t>
    </r>
  </si>
  <si>
    <r>
      <t xml:space="preserve">relative uncertainty / </t>
    </r>
    <r>
      <rPr>
        <b/>
        <i/>
        <sz val="11"/>
        <color theme="1"/>
        <rFont val="Calibri"/>
        <family val="2"/>
        <scheme val="minor"/>
      </rPr>
      <t>u</t>
    </r>
    <r>
      <rPr>
        <b/>
        <i/>
        <vertAlign val="subscript"/>
        <sz val="11"/>
        <color theme="1"/>
        <rFont val="Calibri"/>
        <family val="2"/>
        <scheme val="minor"/>
      </rPr>
      <t>R</t>
    </r>
    <r>
      <rPr>
        <b/>
        <i/>
        <sz val="11"/>
        <color theme="1"/>
        <rFont val="Calibri"/>
        <family val="2"/>
        <scheme val="minor"/>
      </rPr>
      <t xml:space="preserve"> (Type A)</t>
    </r>
  </si>
  <si>
    <r>
      <t>u</t>
    </r>
    <r>
      <rPr>
        <b/>
        <i/>
        <vertAlign val="subscript"/>
        <sz val="11"/>
        <color theme="1"/>
        <rFont val="Calibri"/>
        <family val="2"/>
        <scheme val="minor"/>
      </rPr>
      <t>R</t>
    </r>
    <r>
      <rPr>
        <b/>
        <i/>
        <sz val="11"/>
        <color theme="1"/>
        <rFont val="Calibri"/>
        <family val="2"/>
        <scheme val="minor"/>
      </rPr>
      <t xml:space="preserve"> (Type A+B)</t>
    </r>
  </si>
  <si>
    <r>
      <t>Expanded uncertainty /</t>
    </r>
    <r>
      <rPr>
        <b/>
        <i/>
        <sz val="11"/>
        <color theme="1"/>
        <rFont val="Calibri"/>
        <family val="2"/>
        <scheme val="minor"/>
      </rPr>
      <t xml:space="preserve"> U</t>
    </r>
    <r>
      <rPr>
        <b/>
        <sz val="11"/>
        <color theme="1"/>
        <rFont val="Calibri"/>
        <family val="2"/>
        <scheme val="minor"/>
      </rPr>
      <t xml:space="preserve"> in %</t>
    </r>
  </si>
  <si>
    <t>Water in middle M position</t>
  </si>
  <si>
    <t>Water in front F position</t>
  </si>
  <si>
    <t>Water in back B position</t>
  </si>
  <si>
    <t>Set-up</t>
  </si>
  <si>
    <t>Set-up A</t>
  </si>
  <si>
    <t>Solar simulator Set-up A and B</t>
  </si>
  <si>
    <r>
      <t xml:space="preserve">Mean </t>
    </r>
    <r>
      <rPr>
        <b/>
        <sz val="11"/>
        <color theme="1"/>
        <rFont val="Calibri"/>
        <family val="2"/>
      </rPr>
      <t>∆T</t>
    </r>
    <r>
      <rPr>
        <b/>
        <sz val="11"/>
        <color theme="1"/>
        <rFont val="Calibri"/>
        <family val="2"/>
        <scheme val="minor"/>
      </rPr>
      <t xml:space="preserve"> / 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</rPr>
      <t>C</t>
    </r>
  </si>
  <si>
    <t>σ / °C</t>
  </si>
  <si>
    <t>3 ml Water in middle M position</t>
  </si>
  <si>
    <t>Set-up B</t>
  </si>
  <si>
    <t>3 ml Broadband absorber in M position</t>
  </si>
  <si>
    <r>
      <t xml:space="preserve">3 ml Long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</rPr>
      <t xml:space="preserve"> in M position</t>
    </r>
  </si>
  <si>
    <r>
      <t xml:space="preserve">3 ml Mid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</rPr>
      <t xml:space="preserve"> in M position</t>
    </r>
  </si>
  <si>
    <r>
      <t xml:space="preserve">3 ml Short </t>
    </r>
    <r>
      <rPr>
        <i/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</rPr>
      <t xml:space="preserve"> in M position</t>
    </r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</si>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</sst>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b/>
      <i/>
      <sz val="11"/>
      <color theme="1"/>
      <name val="Calibri"/>
      <family val="2"/>
    </font>
    <font>
      <b/>
      <i/>
      <vertAlign val="subscript"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2" fontId="0" fillId="0" borderId="0" xfId="0" applyNumberFormat="1"/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/>
    <xf numFmtId="0" fontId="2" fillId="0" borderId="0" xfId="0" applyFont="1"/>
    <xf numFmtId="0" fontId="11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0" fillId="2" borderId="0" xfId="0" applyFont="1" applyFill="1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2" fontId="0" fillId="2" borderId="0" xfId="0" applyNumberFormat="1" applyFill="1" applyAlignment="1">
      <alignment wrapText="1"/>
    </xf>
    <xf numFmtId="2" fontId="0" fillId="2" borderId="0" xfId="0" applyNumberFormat="1" applyFill="1"/>
    <xf numFmtId="0" fontId="0" fillId="3" borderId="0" xfId="0" applyFont="1" applyFill="1"/>
    <xf numFmtId="0" fontId="0" fillId="3" borderId="0" xfId="0" applyFill="1"/>
    <xf numFmtId="0" fontId="1" fillId="3" borderId="0" xfId="0" applyFont="1" applyFill="1"/>
    <xf numFmtId="0" fontId="0" fillId="3" borderId="0" xfId="0" applyFill="1" applyAlignment="1">
      <alignment wrapText="1"/>
    </xf>
    <xf numFmtId="0" fontId="1" fillId="3" borderId="0" xfId="0" applyFont="1" applyFill="1" applyAlignment="1">
      <alignment wrapText="1"/>
    </xf>
    <xf numFmtId="0" fontId="4" fillId="3" borderId="0" xfId="0" applyFont="1" applyFill="1" applyAlignment="1">
      <alignment wrapText="1"/>
    </xf>
    <xf numFmtId="2" fontId="0" fillId="3" borderId="0" xfId="0" applyNumberFormat="1" applyFill="1" applyAlignment="1">
      <alignment wrapText="1"/>
    </xf>
    <xf numFmtId="2" fontId="0" fillId="3" borderId="0" xfId="0" applyNumberFormat="1" applyFill="1"/>
    <xf numFmtId="0" fontId="2" fillId="3" borderId="0" xfId="0" applyFont="1" applyFill="1"/>
    <xf numFmtId="0" fontId="0" fillId="4" borderId="0" xfId="0" applyFill="1"/>
    <xf numFmtId="0" fontId="1" fillId="4" borderId="0" xfId="0" applyFont="1" applyFill="1"/>
    <xf numFmtId="0" fontId="1" fillId="4" borderId="0" xfId="0" applyFont="1" applyFill="1" applyAlignment="1">
      <alignment wrapText="1"/>
    </xf>
    <xf numFmtId="0" fontId="0" fillId="4" borderId="0" xfId="0" applyFill="1" applyAlignment="1">
      <alignment wrapText="1"/>
    </xf>
    <xf numFmtId="0" fontId="4" fillId="4" borderId="0" xfId="0" applyFont="1" applyFill="1" applyAlignment="1">
      <alignment wrapText="1"/>
    </xf>
    <xf numFmtId="2" fontId="0" fillId="4" borderId="0" xfId="0" applyNumberFormat="1" applyFill="1"/>
    <xf numFmtId="2" fontId="0" fillId="4" borderId="0" xfId="0" applyNumberFormat="1" applyFill="1" applyAlignment="1">
      <alignment wrapText="1"/>
    </xf>
    <xf numFmtId="0" fontId="0" fillId="5" borderId="0" xfId="0" applyFill="1"/>
    <xf numFmtId="0" fontId="1" fillId="5" borderId="0" xfId="0" applyFont="1" applyFill="1"/>
    <xf numFmtId="0" fontId="1" fillId="5" borderId="0" xfId="0" applyFont="1" applyFill="1" applyAlignment="1">
      <alignment wrapText="1"/>
    </xf>
    <xf numFmtId="0" fontId="0" fillId="5" borderId="0" xfId="0" applyFill="1" applyAlignment="1">
      <alignment wrapText="1"/>
    </xf>
    <xf numFmtId="0" fontId="4" fillId="5" borderId="0" xfId="0" applyFont="1" applyFill="1" applyAlignment="1">
      <alignment wrapText="1"/>
    </xf>
    <xf numFmtId="2" fontId="0" fillId="5" borderId="0" xfId="0" applyNumberFormat="1" applyFill="1"/>
    <xf numFmtId="2" fontId="0" fillId="5" borderId="0" xfId="0" applyNumberFormat="1" applyFill="1" applyAlignment="1">
      <alignment wrapText="1"/>
    </xf>
    <xf numFmtId="0" fontId="1" fillId="6" borderId="0" xfId="0" applyFont="1" applyFill="1"/>
    <xf numFmtId="0" fontId="0" fillId="6" borderId="0" xfId="0" applyFill="1"/>
    <xf numFmtId="0" fontId="1" fillId="6" borderId="0" xfId="0" applyFont="1" applyFill="1" applyAlignment="1">
      <alignment wrapText="1"/>
    </xf>
    <xf numFmtId="0" fontId="0" fillId="6" borderId="0" xfId="0" applyFill="1" applyAlignment="1">
      <alignment wrapText="1"/>
    </xf>
    <xf numFmtId="0" fontId="4" fillId="6" borderId="0" xfId="0" applyFont="1" applyFill="1" applyAlignment="1">
      <alignment wrapText="1"/>
    </xf>
    <xf numFmtId="2" fontId="0" fillId="6" borderId="0" xfId="0" applyNumberFormat="1" applyFill="1" applyAlignment="1">
      <alignment wrapText="1"/>
    </xf>
    <xf numFmtId="2" fontId="0" fillId="6" borderId="0" xfId="0" applyNumberFormat="1" applyFill="1"/>
    <xf numFmtId="0" fontId="1" fillId="7" borderId="0" xfId="0" applyFont="1" applyFill="1"/>
    <xf numFmtId="0" fontId="0" fillId="7" borderId="0" xfId="0" applyFill="1"/>
    <xf numFmtId="0" fontId="1" fillId="7" borderId="0" xfId="0" applyFont="1" applyFill="1" applyAlignment="1">
      <alignment wrapText="1"/>
    </xf>
    <xf numFmtId="0" fontId="0" fillId="7" borderId="0" xfId="0" applyFill="1" applyAlignment="1">
      <alignment wrapText="1"/>
    </xf>
    <xf numFmtId="0" fontId="4" fillId="7" borderId="0" xfId="0" applyFont="1" applyFill="1" applyAlignment="1">
      <alignment wrapText="1"/>
    </xf>
    <xf numFmtId="2" fontId="0" fillId="7" borderId="0" xfId="0" applyNumberFormat="1" applyFill="1" applyAlignment="1">
      <alignment wrapText="1"/>
    </xf>
    <xf numFmtId="2" fontId="0" fillId="7" borderId="0" xfId="0" applyNumberFormat="1" applyFill="1"/>
    <xf numFmtId="0" fontId="2" fillId="7" borderId="0" xfId="0" applyFont="1" applyFill="1"/>
    <xf numFmtId="0" fontId="0" fillId="4" borderId="0" xfId="0" applyFont="1" applyFill="1"/>
    <xf numFmtId="0" fontId="4" fillId="4" borderId="0" xfId="0" applyFont="1" applyFill="1"/>
    <xf numFmtId="0" fontId="0" fillId="6" borderId="0" xfId="0" applyFont="1" applyFill="1"/>
    <xf numFmtId="0" fontId="0" fillId="8" borderId="0" xfId="0" applyFill="1"/>
    <xf numFmtId="0" fontId="1" fillId="8" borderId="0" xfId="0" applyFont="1" applyFill="1"/>
    <xf numFmtId="2" fontId="1" fillId="8" borderId="0" xfId="0" applyNumberFormat="1" applyFont="1" applyFill="1"/>
    <xf numFmtId="0" fontId="1" fillId="8" borderId="0" xfId="0" applyFont="1" applyFill="1" applyAlignment="1">
      <alignment wrapText="1"/>
    </xf>
    <xf numFmtId="0" fontId="0" fillId="8" borderId="0" xfId="0" applyFill="1" applyAlignment="1">
      <alignment wrapText="1"/>
    </xf>
    <xf numFmtId="0" fontId="3" fillId="8" borderId="0" xfId="0" applyFont="1" applyFill="1" applyAlignment="1">
      <alignment wrapText="1"/>
    </xf>
    <xf numFmtId="0" fontId="8" fillId="8" borderId="0" xfId="0" applyFont="1" applyFill="1" applyAlignment="1">
      <alignment wrapText="1"/>
    </xf>
    <xf numFmtId="2" fontId="0" fillId="8" borderId="0" xfId="0" applyNumberFormat="1" applyFill="1" applyAlignment="1">
      <alignment wrapText="1"/>
    </xf>
    <xf numFmtId="2" fontId="0" fillId="8" borderId="0" xfId="0" applyNumberFormat="1" applyFill="1"/>
    <xf numFmtId="0" fontId="2" fillId="8" borderId="0" xfId="0" applyFont="1" applyFill="1" applyAlignment="1">
      <alignment wrapText="1"/>
    </xf>
    <xf numFmtId="0" fontId="0" fillId="9" borderId="0" xfId="0" applyFill="1"/>
    <xf numFmtId="0" fontId="1" fillId="9" borderId="0" xfId="0" applyFont="1" applyFill="1"/>
    <xf numFmtId="0" fontId="1" fillId="9" borderId="0" xfId="0" applyFont="1" applyFill="1" applyAlignment="1">
      <alignment wrapText="1"/>
    </xf>
    <xf numFmtId="0" fontId="3" fillId="9" borderId="0" xfId="0" applyFont="1" applyFill="1" applyAlignment="1">
      <alignment wrapText="1"/>
    </xf>
    <xf numFmtId="0" fontId="8" fillId="9" borderId="0" xfId="0" applyFont="1" applyFill="1" applyAlignment="1">
      <alignment wrapText="1"/>
    </xf>
    <xf numFmtId="0" fontId="0" fillId="9" borderId="0" xfId="0" applyFill="1" applyAlignment="1">
      <alignment wrapText="1"/>
    </xf>
    <xf numFmtId="2" fontId="0" fillId="9" borderId="0" xfId="0" applyNumberFormat="1" applyFill="1"/>
    <xf numFmtId="0" fontId="2" fillId="9" borderId="0" xfId="0" applyFont="1" applyFill="1"/>
    <xf numFmtId="0" fontId="1" fillId="10" borderId="0" xfId="0" applyFont="1" applyFill="1" applyAlignment="1">
      <alignment wrapText="1"/>
    </xf>
    <xf numFmtId="0" fontId="0" fillId="10" borderId="0" xfId="0" applyFill="1"/>
    <xf numFmtId="0" fontId="0" fillId="10" borderId="0" xfId="0" applyFill="1" applyAlignment="1">
      <alignment wrapText="1"/>
    </xf>
    <xf numFmtId="2" fontId="0" fillId="10" borderId="0" xfId="0" applyNumberFormat="1" applyFill="1"/>
    <xf numFmtId="0" fontId="2" fillId="10" borderId="0" xfId="0" applyFont="1" applyFill="1"/>
    <xf numFmtId="0" fontId="1" fillId="11" borderId="0" xfId="0" applyFont="1" applyFill="1" applyAlignment="1">
      <alignment wrapText="1"/>
    </xf>
    <xf numFmtId="0" fontId="0" fillId="11" borderId="0" xfId="0" applyFill="1"/>
    <xf numFmtId="0" fontId="0" fillId="11" borderId="0" xfId="0" applyFill="1" applyAlignment="1">
      <alignment wrapText="1"/>
    </xf>
    <xf numFmtId="0" fontId="2" fillId="11" borderId="0" xfId="0" applyFont="1" applyFill="1" applyAlignment="1">
      <alignment wrapText="1"/>
    </xf>
    <xf numFmtId="0" fontId="4" fillId="11" borderId="0" xfId="0" applyFont="1" applyFill="1" applyAlignment="1">
      <alignment wrapText="1"/>
    </xf>
    <xf numFmtId="2" fontId="0" fillId="11" borderId="0" xfId="0" applyNumberFormat="1" applyFill="1"/>
    <xf numFmtId="0" fontId="2" fillId="11" borderId="0" xfId="0" applyFont="1" applyFill="1"/>
    <xf numFmtId="0" fontId="1" fillId="10" borderId="0" xfId="0" applyFont="1" applyFill="1"/>
    <xf numFmtId="2" fontId="1" fillId="10" borderId="0" xfId="0" applyNumberFormat="1" applyFont="1" applyFill="1"/>
    <xf numFmtId="0" fontId="3" fillId="10" borderId="0" xfId="0" applyFont="1" applyFill="1" applyAlignment="1">
      <alignment wrapText="1"/>
    </xf>
    <xf numFmtId="0" fontId="8" fillId="10" borderId="0" xfId="0" applyFont="1" applyFill="1" applyAlignment="1">
      <alignment wrapText="1"/>
    </xf>
    <xf numFmtId="0" fontId="13" fillId="10" borderId="0" xfId="0" applyFont="1" applyFill="1" applyAlignment="1">
      <alignment wrapText="1"/>
    </xf>
    <xf numFmtId="0" fontId="0" fillId="10" borderId="0" xfId="0" applyFont="1" applyFill="1" applyAlignment="1">
      <alignment wrapText="1"/>
    </xf>
    <xf numFmtId="0" fontId="0" fillId="10" borderId="0" xfId="0" applyFont="1" applyFill="1"/>
    <xf numFmtId="0" fontId="13" fillId="10" borderId="0" xfId="0" applyFont="1" applyFill="1"/>
    <xf numFmtId="2" fontId="13" fillId="10" borderId="0" xfId="0" applyNumberFormat="1" applyFont="1" applyFill="1"/>
    <xf numFmtId="0" fontId="0" fillId="12" borderId="0" xfId="0" applyFill="1"/>
    <xf numFmtId="0" fontId="1" fillId="12" borderId="0" xfId="0" applyFont="1" applyFill="1"/>
    <xf numFmtId="2" fontId="1" fillId="12" borderId="0" xfId="0" applyNumberFormat="1" applyFont="1" applyFill="1"/>
    <xf numFmtId="0" fontId="1" fillId="12" borderId="0" xfId="0" applyFont="1" applyFill="1" applyAlignment="1">
      <alignment wrapText="1"/>
    </xf>
    <xf numFmtId="0" fontId="3" fillId="12" borderId="0" xfId="0" applyFont="1" applyFill="1" applyAlignment="1">
      <alignment wrapText="1"/>
    </xf>
    <xf numFmtId="0" fontId="8" fillId="12" borderId="0" xfId="0" applyFont="1" applyFill="1" applyAlignment="1">
      <alignment wrapText="1"/>
    </xf>
    <xf numFmtId="0" fontId="0" fillId="12" borderId="0" xfId="0" applyFill="1" applyAlignment="1">
      <alignment wrapText="1"/>
    </xf>
    <xf numFmtId="2" fontId="0" fillId="12" borderId="0" xfId="0" applyNumberFormat="1" applyFill="1"/>
    <xf numFmtId="0" fontId="2" fillId="1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topLeftCell="O31" workbookViewId="0">
      <selection activeCell="J1" sqref="J1:U41"/>
    </sheetView>
  </sheetViews>
  <sheetFormatPr defaultRowHeight="14.5" x14ac:dyDescent="0.35"/>
  <cols>
    <col min="1" max="1" width="22.90625" customWidth="1"/>
    <col min="2" max="2" width="13.90625" customWidth="1"/>
    <col min="3" max="3" width="45.90625" customWidth="1"/>
    <col min="5" max="5" width="16.26953125" customWidth="1"/>
    <col min="7" max="7" width="12.26953125" customWidth="1"/>
    <col min="10" max="10" width="28.1796875" customWidth="1"/>
    <col min="11" max="13" width="19" customWidth="1"/>
    <col min="14" max="14" width="27.36328125" customWidth="1"/>
    <col min="16" max="16" width="12.81640625" customWidth="1"/>
    <col min="18" max="18" width="21.81640625" customWidth="1"/>
    <col min="20" max="20" width="14" customWidth="1"/>
    <col min="21" max="21" width="17.90625" customWidth="1"/>
  </cols>
  <sheetData>
    <row r="1" spans="1:21" x14ac:dyDescent="0.35">
      <c r="A1" s="13" t="s">
        <v>16</v>
      </c>
      <c r="B1" s="13"/>
      <c r="C1" s="14"/>
      <c r="D1" s="14"/>
      <c r="E1" s="14"/>
      <c r="F1" s="14"/>
      <c r="G1" s="14"/>
      <c r="H1" s="14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</row>
    <row r="2" spans="1:21" x14ac:dyDescent="0.35">
      <c r="A2" s="13" t="s">
        <v>20</v>
      </c>
      <c r="B2" s="13"/>
      <c r="C2" s="14" t="s">
        <v>29</v>
      </c>
      <c r="D2" s="14"/>
      <c r="E2" s="14"/>
      <c r="F2" s="14"/>
      <c r="G2" s="14"/>
      <c r="H2" s="14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</row>
    <row r="3" spans="1:21" x14ac:dyDescent="0.35">
      <c r="A3" s="14"/>
      <c r="B3" s="13"/>
      <c r="C3" s="14" t="s">
        <v>30</v>
      </c>
      <c r="D3" s="14"/>
      <c r="E3" s="14"/>
      <c r="F3" s="14"/>
      <c r="G3" s="14"/>
      <c r="H3" s="14"/>
      <c r="J3" s="62"/>
      <c r="K3" s="62"/>
      <c r="L3" s="62"/>
      <c r="M3" s="62"/>
      <c r="N3" s="62"/>
      <c r="O3" s="62"/>
      <c r="P3" s="62"/>
      <c r="Q3" s="63" t="s">
        <v>94</v>
      </c>
      <c r="R3" s="63">
        <f>COUNT(R7:R41)</f>
        <v>35</v>
      </c>
      <c r="S3" s="62"/>
      <c r="T3" s="63" t="s">
        <v>94</v>
      </c>
      <c r="U3" s="63">
        <f>COUNT(U7:U41)</f>
        <v>35</v>
      </c>
    </row>
    <row r="4" spans="1:21" x14ac:dyDescent="0.35">
      <c r="A4" s="15" t="s">
        <v>15</v>
      </c>
      <c r="B4" s="13"/>
      <c r="C4" s="14"/>
      <c r="D4" s="14"/>
      <c r="E4" s="14"/>
      <c r="F4" s="14"/>
      <c r="G4" s="14"/>
      <c r="H4" s="14"/>
      <c r="J4" s="62"/>
      <c r="K4" s="62"/>
      <c r="L4" s="62"/>
      <c r="M4" s="62"/>
      <c r="N4" s="62"/>
      <c r="O4" s="62"/>
      <c r="P4" s="62"/>
      <c r="Q4" s="63" t="s">
        <v>159</v>
      </c>
      <c r="R4" s="64">
        <f>MAX(R7:R41)</f>
        <v>5.7670221467666591</v>
      </c>
      <c r="S4" s="62"/>
      <c r="T4" s="63" t="s">
        <v>159</v>
      </c>
      <c r="U4" s="64">
        <f>MAX(U7:U41)</f>
        <v>11.81951117567284</v>
      </c>
    </row>
    <row r="5" spans="1:21" x14ac:dyDescent="0.35">
      <c r="A5" s="16" t="s">
        <v>0</v>
      </c>
      <c r="B5" s="16"/>
      <c r="C5" s="16"/>
      <c r="D5" s="16"/>
      <c r="E5" s="16"/>
      <c r="F5" s="16"/>
      <c r="G5" s="16"/>
      <c r="H5" s="16"/>
      <c r="J5" s="65" t="s">
        <v>32</v>
      </c>
      <c r="K5" s="66"/>
      <c r="L5" s="66"/>
      <c r="M5" s="66"/>
      <c r="N5" s="66"/>
      <c r="O5" s="66"/>
      <c r="P5" s="66"/>
      <c r="Q5" s="63" t="s">
        <v>160</v>
      </c>
      <c r="R5" s="64">
        <f>MIN(R7:R41)</f>
        <v>0.72087346137246833</v>
      </c>
      <c r="S5" s="66"/>
      <c r="T5" s="63" t="s">
        <v>160</v>
      </c>
      <c r="U5" s="64">
        <f>MIN(U7:U41)</f>
        <v>2.9572454845533476</v>
      </c>
    </row>
    <row r="6" spans="1:21" s="6" customFormat="1" ht="38.5" customHeight="1" x14ac:dyDescent="0.45">
      <c r="A6" s="17" t="s">
        <v>1</v>
      </c>
      <c r="B6" s="17" t="s">
        <v>22</v>
      </c>
      <c r="C6" s="17" t="s">
        <v>2</v>
      </c>
      <c r="D6" s="17" t="s">
        <v>21</v>
      </c>
      <c r="E6" s="17" t="s">
        <v>3</v>
      </c>
      <c r="F6" s="17" t="s">
        <v>4</v>
      </c>
      <c r="G6" s="17" t="s">
        <v>5</v>
      </c>
      <c r="H6" s="17" t="s">
        <v>6</v>
      </c>
      <c r="J6" s="65" t="s">
        <v>33</v>
      </c>
      <c r="K6" s="65" t="s">
        <v>34</v>
      </c>
      <c r="L6" s="67" t="s">
        <v>35</v>
      </c>
      <c r="M6" s="65" t="s">
        <v>36</v>
      </c>
      <c r="N6" s="65" t="s">
        <v>2</v>
      </c>
      <c r="O6" s="65" t="s">
        <v>21</v>
      </c>
      <c r="P6" s="65" t="s">
        <v>3</v>
      </c>
      <c r="Q6" s="65" t="s">
        <v>4</v>
      </c>
      <c r="R6" s="65" t="s">
        <v>219</v>
      </c>
      <c r="S6" s="65" t="s">
        <v>6</v>
      </c>
      <c r="T6" s="68" t="s">
        <v>220</v>
      </c>
      <c r="U6" s="65" t="s">
        <v>221</v>
      </c>
    </row>
    <row r="7" spans="1:21" ht="52" customHeight="1" x14ac:dyDescent="0.45">
      <c r="A7" s="16" t="s">
        <v>7</v>
      </c>
      <c r="B7" s="18" t="s">
        <v>24</v>
      </c>
      <c r="C7" s="16" t="s">
        <v>8</v>
      </c>
      <c r="D7" s="19">
        <v>1</v>
      </c>
      <c r="E7" s="16" t="s">
        <v>9</v>
      </c>
      <c r="F7" s="16" t="s">
        <v>17</v>
      </c>
      <c r="G7" s="19">
        <f>((100+D7)-100)/(SQRT(3))</f>
        <v>0.57735026918962584</v>
      </c>
      <c r="H7" s="16" t="s">
        <v>10</v>
      </c>
      <c r="J7" s="66" t="s">
        <v>124</v>
      </c>
      <c r="K7" s="69">
        <v>52.195956883355329</v>
      </c>
      <c r="L7" s="69">
        <v>17.569978714007409</v>
      </c>
      <c r="M7" s="66">
        <v>153</v>
      </c>
      <c r="N7" s="66"/>
      <c r="O7" s="70">
        <f>L7/K7*100</f>
        <v>33.661570288426432</v>
      </c>
      <c r="P7" s="66" t="s">
        <v>13</v>
      </c>
      <c r="Q7" s="62" t="s">
        <v>19</v>
      </c>
      <c r="R7" s="70">
        <f>O7/SQRT(153)</f>
        <v>2.7213766632026535</v>
      </c>
      <c r="S7" s="66" t="s">
        <v>10</v>
      </c>
      <c r="T7" s="70">
        <f>SQRT((R7)^2+($G$9)^2)</f>
        <v>3.0120686595246591</v>
      </c>
      <c r="U7" s="70">
        <f>T7*2</f>
        <v>6.0241373190493182</v>
      </c>
    </row>
    <row r="8" spans="1:21" ht="48" customHeight="1" x14ac:dyDescent="0.45">
      <c r="A8" s="16" t="s">
        <v>11</v>
      </c>
      <c r="B8" s="18" t="s">
        <v>25</v>
      </c>
      <c r="C8" s="16" t="s">
        <v>12</v>
      </c>
      <c r="D8" s="20">
        <v>2</v>
      </c>
      <c r="E8" s="14" t="s">
        <v>9</v>
      </c>
      <c r="F8" s="14" t="s">
        <v>18</v>
      </c>
      <c r="G8" s="19">
        <f>((100+D8)-100)/(SQRT(3))</f>
        <v>1.1547005383792517</v>
      </c>
      <c r="H8" s="14" t="s">
        <v>10</v>
      </c>
      <c r="J8" s="66" t="s">
        <v>125</v>
      </c>
      <c r="K8" s="69">
        <v>22.768084375395805</v>
      </c>
      <c r="L8" s="70">
        <v>7.1804667678293841</v>
      </c>
      <c r="M8" s="62">
        <v>13</v>
      </c>
      <c r="N8" s="66"/>
      <c r="O8" s="70">
        <f t="shared" ref="O8:O10" si="0">L8/K8*100</f>
        <v>31.537421635651143</v>
      </c>
      <c r="P8" s="66" t="s">
        <v>13</v>
      </c>
      <c r="Q8" s="62" t="s">
        <v>19</v>
      </c>
      <c r="R8" s="70">
        <f>O8/SQRT(208)</f>
        <v>2.1867267462166846</v>
      </c>
      <c r="S8" s="66" t="s">
        <v>10</v>
      </c>
      <c r="T8" s="70">
        <f t="shared" ref="T8:T10" si="1">SQRT((R8)^2+($G$9)^2)</f>
        <v>2.5393779807831041</v>
      </c>
      <c r="U8" s="70">
        <f t="shared" ref="U8:U10" si="2">T8*2</f>
        <v>5.0787559615662081</v>
      </c>
    </row>
    <row r="9" spans="1:21" ht="48" customHeight="1" x14ac:dyDescent="0.45">
      <c r="A9" s="16" t="s">
        <v>23</v>
      </c>
      <c r="B9" s="18" t="s">
        <v>26</v>
      </c>
      <c r="C9" s="16"/>
      <c r="D9" s="20"/>
      <c r="E9" s="14" t="s">
        <v>14</v>
      </c>
      <c r="F9" s="14"/>
      <c r="G9" s="20">
        <f>SQRT((G7^2)+(G8^2))</f>
        <v>1.2909944487358058</v>
      </c>
      <c r="H9" s="14" t="s">
        <v>10</v>
      </c>
      <c r="J9" s="66" t="s">
        <v>126</v>
      </c>
      <c r="K9" s="69">
        <v>17.596074932365081</v>
      </c>
      <c r="L9" s="69">
        <v>8.0016628153911356</v>
      </c>
      <c r="M9" s="66">
        <v>32</v>
      </c>
      <c r="N9" s="66"/>
      <c r="O9" s="70">
        <f t="shared" si="0"/>
        <v>45.474134692808086</v>
      </c>
      <c r="P9" s="66" t="s">
        <v>13</v>
      </c>
      <c r="Q9" s="62" t="s">
        <v>19</v>
      </c>
      <c r="R9" s="70">
        <f>O9/SQRT(102)</f>
        <v>4.5026102735074272</v>
      </c>
      <c r="S9" s="66" t="s">
        <v>10</v>
      </c>
      <c r="T9" s="70">
        <f t="shared" si="1"/>
        <v>4.6840330850412766</v>
      </c>
      <c r="U9" s="70">
        <f t="shared" si="2"/>
        <v>9.3680661700825532</v>
      </c>
    </row>
    <row r="10" spans="1:21" ht="48" customHeight="1" x14ac:dyDescent="0.35">
      <c r="A10" s="16" t="s">
        <v>27</v>
      </c>
      <c r="B10" s="18" t="s">
        <v>31</v>
      </c>
      <c r="C10" s="16" t="s">
        <v>28</v>
      </c>
      <c r="D10" s="20"/>
      <c r="E10" s="14" t="s">
        <v>14</v>
      </c>
      <c r="F10" s="14"/>
      <c r="G10" s="19">
        <f>G9*2</f>
        <v>2.5819888974716116</v>
      </c>
      <c r="H10" s="14" t="s">
        <v>10</v>
      </c>
      <c r="J10" s="66" t="s">
        <v>127</v>
      </c>
      <c r="K10" s="69">
        <v>6.1337480117361292</v>
      </c>
      <c r="L10" s="69">
        <v>1.5776519606993851</v>
      </c>
      <c r="M10" s="66">
        <v>25</v>
      </c>
      <c r="N10" s="66"/>
      <c r="O10" s="70">
        <f t="shared" si="0"/>
        <v>25.720847313596078</v>
      </c>
      <c r="P10" s="66" t="s">
        <v>13</v>
      </c>
      <c r="Q10" s="62" t="s">
        <v>19</v>
      </c>
      <c r="R10" s="70">
        <f>O10/SQRT(102)</f>
        <v>2.5467433770835353</v>
      </c>
      <c r="S10" s="66" t="s">
        <v>10</v>
      </c>
      <c r="T10" s="70">
        <f t="shared" si="1"/>
        <v>2.8552703016326699</v>
      </c>
      <c r="U10" s="70">
        <f t="shared" si="2"/>
        <v>5.7105406032653399</v>
      </c>
    </row>
    <row r="11" spans="1:21" ht="68.5" customHeight="1" x14ac:dyDescent="0.35">
      <c r="A11" s="1"/>
      <c r="B11" s="1"/>
      <c r="C11" s="1"/>
      <c r="D11" s="3"/>
      <c r="E11" s="1"/>
      <c r="G11" s="3"/>
      <c r="H11" s="1"/>
      <c r="J11" s="66" t="s">
        <v>132</v>
      </c>
      <c r="K11" s="70">
        <v>5.8714682163144971</v>
      </c>
      <c r="L11" s="70">
        <v>2.6154245244120089</v>
      </c>
      <c r="M11" s="62">
        <v>102</v>
      </c>
      <c r="N11" s="62"/>
      <c r="O11" s="70">
        <f t="shared" ref="O11:O15" si="3">L11/K11*100</f>
        <v>44.544642465146531</v>
      </c>
      <c r="P11" s="66" t="s">
        <v>13</v>
      </c>
      <c r="Q11" s="62" t="s">
        <v>19</v>
      </c>
      <c r="R11" s="70">
        <f t="shared" ref="R11:R15" si="4">O11/SQRT(102)</f>
        <v>4.4105768289639267</v>
      </c>
      <c r="S11" s="66" t="s">
        <v>10</v>
      </c>
      <c r="T11" s="70">
        <f t="shared" ref="T11:T15" si="5">SQRT((R11)^2+($G$9)^2)</f>
        <v>4.5956343012537619</v>
      </c>
      <c r="U11" s="70">
        <f t="shared" ref="U11:U21" si="6">T11*2</f>
        <v>9.1912686025075239</v>
      </c>
    </row>
    <row r="12" spans="1:21" ht="49.5" customHeight="1" x14ac:dyDescent="0.35">
      <c r="A12" s="1"/>
      <c r="B12" s="1"/>
      <c r="D12" s="3"/>
      <c r="E12" s="1"/>
      <c r="G12" s="3"/>
      <c r="H12" s="1"/>
      <c r="J12" s="66" t="s">
        <v>128</v>
      </c>
      <c r="K12" s="69">
        <v>27.465642269733923</v>
      </c>
      <c r="L12" s="69">
        <v>7.5876390976147441</v>
      </c>
      <c r="M12" s="66">
        <v>157</v>
      </c>
      <c r="N12" s="66"/>
      <c r="O12" s="70">
        <f t="shared" si="3"/>
        <v>27.625929964055601</v>
      </c>
      <c r="P12" s="66" t="s">
        <v>13</v>
      </c>
      <c r="Q12" s="62" t="s">
        <v>19</v>
      </c>
      <c r="R12" s="70">
        <f t="shared" si="4"/>
        <v>2.7353746676355337</v>
      </c>
      <c r="S12" s="66" t="s">
        <v>10</v>
      </c>
      <c r="T12" s="70">
        <f t="shared" si="5"/>
        <v>3.0247216795944838</v>
      </c>
      <c r="U12" s="70">
        <f t="shared" si="6"/>
        <v>6.0494433591889676</v>
      </c>
    </row>
    <row r="13" spans="1:21" ht="39.5" customHeight="1" x14ac:dyDescent="0.35">
      <c r="A13" s="1"/>
      <c r="B13" s="1"/>
      <c r="D13" s="3"/>
      <c r="E13" s="1"/>
      <c r="G13" s="2"/>
      <c r="H13" s="1"/>
      <c r="J13" s="66" t="s">
        <v>129</v>
      </c>
      <c r="K13" s="69">
        <v>23.687831677873916</v>
      </c>
      <c r="L13" s="69">
        <v>6.6686214157990751</v>
      </c>
      <c r="M13" s="66">
        <v>89</v>
      </c>
      <c r="N13" s="66"/>
      <c r="O13" s="70">
        <f t="shared" si="3"/>
        <v>28.152097272913469</v>
      </c>
      <c r="P13" s="66" t="s">
        <v>13</v>
      </c>
      <c r="Q13" s="62" t="s">
        <v>19</v>
      </c>
      <c r="R13" s="70">
        <f t="shared" si="4"/>
        <v>2.7874729944415608</v>
      </c>
      <c r="S13" s="66" t="s">
        <v>10</v>
      </c>
      <c r="T13" s="70">
        <f t="shared" si="5"/>
        <v>3.0719167243608134</v>
      </c>
      <c r="U13" s="70">
        <f t="shared" si="6"/>
        <v>6.1438334487216268</v>
      </c>
    </row>
    <row r="14" spans="1:21" x14ac:dyDescent="0.35">
      <c r="A14" s="1"/>
      <c r="B14" s="1"/>
      <c r="J14" s="66" t="s">
        <v>130</v>
      </c>
      <c r="K14" s="69">
        <v>18.196117420197684</v>
      </c>
      <c r="L14" s="69">
        <v>6.6559949457249044</v>
      </c>
      <c r="M14" s="66">
        <v>58</v>
      </c>
      <c r="N14" s="62"/>
      <c r="O14" s="70">
        <f t="shared" si="3"/>
        <v>36.579204189662754</v>
      </c>
      <c r="P14" s="66" t="s">
        <v>13</v>
      </c>
      <c r="Q14" s="62" t="s">
        <v>19</v>
      </c>
      <c r="R14" s="70">
        <f t="shared" si="4"/>
        <v>3.6218809152436648</v>
      </c>
      <c r="S14" s="66" t="s">
        <v>10</v>
      </c>
      <c r="T14" s="70">
        <f t="shared" si="5"/>
        <v>3.845086218912777</v>
      </c>
      <c r="U14" s="70">
        <f t="shared" si="6"/>
        <v>7.690172437825554</v>
      </c>
    </row>
    <row r="15" spans="1:21" ht="44" customHeight="1" x14ac:dyDescent="0.35">
      <c r="A15" s="1"/>
      <c r="B15" s="1"/>
      <c r="D15" s="3"/>
      <c r="E15" s="1"/>
      <c r="G15" s="3"/>
      <c r="H15" s="1"/>
      <c r="J15" s="66" t="s">
        <v>131</v>
      </c>
      <c r="K15" s="69">
        <v>5.7646107838762539</v>
      </c>
      <c r="L15" s="69">
        <v>1.2239862489719446</v>
      </c>
      <c r="M15" s="66">
        <v>54</v>
      </c>
      <c r="N15" s="62"/>
      <c r="O15" s="70">
        <f t="shared" si="3"/>
        <v>21.232764792992821</v>
      </c>
      <c r="P15" s="66" t="s">
        <v>13</v>
      </c>
      <c r="Q15" s="62" t="s">
        <v>19</v>
      </c>
      <c r="R15" s="70">
        <f t="shared" si="4"/>
        <v>2.1023569890383476</v>
      </c>
      <c r="S15" s="66" t="s">
        <v>10</v>
      </c>
      <c r="T15" s="70">
        <f t="shared" si="5"/>
        <v>2.4670978043087497</v>
      </c>
      <c r="U15" s="70">
        <f t="shared" si="6"/>
        <v>4.9341956086174994</v>
      </c>
    </row>
    <row r="16" spans="1:21" ht="37.5" customHeight="1" x14ac:dyDescent="0.35">
      <c r="A16" s="1"/>
      <c r="B16" s="1"/>
      <c r="D16" s="3"/>
      <c r="E16" s="1"/>
      <c r="G16" s="3"/>
      <c r="H16" s="1"/>
      <c r="J16" s="66" t="s">
        <v>133</v>
      </c>
      <c r="K16" s="69">
        <v>4.7022544916472526</v>
      </c>
      <c r="L16" s="69">
        <v>1.2858617052494923</v>
      </c>
      <c r="M16" s="66">
        <v>75</v>
      </c>
      <c r="N16" s="62"/>
      <c r="O16" s="70">
        <f t="shared" ref="O16:O22" si="7">L16/K16*100</f>
        <v>27.345642553664518</v>
      </c>
      <c r="P16" s="66" t="s">
        <v>13</v>
      </c>
      <c r="Q16" s="62" t="s">
        <v>19</v>
      </c>
      <c r="R16" s="70">
        <f t="shared" ref="R16:R22" si="8">O16/SQRT(102)</f>
        <v>2.7076220785629315</v>
      </c>
      <c r="S16" s="66" t="s">
        <v>10</v>
      </c>
      <c r="T16" s="70">
        <f t="shared" ref="T16:T22" si="9">SQRT((R16)^2+($G$9)^2)</f>
        <v>2.9996473104330308</v>
      </c>
      <c r="U16" s="70">
        <f t="shared" si="6"/>
        <v>5.9992946208660616</v>
      </c>
    </row>
    <row r="17" spans="10:21" x14ac:dyDescent="0.35">
      <c r="J17" s="66" t="s">
        <v>134</v>
      </c>
      <c r="K17" s="69">
        <v>27.339020305213221</v>
      </c>
      <c r="L17" s="69">
        <v>15.923357755055527</v>
      </c>
      <c r="M17" s="66">
        <v>5</v>
      </c>
      <c r="N17" s="62"/>
      <c r="O17" s="70">
        <f t="shared" si="7"/>
        <v>58.244068650913341</v>
      </c>
      <c r="P17" s="66" t="s">
        <v>13</v>
      </c>
      <c r="Q17" s="62" t="s">
        <v>19</v>
      </c>
      <c r="R17" s="70">
        <f t="shared" si="8"/>
        <v>5.7670221467666591</v>
      </c>
      <c r="S17" s="66" t="s">
        <v>10</v>
      </c>
      <c r="T17" s="70">
        <f t="shared" si="9"/>
        <v>5.9097555878364201</v>
      </c>
      <c r="U17" s="70">
        <f t="shared" si="6"/>
        <v>11.81951117567284</v>
      </c>
    </row>
    <row r="18" spans="10:21" ht="29" x14ac:dyDescent="0.35">
      <c r="J18" s="66" t="s">
        <v>135</v>
      </c>
      <c r="K18" s="69">
        <v>17.33377260623341</v>
      </c>
      <c r="L18" s="69">
        <v>4.4561865531354714</v>
      </c>
      <c r="M18" s="66">
        <v>30</v>
      </c>
      <c r="N18" s="62"/>
      <c r="O18" s="70">
        <f t="shared" si="7"/>
        <v>25.708117063523606</v>
      </c>
      <c r="P18" s="66" t="s">
        <v>13</v>
      </c>
      <c r="Q18" s="62" t="s">
        <v>19</v>
      </c>
      <c r="R18" s="70">
        <f t="shared" si="8"/>
        <v>2.5454828945004615</v>
      </c>
      <c r="S18" s="66" t="s">
        <v>10</v>
      </c>
      <c r="T18" s="70">
        <f t="shared" si="9"/>
        <v>2.8541460777018957</v>
      </c>
      <c r="U18" s="70">
        <f t="shared" si="6"/>
        <v>5.7082921554037913</v>
      </c>
    </row>
    <row r="19" spans="10:21" x14ac:dyDescent="0.35">
      <c r="J19" s="66" t="s">
        <v>136</v>
      </c>
      <c r="K19" s="70">
        <v>15.50311785604063</v>
      </c>
      <c r="L19" s="70">
        <v>4.0606895063447759</v>
      </c>
      <c r="M19" s="62">
        <v>157</v>
      </c>
      <c r="N19" s="62"/>
      <c r="O19" s="70">
        <f t="shared" si="7"/>
        <v>26.192728095417078</v>
      </c>
      <c r="P19" s="66" t="s">
        <v>13</v>
      </c>
      <c r="Q19" s="62" t="s">
        <v>19</v>
      </c>
      <c r="R19" s="70">
        <f t="shared" si="8"/>
        <v>2.5934665367533327</v>
      </c>
      <c r="S19" s="66" t="s">
        <v>10</v>
      </c>
      <c r="T19" s="70">
        <f t="shared" si="9"/>
        <v>2.8970218059113733</v>
      </c>
      <c r="U19" s="70">
        <f t="shared" si="6"/>
        <v>5.7940436118227465</v>
      </c>
    </row>
    <row r="20" spans="10:21" x14ac:dyDescent="0.35">
      <c r="J20" s="71" t="s">
        <v>137</v>
      </c>
      <c r="K20" s="69">
        <v>6.2058852535949764</v>
      </c>
      <c r="L20" s="69">
        <v>1.508395743044195</v>
      </c>
      <c r="M20" s="66">
        <v>157</v>
      </c>
      <c r="N20" s="66"/>
      <c r="O20" s="70">
        <f t="shared" si="7"/>
        <v>24.305891607815404</v>
      </c>
      <c r="P20" s="66" t="s">
        <v>13</v>
      </c>
      <c r="Q20" s="62" t="s">
        <v>19</v>
      </c>
      <c r="R20" s="70">
        <f t="shared" si="8"/>
        <v>2.4066418855335789</v>
      </c>
      <c r="S20" s="66" t="s">
        <v>10</v>
      </c>
      <c r="T20" s="70">
        <f t="shared" si="9"/>
        <v>2.7310422610921434</v>
      </c>
      <c r="U20" s="70">
        <f t="shared" si="6"/>
        <v>5.4620845221842869</v>
      </c>
    </row>
    <row r="21" spans="10:21" x14ac:dyDescent="0.35">
      <c r="J21" s="66" t="s">
        <v>138</v>
      </c>
      <c r="K21" s="69">
        <v>4.9745068578500122</v>
      </c>
      <c r="L21" s="69">
        <v>1.1060932318232304</v>
      </c>
      <c r="M21" s="66">
        <v>143</v>
      </c>
      <c r="N21" s="66"/>
      <c r="O21" s="70">
        <f t="shared" si="7"/>
        <v>22.235233831827205</v>
      </c>
      <c r="P21" s="66" t="s">
        <v>13</v>
      </c>
      <c r="Q21" s="62" t="s">
        <v>19</v>
      </c>
      <c r="R21" s="70">
        <f t="shared" si="8"/>
        <v>2.2016162146095533</v>
      </c>
      <c r="S21" s="66" t="s">
        <v>10</v>
      </c>
      <c r="T21" s="70">
        <f t="shared" si="9"/>
        <v>2.5522109284105743</v>
      </c>
      <c r="U21" s="70">
        <f t="shared" si="6"/>
        <v>5.1044218568211486</v>
      </c>
    </row>
    <row r="22" spans="10:21" ht="29" x14ac:dyDescent="0.35">
      <c r="J22" s="66" t="s">
        <v>139</v>
      </c>
      <c r="K22" s="69">
        <v>31.158424219783004</v>
      </c>
      <c r="L22" s="69">
        <v>13.910777428773006</v>
      </c>
      <c r="M22" s="66">
        <v>67</v>
      </c>
      <c r="N22" s="66"/>
      <c r="O22" s="70">
        <f t="shared" si="7"/>
        <v>44.645317525206622</v>
      </c>
      <c r="P22" s="66" t="s">
        <v>13</v>
      </c>
      <c r="Q22" s="62" t="s">
        <v>19</v>
      </c>
      <c r="R22" s="70">
        <f t="shared" si="8"/>
        <v>4.4205451452996796</v>
      </c>
      <c r="S22" s="66" t="s">
        <v>10</v>
      </c>
      <c r="T22" s="70">
        <f t="shared" si="9"/>
        <v>4.6052020637860434</v>
      </c>
      <c r="U22" s="70">
        <f t="shared" ref="U22" si="10">T22*2</f>
        <v>9.2104041275720867</v>
      </c>
    </row>
    <row r="23" spans="10:21" ht="29" x14ac:dyDescent="0.35">
      <c r="J23" s="66" t="s">
        <v>140</v>
      </c>
      <c r="K23" s="70">
        <v>19.379683304944127</v>
      </c>
      <c r="L23" s="70">
        <v>5.708443964393731</v>
      </c>
      <c r="M23" s="62">
        <v>75</v>
      </c>
      <c r="N23" s="62"/>
      <c r="O23" s="70">
        <f t="shared" ref="O23:O26" si="11">L23/K23*100</f>
        <v>29.455816560931098</v>
      </c>
      <c r="P23" s="66" t="s">
        <v>13</v>
      </c>
      <c r="Q23" s="62" t="s">
        <v>19</v>
      </c>
      <c r="R23" s="70">
        <f t="shared" ref="R23:R26" si="12">O23/SQRT(102)</f>
        <v>2.916560439417756</v>
      </c>
      <c r="S23" s="66" t="s">
        <v>10</v>
      </c>
      <c r="T23" s="70">
        <f t="shared" ref="T23:T26" si="13">SQRT((R23)^2+($G$9)^2)</f>
        <v>3.1895127313499412</v>
      </c>
      <c r="U23" s="70">
        <f t="shared" ref="U23:U26" si="14">T23*2</f>
        <v>6.3790254626998824</v>
      </c>
    </row>
    <row r="24" spans="10:21" ht="29" x14ac:dyDescent="0.35">
      <c r="J24" s="66" t="s">
        <v>141</v>
      </c>
      <c r="K24" s="69">
        <v>15.252450243935678</v>
      </c>
      <c r="L24" s="69">
        <v>5.1976729516877871</v>
      </c>
      <c r="M24" s="66">
        <v>157</v>
      </c>
      <c r="N24" s="66"/>
      <c r="O24" s="70">
        <f t="shared" si="11"/>
        <v>34.077626011298506</v>
      </c>
      <c r="P24" s="66" t="s">
        <v>13</v>
      </c>
      <c r="Q24" s="62" t="s">
        <v>19</v>
      </c>
      <c r="R24" s="70">
        <f t="shared" si="12"/>
        <v>3.3741877665565223</v>
      </c>
      <c r="S24" s="66" t="s">
        <v>10</v>
      </c>
      <c r="T24" s="70">
        <f t="shared" si="13"/>
        <v>3.6127288509721236</v>
      </c>
      <c r="U24" s="70">
        <f t="shared" si="14"/>
        <v>7.2254577019442472</v>
      </c>
    </row>
    <row r="25" spans="10:21" ht="29" x14ac:dyDescent="0.35">
      <c r="J25" s="66" t="s">
        <v>142</v>
      </c>
      <c r="K25" s="69">
        <v>5.6653751417028841</v>
      </c>
      <c r="L25" s="69">
        <v>1.9505380083903965</v>
      </c>
      <c r="M25" s="66">
        <v>157</v>
      </c>
      <c r="N25" s="62"/>
      <c r="O25" s="70">
        <f t="shared" si="11"/>
        <v>34.429105921556122</v>
      </c>
      <c r="P25" s="66" t="s">
        <v>13</v>
      </c>
      <c r="Q25" s="62" t="s">
        <v>19</v>
      </c>
      <c r="R25" s="70">
        <f t="shared" si="12"/>
        <v>3.4089894635112463</v>
      </c>
      <c r="S25" s="66" t="s">
        <v>10</v>
      </c>
      <c r="T25" s="70">
        <f t="shared" si="13"/>
        <v>3.6452538771664948</v>
      </c>
      <c r="U25" s="70">
        <f t="shared" si="14"/>
        <v>7.2905077543329897</v>
      </c>
    </row>
    <row r="26" spans="10:21" ht="29" x14ac:dyDescent="0.35">
      <c r="J26" s="66" t="s">
        <v>143</v>
      </c>
      <c r="K26" s="69">
        <v>4.0727340703175443</v>
      </c>
      <c r="L26" s="69">
        <v>1.2336814996270804</v>
      </c>
      <c r="M26" s="66">
        <v>103</v>
      </c>
      <c r="N26" s="62"/>
      <c r="O26" s="70">
        <f t="shared" si="11"/>
        <v>30.29123626357692</v>
      </c>
      <c r="P26" s="66" t="s">
        <v>13</v>
      </c>
      <c r="Q26" s="62" t="s">
        <v>19</v>
      </c>
      <c r="R26" s="70">
        <f t="shared" si="12"/>
        <v>2.9992793160106626</v>
      </c>
      <c r="S26" s="66" t="s">
        <v>10</v>
      </c>
      <c r="T26" s="70">
        <f t="shared" si="13"/>
        <v>3.2653243456226604</v>
      </c>
      <c r="U26" s="70">
        <f t="shared" si="14"/>
        <v>6.5306486912453208</v>
      </c>
    </row>
    <row r="27" spans="10:21" ht="29" x14ac:dyDescent="0.35">
      <c r="J27" s="66" t="s">
        <v>145</v>
      </c>
      <c r="K27" s="70">
        <v>43.711287109149033</v>
      </c>
      <c r="L27" s="70">
        <v>11.258120400241632</v>
      </c>
      <c r="M27" s="62">
        <v>208</v>
      </c>
      <c r="N27" s="62"/>
      <c r="O27" s="70">
        <f t="shared" ref="O27:O41" si="15">L27/K27*100</f>
        <v>25.755636918513979</v>
      </c>
      <c r="P27" s="66" t="s">
        <v>13</v>
      </c>
      <c r="Q27" s="62" t="s">
        <v>19</v>
      </c>
      <c r="R27" s="70">
        <f t="shared" ref="R27:R41" si="16">O27/SQRT(102)</f>
        <v>2.5501880612665939</v>
      </c>
      <c r="S27" s="66" t="s">
        <v>10</v>
      </c>
      <c r="T27" s="70">
        <f t="shared" ref="T27:T41" si="17">SQRT((R27)^2+($G$9)^2)</f>
        <v>2.8583431939662765</v>
      </c>
      <c r="U27" s="70">
        <f t="shared" ref="U27:U41" si="18">T27*2</f>
        <v>5.7166863879325529</v>
      </c>
    </row>
    <row r="28" spans="10:21" ht="29" x14ac:dyDescent="0.35">
      <c r="J28" s="66" t="s">
        <v>144</v>
      </c>
      <c r="K28" s="70">
        <v>29.163063190515395</v>
      </c>
      <c r="L28" s="70">
        <v>11.410587249910254</v>
      </c>
      <c r="M28" s="62">
        <v>145</v>
      </c>
      <c r="N28" s="62"/>
      <c r="O28" s="70">
        <f t="shared" si="15"/>
        <v>39.126847462379331</v>
      </c>
      <c r="P28" s="66" t="s">
        <v>13</v>
      </c>
      <c r="Q28" s="62" t="s">
        <v>19</v>
      </c>
      <c r="R28" s="70">
        <f t="shared" si="16"/>
        <v>3.8741351879298023</v>
      </c>
      <c r="S28" s="66" t="s">
        <v>10</v>
      </c>
      <c r="T28" s="70">
        <f t="shared" si="17"/>
        <v>4.083575653887479</v>
      </c>
      <c r="U28" s="70">
        <f t="shared" si="18"/>
        <v>8.167151307774958</v>
      </c>
    </row>
    <row r="29" spans="10:21" ht="45.5" x14ac:dyDescent="0.35">
      <c r="J29" s="66" t="s">
        <v>146</v>
      </c>
      <c r="K29" s="70">
        <v>52.15592446964547</v>
      </c>
      <c r="L29" s="70">
        <v>4.3904078367103114</v>
      </c>
      <c r="M29" s="62">
        <v>220</v>
      </c>
      <c r="N29" s="62"/>
      <c r="O29" s="70">
        <f t="shared" si="15"/>
        <v>8.4178506686532035</v>
      </c>
      <c r="P29" s="66" t="s">
        <v>13</v>
      </c>
      <c r="Q29" s="62" t="s">
        <v>19</v>
      </c>
      <c r="R29" s="70">
        <f t="shared" si="16"/>
        <v>0.83349141567115248</v>
      </c>
      <c r="S29" s="66" t="s">
        <v>10</v>
      </c>
      <c r="T29" s="70">
        <f t="shared" si="17"/>
        <v>1.536676480806604</v>
      </c>
      <c r="U29" s="70">
        <f t="shared" si="18"/>
        <v>3.073352961613208</v>
      </c>
    </row>
    <row r="30" spans="10:21" ht="31" x14ac:dyDescent="0.35">
      <c r="J30" s="66" t="s">
        <v>147</v>
      </c>
      <c r="K30" s="70">
        <v>38.90294639566725</v>
      </c>
      <c r="L30" s="70">
        <v>10.408750883252072</v>
      </c>
      <c r="M30" s="62">
        <v>220</v>
      </c>
      <c r="N30" s="62"/>
      <c r="O30" s="70">
        <f t="shared" si="15"/>
        <v>26.755687801609106</v>
      </c>
      <c r="P30" s="66" t="s">
        <v>13</v>
      </c>
      <c r="Q30" s="62" t="s">
        <v>19</v>
      </c>
      <c r="R30" s="70">
        <f t="shared" si="16"/>
        <v>2.6492078537414234</v>
      </c>
      <c r="S30" s="66" t="s">
        <v>10</v>
      </c>
      <c r="T30" s="70">
        <f t="shared" si="17"/>
        <v>2.9470271323813608</v>
      </c>
      <c r="U30" s="70">
        <f t="shared" si="18"/>
        <v>5.8940542647627217</v>
      </c>
    </row>
    <row r="31" spans="10:21" ht="47.5" x14ac:dyDescent="0.35">
      <c r="J31" s="66" t="s">
        <v>148</v>
      </c>
      <c r="K31" s="70">
        <v>86.835434490560786</v>
      </c>
      <c r="L31" s="70">
        <v>13.788851627627913</v>
      </c>
      <c r="M31" s="62">
        <v>465</v>
      </c>
      <c r="N31" s="62"/>
      <c r="O31" s="70">
        <f t="shared" si="15"/>
        <v>15.879291338292081</v>
      </c>
      <c r="P31" s="66" t="s">
        <v>13</v>
      </c>
      <c r="Q31" s="62" t="s">
        <v>19</v>
      </c>
      <c r="R31" s="70">
        <f t="shared" si="16"/>
        <v>1.5722841302820691</v>
      </c>
      <c r="S31" s="66" t="s">
        <v>10</v>
      </c>
      <c r="T31" s="70">
        <f t="shared" si="17"/>
        <v>2.0343903393900371</v>
      </c>
      <c r="U31" s="70">
        <f t="shared" si="18"/>
        <v>4.0687806787800742</v>
      </c>
    </row>
    <row r="32" spans="10:21" ht="29" x14ac:dyDescent="0.35">
      <c r="J32" s="66" t="s">
        <v>149</v>
      </c>
      <c r="K32" s="70">
        <v>38.181460937549502</v>
      </c>
      <c r="L32" s="70">
        <v>11.312680765018669</v>
      </c>
      <c r="M32" s="62">
        <v>414</v>
      </c>
      <c r="N32" s="62"/>
      <c r="O32" s="70">
        <f t="shared" si="15"/>
        <v>29.628726840814068</v>
      </c>
      <c r="P32" s="66" t="s">
        <v>13</v>
      </c>
      <c r="Q32" s="62" t="s">
        <v>19</v>
      </c>
      <c r="R32" s="70">
        <f t="shared" si="16"/>
        <v>2.9336811082959091</v>
      </c>
      <c r="S32" s="66" t="s">
        <v>10</v>
      </c>
      <c r="T32" s="70">
        <f t="shared" si="17"/>
        <v>3.2051757380585206</v>
      </c>
      <c r="U32" s="70">
        <f t="shared" si="18"/>
        <v>6.4103514761170413</v>
      </c>
    </row>
    <row r="33" spans="10:21" ht="29" x14ac:dyDescent="0.35">
      <c r="J33" s="66" t="s">
        <v>150</v>
      </c>
      <c r="K33" s="70">
        <v>27.788964672985706</v>
      </c>
      <c r="L33" s="70">
        <v>15.124062466851067</v>
      </c>
      <c r="M33" s="62">
        <v>121</v>
      </c>
      <c r="N33" s="62"/>
      <c r="O33" s="70">
        <f t="shared" si="15"/>
        <v>54.424706515077602</v>
      </c>
      <c r="P33" s="66" t="s">
        <v>13</v>
      </c>
      <c r="Q33" s="62" t="s">
        <v>19</v>
      </c>
      <c r="R33" s="70">
        <f t="shared" si="16"/>
        <v>5.3888489433130689</v>
      </c>
      <c r="S33" s="66" t="s">
        <v>10</v>
      </c>
      <c r="T33" s="70">
        <f t="shared" si="17"/>
        <v>5.541331933796517</v>
      </c>
      <c r="U33" s="70">
        <f t="shared" si="18"/>
        <v>11.082663867593034</v>
      </c>
    </row>
    <row r="34" spans="10:21" ht="45.5" x14ac:dyDescent="0.35">
      <c r="J34" s="66" t="s">
        <v>151</v>
      </c>
      <c r="K34" s="70">
        <v>54.392632197777878</v>
      </c>
      <c r="L34" s="70">
        <v>5.2813923888442407</v>
      </c>
      <c r="M34" s="62">
        <v>232</v>
      </c>
      <c r="N34" s="62"/>
      <c r="O34" s="70">
        <f t="shared" si="15"/>
        <v>9.7097569568622628</v>
      </c>
      <c r="P34" s="66" t="s">
        <v>13</v>
      </c>
      <c r="Q34" s="62" t="s">
        <v>19</v>
      </c>
      <c r="R34" s="70">
        <f t="shared" si="16"/>
        <v>0.961409199373784</v>
      </c>
      <c r="S34" s="66" t="s">
        <v>10</v>
      </c>
      <c r="T34" s="70">
        <f t="shared" si="17"/>
        <v>1.6096503705175256</v>
      </c>
      <c r="U34" s="70">
        <f t="shared" si="18"/>
        <v>3.2193007410350511</v>
      </c>
    </row>
    <row r="35" spans="10:21" ht="31" x14ac:dyDescent="0.35">
      <c r="J35" s="66" t="s">
        <v>152</v>
      </c>
      <c r="K35" s="70">
        <v>31.499823490958104</v>
      </c>
      <c r="L35" s="70">
        <v>8.060921196625392</v>
      </c>
      <c r="M35" s="62">
        <v>233</v>
      </c>
      <c r="N35" s="62"/>
      <c r="O35" s="70">
        <f t="shared" si="15"/>
        <v>25.59036941568656</v>
      </c>
      <c r="P35" s="66" t="s">
        <v>13</v>
      </c>
      <c r="Q35" s="62" t="s">
        <v>19</v>
      </c>
      <c r="R35" s="70">
        <f t="shared" si="16"/>
        <v>2.533824140080748</v>
      </c>
      <c r="S35" s="66" t="s">
        <v>10</v>
      </c>
      <c r="T35" s="70">
        <f t="shared" si="17"/>
        <v>2.8437530552990373</v>
      </c>
      <c r="U35" s="70">
        <f t="shared" si="18"/>
        <v>5.6875061105980746</v>
      </c>
    </row>
    <row r="36" spans="10:21" ht="47.5" x14ac:dyDescent="0.35">
      <c r="J36" s="66" t="s">
        <v>153</v>
      </c>
      <c r="K36" s="70">
        <v>90.984076409021725</v>
      </c>
      <c r="L36" s="70">
        <v>12.429408682712149</v>
      </c>
      <c r="M36" s="62">
        <v>274</v>
      </c>
      <c r="N36" s="62"/>
      <c r="O36" s="70">
        <f t="shared" si="15"/>
        <v>13.66108133783252</v>
      </c>
      <c r="P36" s="66" t="s">
        <v>13</v>
      </c>
      <c r="Q36" s="62" t="s">
        <v>19</v>
      </c>
      <c r="R36" s="70">
        <f t="shared" si="16"/>
        <v>1.3526486121059369</v>
      </c>
      <c r="S36" s="66" t="s">
        <v>10</v>
      </c>
      <c r="T36" s="70">
        <f t="shared" si="17"/>
        <v>1.8698462328487828</v>
      </c>
      <c r="U36" s="70">
        <f t="shared" si="18"/>
        <v>3.7396924656975656</v>
      </c>
    </row>
    <row r="37" spans="10:21" ht="29" x14ac:dyDescent="0.35">
      <c r="J37" s="66" t="s">
        <v>154</v>
      </c>
      <c r="K37" s="70">
        <v>38.515675831014299</v>
      </c>
      <c r="L37" s="70">
        <v>10.837388890286789</v>
      </c>
      <c r="M37" s="62">
        <v>773</v>
      </c>
      <c r="N37" s="62"/>
      <c r="O37" s="70">
        <f t="shared" si="15"/>
        <v>28.137605420284768</v>
      </c>
      <c r="P37" s="66" t="s">
        <v>13</v>
      </c>
      <c r="Q37" s="62" t="s">
        <v>19</v>
      </c>
      <c r="R37" s="70">
        <f t="shared" si="16"/>
        <v>2.7860380872142119</v>
      </c>
      <c r="S37" s="66" t="s">
        <v>10</v>
      </c>
      <c r="T37" s="70">
        <f t="shared" si="17"/>
        <v>3.0706147413954246</v>
      </c>
      <c r="U37" s="70">
        <f t="shared" si="18"/>
        <v>6.1412294827908491</v>
      </c>
    </row>
    <row r="38" spans="10:21" ht="29" x14ac:dyDescent="0.35">
      <c r="J38" s="66" t="s">
        <v>155</v>
      </c>
      <c r="K38" s="70">
        <v>27.515757679757627</v>
      </c>
      <c r="L38" s="70">
        <v>13.846739833448492</v>
      </c>
      <c r="M38" s="62">
        <v>421</v>
      </c>
      <c r="N38" s="62"/>
      <c r="O38" s="70">
        <f t="shared" si="15"/>
        <v>50.322945835633128</v>
      </c>
      <c r="P38" s="66" t="s">
        <v>13</v>
      </c>
      <c r="Q38" s="62" t="s">
        <v>19</v>
      </c>
      <c r="R38" s="70">
        <f t="shared" si="16"/>
        <v>4.9827141174500404</v>
      </c>
      <c r="S38" s="66" t="s">
        <v>10</v>
      </c>
      <c r="T38" s="70">
        <f t="shared" si="17"/>
        <v>5.1472426252220327</v>
      </c>
      <c r="U38" s="70">
        <f t="shared" si="18"/>
        <v>10.294485250444065</v>
      </c>
    </row>
    <row r="39" spans="10:21" ht="45.5" x14ac:dyDescent="0.35">
      <c r="J39" s="66" t="s">
        <v>156</v>
      </c>
      <c r="K39" s="70">
        <v>52.420552487572223</v>
      </c>
      <c r="L39" s="70">
        <v>3.8164600202076708</v>
      </c>
      <c r="M39" s="62">
        <v>192</v>
      </c>
      <c r="N39" s="62"/>
      <c r="O39" s="70">
        <f t="shared" si="15"/>
        <v>7.2804650830654083</v>
      </c>
      <c r="P39" s="66" t="s">
        <v>13</v>
      </c>
      <c r="Q39" s="62" t="s">
        <v>19</v>
      </c>
      <c r="R39" s="70">
        <f t="shared" si="16"/>
        <v>0.72087346137246833</v>
      </c>
      <c r="S39" s="66" t="s">
        <v>10</v>
      </c>
      <c r="T39" s="70">
        <f t="shared" si="17"/>
        <v>1.4786227422766738</v>
      </c>
      <c r="U39" s="70">
        <f t="shared" si="18"/>
        <v>2.9572454845533476</v>
      </c>
    </row>
    <row r="40" spans="10:21" ht="31" x14ac:dyDescent="0.35">
      <c r="J40" s="66" t="s">
        <v>157</v>
      </c>
      <c r="K40" s="70">
        <v>34.555320525403879</v>
      </c>
      <c r="L40" s="70">
        <v>9.7280581691938792</v>
      </c>
      <c r="M40" s="62">
        <v>192</v>
      </c>
      <c r="N40" s="62"/>
      <c r="O40" s="70">
        <f t="shared" si="15"/>
        <v>28.152128301174766</v>
      </c>
      <c r="P40" s="66" t="s">
        <v>13</v>
      </c>
      <c r="Q40" s="62" t="s">
        <v>19</v>
      </c>
      <c r="R40" s="70">
        <f t="shared" si="16"/>
        <v>2.7874760666972294</v>
      </c>
      <c r="S40" s="66" t="s">
        <v>10</v>
      </c>
      <c r="T40" s="70">
        <f t="shared" si="17"/>
        <v>3.0719195121416387</v>
      </c>
      <c r="U40" s="70">
        <f t="shared" si="18"/>
        <v>6.1438390242832774</v>
      </c>
    </row>
    <row r="41" spans="10:21" ht="47.5" x14ac:dyDescent="0.35">
      <c r="J41" s="66" t="s">
        <v>158</v>
      </c>
      <c r="K41" s="70">
        <v>88.909276355613798</v>
      </c>
      <c r="L41" s="70">
        <v>12.528918555279562</v>
      </c>
      <c r="M41" s="62">
        <v>208</v>
      </c>
      <c r="N41" s="62"/>
      <c r="O41" s="70">
        <f t="shared" si="15"/>
        <v>14.09180129322746</v>
      </c>
      <c r="P41" s="66" t="s">
        <v>13</v>
      </c>
      <c r="Q41" s="62" t="s">
        <v>19</v>
      </c>
      <c r="R41" s="70">
        <f t="shared" si="16"/>
        <v>1.3952962426604691</v>
      </c>
      <c r="S41" s="66" t="s">
        <v>10</v>
      </c>
      <c r="T41" s="70">
        <f t="shared" si="17"/>
        <v>1.9009256354337194</v>
      </c>
      <c r="U41" s="70">
        <f t="shared" si="18"/>
        <v>3.8018512708674388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7"/>
  <sheetViews>
    <sheetView topLeftCell="AF1" workbookViewId="0">
      <selection activeCell="U1" sqref="U1:AQ17"/>
    </sheetView>
  </sheetViews>
  <sheetFormatPr defaultRowHeight="14.5" x14ac:dyDescent="0.35"/>
  <cols>
    <col min="1" max="1" width="32" customWidth="1"/>
    <col min="2" max="2" width="64" customWidth="1"/>
    <col min="3" max="3" width="23.54296875" customWidth="1"/>
    <col min="5" max="5" width="19.54296875" customWidth="1"/>
    <col min="7" max="7" width="16.90625" customWidth="1"/>
    <col min="9" max="9" width="16.453125" customWidth="1"/>
    <col min="13" max="13" width="11.90625" customWidth="1"/>
    <col min="15" max="15" width="16.1796875" customWidth="1"/>
    <col min="17" max="17" width="11.26953125" customWidth="1"/>
    <col min="20" max="20" width="14.08984375" customWidth="1"/>
    <col min="21" max="21" width="16.6328125" customWidth="1"/>
    <col min="23" max="23" width="13.6328125" customWidth="1"/>
    <col min="24" max="24" width="13.08984375" customWidth="1"/>
    <col min="25" max="25" width="14.90625" customWidth="1"/>
  </cols>
  <sheetData>
    <row r="1" spans="1:43" x14ac:dyDescent="0.35">
      <c r="A1" s="37" t="s">
        <v>163</v>
      </c>
      <c r="B1" s="37"/>
      <c r="C1" s="37"/>
      <c r="D1" s="37"/>
      <c r="E1" s="37"/>
      <c r="F1" s="37"/>
      <c r="G1" s="37"/>
      <c r="H1" s="37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 t="s">
        <v>192</v>
      </c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</row>
    <row r="2" spans="1:43" x14ac:dyDescent="0.35">
      <c r="A2" s="37" t="s">
        <v>162</v>
      </c>
      <c r="B2" s="37"/>
      <c r="C2" s="37"/>
      <c r="D2" s="37"/>
      <c r="E2" s="37"/>
      <c r="F2" s="37"/>
      <c r="G2" s="37"/>
      <c r="H2" s="37"/>
      <c r="I2" s="81"/>
      <c r="J2" s="81"/>
      <c r="K2" s="81"/>
      <c r="L2" s="81"/>
      <c r="M2" s="81"/>
      <c r="N2" s="81"/>
      <c r="O2" s="81"/>
      <c r="P2" s="92" t="s">
        <v>94</v>
      </c>
      <c r="Q2" s="92">
        <f>COUNT(Q6:Q13)</f>
        <v>4</v>
      </c>
      <c r="R2" s="92"/>
      <c r="S2" s="92">
        <f>COUNT(S6:S13)</f>
        <v>4</v>
      </c>
      <c r="T2" s="92">
        <f>COUNT(T6:T13)</f>
        <v>4</v>
      </c>
      <c r="U2" s="81"/>
      <c r="V2" s="81"/>
      <c r="W2" s="81" t="s">
        <v>92</v>
      </c>
      <c r="X2" s="83">
        <f>AVERAGE(X6:X25)</f>
        <v>81.798333333333332</v>
      </c>
      <c r="Y2" s="83">
        <f>AVERAGE(Y6:Y25)</f>
        <v>92.746475000000018</v>
      </c>
      <c r="Z2" s="81"/>
      <c r="AA2" s="81"/>
      <c r="AB2" s="81"/>
      <c r="AC2" s="81" t="s">
        <v>92</v>
      </c>
      <c r="AD2" s="83">
        <f>AVERAGE(AD6:AD25)</f>
        <v>62.803333333333335</v>
      </c>
      <c r="AE2" s="83">
        <f>AVERAGE(AE6:AE25)</f>
        <v>57.812486666666665</v>
      </c>
      <c r="AF2" s="81"/>
      <c r="AG2" s="81"/>
      <c r="AH2" s="81"/>
      <c r="AI2" s="81" t="s">
        <v>92</v>
      </c>
      <c r="AJ2" s="83">
        <f>AVERAGE(AJ6:AJ25)</f>
        <v>52.934444444444438</v>
      </c>
      <c r="AK2" s="83">
        <f>AVERAGE(AK6:AK25)</f>
        <v>73.973744444444435</v>
      </c>
      <c r="AL2" s="81"/>
      <c r="AM2" s="81"/>
      <c r="AN2" s="81"/>
      <c r="AO2" s="81" t="s">
        <v>92</v>
      </c>
      <c r="AP2" s="83">
        <f>AVERAGE(AP6:AP25)</f>
        <v>28.321111111111112</v>
      </c>
      <c r="AQ2" s="83">
        <f>AVERAGE(AQ6:AQ25)</f>
        <v>46.292100000000005</v>
      </c>
    </row>
    <row r="3" spans="1:43" x14ac:dyDescent="0.35">
      <c r="A3" s="38" t="s">
        <v>161</v>
      </c>
      <c r="B3" s="37"/>
      <c r="C3" s="37"/>
      <c r="D3" s="37"/>
      <c r="E3" s="37"/>
      <c r="F3" s="37"/>
      <c r="G3" s="37"/>
      <c r="H3" s="37"/>
      <c r="I3" s="92" t="s">
        <v>32</v>
      </c>
      <c r="J3" s="81"/>
      <c r="K3" s="81"/>
      <c r="L3" s="81"/>
      <c r="M3" s="81"/>
      <c r="N3" s="81"/>
      <c r="O3" s="81"/>
      <c r="P3" s="92" t="s">
        <v>236</v>
      </c>
      <c r="Q3" s="93">
        <f>MIN(Q6:Q13)</f>
        <v>0.42584367405137608</v>
      </c>
      <c r="R3" s="92"/>
      <c r="S3" s="93">
        <f>MIN(S6:S13)</f>
        <v>1.4690041638867015</v>
      </c>
      <c r="T3" s="93">
        <f>MIN(T6:T13)</f>
        <v>2.938008327773403</v>
      </c>
      <c r="U3" s="81"/>
      <c r="V3" s="81"/>
      <c r="W3" s="84" t="s">
        <v>93</v>
      </c>
      <c r="X3" s="83">
        <f>STDEV(X6:X25)</f>
        <v>2.2391022280991959</v>
      </c>
      <c r="Y3" s="83">
        <f>STDEV(Y6:Y25)</f>
        <v>1.3681642419514364</v>
      </c>
      <c r="Z3" s="81"/>
      <c r="AA3" s="81"/>
      <c r="AB3" s="81"/>
      <c r="AC3" s="84" t="s">
        <v>93</v>
      </c>
      <c r="AD3" s="83">
        <f>STDEV(AD6:AD25)</f>
        <v>1.9581177186267413</v>
      </c>
      <c r="AE3" s="83">
        <f>STDEV(AE6:AE25)</f>
        <v>1.7835795269905952</v>
      </c>
      <c r="AF3" s="81"/>
      <c r="AG3" s="81"/>
      <c r="AH3" s="81"/>
      <c r="AI3" s="84" t="s">
        <v>93</v>
      </c>
      <c r="AJ3" s="83">
        <f>STDEV(AJ6:AJ25)</f>
        <v>4.6522793099488089</v>
      </c>
      <c r="AK3" s="83">
        <f>STDEV(AK6:AK25)</f>
        <v>2.0167304908633112</v>
      </c>
      <c r="AL3" s="81"/>
      <c r="AM3" s="81"/>
      <c r="AN3" s="81"/>
      <c r="AO3" s="84" t="s">
        <v>93</v>
      </c>
      <c r="AP3" s="83">
        <f>STDEV(AP6:AP25)</f>
        <v>1.9482713135267149</v>
      </c>
      <c r="AQ3" s="83">
        <f>STDEV(AQ6:AQ25)</f>
        <v>4.6144180261437082</v>
      </c>
    </row>
    <row r="4" spans="1:43" x14ac:dyDescent="0.35">
      <c r="A4" s="37"/>
      <c r="B4" s="37"/>
      <c r="C4" s="37"/>
      <c r="D4" s="37"/>
      <c r="E4" s="37"/>
      <c r="F4" s="37"/>
      <c r="G4" s="37"/>
      <c r="H4" s="37"/>
      <c r="I4" s="81"/>
      <c r="J4" s="81"/>
      <c r="K4" s="81"/>
      <c r="L4" s="81"/>
      <c r="M4" s="81"/>
      <c r="N4" s="81"/>
      <c r="O4" s="81"/>
      <c r="P4" s="92" t="s">
        <v>237</v>
      </c>
      <c r="Q4" s="93">
        <f>MAX(Q6:Q13)</f>
        <v>3.3226821467332495</v>
      </c>
      <c r="R4" s="92"/>
      <c r="S4" s="93">
        <f>MAX(S6:S13)</f>
        <v>3.6078867841170914</v>
      </c>
      <c r="T4" s="93">
        <f>MAX(T6:T13)</f>
        <v>7.2157735682341828</v>
      </c>
      <c r="U4" s="81"/>
      <c r="V4" s="81"/>
      <c r="W4" s="81" t="s">
        <v>94</v>
      </c>
      <c r="X4" s="81">
        <f>COUNT(X6:X25)</f>
        <v>12</v>
      </c>
      <c r="Y4" s="81">
        <f>COUNT(Y6:Y25)</f>
        <v>12</v>
      </c>
      <c r="Z4" s="81"/>
      <c r="AA4" s="81"/>
      <c r="AB4" s="81"/>
      <c r="AC4" s="81" t="s">
        <v>94</v>
      </c>
      <c r="AD4" s="81">
        <f>COUNT(AD6:AD25)</f>
        <v>9</v>
      </c>
      <c r="AE4" s="81">
        <f>COUNT(AE6:AE25)</f>
        <v>9</v>
      </c>
      <c r="AF4" s="81"/>
      <c r="AG4" s="81"/>
      <c r="AH4" s="81"/>
      <c r="AI4" s="81" t="s">
        <v>94</v>
      </c>
      <c r="AJ4" s="81">
        <f>COUNT(AJ6:AJ25)</f>
        <v>9</v>
      </c>
      <c r="AK4" s="81">
        <f>COUNT(AK6:AK25)</f>
        <v>9</v>
      </c>
      <c r="AL4" s="81"/>
      <c r="AM4" s="81"/>
      <c r="AN4" s="81"/>
      <c r="AO4" s="81" t="s">
        <v>94</v>
      </c>
      <c r="AP4" s="81">
        <f>COUNT(AP6:AP25)</f>
        <v>9</v>
      </c>
      <c r="AQ4" s="81">
        <f>COUNT(AQ6:AQ25)</f>
        <v>9</v>
      </c>
    </row>
    <row r="5" spans="1:43" ht="60" x14ac:dyDescent="0.35">
      <c r="A5" s="39" t="s">
        <v>1</v>
      </c>
      <c r="B5" s="39" t="s">
        <v>2</v>
      </c>
      <c r="C5" s="39" t="s">
        <v>22</v>
      </c>
      <c r="D5" s="39" t="s">
        <v>21</v>
      </c>
      <c r="E5" s="39" t="s">
        <v>3</v>
      </c>
      <c r="F5" s="39" t="s">
        <v>4</v>
      </c>
      <c r="G5" s="39" t="s">
        <v>5</v>
      </c>
      <c r="H5" s="39" t="s">
        <v>6</v>
      </c>
      <c r="I5" s="80" t="s">
        <v>33</v>
      </c>
      <c r="J5" s="80" t="s">
        <v>193</v>
      </c>
      <c r="K5" s="94" t="s">
        <v>194</v>
      </c>
      <c r="L5" s="80" t="s">
        <v>36</v>
      </c>
      <c r="M5" s="80" t="s">
        <v>2</v>
      </c>
      <c r="N5" s="80" t="s">
        <v>218</v>
      </c>
      <c r="O5" s="80" t="s">
        <v>3</v>
      </c>
      <c r="P5" s="80" t="s">
        <v>4</v>
      </c>
      <c r="Q5" s="80" t="s">
        <v>219</v>
      </c>
      <c r="R5" s="80" t="s">
        <v>6</v>
      </c>
      <c r="S5" s="95" t="s">
        <v>220</v>
      </c>
      <c r="T5" s="80" t="s">
        <v>221</v>
      </c>
      <c r="U5" s="96" t="s">
        <v>176</v>
      </c>
      <c r="V5" s="96" t="s">
        <v>177</v>
      </c>
      <c r="W5" s="97" t="s">
        <v>185</v>
      </c>
      <c r="X5" s="97" t="s">
        <v>181</v>
      </c>
      <c r="Y5" s="97" t="s">
        <v>182</v>
      </c>
      <c r="Z5" s="81"/>
      <c r="AA5" s="96" t="s">
        <v>176</v>
      </c>
      <c r="AB5" s="96" t="s">
        <v>177</v>
      </c>
      <c r="AC5" s="97" t="s">
        <v>185</v>
      </c>
      <c r="AD5" s="97" t="s">
        <v>181</v>
      </c>
      <c r="AE5" s="97" t="s">
        <v>182</v>
      </c>
      <c r="AF5" s="81"/>
      <c r="AG5" s="96" t="s">
        <v>176</v>
      </c>
      <c r="AH5" s="96" t="s">
        <v>177</v>
      </c>
      <c r="AI5" s="97" t="s">
        <v>185</v>
      </c>
      <c r="AJ5" s="97" t="s">
        <v>181</v>
      </c>
      <c r="AK5" s="97" t="s">
        <v>182</v>
      </c>
      <c r="AL5" s="81"/>
      <c r="AM5" s="96" t="s">
        <v>176</v>
      </c>
      <c r="AN5" s="96" t="s">
        <v>177</v>
      </c>
      <c r="AO5" s="97" t="s">
        <v>185</v>
      </c>
      <c r="AP5" s="97" t="s">
        <v>181</v>
      </c>
      <c r="AQ5" s="97" t="s">
        <v>182</v>
      </c>
    </row>
    <row r="6" spans="1:43" ht="37" customHeight="1" x14ac:dyDescent="0.45">
      <c r="A6" s="40" t="s">
        <v>164</v>
      </c>
      <c r="B6" s="37" t="s">
        <v>172</v>
      </c>
      <c r="C6" s="41" t="s">
        <v>168</v>
      </c>
      <c r="D6" s="37"/>
      <c r="E6" s="37" t="s">
        <v>14</v>
      </c>
      <c r="F6" s="37"/>
      <c r="G6" s="42">
        <f>'UV-vis and UV-vis-IR'!G16</f>
        <v>0.22793937865231312</v>
      </c>
      <c r="H6" s="37" t="s">
        <v>10</v>
      </c>
      <c r="I6" s="82" t="str">
        <f>U6</f>
        <v>Broadband mixture</v>
      </c>
      <c r="J6" s="83">
        <f>Y2</f>
        <v>92.746475000000018</v>
      </c>
      <c r="K6" s="83">
        <f>Y3</f>
        <v>1.3681642419514364</v>
      </c>
      <c r="L6" s="81">
        <f>Y4</f>
        <v>12</v>
      </c>
      <c r="M6" s="81"/>
      <c r="N6" s="83">
        <f>(K6/J6)*100</f>
        <v>1.4751657590775673</v>
      </c>
      <c r="O6" s="81" t="s">
        <v>14</v>
      </c>
      <c r="P6" s="84" t="s">
        <v>45</v>
      </c>
      <c r="Q6" s="83">
        <f>N6/SQRT(L6)</f>
        <v>0.42584367405137608</v>
      </c>
      <c r="R6" s="81" t="s">
        <v>10</v>
      </c>
      <c r="S6" s="83">
        <f>SQRT((Q6^2)+($G$10^2))</f>
        <v>1.4690041638867015</v>
      </c>
      <c r="T6" s="83">
        <f>S6*2</f>
        <v>2.938008327773403</v>
      </c>
      <c r="U6" s="98" t="s">
        <v>183</v>
      </c>
      <c r="V6" s="99">
        <v>1</v>
      </c>
      <c r="W6" s="98" t="s">
        <v>184</v>
      </c>
      <c r="X6" s="99">
        <v>83.3</v>
      </c>
      <c r="Y6" s="100">
        <v>93.4649</v>
      </c>
      <c r="Z6" s="81"/>
      <c r="AA6" s="98" t="s">
        <v>186</v>
      </c>
      <c r="AB6" s="99">
        <v>1</v>
      </c>
      <c r="AC6" s="99" t="s">
        <v>178</v>
      </c>
      <c r="AD6" s="99">
        <v>65.38</v>
      </c>
      <c r="AE6" s="100">
        <v>59.054400000000001</v>
      </c>
      <c r="AF6" s="81"/>
      <c r="AG6" s="98" t="s">
        <v>187</v>
      </c>
      <c r="AH6" s="99">
        <v>1</v>
      </c>
      <c r="AI6" s="99" t="s">
        <v>178</v>
      </c>
      <c r="AJ6" s="99">
        <v>56.24</v>
      </c>
      <c r="AK6" s="100">
        <v>75.986500000000007</v>
      </c>
      <c r="AL6" s="81"/>
      <c r="AM6" s="98" t="s">
        <v>188</v>
      </c>
      <c r="AN6" s="99">
        <v>1</v>
      </c>
      <c r="AO6" s="99" t="s">
        <v>178</v>
      </c>
      <c r="AP6" s="99">
        <v>30.67</v>
      </c>
      <c r="AQ6" s="100">
        <v>49.1599</v>
      </c>
    </row>
    <row r="7" spans="1:43" ht="31" x14ac:dyDescent="0.45">
      <c r="A7" s="40" t="s">
        <v>165</v>
      </c>
      <c r="B7" s="37" t="s">
        <v>172</v>
      </c>
      <c r="C7" s="41" t="s">
        <v>169</v>
      </c>
      <c r="D7" s="37"/>
      <c r="E7" s="37" t="s">
        <v>14</v>
      </c>
      <c r="F7" s="37"/>
      <c r="G7" s="42">
        <f>'UV-vis and UV-vis-IR'!P16</f>
        <v>0.97683703058876703</v>
      </c>
      <c r="H7" s="37" t="s">
        <v>10</v>
      </c>
      <c r="I7" s="81" t="str">
        <f>AA6</f>
        <v>Long λ</v>
      </c>
      <c r="J7" s="83">
        <f>AE2</f>
        <v>57.812486666666665</v>
      </c>
      <c r="K7" s="83">
        <f>AE3</f>
        <v>1.7835795269905952</v>
      </c>
      <c r="L7" s="81">
        <f>AE4</f>
        <v>9</v>
      </c>
      <c r="M7" s="81"/>
      <c r="N7" s="83">
        <f>(K7/J7)*100</f>
        <v>3.0851112446940734</v>
      </c>
      <c r="O7" s="81" t="s">
        <v>14</v>
      </c>
      <c r="P7" s="84" t="s">
        <v>45</v>
      </c>
      <c r="Q7" s="83">
        <f>N7/SQRT(L7)</f>
        <v>1.0283704148980244</v>
      </c>
      <c r="R7" s="81" t="s">
        <v>10</v>
      </c>
      <c r="S7" s="83">
        <f>SQRT((Q7^2)+($G$10^2))</f>
        <v>1.7418886614891398</v>
      </c>
      <c r="T7" s="83">
        <f>S7*2</f>
        <v>3.4837773229782796</v>
      </c>
      <c r="U7" s="98" t="s">
        <v>183</v>
      </c>
      <c r="V7" s="99">
        <v>2</v>
      </c>
      <c r="W7" s="98" t="s">
        <v>184</v>
      </c>
      <c r="X7" s="99">
        <v>82.65</v>
      </c>
      <c r="Y7" s="100">
        <v>91.922399999999996</v>
      </c>
      <c r="Z7" s="81"/>
      <c r="AA7" s="98" t="s">
        <v>186</v>
      </c>
      <c r="AB7" s="99">
        <v>2</v>
      </c>
      <c r="AC7" s="99" t="s">
        <v>178</v>
      </c>
      <c r="AD7" s="99">
        <v>63.73</v>
      </c>
      <c r="AE7" s="100">
        <v>56.454880000000003</v>
      </c>
      <c r="AF7" s="81"/>
      <c r="AG7" s="98" t="s">
        <v>187</v>
      </c>
      <c r="AH7" s="99">
        <v>2</v>
      </c>
      <c r="AI7" s="99" t="s">
        <v>178</v>
      </c>
      <c r="AJ7" s="99">
        <v>55.72</v>
      </c>
      <c r="AK7" s="100">
        <v>76.276499999999999</v>
      </c>
      <c r="AL7" s="81"/>
      <c r="AM7" s="98" t="s">
        <v>188</v>
      </c>
      <c r="AN7" s="99">
        <v>2</v>
      </c>
      <c r="AO7" s="99" t="s">
        <v>178</v>
      </c>
      <c r="AP7" s="99">
        <v>27.07</v>
      </c>
      <c r="AQ7" s="100">
        <v>42.273299999999999</v>
      </c>
    </row>
    <row r="8" spans="1:43" ht="31" x14ac:dyDescent="0.45">
      <c r="A8" s="40" t="s">
        <v>166</v>
      </c>
      <c r="B8" s="37" t="s">
        <v>172</v>
      </c>
      <c r="C8" s="41" t="s">
        <v>170</v>
      </c>
      <c r="D8" s="37"/>
      <c r="E8" s="37" t="s">
        <v>14</v>
      </c>
      <c r="F8" s="37"/>
      <c r="G8" s="42">
        <f>'UV-vis and UV-vis-IR'!G20</f>
        <v>0.18489970775290165</v>
      </c>
      <c r="H8" s="37" t="s">
        <v>10</v>
      </c>
      <c r="I8" s="81" t="str">
        <f>AG6</f>
        <v>Mid λ</v>
      </c>
      <c r="J8" s="83">
        <f>AK2</f>
        <v>73.973744444444435</v>
      </c>
      <c r="K8" s="83">
        <f>AK3</f>
        <v>2.0167304908633112</v>
      </c>
      <c r="L8" s="81">
        <f>AK4</f>
        <v>9</v>
      </c>
      <c r="M8" s="81"/>
      <c r="N8" s="83">
        <f t="shared" ref="N8:N9" si="0">(K8/J8)*100</f>
        <v>2.7262787709467795</v>
      </c>
      <c r="O8" s="81" t="s">
        <v>14</v>
      </c>
      <c r="P8" s="84" t="s">
        <v>45</v>
      </c>
      <c r="Q8" s="83">
        <f t="shared" ref="Q8:Q9" si="1">N8/SQRT(L8)</f>
        <v>0.90875959031559317</v>
      </c>
      <c r="R8" s="81" t="s">
        <v>10</v>
      </c>
      <c r="S8" s="83">
        <f t="shared" ref="S8:S9" si="2">SQRT((Q8^2)+($G$10^2))</f>
        <v>1.674059255754544</v>
      </c>
      <c r="T8" s="83">
        <f t="shared" ref="T8:T9" si="3">S8*2</f>
        <v>3.3481185115090879</v>
      </c>
      <c r="U8" s="98" t="s">
        <v>183</v>
      </c>
      <c r="V8" s="99">
        <v>3</v>
      </c>
      <c r="W8" s="98" t="s">
        <v>184</v>
      </c>
      <c r="X8" s="99">
        <v>81.23</v>
      </c>
      <c r="Y8" s="100">
        <v>92.245099999999994</v>
      </c>
      <c r="Z8" s="81"/>
      <c r="AA8" s="98" t="s">
        <v>186</v>
      </c>
      <c r="AB8" s="99">
        <v>3</v>
      </c>
      <c r="AC8" s="99" t="s">
        <v>178</v>
      </c>
      <c r="AD8" s="99">
        <v>64.56</v>
      </c>
      <c r="AE8" s="100">
        <v>60.773499999999999</v>
      </c>
      <c r="AF8" s="81"/>
      <c r="AG8" s="98" t="s">
        <v>187</v>
      </c>
      <c r="AH8" s="99">
        <v>3</v>
      </c>
      <c r="AI8" s="99" t="s">
        <v>178</v>
      </c>
      <c r="AJ8" s="99">
        <v>54.66</v>
      </c>
      <c r="AK8" s="100">
        <v>76.2226</v>
      </c>
      <c r="AL8" s="81"/>
      <c r="AM8" s="98" t="s">
        <v>188</v>
      </c>
      <c r="AN8" s="99">
        <v>3</v>
      </c>
      <c r="AO8" s="99" t="s">
        <v>178</v>
      </c>
      <c r="AP8" s="99">
        <v>26.59</v>
      </c>
      <c r="AQ8" s="100">
        <v>40.901000000000003</v>
      </c>
    </row>
    <row r="9" spans="1:43" ht="45.5" x14ac:dyDescent="0.45">
      <c r="A9" s="40" t="s">
        <v>167</v>
      </c>
      <c r="B9" s="37" t="s">
        <v>172</v>
      </c>
      <c r="C9" s="41" t="s">
        <v>171</v>
      </c>
      <c r="D9" s="37"/>
      <c r="E9" s="37" t="s">
        <v>14</v>
      </c>
      <c r="F9" s="37"/>
      <c r="G9" s="42">
        <f>'UV-vis and UV-vis-IR'!P20</f>
        <v>0.96761332782775444</v>
      </c>
      <c r="H9" s="37" t="s">
        <v>10</v>
      </c>
      <c r="I9" s="81" t="str">
        <f>AM6</f>
        <v>Short λ</v>
      </c>
      <c r="J9" s="83">
        <f>AQ2</f>
        <v>46.292100000000005</v>
      </c>
      <c r="K9" s="83">
        <f>AQ3</f>
        <v>4.6144180261437082</v>
      </c>
      <c r="L9" s="81">
        <f>AQ4</f>
        <v>9</v>
      </c>
      <c r="M9" s="81"/>
      <c r="N9" s="83">
        <f t="shared" si="0"/>
        <v>9.9680464401997479</v>
      </c>
      <c r="O9" s="81" t="s">
        <v>14</v>
      </c>
      <c r="P9" s="84" t="s">
        <v>45</v>
      </c>
      <c r="Q9" s="83">
        <f t="shared" si="1"/>
        <v>3.3226821467332495</v>
      </c>
      <c r="R9" s="81" t="s">
        <v>10</v>
      </c>
      <c r="S9" s="83">
        <f t="shared" si="2"/>
        <v>3.6078867841170914</v>
      </c>
      <c r="T9" s="83">
        <f t="shared" si="3"/>
        <v>7.2157735682341828</v>
      </c>
      <c r="U9" s="98" t="s">
        <v>183</v>
      </c>
      <c r="V9" s="99">
        <v>1</v>
      </c>
      <c r="W9" s="99" t="s">
        <v>178</v>
      </c>
      <c r="X9" s="99">
        <v>84.36</v>
      </c>
      <c r="Y9" s="100">
        <v>93.245000000000005</v>
      </c>
      <c r="Z9" s="81"/>
      <c r="AA9" s="98" t="s">
        <v>189</v>
      </c>
      <c r="AB9" s="99">
        <v>1</v>
      </c>
      <c r="AC9" s="99" t="s">
        <v>179</v>
      </c>
      <c r="AD9" s="99">
        <v>63.98</v>
      </c>
      <c r="AE9" s="100">
        <v>56.9816</v>
      </c>
      <c r="AF9" s="81"/>
      <c r="AG9" s="98" t="s">
        <v>190</v>
      </c>
      <c r="AH9" s="99">
        <v>1</v>
      </c>
      <c r="AI9" s="99" t="s">
        <v>179</v>
      </c>
      <c r="AJ9" s="99">
        <v>57.01</v>
      </c>
      <c r="AK9" s="100">
        <v>73.697000000000003</v>
      </c>
      <c r="AL9" s="81"/>
      <c r="AM9" s="98" t="s">
        <v>191</v>
      </c>
      <c r="AN9" s="99">
        <v>1</v>
      </c>
      <c r="AO9" s="99" t="s">
        <v>179</v>
      </c>
      <c r="AP9" s="99">
        <v>30.06</v>
      </c>
      <c r="AQ9" s="100">
        <v>48.670400000000001</v>
      </c>
    </row>
    <row r="10" spans="1:43" ht="31" x14ac:dyDescent="0.45">
      <c r="A10" s="40" t="s">
        <v>173</v>
      </c>
      <c r="B10" s="40" t="s">
        <v>174</v>
      </c>
      <c r="C10" s="41" t="s">
        <v>26</v>
      </c>
      <c r="D10" s="37"/>
      <c r="E10" s="37" t="s">
        <v>14</v>
      </c>
      <c r="F10" s="37"/>
      <c r="G10" s="42">
        <f>SQRT((G6^2)+(G7^2)+(G8^2)+(G9^2))</f>
        <v>1.4059268824469118</v>
      </c>
      <c r="H10" s="37" t="s">
        <v>10</v>
      </c>
      <c r="U10" s="98" t="s">
        <v>183</v>
      </c>
      <c r="V10" s="99">
        <v>2</v>
      </c>
      <c r="W10" s="99" t="s">
        <v>178</v>
      </c>
      <c r="X10" s="99">
        <v>83.01</v>
      </c>
      <c r="Y10" s="100">
        <v>90.924800000000005</v>
      </c>
      <c r="Z10" s="81"/>
      <c r="AA10" s="98" t="s">
        <v>189</v>
      </c>
      <c r="AB10" s="99">
        <v>2</v>
      </c>
      <c r="AC10" s="99" t="s">
        <v>179</v>
      </c>
      <c r="AD10" s="99">
        <v>62.98</v>
      </c>
      <c r="AE10" s="100">
        <v>55.294400000000003</v>
      </c>
      <c r="AF10" s="81"/>
      <c r="AG10" s="98" t="s">
        <v>190</v>
      </c>
      <c r="AH10" s="99">
        <v>2</v>
      </c>
      <c r="AI10" s="99" t="s">
        <v>179</v>
      </c>
      <c r="AJ10" s="99">
        <v>56.16</v>
      </c>
      <c r="AK10" s="100">
        <v>74.017099999999999</v>
      </c>
      <c r="AL10" s="81"/>
      <c r="AM10" s="98" t="s">
        <v>191</v>
      </c>
      <c r="AN10" s="99">
        <v>2</v>
      </c>
      <c r="AO10" s="99" t="s">
        <v>179</v>
      </c>
      <c r="AP10" s="99">
        <v>26.54</v>
      </c>
      <c r="AQ10" s="100">
        <v>42.163400000000003</v>
      </c>
    </row>
    <row r="11" spans="1:43" x14ac:dyDescent="0.35">
      <c r="A11" s="40" t="s">
        <v>175</v>
      </c>
      <c r="B11" s="40" t="s">
        <v>28</v>
      </c>
      <c r="C11" s="41" t="s">
        <v>31</v>
      </c>
      <c r="D11" s="42"/>
      <c r="E11" s="37" t="s">
        <v>14</v>
      </c>
      <c r="F11" s="37"/>
      <c r="G11" s="43">
        <f>G10*2</f>
        <v>2.8118537648938235</v>
      </c>
      <c r="H11" s="37" t="s">
        <v>10</v>
      </c>
      <c r="U11" s="98" t="s">
        <v>183</v>
      </c>
      <c r="V11" s="99">
        <v>3</v>
      </c>
      <c r="W11" s="99" t="s">
        <v>178</v>
      </c>
      <c r="X11" s="99">
        <v>81.78</v>
      </c>
      <c r="Y11" s="100">
        <v>91.369100000000003</v>
      </c>
      <c r="Z11" s="81"/>
      <c r="AA11" s="98" t="s">
        <v>189</v>
      </c>
      <c r="AB11" s="99">
        <v>3</v>
      </c>
      <c r="AC11" s="99" t="s">
        <v>179</v>
      </c>
      <c r="AD11" s="99">
        <v>63.4</v>
      </c>
      <c r="AE11" s="100">
        <v>58.736699999999999</v>
      </c>
      <c r="AF11" s="81"/>
      <c r="AG11" s="98" t="s">
        <v>190</v>
      </c>
      <c r="AH11" s="99">
        <v>3</v>
      </c>
      <c r="AI11" s="99" t="s">
        <v>179</v>
      </c>
      <c r="AJ11" s="99">
        <v>56</v>
      </c>
      <c r="AK11" s="100">
        <v>74.558000000000007</v>
      </c>
      <c r="AL11" s="81"/>
      <c r="AM11" s="98" t="s">
        <v>191</v>
      </c>
      <c r="AN11" s="99">
        <v>3</v>
      </c>
      <c r="AO11" s="99" t="s">
        <v>179</v>
      </c>
      <c r="AP11" s="99">
        <v>26.35</v>
      </c>
      <c r="AQ11" s="100">
        <v>41.7119</v>
      </c>
    </row>
    <row r="12" spans="1:43" x14ac:dyDescent="0.35">
      <c r="U12" s="98" t="s">
        <v>183</v>
      </c>
      <c r="V12" s="99">
        <v>1</v>
      </c>
      <c r="W12" s="99" t="s">
        <v>179</v>
      </c>
      <c r="X12" s="99">
        <v>84.39</v>
      </c>
      <c r="Y12" s="100">
        <v>93.343500000000006</v>
      </c>
      <c r="Z12" s="81"/>
      <c r="AA12" s="98" t="s">
        <v>189</v>
      </c>
      <c r="AB12" s="99">
        <v>1</v>
      </c>
      <c r="AC12" s="99" t="s">
        <v>180</v>
      </c>
      <c r="AD12" s="99">
        <v>60.86</v>
      </c>
      <c r="AE12" s="100">
        <v>57.77</v>
      </c>
      <c r="AF12" s="81"/>
      <c r="AG12" s="98" t="s">
        <v>190</v>
      </c>
      <c r="AH12" s="99">
        <v>1</v>
      </c>
      <c r="AI12" s="99" t="s">
        <v>180</v>
      </c>
      <c r="AJ12" s="99">
        <v>48.54</v>
      </c>
      <c r="AK12" s="100">
        <v>72.290000000000006</v>
      </c>
      <c r="AL12" s="81"/>
      <c r="AM12" s="98" t="s">
        <v>191</v>
      </c>
      <c r="AN12" s="99">
        <v>1</v>
      </c>
      <c r="AO12" s="99" t="s">
        <v>180</v>
      </c>
      <c r="AP12" s="99">
        <v>28.85</v>
      </c>
      <c r="AQ12" s="100">
        <v>49.737000000000002</v>
      </c>
    </row>
    <row r="13" spans="1:43" x14ac:dyDescent="0.35">
      <c r="U13" s="98" t="s">
        <v>183</v>
      </c>
      <c r="V13" s="99">
        <v>2</v>
      </c>
      <c r="W13" s="99" t="s">
        <v>179</v>
      </c>
      <c r="X13" s="99">
        <v>83.34</v>
      </c>
      <c r="Y13" s="100">
        <v>91.1828</v>
      </c>
      <c r="Z13" s="81"/>
      <c r="AA13" s="98" t="s">
        <v>189</v>
      </c>
      <c r="AB13" s="99">
        <v>2</v>
      </c>
      <c r="AC13" s="99" t="s">
        <v>180</v>
      </c>
      <c r="AD13" s="99">
        <v>60.75</v>
      </c>
      <c r="AE13" s="100">
        <v>55.989800000000002</v>
      </c>
      <c r="AF13" s="81"/>
      <c r="AG13" s="98" t="s">
        <v>190</v>
      </c>
      <c r="AH13" s="99">
        <v>2</v>
      </c>
      <c r="AI13" s="99" t="s">
        <v>180</v>
      </c>
      <c r="AJ13" s="99">
        <v>45.45</v>
      </c>
      <c r="AK13" s="100">
        <v>70.587500000000006</v>
      </c>
      <c r="AL13" s="81"/>
      <c r="AM13" s="98" t="s">
        <v>191</v>
      </c>
      <c r="AN13" s="99">
        <v>2</v>
      </c>
      <c r="AO13" s="99" t="s">
        <v>180</v>
      </c>
      <c r="AP13" s="99">
        <v>27.42</v>
      </c>
      <c r="AQ13" s="100">
        <v>48.097900000000003</v>
      </c>
    </row>
    <row r="14" spans="1:43" x14ac:dyDescent="0.35">
      <c r="U14" s="98" t="s">
        <v>183</v>
      </c>
      <c r="V14" s="99">
        <v>3</v>
      </c>
      <c r="W14" s="99" t="s">
        <v>179</v>
      </c>
      <c r="X14" s="99">
        <v>82.19</v>
      </c>
      <c r="Y14" s="100">
        <v>91.657499999999999</v>
      </c>
      <c r="Z14" s="81"/>
      <c r="AA14" s="98" t="s">
        <v>189</v>
      </c>
      <c r="AB14" s="99">
        <v>3</v>
      </c>
      <c r="AC14" s="99" t="s">
        <v>180</v>
      </c>
      <c r="AD14" s="99">
        <v>59.59</v>
      </c>
      <c r="AE14" s="100">
        <v>59.257100000000001</v>
      </c>
      <c r="AF14" s="81"/>
      <c r="AG14" s="98" t="s">
        <v>190</v>
      </c>
      <c r="AH14" s="99">
        <v>3</v>
      </c>
      <c r="AI14" s="99" t="s">
        <v>180</v>
      </c>
      <c r="AJ14" s="99">
        <v>46.63</v>
      </c>
      <c r="AK14" s="100">
        <v>72.128500000000003</v>
      </c>
      <c r="AL14" s="81"/>
      <c r="AM14" s="98" t="s">
        <v>191</v>
      </c>
      <c r="AN14" s="99">
        <v>3</v>
      </c>
      <c r="AO14" s="99" t="s">
        <v>180</v>
      </c>
      <c r="AP14" s="99">
        <v>31.34</v>
      </c>
      <c r="AQ14" s="100">
        <v>53.914099999999998</v>
      </c>
    </row>
    <row r="15" spans="1:43" x14ac:dyDescent="0.35">
      <c r="U15" s="98" t="s">
        <v>183</v>
      </c>
      <c r="V15" s="99">
        <v>1</v>
      </c>
      <c r="W15" s="99" t="s">
        <v>180</v>
      </c>
      <c r="X15" s="99">
        <v>77.78</v>
      </c>
      <c r="Y15" s="100">
        <v>94.513900000000007</v>
      </c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</row>
    <row r="16" spans="1:43" x14ac:dyDescent="0.35">
      <c r="U16" s="98" t="s">
        <v>183</v>
      </c>
      <c r="V16" s="99">
        <v>2</v>
      </c>
      <c r="W16" s="99" t="s">
        <v>180</v>
      </c>
      <c r="X16" s="99">
        <v>78.510000000000005</v>
      </c>
      <c r="Y16" s="100">
        <v>94.316400000000002</v>
      </c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</row>
    <row r="17" spans="21:43" x14ac:dyDescent="0.35">
      <c r="U17" s="98" t="s">
        <v>183</v>
      </c>
      <c r="V17" s="99">
        <v>3</v>
      </c>
      <c r="W17" s="99" t="s">
        <v>180</v>
      </c>
      <c r="X17" s="99">
        <v>79.040000000000006</v>
      </c>
      <c r="Y17" s="100">
        <v>94.772300000000001</v>
      </c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"/>
  <sheetViews>
    <sheetView tabSelected="1" topLeftCell="V7" workbookViewId="0">
      <selection activeCell="AD12" sqref="AD12"/>
    </sheetView>
  </sheetViews>
  <sheetFormatPr defaultRowHeight="14.5" x14ac:dyDescent="0.35"/>
  <cols>
    <col min="1" max="1" width="30.54296875" customWidth="1"/>
    <col min="2" max="2" width="16.36328125" customWidth="1"/>
    <col min="3" max="3" width="41.36328125" customWidth="1"/>
    <col min="5" max="5" width="16.26953125" customWidth="1"/>
    <col min="7" max="7" width="14.54296875" customWidth="1"/>
    <col min="10" max="10" width="29" customWidth="1"/>
    <col min="11" max="11" width="14.36328125" customWidth="1"/>
    <col min="12" max="12" width="37.08984375" customWidth="1"/>
    <col min="14" max="14" width="16.36328125" customWidth="1"/>
    <col min="16" max="16" width="11.36328125" customWidth="1"/>
    <col min="19" max="19" width="18.453125" customWidth="1"/>
    <col min="23" max="23" width="12.54296875" customWidth="1"/>
    <col min="25" max="25" width="15.08984375" customWidth="1"/>
    <col min="27" max="27" width="12.7265625" customWidth="1"/>
    <col min="30" max="30" width="10.90625" customWidth="1"/>
  </cols>
  <sheetData>
    <row r="1" spans="1:30" x14ac:dyDescent="0.35">
      <c r="A1" s="59" t="s">
        <v>16</v>
      </c>
      <c r="B1" s="59"/>
      <c r="C1" s="30"/>
      <c r="D1" s="30"/>
      <c r="E1" s="30"/>
      <c r="F1" s="30"/>
      <c r="G1" s="30"/>
      <c r="H1" s="30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</row>
    <row r="2" spans="1:30" x14ac:dyDescent="0.35">
      <c r="A2" s="59" t="s">
        <v>20</v>
      </c>
      <c r="B2" s="59"/>
      <c r="C2" s="30" t="s">
        <v>29</v>
      </c>
      <c r="D2" s="30"/>
      <c r="E2" s="30"/>
      <c r="F2" s="30"/>
      <c r="G2" s="30"/>
      <c r="H2" s="30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</row>
    <row r="3" spans="1:30" x14ac:dyDescent="0.35">
      <c r="A3" s="30"/>
      <c r="B3" s="59"/>
      <c r="C3" s="30" t="s">
        <v>197</v>
      </c>
      <c r="D3" s="30"/>
      <c r="E3" s="30"/>
      <c r="F3" s="30"/>
      <c r="G3" s="30"/>
      <c r="H3" s="30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</row>
    <row r="4" spans="1:30" ht="16.5" x14ac:dyDescent="0.45">
      <c r="A4" s="31" t="s">
        <v>196</v>
      </c>
      <c r="B4" s="59" t="s">
        <v>198</v>
      </c>
      <c r="C4" s="60" t="s">
        <v>199</v>
      </c>
      <c r="D4" s="30"/>
      <c r="E4" s="30"/>
      <c r="F4" s="30"/>
      <c r="G4" s="30"/>
      <c r="H4" s="30"/>
      <c r="S4" s="101"/>
      <c r="T4" s="101"/>
      <c r="U4" s="101"/>
      <c r="V4" s="101"/>
      <c r="W4" s="101"/>
      <c r="X4" s="101"/>
      <c r="Y4" s="101"/>
      <c r="Z4" s="102" t="s">
        <v>94</v>
      </c>
      <c r="AA4" s="102">
        <f>COUNT(AA8:AA15)</f>
        <v>8</v>
      </c>
      <c r="AB4" s="102"/>
      <c r="AC4" s="102">
        <f>COUNT(AC8:AC15)</f>
        <v>8</v>
      </c>
      <c r="AD4" s="102">
        <f>COUNT(AD8:AD15)</f>
        <v>8</v>
      </c>
    </row>
    <row r="5" spans="1:30" x14ac:dyDescent="0.35">
      <c r="A5" s="31" t="s">
        <v>15</v>
      </c>
      <c r="B5" s="59"/>
      <c r="C5" s="30"/>
      <c r="D5" s="30"/>
      <c r="E5" s="30"/>
      <c r="F5" s="30"/>
      <c r="G5" s="30"/>
      <c r="H5" s="30"/>
      <c r="J5" s="44" t="s">
        <v>15</v>
      </c>
      <c r="K5" s="61"/>
      <c r="L5" s="45"/>
      <c r="M5" s="45"/>
      <c r="N5" s="45"/>
      <c r="O5" s="45"/>
      <c r="P5" s="45"/>
      <c r="Q5" s="45"/>
      <c r="S5" s="102" t="s">
        <v>67</v>
      </c>
      <c r="T5" s="101"/>
      <c r="U5" s="101"/>
      <c r="V5" s="101"/>
      <c r="W5" s="101"/>
      <c r="X5" s="101"/>
      <c r="Y5" s="101"/>
      <c r="Z5" s="102" t="s">
        <v>236</v>
      </c>
      <c r="AA5" s="103">
        <f>MIN(AA8:AA15)</f>
        <v>0.51935788479697831</v>
      </c>
      <c r="AB5" s="102"/>
      <c r="AC5" s="103">
        <f>MIN(AC8:AC15)</f>
        <v>4.1218697687188728</v>
      </c>
      <c r="AD5" s="103">
        <f>MIN(AD8:AD15)</f>
        <v>8.2437395374377456</v>
      </c>
    </row>
    <row r="6" spans="1:30" ht="39.5" customHeight="1" x14ac:dyDescent="0.35">
      <c r="A6" s="32" t="s">
        <v>195</v>
      </c>
      <c r="B6" s="33"/>
      <c r="C6" s="33"/>
      <c r="D6" s="33"/>
      <c r="E6" s="33"/>
      <c r="F6" s="33"/>
      <c r="G6" s="33"/>
      <c r="H6" s="33"/>
      <c r="J6" s="46" t="s">
        <v>215</v>
      </c>
      <c r="K6" s="47"/>
      <c r="L6" s="47"/>
      <c r="M6" s="47"/>
      <c r="N6" s="47"/>
      <c r="O6" s="47"/>
      <c r="P6" s="47"/>
      <c r="Q6" s="47"/>
      <c r="S6" s="104" t="s">
        <v>227</v>
      </c>
      <c r="T6" s="101"/>
      <c r="U6" s="101"/>
      <c r="V6" s="101"/>
      <c r="W6" s="101"/>
      <c r="X6" s="101"/>
      <c r="Y6" s="101"/>
      <c r="Z6" s="102" t="s">
        <v>237</v>
      </c>
      <c r="AA6" s="103">
        <f>MAX(AA8:AA15)</f>
        <v>3.1896619036464426</v>
      </c>
      <c r="AB6" s="102"/>
      <c r="AC6" s="103">
        <f>MAX(AC8:AC15)</f>
        <v>5.1859445463050635</v>
      </c>
      <c r="AD6" s="103">
        <f>MAX(AD8:AD15)</f>
        <v>10.371889092610127</v>
      </c>
    </row>
    <row r="7" spans="1:30" ht="43.5" customHeight="1" x14ac:dyDescent="0.45">
      <c r="A7" s="32" t="s">
        <v>1</v>
      </c>
      <c r="B7" s="32" t="s">
        <v>22</v>
      </c>
      <c r="C7" s="32" t="s">
        <v>2</v>
      </c>
      <c r="D7" s="32" t="s">
        <v>21</v>
      </c>
      <c r="E7" s="32" t="s">
        <v>3</v>
      </c>
      <c r="F7" s="32" t="s">
        <v>4</v>
      </c>
      <c r="G7" s="32" t="s">
        <v>5</v>
      </c>
      <c r="H7" s="32" t="s">
        <v>6</v>
      </c>
      <c r="J7" s="46" t="s">
        <v>1</v>
      </c>
      <c r="K7" s="46" t="s">
        <v>22</v>
      </c>
      <c r="L7" s="46" t="s">
        <v>2</v>
      </c>
      <c r="M7" s="46" t="s">
        <v>21</v>
      </c>
      <c r="N7" s="46" t="s">
        <v>3</v>
      </c>
      <c r="O7" s="46" t="s">
        <v>4</v>
      </c>
      <c r="P7" s="46" t="s">
        <v>5</v>
      </c>
      <c r="Q7" s="46" t="s">
        <v>6</v>
      </c>
      <c r="S7" s="104" t="s">
        <v>33</v>
      </c>
      <c r="T7" s="104" t="s">
        <v>228</v>
      </c>
      <c r="U7" s="105" t="s">
        <v>229</v>
      </c>
      <c r="V7" s="104" t="s">
        <v>36</v>
      </c>
      <c r="W7" s="104" t="s">
        <v>225</v>
      </c>
      <c r="X7" s="104" t="s">
        <v>218</v>
      </c>
      <c r="Y7" s="104" t="s">
        <v>3</v>
      </c>
      <c r="Z7" s="104" t="s">
        <v>4</v>
      </c>
      <c r="AA7" s="104" t="s">
        <v>219</v>
      </c>
      <c r="AB7" s="104" t="s">
        <v>6</v>
      </c>
      <c r="AC7" s="106" t="s">
        <v>220</v>
      </c>
      <c r="AD7" s="104" t="s">
        <v>221</v>
      </c>
    </row>
    <row r="8" spans="1:30" ht="37" customHeight="1" x14ac:dyDescent="0.45">
      <c r="A8" s="33" t="s">
        <v>200</v>
      </c>
      <c r="B8" s="34" t="s">
        <v>24</v>
      </c>
      <c r="C8" s="33" t="s">
        <v>201</v>
      </c>
      <c r="D8" s="36">
        <v>0.19</v>
      </c>
      <c r="E8" s="33" t="s">
        <v>9</v>
      </c>
      <c r="F8" s="33" t="s">
        <v>17</v>
      </c>
      <c r="G8" s="36">
        <f t="shared" ref="G8:G13" si="0">((100+D8)-100)/(SQRT(3))</f>
        <v>0.10969655114602758</v>
      </c>
      <c r="H8" s="33" t="s">
        <v>10</v>
      </c>
      <c r="J8" s="47" t="s">
        <v>200</v>
      </c>
      <c r="K8" s="48" t="s">
        <v>24</v>
      </c>
      <c r="L8" s="47" t="s">
        <v>216</v>
      </c>
      <c r="M8" s="49">
        <v>0.11</v>
      </c>
      <c r="N8" s="47" t="s">
        <v>9</v>
      </c>
      <c r="O8" s="47" t="s">
        <v>17</v>
      </c>
      <c r="P8" s="49">
        <f>((100+M8)-100)/(SQRT(3))</f>
        <v>6.3508529610858511E-2</v>
      </c>
      <c r="Q8" s="47" t="s">
        <v>10</v>
      </c>
      <c r="S8" s="107" t="s">
        <v>222</v>
      </c>
      <c r="T8" s="108">
        <v>21.83</v>
      </c>
      <c r="U8" s="108">
        <v>1.2529999999999999</v>
      </c>
      <c r="V8" s="101">
        <v>9</v>
      </c>
      <c r="W8" s="101" t="s">
        <v>226</v>
      </c>
      <c r="X8" s="108">
        <f t="shared" ref="X8:X15" si="1">(U8/T8)*100</f>
        <v>5.7398076042143833</v>
      </c>
      <c r="Y8" s="101" t="s">
        <v>14</v>
      </c>
      <c r="Z8" s="109" t="s">
        <v>45</v>
      </c>
      <c r="AA8" s="108">
        <f t="shared" ref="AA8:AA15" si="2">X8/SQRT(V8)</f>
        <v>1.9132692014047945</v>
      </c>
      <c r="AB8" s="101" t="s">
        <v>10</v>
      </c>
      <c r="AC8" s="108">
        <f>SQRT((AA8^2)+($G$14^2))</f>
        <v>5.1790928492109343</v>
      </c>
      <c r="AD8" s="108">
        <f t="shared" ref="AD8:AD15" si="3">AC8*2</f>
        <v>10.358185698421869</v>
      </c>
    </row>
    <row r="9" spans="1:30" ht="36" customHeight="1" x14ac:dyDescent="0.45">
      <c r="A9" s="33" t="s">
        <v>202</v>
      </c>
      <c r="B9" s="34" t="s">
        <v>25</v>
      </c>
      <c r="C9" s="33" t="s">
        <v>203</v>
      </c>
      <c r="D9" s="35">
        <v>0.3</v>
      </c>
      <c r="E9" s="30" t="s">
        <v>9</v>
      </c>
      <c r="F9" s="30" t="s">
        <v>18</v>
      </c>
      <c r="G9" s="36">
        <f t="shared" si="0"/>
        <v>0.17320508075688609</v>
      </c>
      <c r="H9" s="30" t="s">
        <v>10</v>
      </c>
      <c r="J9" s="47" t="s">
        <v>202</v>
      </c>
      <c r="K9" s="48" t="s">
        <v>25</v>
      </c>
      <c r="L9" s="47" t="s">
        <v>203</v>
      </c>
      <c r="M9" s="50">
        <v>0.3</v>
      </c>
      <c r="N9" s="45" t="s">
        <v>9</v>
      </c>
      <c r="O9" s="45" t="s">
        <v>18</v>
      </c>
      <c r="P9" s="49">
        <f>((100+M9)-100)/(SQRT(3))</f>
        <v>0.17320508075688609</v>
      </c>
      <c r="Q9" s="45" t="s">
        <v>10</v>
      </c>
      <c r="S9" s="107" t="s">
        <v>223</v>
      </c>
      <c r="T9" s="101">
        <v>18.68</v>
      </c>
      <c r="U9" s="108">
        <v>0.95199999999999996</v>
      </c>
      <c r="V9" s="101">
        <v>9</v>
      </c>
      <c r="W9" s="101" t="s">
        <v>226</v>
      </c>
      <c r="X9" s="108">
        <f t="shared" si="1"/>
        <v>5.0963597430406846</v>
      </c>
      <c r="Y9" s="101" t="s">
        <v>14</v>
      </c>
      <c r="Z9" s="109" t="s">
        <v>45</v>
      </c>
      <c r="AA9" s="108">
        <f t="shared" si="2"/>
        <v>1.6987865810135616</v>
      </c>
      <c r="AB9" s="101" t="s">
        <v>10</v>
      </c>
      <c r="AC9" s="108">
        <f>SQRT((AA9^2)+($G$14^2))</f>
        <v>5.1037515174169128</v>
      </c>
      <c r="AD9" s="108">
        <f t="shared" si="3"/>
        <v>10.207503034833826</v>
      </c>
    </row>
    <row r="10" spans="1:30" ht="33.5" customHeight="1" x14ac:dyDescent="0.45">
      <c r="A10" s="33" t="s">
        <v>204</v>
      </c>
      <c r="B10" s="34" t="s">
        <v>53</v>
      </c>
      <c r="C10" s="33" t="s">
        <v>205</v>
      </c>
      <c r="D10" s="35">
        <v>4</v>
      </c>
      <c r="E10" s="30" t="s">
        <v>9</v>
      </c>
      <c r="F10" s="30" t="s">
        <v>18</v>
      </c>
      <c r="G10" s="36">
        <f t="shared" si="0"/>
        <v>2.3094010767585034</v>
      </c>
      <c r="H10" s="30" t="s">
        <v>10</v>
      </c>
      <c r="J10" s="47" t="s">
        <v>204</v>
      </c>
      <c r="K10" s="48" t="s">
        <v>53</v>
      </c>
      <c r="L10" s="47" t="s">
        <v>205</v>
      </c>
      <c r="M10" s="50">
        <v>2</v>
      </c>
      <c r="N10" s="45" t="s">
        <v>9</v>
      </c>
      <c r="O10" s="45" t="s">
        <v>18</v>
      </c>
      <c r="P10" s="49">
        <f>((100+M10)-100)/(SQRT(3))</f>
        <v>1.1547005383792517</v>
      </c>
      <c r="Q10" s="45" t="s">
        <v>10</v>
      </c>
      <c r="S10" s="107" t="s">
        <v>224</v>
      </c>
      <c r="T10" s="101">
        <v>18.75</v>
      </c>
      <c r="U10" s="108">
        <v>1.0629999999999999</v>
      </c>
      <c r="V10" s="101">
        <v>9</v>
      </c>
      <c r="W10" s="101" t="s">
        <v>226</v>
      </c>
      <c r="X10" s="108">
        <f t="shared" si="1"/>
        <v>5.6693333333333333</v>
      </c>
      <c r="Y10" s="101" t="s">
        <v>14</v>
      </c>
      <c r="Z10" s="109" t="s">
        <v>45</v>
      </c>
      <c r="AA10" s="108">
        <f t="shared" si="2"/>
        <v>1.8897777777777778</v>
      </c>
      <c r="AB10" s="101" t="s">
        <v>10</v>
      </c>
      <c r="AC10" s="108">
        <f>SQRT((AA10^2)+($G$14^2))</f>
        <v>5.1704606906045045</v>
      </c>
      <c r="AD10" s="108">
        <f t="shared" si="3"/>
        <v>10.340921381209009</v>
      </c>
    </row>
    <row r="11" spans="1:30" ht="29.5" customHeight="1" x14ac:dyDescent="0.45">
      <c r="A11" s="33" t="s">
        <v>207</v>
      </c>
      <c r="B11" s="34" t="s">
        <v>206</v>
      </c>
      <c r="C11" s="33" t="s">
        <v>208</v>
      </c>
      <c r="D11" s="35">
        <v>6</v>
      </c>
      <c r="E11" s="30" t="s">
        <v>9</v>
      </c>
      <c r="F11" s="30" t="s">
        <v>18</v>
      </c>
      <c r="G11" s="36">
        <f t="shared" si="0"/>
        <v>3.4641016151377548</v>
      </c>
      <c r="H11" s="30" t="s">
        <v>10</v>
      </c>
      <c r="J11" s="47" t="s">
        <v>207</v>
      </c>
      <c r="K11" s="48" t="s">
        <v>206</v>
      </c>
      <c r="L11" s="47" t="s">
        <v>208</v>
      </c>
      <c r="M11" s="50">
        <v>6</v>
      </c>
      <c r="N11" s="45" t="s">
        <v>9</v>
      </c>
      <c r="O11" s="45" t="s">
        <v>18</v>
      </c>
      <c r="P11" s="49">
        <f>((100+M11)-100)/(SQRT(3))</f>
        <v>3.4641016151377548</v>
      </c>
      <c r="Q11" s="45" t="s">
        <v>10</v>
      </c>
      <c r="S11" s="107" t="s">
        <v>230</v>
      </c>
      <c r="T11" s="101">
        <v>3.641</v>
      </c>
      <c r="U11" s="108">
        <v>0.17699999999999999</v>
      </c>
      <c r="V11" s="101">
        <v>3</v>
      </c>
      <c r="W11" s="101" t="s">
        <v>231</v>
      </c>
      <c r="X11" s="108">
        <f t="shared" si="1"/>
        <v>4.8613018401538035</v>
      </c>
      <c r="Y11" s="101" t="s">
        <v>14</v>
      </c>
      <c r="Z11" s="109" t="s">
        <v>45</v>
      </c>
      <c r="AA11" s="108">
        <f t="shared" si="2"/>
        <v>2.8066739260248217</v>
      </c>
      <c r="AB11" s="101" t="s">
        <v>10</v>
      </c>
      <c r="AC11" s="108">
        <f>SQRT((AA11^2)+($P$14^2))</f>
        <v>4.9595863037964536</v>
      </c>
      <c r="AD11" s="108">
        <f t="shared" si="3"/>
        <v>9.9191726075929072</v>
      </c>
    </row>
    <row r="12" spans="1:30" ht="51" customHeight="1" x14ac:dyDescent="0.45">
      <c r="A12" s="33" t="s">
        <v>209</v>
      </c>
      <c r="B12" s="34" t="s">
        <v>210</v>
      </c>
      <c r="C12" s="33" t="s">
        <v>211</v>
      </c>
      <c r="D12" s="35">
        <f>(50/1500)*100</f>
        <v>3.3333333333333335</v>
      </c>
      <c r="E12" s="30" t="s">
        <v>9</v>
      </c>
      <c r="F12" s="30" t="s">
        <v>18</v>
      </c>
      <c r="G12" s="36">
        <f t="shared" si="0"/>
        <v>1.9245008972987498</v>
      </c>
      <c r="H12" s="30" t="s">
        <v>10</v>
      </c>
      <c r="J12" s="47" t="s">
        <v>209</v>
      </c>
      <c r="K12" s="48" t="s">
        <v>210</v>
      </c>
      <c r="L12" s="47" t="s">
        <v>217</v>
      </c>
      <c r="M12" s="50">
        <v>3.38</v>
      </c>
      <c r="N12" s="45" t="s">
        <v>14</v>
      </c>
      <c r="O12" s="45" t="s">
        <v>19</v>
      </c>
      <c r="P12" s="49">
        <f>M12/SQRT(9)</f>
        <v>1.1266666666666667</v>
      </c>
      <c r="Q12" s="45" t="s">
        <v>10</v>
      </c>
      <c r="S12" s="107" t="s">
        <v>232</v>
      </c>
      <c r="T12" s="101">
        <v>10.59</v>
      </c>
      <c r="U12" s="108">
        <v>0.16500000000000001</v>
      </c>
      <c r="V12" s="101">
        <v>9</v>
      </c>
      <c r="W12" s="101" t="s">
        <v>231</v>
      </c>
      <c r="X12" s="108">
        <f t="shared" si="1"/>
        <v>1.558073654390935</v>
      </c>
      <c r="Y12" s="101" t="s">
        <v>14</v>
      </c>
      <c r="Z12" s="109" t="s">
        <v>45</v>
      </c>
      <c r="AA12" s="108">
        <f t="shared" si="2"/>
        <v>0.51935788479697831</v>
      </c>
      <c r="AB12" s="101" t="s">
        <v>10</v>
      </c>
      <c r="AC12" s="108">
        <f>SQRT((AA12^2)+($P$14^2))</f>
        <v>4.1218697687188728</v>
      </c>
      <c r="AD12" s="108">
        <f t="shared" si="3"/>
        <v>8.2437395374377456</v>
      </c>
    </row>
    <row r="13" spans="1:30" ht="51" customHeight="1" x14ac:dyDescent="0.45">
      <c r="A13" s="33" t="s">
        <v>212</v>
      </c>
      <c r="B13" s="34" t="s">
        <v>213</v>
      </c>
      <c r="C13" s="33" t="s">
        <v>214</v>
      </c>
      <c r="D13" s="35">
        <f>(0.5/20)*100</f>
        <v>2.5</v>
      </c>
      <c r="E13" s="30" t="s">
        <v>9</v>
      </c>
      <c r="F13" s="30" t="s">
        <v>18</v>
      </c>
      <c r="G13" s="36">
        <f t="shared" si="0"/>
        <v>1.4433756729740645</v>
      </c>
      <c r="H13" s="30" t="s">
        <v>10</v>
      </c>
      <c r="J13" s="47" t="s">
        <v>212</v>
      </c>
      <c r="K13" s="48" t="s">
        <v>213</v>
      </c>
      <c r="L13" s="47" t="s">
        <v>214</v>
      </c>
      <c r="M13" s="50">
        <f>(0.5/20)*100</f>
        <v>2.5</v>
      </c>
      <c r="N13" s="45" t="s">
        <v>9</v>
      </c>
      <c r="O13" s="45" t="s">
        <v>18</v>
      </c>
      <c r="P13" s="49">
        <f>((100+M13)-100)/(SQRT(3))</f>
        <v>1.4433756729740645</v>
      </c>
      <c r="Q13" s="45" t="s">
        <v>10</v>
      </c>
      <c r="S13" s="107" t="s">
        <v>233</v>
      </c>
      <c r="T13" s="101">
        <v>8.2309999999999999</v>
      </c>
      <c r="U13" s="108">
        <v>0.61899999999999999</v>
      </c>
      <c r="V13" s="101">
        <v>9</v>
      </c>
      <c r="W13" s="101" t="s">
        <v>231</v>
      </c>
      <c r="X13" s="108">
        <f t="shared" si="1"/>
        <v>7.5203498967318678</v>
      </c>
      <c r="Y13" s="101" t="s">
        <v>14</v>
      </c>
      <c r="Z13" s="109" t="s">
        <v>45</v>
      </c>
      <c r="AA13" s="108">
        <f t="shared" si="2"/>
        <v>2.5067832989106225</v>
      </c>
      <c r="AB13" s="101" t="s">
        <v>10</v>
      </c>
      <c r="AC13" s="108">
        <f>SQRT((AA13^2)+($P$14^2))</f>
        <v>4.7962527336948169</v>
      </c>
      <c r="AD13" s="108">
        <f t="shared" si="3"/>
        <v>9.5925054673896337</v>
      </c>
    </row>
    <row r="14" spans="1:30" ht="43" customHeight="1" x14ac:dyDescent="0.45">
      <c r="A14" s="33" t="s">
        <v>23</v>
      </c>
      <c r="B14" s="34" t="s">
        <v>26</v>
      </c>
      <c r="C14" s="33"/>
      <c r="D14" s="35"/>
      <c r="E14" s="30" t="s">
        <v>14</v>
      </c>
      <c r="F14" s="30"/>
      <c r="G14" s="35">
        <f>SQRT((G8^2)+(G9^2)+(G10^2)+(G11^2)+(G12^2)+(G13^2))</f>
        <v>4.8127334960190442</v>
      </c>
      <c r="H14" s="30" t="s">
        <v>10</v>
      </c>
      <c r="J14" s="47" t="s">
        <v>23</v>
      </c>
      <c r="K14" s="48" t="s">
        <v>26</v>
      </c>
      <c r="L14" s="47"/>
      <c r="M14" s="50"/>
      <c r="N14" s="45" t="s">
        <v>14</v>
      </c>
      <c r="O14" s="45"/>
      <c r="P14" s="50">
        <f>SQRT((P8^2)+(P9^2)+(P10^2)+(P11^2)+(P12^2)+(P13^2))</f>
        <v>4.0890191706297712</v>
      </c>
      <c r="Q14" s="45" t="s">
        <v>10</v>
      </c>
      <c r="S14" s="107" t="s">
        <v>234</v>
      </c>
      <c r="T14" s="101">
        <v>8.5380000000000003</v>
      </c>
      <c r="U14" s="108">
        <v>0.81699999999999995</v>
      </c>
      <c r="V14" s="101">
        <v>9</v>
      </c>
      <c r="W14" s="101" t="s">
        <v>231</v>
      </c>
      <c r="X14" s="108">
        <f t="shared" si="1"/>
        <v>9.5689857109393284</v>
      </c>
      <c r="Y14" s="101" t="s">
        <v>14</v>
      </c>
      <c r="Z14" s="109" t="s">
        <v>45</v>
      </c>
      <c r="AA14" s="108">
        <f t="shared" si="2"/>
        <v>3.1896619036464426</v>
      </c>
      <c r="AB14" s="101" t="s">
        <v>10</v>
      </c>
      <c r="AC14" s="108">
        <f>SQRT((AA14^2)+($P$14^2))</f>
        <v>5.1859445463050635</v>
      </c>
      <c r="AD14" s="108">
        <f t="shared" si="3"/>
        <v>10.371889092610127</v>
      </c>
    </row>
    <row r="15" spans="1:30" ht="29" x14ac:dyDescent="0.35">
      <c r="A15" s="33" t="s">
        <v>27</v>
      </c>
      <c r="B15" s="34" t="s">
        <v>31</v>
      </c>
      <c r="C15" s="33" t="s">
        <v>28</v>
      </c>
      <c r="D15" s="35"/>
      <c r="E15" s="30" t="s">
        <v>14</v>
      </c>
      <c r="F15" s="30"/>
      <c r="G15" s="36">
        <f>G14*2</f>
        <v>9.6254669920380884</v>
      </c>
      <c r="H15" s="30" t="s">
        <v>10</v>
      </c>
      <c r="J15" s="47" t="s">
        <v>27</v>
      </c>
      <c r="K15" s="48" t="s">
        <v>31</v>
      </c>
      <c r="L15" s="47" t="s">
        <v>28</v>
      </c>
      <c r="M15" s="50"/>
      <c r="N15" s="45" t="s">
        <v>14</v>
      </c>
      <c r="O15" s="45"/>
      <c r="P15" s="49">
        <f>P14*2</f>
        <v>8.1780383412595423</v>
      </c>
      <c r="Q15" s="45" t="s">
        <v>10</v>
      </c>
      <c r="S15" s="107" t="s">
        <v>235</v>
      </c>
      <c r="T15" s="101">
        <v>6.8220000000000001</v>
      </c>
      <c r="U15" s="108">
        <v>0.41899999999999998</v>
      </c>
      <c r="V15" s="101">
        <v>9</v>
      </c>
      <c r="W15" s="101" t="s">
        <v>231</v>
      </c>
      <c r="X15" s="108">
        <f t="shared" si="1"/>
        <v>6.1418938727645846</v>
      </c>
      <c r="Y15" s="101" t="s">
        <v>14</v>
      </c>
      <c r="Z15" s="109" t="s">
        <v>45</v>
      </c>
      <c r="AA15" s="108">
        <f t="shared" si="2"/>
        <v>2.0472979575881949</v>
      </c>
      <c r="AB15" s="101" t="s">
        <v>10</v>
      </c>
      <c r="AC15" s="108">
        <f>SQRT((AA15^2)+($P$14^2))</f>
        <v>4.5729100914978176</v>
      </c>
      <c r="AD15" s="108">
        <f t="shared" si="3"/>
        <v>9.1458201829956352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8"/>
  <sheetViews>
    <sheetView topLeftCell="N9" workbookViewId="0">
      <selection activeCell="S13" sqref="S13:AD17"/>
    </sheetView>
  </sheetViews>
  <sheetFormatPr defaultRowHeight="14.5" x14ac:dyDescent="0.35"/>
  <cols>
    <col min="1" max="1" width="23.453125" customWidth="1"/>
    <col min="2" max="2" width="16.453125" customWidth="1"/>
    <col min="3" max="3" width="50.08984375" customWidth="1"/>
    <col min="5" max="5" width="17.81640625" customWidth="1"/>
    <col min="7" max="7" width="15" customWidth="1"/>
    <col min="10" max="10" width="24.7265625" customWidth="1"/>
    <col min="11" max="11" width="14.54296875" customWidth="1"/>
    <col min="12" max="12" width="43.90625" customWidth="1"/>
    <col min="14" max="14" width="14.81640625" customWidth="1"/>
    <col min="16" max="16" width="11.26953125" customWidth="1"/>
    <col min="19" max="19" width="23.36328125" customWidth="1"/>
    <col min="20" max="20" width="11.6328125" customWidth="1"/>
    <col min="22" max="22" width="18.7265625" customWidth="1"/>
    <col min="23" max="23" width="29.453125" customWidth="1"/>
    <col min="25" max="25" width="16.08984375" customWidth="1"/>
    <col min="27" max="27" width="21.1796875" customWidth="1"/>
    <col min="29" max="29" width="15.1796875" customWidth="1"/>
    <col min="30" max="30" width="15.26953125" customWidth="1"/>
    <col min="40" max="40" width="10.453125" customWidth="1"/>
    <col min="41" max="41" width="11.36328125" bestFit="1" customWidth="1"/>
  </cols>
  <sheetData>
    <row r="1" spans="1:42" x14ac:dyDescent="0.35">
      <c r="A1" s="21" t="s">
        <v>16</v>
      </c>
      <c r="B1" s="21"/>
      <c r="C1" s="22"/>
      <c r="D1" s="22"/>
      <c r="E1" s="22"/>
      <c r="F1" s="22"/>
      <c r="G1" s="22"/>
      <c r="H1" s="2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F1" t="s">
        <v>92</v>
      </c>
      <c r="AG1">
        <f>AVERAGE(AG5:AG24)</f>
        <v>888.75</v>
      </c>
      <c r="AH1">
        <f>AVERAGE(AH5:AH24)</f>
        <v>1.5855000000000001</v>
      </c>
      <c r="AJ1" t="s">
        <v>92</v>
      </c>
      <c r="AK1" s="3">
        <f>AVERAGE(AK5:AK24)</f>
        <v>590.125</v>
      </c>
      <c r="AL1" s="12">
        <f>AVERAGE(AL5:AL24)</f>
        <v>1.3286249999999999</v>
      </c>
      <c r="AN1" t="s">
        <v>92</v>
      </c>
      <c r="AO1" s="3">
        <f>AVERAGE(AO5:AO24)</f>
        <v>458</v>
      </c>
      <c r="AP1" s="11">
        <f>AVERAGE(AP5:AP24)</f>
        <v>0.76391666666666669</v>
      </c>
    </row>
    <row r="2" spans="1:42" x14ac:dyDescent="0.35">
      <c r="A2" s="21" t="s">
        <v>20</v>
      </c>
      <c r="B2" s="21"/>
      <c r="C2" s="22" t="s">
        <v>29</v>
      </c>
      <c r="D2" s="22"/>
      <c r="E2" s="22"/>
      <c r="F2" s="22"/>
      <c r="G2" s="22"/>
      <c r="H2" s="2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F2" s="7" t="s">
        <v>93</v>
      </c>
      <c r="AG2" s="3">
        <f>STDEV(AG5:AG24)</f>
        <v>53.472939541022939</v>
      </c>
      <c r="AH2" s="12">
        <f>STDEV(AH5:AH24)</f>
        <v>0.14304857474593063</v>
      </c>
      <c r="AJ2" s="7" t="s">
        <v>93</v>
      </c>
      <c r="AK2" s="3">
        <f>STDEV(AK5:AK24)</f>
        <v>35.011987742975776</v>
      </c>
      <c r="AL2" s="12">
        <f>STDEV(AL5:AL24)</f>
        <v>2.2513091429528013E-2</v>
      </c>
      <c r="AN2" s="7" t="s">
        <v>93</v>
      </c>
      <c r="AO2" s="3">
        <f>STDEV(AO5:AO24)</f>
        <v>5.8929850438697642</v>
      </c>
      <c r="AP2" s="12">
        <f>STDEV(AP5:AP24)</f>
        <v>2.2689438205046129E-2</v>
      </c>
    </row>
    <row r="3" spans="1:42" x14ac:dyDescent="0.35">
      <c r="A3" s="22"/>
      <c r="B3" s="21"/>
      <c r="C3" s="22" t="s">
        <v>30</v>
      </c>
      <c r="D3" s="22"/>
      <c r="E3" s="22"/>
      <c r="F3" s="22"/>
      <c r="G3" s="22"/>
      <c r="H3" s="2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F3" t="s">
        <v>94</v>
      </c>
      <c r="AG3">
        <f>COUNT(AG5:AG24)</f>
        <v>20</v>
      </c>
      <c r="AH3">
        <f>COUNT(AH5:AH24)</f>
        <v>20</v>
      </c>
      <c r="AJ3" t="s">
        <v>94</v>
      </c>
      <c r="AK3">
        <f>COUNT(AK5:AK24)</f>
        <v>8</v>
      </c>
      <c r="AL3">
        <f>COUNT(AL5:AL24)</f>
        <v>8</v>
      </c>
      <c r="AN3" t="s">
        <v>94</v>
      </c>
      <c r="AO3">
        <f>COUNT(AO5:AO24)</f>
        <v>12</v>
      </c>
      <c r="AP3">
        <f>COUNT(AP5:AP24)</f>
        <v>12</v>
      </c>
    </row>
    <row r="4" spans="1:42" ht="16.5" x14ac:dyDescent="0.45">
      <c r="A4" s="23" t="s">
        <v>15</v>
      </c>
      <c r="B4" s="21"/>
      <c r="C4" s="22"/>
      <c r="D4" s="22"/>
      <c r="E4" s="22"/>
      <c r="F4" s="22"/>
      <c r="G4" s="22"/>
      <c r="H4" s="22"/>
      <c r="J4" s="51" t="s">
        <v>15</v>
      </c>
      <c r="K4" s="52"/>
      <c r="L4" s="52"/>
      <c r="M4" s="52"/>
      <c r="N4" s="52"/>
      <c r="O4" s="52"/>
      <c r="P4" s="52"/>
      <c r="Q4" s="52"/>
      <c r="S4" s="73" t="s">
        <v>67</v>
      </c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F4" s="4" t="s">
        <v>95</v>
      </c>
      <c r="AG4" s="8" t="s">
        <v>96</v>
      </c>
      <c r="AH4" s="9" t="s">
        <v>97</v>
      </c>
      <c r="AJ4" s="10" t="s">
        <v>100</v>
      </c>
      <c r="AK4" s="8" t="s">
        <v>96</v>
      </c>
      <c r="AL4" s="9" t="s">
        <v>97</v>
      </c>
      <c r="AN4" s="10" t="s">
        <v>110</v>
      </c>
      <c r="AO4" s="8" t="s">
        <v>96</v>
      </c>
      <c r="AP4" s="9" t="s">
        <v>97</v>
      </c>
    </row>
    <row r="5" spans="1:42" x14ac:dyDescent="0.35">
      <c r="A5" s="24" t="s">
        <v>40</v>
      </c>
      <c r="B5" s="21"/>
      <c r="C5" s="22"/>
      <c r="D5" s="22"/>
      <c r="E5" s="22"/>
      <c r="F5" s="22"/>
      <c r="G5" s="22"/>
      <c r="H5" s="22"/>
      <c r="J5" s="52"/>
      <c r="K5" s="52"/>
      <c r="L5" s="52"/>
      <c r="M5" s="52"/>
      <c r="N5" s="52"/>
      <c r="O5" s="52"/>
      <c r="P5" s="52"/>
      <c r="Q5" s="52"/>
      <c r="S5" s="73"/>
      <c r="T5" s="73" t="s">
        <v>98</v>
      </c>
      <c r="U5" s="72"/>
      <c r="V5" s="72"/>
      <c r="W5" s="72" t="s">
        <v>71</v>
      </c>
      <c r="X5" s="72"/>
      <c r="Y5" s="72"/>
      <c r="Z5" s="72"/>
      <c r="AA5" s="72"/>
      <c r="AB5" s="72"/>
      <c r="AC5" s="72"/>
      <c r="AD5" s="72"/>
      <c r="AF5" s="1" t="s">
        <v>72</v>
      </c>
      <c r="AG5">
        <v>848</v>
      </c>
      <c r="AH5">
        <v>1.4019999999999999</v>
      </c>
      <c r="AJ5" s="5" t="s">
        <v>101</v>
      </c>
      <c r="AK5">
        <v>573</v>
      </c>
      <c r="AL5">
        <v>1.3260000000000001</v>
      </c>
      <c r="AN5" s="5" t="s">
        <v>109</v>
      </c>
      <c r="AO5">
        <v>455</v>
      </c>
      <c r="AP5">
        <v>0.74399999999999999</v>
      </c>
    </row>
    <row r="6" spans="1:42" x14ac:dyDescent="0.35">
      <c r="A6" s="24"/>
      <c r="B6" s="21"/>
      <c r="C6" s="22"/>
      <c r="D6" s="22"/>
      <c r="E6" s="22"/>
      <c r="F6" s="22"/>
      <c r="G6" s="22"/>
      <c r="H6" s="22"/>
      <c r="J6" s="52"/>
      <c r="K6" s="52"/>
      <c r="L6" s="52"/>
      <c r="M6" s="52"/>
      <c r="N6" s="52"/>
      <c r="O6" s="52"/>
      <c r="P6" s="52"/>
      <c r="Q6" s="52"/>
      <c r="S6" s="73"/>
      <c r="T6" s="73" t="s">
        <v>99</v>
      </c>
      <c r="U6" s="72"/>
      <c r="V6" s="72"/>
      <c r="W6" s="72"/>
      <c r="X6" s="72"/>
      <c r="Y6" s="72"/>
      <c r="Z6" s="72"/>
      <c r="AA6" s="72"/>
      <c r="AB6" s="72"/>
      <c r="AC6" s="72"/>
      <c r="AD6" s="72"/>
      <c r="AF6" s="1" t="s">
        <v>73</v>
      </c>
      <c r="AG6">
        <v>862</v>
      </c>
      <c r="AH6">
        <v>1.623</v>
      </c>
      <c r="AJ6" s="5" t="s">
        <v>102</v>
      </c>
      <c r="AK6">
        <v>565</v>
      </c>
      <c r="AL6">
        <v>1.3029999999999999</v>
      </c>
      <c r="AN6" s="5" t="s">
        <v>111</v>
      </c>
      <c r="AO6">
        <v>463</v>
      </c>
      <c r="AP6">
        <v>0.73499999999999999</v>
      </c>
    </row>
    <row r="7" spans="1:42" ht="31.5" customHeight="1" x14ac:dyDescent="0.45">
      <c r="A7" s="25" t="s">
        <v>47</v>
      </c>
      <c r="B7" s="24"/>
      <c r="C7" s="24"/>
      <c r="D7" s="24"/>
      <c r="E7" s="24"/>
      <c r="F7" s="24"/>
      <c r="G7" s="24"/>
      <c r="H7" s="24"/>
      <c r="J7" s="53" t="s">
        <v>59</v>
      </c>
      <c r="K7" s="54"/>
      <c r="L7" s="54"/>
      <c r="M7" s="54"/>
      <c r="N7" s="54"/>
      <c r="O7" s="54"/>
      <c r="P7" s="54"/>
      <c r="Q7" s="54"/>
      <c r="S7" s="74" t="s">
        <v>47</v>
      </c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F7" s="1" t="s">
        <v>74</v>
      </c>
      <c r="AG7">
        <v>932</v>
      </c>
      <c r="AH7">
        <v>1.5589999999999999</v>
      </c>
      <c r="AJ7" s="5" t="s">
        <v>103</v>
      </c>
      <c r="AK7">
        <v>579</v>
      </c>
      <c r="AL7">
        <v>1.304</v>
      </c>
      <c r="AN7" s="5" t="s">
        <v>112</v>
      </c>
      <c r="AO7">
        <v>458</v>
      </c>
      <c r="AP7">
        <v>0.748</v>
      </c>
    </row>
    <row r="8" spans="1:42" ht="44.5" customHeight="1" x14ac:dyDescent="0.45">
      <c r="A8" s="25" t="s">
        <v>1</v>
      </c>
      <c r="B8" s="25" t="s">
        <v>22</v>
      </c>
      <c r="C8" s="25" t="s">
        <v>2</v>
      </c>
      <c r="D8" s="25" t="s">
        <v>21</v>
      </c>
      <c r="E8" s="25" t="s">
        <v>3</v>
      </c>
      <c r="F8" s="25" t="s">
        <v>4</v>
      </c>
      <c r="G8" s="25" t="s">
        <v>5</v>
      </c>
      <c r="H8" s="25" t="s">
        <v>6</v>
      </c>
      <c r="J8" s="53" t="s">
        <v>1</v>
      </c>
      <c r="K8" s="53" t="s">
        <v>22</v>
      </c>
      <c r="L8" s="53" t="s">
        <v>2</v>
      </c>
      <c r="M8" s="53" t="s">
        <v>21</v>
      </c>
      <c r="N8" s="53" t="s">
        <v>3</v>
      </c>
      <c r="O8" s="53" t="s">
        <v>4</v>
      </c>
      <c r="P8" s="53" t="s">
        <v>5</v>
      </c>
      <c r="Q8" s="53" t="s">
        <v>6</v>
      </c>
      <c r="S8" s="74" t="s">
        <v>33</v>
      </c>
      <c r="T8" s="74" t="s">
        <v>34</v>
      </c>
      <c r="U8" s="75" t="s">
        <v>35</v>
      </c>
      <c r="V8" s="74" t="s">
        <v>36</v>
      </c>
      <c r="W8" s="74" t="s">
        <v>2</v>
      </c>
      <c r="X8" s="74" t="s">
        <v>218</v>
      </c>
      <c r="Y8" s="74" t="s">
        <v>3</v>
      </c>
      <c r="Z8" s="74" t="s">
        <v>4</v>
      </c>
      <c r="AA8" s="74" t="s">
        <v>219</v>
      </c>
      <c r="AB8" s="74" t="s">
        <v>6</v>
      </c>
      <c r="AC8" s="76" t="s">
        <v>220</v>
      </c>
      <c r="AD8" s="74" t="s">
        <v>221</v>
      </c>
      <c r="AF8" s="1" t="s">
        <v>75</v>
      </c>
      <c r="AG8">
        <v>868</v>
      </c>
      <c r="AH8">
        <v>1.625</v>
      </c>
      <c r="AJ8" s="5" t="s">
        <v>104</v>
      </c>
      <c r="AK8">
        <v>573</v>
      </c>
      <c r="AL8">
        <v>1.3129999999999999</v>
      </c>
      <c r="AN8" s="5" t="s">
        <v>113</v>
      </c>
      <c r="AO8">
        <v>470</v>
      </c>
      <c r="AP8">
        <v>0.78500000000000003</v>
      </c>
    </row>
    <row r="9" spans="1:42" ht="30" customHeight="1" x14ac:dyDescent="0.45">
      <c r="A9" s="24" t="s">
        <v>43</v>
      </c>
      <c r="B9" s="26" t="s">
        <v>24</v>
      </c>
      <c r="C9" s="24" t="s">
        <v>42</v>
      </c>
      <c r="D9" s="27">
        <f>(1/200)*100</f>
        <v>0.5</v>
      </c>
      <c r="E9" s="24" t="s">
        <v>9</v>
      </c>
      <c r="F9" s="24" t="s">
        <v>17</v>
      </c>
      <c r="G9" s="27">
        <f>((100+D9)-100)/(SQRT(3))</f>
        <v>0.28867513459481292</v>
      </c>
      <c r="H9" s="24" t="s">
        <v>10</v>
      </c>
      <c r="J9" s="54" t="s">
        <v>62</v>
      </c>
      <c r="K9" s="55" t="s">
        <v>24</v>
      </c>
      <c r="L9" s="54" t="s">
        <v>60</v>
      </c>
      <c r="M9" s="56">
        <f>(1/200)*100</f>
        <v>0.5</v>
      </c>
      <c r="N9" s="54" t="s">
        <v>9</v>
      </c>
      <c r="O9" s="54" t="s">
        <v>17</v>
      </c>
      <c r="P9" s="56">
        <f>((100+M9)-100)/(SQRT(3))</f>
        <v>0.28867513459481292</v>
      </c>
      <c r="Q9" s="54" t="s">
        <v>10</v>
      </c>
      <c r="S9" s="77" t="s">
        <v>68</v>
      </c>
      <c r="T9" s="78">
        <f>AG1</f>
        <v>888.75</v>
      </c>
      <c r="U9" s="78">
        <f>AG2</f>
        <v>53.472939541022939</v>
      </c>
      <c r="V9" s="72">
        <f>AG3</f>
        <v>20</v>
      </c>
      <c r="W9" s="72"/>
      <c r="X9" s="78">
        <f>(U9/T9)*100</f>
        <v>6.0166457992712168</v>
      </c>
      <c r="Y9" s="72" t="s">
        <v>14</v>
      </c>
      <c r="Z9" s="79" t="s">
        <v>45</v>
      </c>
      <c r="AA9" s="78">
        <f>X9/SQRT(V9)</f>
        <v>1.3453629003708996</v>
      </c>
      <c r="AB9" s="72" t="s">
        <v>10</v>
      </c>
      <c r="AC9" s="78">
        <f>SQRT((AA9^2)+($G$16^2))</f>
        <v>1.3645357063978947</v>
      </c>
      <c r="AD9" s="78">
        <f>AC9*2</f>
        <v>2.7290714127957894</v>
      </c>
      <c r="AF9" s="1" t="s">
        <v>76</v>
      </c>
      <c r="AG9">
        <v>912</v>
      </c>
      <c r="AH9">
        <v>1.514</v>
      </c>
      <c r="AJ9" s="5" t="s">
        <v>105</v>
      </c>
      <c r="AK9">
        <v>566</v>
      </c>
      <c r="AL9">
        <v>1.3480000000000001</v>
      </c>
      <c r="AN9" s="5" t="s">
        <v>114</v>
      </c>
      <c r="AO9">
        <v>452</v>
      </c>
      <c r="AP9">
        <v>0.77200000000000002</v>
      </c>
    </row>
    <row r="10" spans="1:42" ht="38" customHeight="1" x14ac:dyDescent="0.45">
      <c r="A10" s="24" t="s">
        <v>46</v>
      </c>
      <c r="B10" s="26" t="s">
        <v>25</v>
      </c>
      <c r="C10" s="24" t="s">
        <v>44</v>
      </c>
      <c r="D10" s="28">
        <f>(1/664)*100</f>
        <v>0.15060240963855423</v>
      </c>
      <c r="E10" s="22" t="s">
        <v>14</v>
      </c>
      <c r="F10" s="29" t="s">
        <v>45</v>
      </c>
      <c r="G10" s="27">
        <f>D10/SQRT(2)</f>
        <v>0.10649198511845595</v>
      </c>
      <c r="H10" s="22" t="s">
        <v>10</v>
      </c>
      <c r="J10" s="54" t="s">
        <v>46</v>
      </c>
      <c r="K10" s="55" t="s">
        <v>25</v>
      </c>
      <c r="L10" s="54" t="s">
        <v>61</v>
      </c>
      <c r="M10" s="57">
        <f>((1.32-1.315)/1.32)*100/2</f>
        <v>0.18939393939394375</v>
      </c>
      <c r="N10" s="52" t="s">
        <v>14</v>
      </c>
      <c r="O10" s="58" t="s">
        <v>45</v>
      </c>
      <c r="P10" s="56">
        <f>M10/SQRT(2)</f>
        <v>0.13392173886109163</v>
      </c>
      <c r="Q10" s="52" t="s">
        <v>10</v>
      </c>
      <c r="S10" s="77" t="s">
        <v>69</v>
      </c>
      <c r="T10" s="78">
        <f>AK1</f>
        <v>590.125</v>
      </c>
      <c r="U10" s="78">
        <f>AK2</f>
        <v>35.011987742975776</v>
      </c>
      <c r="V10" s="72">
        <f>AK3</f>
        <v>8</v>
      </c>
      <c r="W10" s="72"/>
      <c r="X10" s="78">
        <f t="shared" ref="X10:X11" si="0">(U10/T10)*100</f>
        <v>5.9329782237620465</v>
      </c>
      <c r="Y10" s="72" t="s">
        <v>14</v>
      </c>
      <c r="Z10" s="79" t="s">
        <v>45</v>
      </c>
      <c r="AA10" s="78">
        <f t="shared" ref="AA10:AA11" si="1">X10/SQRT(V10)</f>
        <v>2.0976245673271303</v>
      </c>
      <c r="AB10" s="72" t="s">
        <v>10</v>
      </c>
      <c r="AC10" s="78">
        <f>SQRT((AA10^2)+($G$16^2))</f>
        <v>2.1099727926669418</v>
      </c>
      <c r="AD10" s="78">
        <f t="shared" ref="AD10:AD11" si="2">AC10*2</f>
        <v>4.2199455853338836</v>
      </c>
      <c r="AF10" s="1" t="s">
        <v>77</v>
      </c>
      <c r="AG10">
        <v>848</v>
      </c>
      <c r="AH10">
        <v>1.6639999999999999</v>
      </c>
      <c r="AJ10" s="5" t="s">
        <v>106</v>
      </c>
      <c r="AK10">
        <v>657</v>
      </c>
      <c r="AL10">
        <v>1.3680000000000001</v>
      </c>
      <c r="AN10" s="5" t="s">
        <v>115</v>
      </c>
      <c r="AO10">
        <v>454</v>
      </c>
      <c r="AP10">
        <v>0.76800000000000002</v>
      </c>
    </row>
    <row r="11" spans="1:42" ht="32.5" customHeight="1" x14ac:dyDescent="0.45">
      <c r="A11" s="24" t="s">
        <v>48</v>
      </c>
      <c r="B11" s="26" t="s">
        <v>26</v>
      </c>
      <c r="C11" s="24"/>
      <c r="D11" s="28"/>
      <c r="E11" s="22" t="s">
        <v>14</v>
      </c>
      <c r="F11" s="22"/>
      <c r="G11" s="28">
        <f>SQRT((G9^2)+(G10^2))</f>
        <v>0.3076912027143493</v>
      </c>
      <c r="H11" s="22" t="s">
        <v>10</v>
      </c>
      <c r="J11" s="54" t="s">
        <v>48</v>
      </c>
      <c r="K11" s="55" t="s">
        <v>26</v>
      </c>
      <c r="L11" s="54"/>
      <c r="M11" s="57"/>
      <c r="N11" s="52" t="s">
        <v>14</v>
      </c>
      <c r="O11" s="52"/>
      <c r="P11" s="57">
        <f>SQRT((P9^2)+(P10^2))</f>
        <v>0.3182269087819441</v>
      </c>
      <c r="Q11" s="52" t="s">
        <v>10</v>
      </c>
      <c r="S11" s="77" t="s">
        <v>70</v>
      </c>
      <c r="T11" s="78">
        <f>AO1</f>
        <v>458</v>
      </c>
      <c r="U11" s="78">
        <f>AO2</f>
        <v>5.8929850438697642</v>
      </c>
      <c r="V11" s="72">
        <f>AO3</f>
        <v>12</v>
      </c>
      <c r="W11" s="72"/>
      <c r="X11" s="78">
        <f t="shared" si="0"/>
        <v>1.2866779571768046</v>
      </c>
      <c r="Y11" s="72" t="s">
        <v>14</v>
      </c>
      <c r="Z11" s="79" t="s">
        <v>45</v>
      </c>
      <c r="AA11" s="78">
        <f t="shared" si="1"/>
        <v>0.37143193246819295</v>
      </c>
      <c r="AB11" s="72" t="s">
        <v>10</v>
      </c>
      <c r="AC11" s="78">
        <f>SQRT((AA11^2)+(G11^2))</f>
        <v>0.48232308330087109</v>
      </c>
      <c r="AD11" s="78">
        <f t="shared" si="2"/>
        <v>0.96464616660174218</v>
      </c>
      <c r="AF11" s="1" t="s">
        <v>78</v>
      </c>
      <c r="AG11">
        <v>802</v>
      </c>
      <c r="AH11">
        <v>1.381</v>
      </c>
      <c r="AJ11" s="5" t="s">
        <v>107</v>
      </c>
      <c r="AK11">
        <v>574</v>
      </c>
      <c r="AL11">
        <v>1.339</v>
      </c>
      <c r="AN11" s="5" t="s">
        <v>116</v>
      </c>
      <c r="AO11">
        <v>459</v>
      </c>
      <c r="AP11">
        <v>0.78600000000000003</v>
      </c>
    </row>
    <row r="12" spans="1:42" ht="29" customHeight="1" x14ac:dyDescent="0.35">
      <c r="A12" s="24" t="s">
        <v>41</v>
      </c>
      <c r="B12" s="26" t="s">
        <v>31</v>
      </c>
      <c r="C12" s="24" t="s">
        <v>28</v>
      </c>
      <c r="D12" s="28"/>
      <c r="E12" s="22" t="s">
        <v>14</v>
      </c>
      <c r="F12" s="22"/>
      <c r="G12" s="27">
        <f>G11*2</f>
        <v>0.6153824054286986</v>
      </c>
      <c r="H12" s="22" t="s">
        <v>10</v>
      </c>
      <c r="J12" s="54" t="s">
        <v>41</v>
      </c>
      <c r="K12" s="55" t="s">
        <v>31</v>
      </c>
      <c r="L12" s="54" t="s">
        <v>28</v>
      </c>
      <c r="M12" s="57"/>
      <c r="N12" s="52" t="s">
        <v>14</v>
      </c>
      <c r="O12" s="52"/>
      <c r="P12" s="56">
        <f>P11*2</f>
        <v>0.63645381756388819</v>
      </c>
      <c r="Q12" s="52" t="s">
        <v>10</v>
      </c>
      <c r="S12" s="1"/>
      <c r="AF12" s="1" t="s">
        <v>79</v>
      </c>
      <c r="AG12">
        <v>840</v>
      </c>
      <c r="AH12">
        <v>1.3640000000000001</v>
      </c>
      <c r="AJ12" s="5" t="s">
        <v>108</v>
      </c>
      <c r="AK12">
        <v>634</v>
      </c>
      <c r="AL12">
        <v>1.3280000000000001</v>
      </c>
      <c r="AN12" s="5" t="s">
        <v>117</v>
      </c>
      <c r="AO12">
        <v>463</v>
      </c>
      <c r="AP12">
        <v>0.77700000000000002</v>
      </c>
    </row>
    <row r="13" spans="1:42" ht="35.5" customHeight="1" x14ac:dyDescent="0.45">
      <c r="A13" s="24" t="s">
        <v>49</v>
      </c>
      <c r="B13" s="26" t="s">
        <v>24</v>
      </c>
      <c r="C13" s="24" t="s">
        <v>58</v>
      </c>
      <c r="D13" s="27">
        <f>(1/300)*100</f>
        <v>0.33333333333333337</v>
      </c>
      <c r="E13" s="24" t="s">
        <v>9</v>
      </c>
      <c r="F13" s="24" t="s">
        <v>17</v>
      </c>
      <c r="G13" s="27">
        <f>((100+D13)-100)/(SQRT(3))</f>
        <v>0.19245008972987254</v>
      </c>
      <c r="H13" s="24" t="s">
        <v>10</v>
      </c>
      <c r="J13" s="54" t="s">
        <v>63</v>
      </c>
      <c r="K13" s="55" t="s">
        <v>24</v>
      </c>
      <c r="L13" s="54" t="s">
        <v>60</v>
      </c>
      <c r="M13" s="56">
        <f>M9</f>
        <v>0.5</v>
      </c>
      <c r="N13" s="54" t="s">
        <v>9</v>
      </c>
      <c r="O13" s="54" t="s">
        <v>17</v>
      </c>
      <c r="P13" s="56">
        <f>((100+M13)-100)/(SQRT(3))</f>
        <v>0.28867513459481292</v>
      </c>
      <c r="Q13" s="54" t="s">
        <v>10</v>
      </c>
      <c r="S13" s="85" t="s">
        <v>123</v>
      </c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F13" s="1" t="s">
        <v>80</v>
      </c>
      <c r="AG13">
        <v>870</v>
      </c>
      <c r="AH13">
        <v>1.415</v>
      </c>
      <c r="AN13" s="5" t="s">
        <v>118</v>
      </c>
      <c r="AO13">
        <v>449</v>
      </c>
      <c r="AP13">
        <v>0.78400000000000003</v>
      </c>
    </row>
    <row r="14" spans="1:42" ht="43" customHeight="1" x14ac:dyDescent="0.45">
      <c r="A14" s="24" t="s">
        <v>46</v>
      </c>
      <c r="B14" s="26" t="s">
        <v>25</v>
      </c>
      <c r="C14" s="24" t="s">
        <v>44</v>
      </c>
      <c r="D14" s="28">
        <f>(1/664)*100</f>
        <v>0.15060240963855423</v>
      </c>
      <c r="E14" s="22" t="s">
        <v>14</v>
      </c>
      <c r="F14" s="29" t="s">
        <v>45</v>
      </c>
      <c r="G14" s="27">
        <f>D14/SQRT(2)</f>
        <v>0.10649198511845595</v>
      </c>
      <c r="H14" s="22" t="s">
        <v>10</v>
      </c>
      <c r="J14" s="54" t="s">
        <v>46</v>
      </c>
      <c r="K14" s="55" t="s">
        <v>25</v>
      </c>
      <c r="L14" s="54" t="s">
        <v>61</v>
      </c>
      <c r="M14" s="57">
        <f>M10</f>
        <v>0.18939393939394375</v>
      </c>
      <c r="N14" s="52" t="s">
        <v>14</v>
      </c>
      <c r="O14" s="58" t="s">
        <v>45</v>
      </c>
      <c r="P14" s="56">
        <f>M14/SQRT(2)</f>
        <v>0.13392173886109163</v>
      </c>
      <c r="Q14" s="52" t="s">
        <v>10</v>
      </c>
      <c r="S14" s="87" t="s">
        <v>33</v>
      </c>
      <c r="T14" s="87" t="s">
        <v>34</v>
      </c>
      <c r="U14" s="88" t="s">
        <v>35</v>
      </c>
      <c r="V14" s="87" t="s">
        <v>36</v>
      </c>
      <c r="W14" s="87" t="s">
        <v>2</v>
      </c>
      <c r="X14" s="87" t="s">
        <v>122</v>
      </c>
      <c r="Y14" s="87" t="s">
        <v>3</v>
      </c>
      <c r="Z14" s="87" t="s">
        <v>4</v>
      </c>
      <c r="AA14" s="87" t="s">
        <v>37</v>
      </c>
      <c r="AB14" s="87" t="s">
        <v>6</v>
      </c>
      <c r="AC14" s="89" t="s">
        <v>38</v>
      </c>
      <c r="AD14" s="87" t="s">
        <v>39</v>
      </c>
      <c r="AF14" s="1" t="s">
        <v>81</v>
      </c>
      <c r="AG14">
        <v>950</v>
      </c>
      <c r="AH14">
        <v>1.6910000000000001</v>
      </c>
      <c r="AN14" s="5" t="s">
        <v>119</v>
      </c>
      <c r="AO14">
        <v>463</v>
      </c>
      <c r="AP14">
        <v>0.77600000000000002</v>
      </c>
    </row>
    <row r="15" spans="1:42" ht="37.5" customHeight="1" x14ac:dyDescent="0.45">
      <c r="A15" s="24" t="s">
        <v>52</v>
      </c>
      <c r="B15" s="26" t="s">
        <v>53</v>
      </c>
      <c r="C15" s="24" t="s">
        <v>54</v>
      </c>
      <c r="D15" s="28">
        <f>(0.5/591)*100</f>
        <v>8.4602368866328256E-2</v>
      </c>
      <c r="E15" s="22" t="s">
        <v>14</v>
      </c>
      <c r="F15" s="29" t="s">
        <v>45</v>
      </c>
      <c r="G15" s="27">
        <f>D15/SQRT(2)</f>
        <v>5.9822908729826353E-2</v>
      </c>
      <c r="H15" s="22" t="s">
        <v>10</v>
      </c>
      <c r="J15" s="54" t="s">
        <v>52</v>
      </c>
      <c r="K15" s="55" t="s">
        <v>53</v>
      </c>
      <c r="L15" s="54" t="s">
        <v>64</v>
      </c>
      <c r="M15" s="57">
        <f>((1.493-1.454)/1.493)*100/2</f>
        <v>1.306095110515745</v>
      </c>
      <c r="N15" s="52" t="s">
        <v>14</v>
      </c>
      <c r="O15" s="58" t="s">
        <v>45</v>
      </c>
      <c r="P15" s="56">
        <f>M15/SQRT(2)</f>
        <v>0.92354870952027646</v>
      </c>
      <c r="Q15" s="52" t="s">
        <v>10</v>
      </c>
      <c r="S15" s="87" t="s">
        <v>68</v>
      </c>
      <c r="T15" s="90">
        <f>AH1</f>
        <v>1.5855000000000001</v>
      </c>
      <c r="U15" s="90">
        <f>AH2</f>
        <v>0.14304857474593063</v>
      </c>
      <c r="V15" s="86">
        <f>AH3</f>
        <v>20</v>
      </c>
      <c r="W15" s="86"/>
      <c r="X15" s="90">
        <f>(U15/T15)*100</f>
        <v>9.0223005200839239</v>
      </c>
      <c r="Y15" s="86" t="s">
        <v>14</v>
      </c>
      <c r="Z15" s="91" t="s">
        <v>45</v>
      </c>
      <c r="AA15" s="90">
        <f>X15/SQRT(V15)</f>
        <v>2.017447727633936</v>
      </c>
      <c r="AB15" s="86" t="s">
        <v>10</v>
      </c>
      <c r="AC15" s="90">
        <f>SQRT((AA15^2)+(P$16^2))</f>
        <v>2.2414963569153556</v>
      </c>
      <c r="AD15" s="90">
        <f>AC15*2</f>
        <v>4.4829927138307113</v>
      </c>
      <c r="AF15" s="1" t="s">
        <v>82</v>
      </c>
      <c r="AG15">
        <v>832</v>
      </c>
      <c r="AH15">
        <v>1.6379999999999999</v>
      </c>
      <c r="AN15" s="5" t="s">
        <v>120</v>
      </c>
      <c r="AO15">
        <v>456</v>
      </c>
      <c r="AP15">
        <v>0.77600000000000002</v>
      </c>
    </row>
    <row r="16" spans="1:42" ht="34" customHeight="1" x14ac:dyDescent="0.45">
      <c r="A16" s="24" t="s">
        <v>50</v>
      </c>
      <c r="B16" s="26" t="s">
        <v>26</v>
      </c>
      <c r="C16" s="24"/>
      <c r="D16" s="28"/>
      <c r="E16" s="22" t="s">
        <v>14</v>
      </c>
      <c r="F16" s="22"/>
      <c r="G16" s="28">
        <f>SQRT((G13^2)+(G14^2)+(G15^2))</f>
        <v>0.22793937865231312</v>
      </c>
      <c r="H16" s="22" t="s">
        <v>10</v>
      </c>
      <c r="J16" s="54" t="s">
        <v>50</v>
      </c>
      <c r="K16" s="55" t="s">
        <v>26</v>
      </c>
      <c r="L16" s="54"/>
      <c r="M16" s="57"/>
      <c r="N16" s="52" t="s">
        <v>14</v>
      </c>
      <c r="O16" s="52"/>
      <c r="P16" s="57">
        <f>SQRT((P13^2)+(P14^2)+(P15^2))</f>
        <v>0.97683703058876703</v>
      </c>
      <c r="Q16" s="52" t="s">
        <v>10</v>
      </c>
      <c r="S16" s="87" t="s">
        <v>69</v>
      </c>
      <c r="T16" s="90">
        <f>AL1</f>
        <v>1.3286249999999999</v>
      </c>
      <c r="U16" s="90">
        <f>AL2</f>
        <v>2.2513091429528013E-2</v>
      </c>
      <c r="V16" s="86">
        <f>AL3</f>
        <v>8</v>
      </c>
      <c r="W16" s="86"/>
      <c r="X16" s="90">
        <f t="shared" ref="X16:X17" si="3">(U16/T16)*100</f>
        <v>1.6944654382935753</v>
      </c>
      <c r="Y16" s="86" t="s">
        <v>14</v>
      </c>
      <c r="Z16" s="91" t="s">
        <v>45</v>
      </c>
      <c r="AA16" s="90">
        <f t="shared" ref="AA16:AA17" si="4">X16/SQRT(V16)</f>
        <v>0.59908400095181125</v>
      </c>
      <c r="AB16" s="86" t="s">
        <v>10</v>
      </c>
      <c r="AC16" s="90">
        <f>SQRT((AA16^2)+(P$16^2))</f>
        <v>1.1459110892760875</v>
      </c>
      <c r="AD16" s="90">
        <f t="shared" ref="AD16:AD17" si="5">AC16*2</f>
        <v>2.2918221785521751</v>
      </c>
      <c r="AF16" s="1" t="s">
        <v>83</v>
      </c>
      <c r="AG16">
        <v>908</v>
      </c>
      <c r="AH16">
        <v>1.885</v>
      </c>
      <c r="AN16" s="5" t="s">
        <v>121</v>
      </c>
      <c r="AO16">
        <v>454</v>
      </c>
      <c r="AP16">
        <v>0.71599999999999997</v>
      </c>
    </row>
    <row r="17" spans="1:34" ht="28" customHeight="1" x14ac:dyDescent="0.35">
      <c r="A17" s="24" t="s">
        <v>51</v>
      </c>
      <c r="B17" s="26" t="s">
        <v>31</v>
      </c>
      <c r="C17" s="24" t="s">
        <v>28</v>
      </c>
      <c r="D17" s="28"/>
      <c r="E17" s="22" t="s">
        <v>14</v>
      </c>
      <c r="F17" s="22"/>
      <c r="G17" s="27">
        <f>G16*2</f>
        <v>0.45587875730462624</v>
      </c>
      <c r="H17" s="22" t="s">
        <v>10</v>
      </c>
      <c r="J17" s="54" t="s">
        <v>51</v>
      </c>
      <c r="K17" s="55" t="s">
        <v>31</v>
      </c>
      <c r="L17" s="54" t="s">
        <v>28</v>
      </c>
      <c r="M17" s="57"/>
      <c r="N17" s="52" t="s">
        <v>14</v>
      </c>
      <c r="O17" s="52"/>
      <c r="P17" s="56">
        <f>P16*2</f>
        <v>1.9536740611775341</v>
      </c>
      <c r="Q17" s="52" t="s">
        <v>10</v>
      </c>
      <c r="S17" s="87" t="s">
        <v>70</v>
      </c>
      <c r="T17" s="90">
        <f>AP1</f>
        <v>0.76391666666666669</v>
      </c>
      <c r="U17" s="90">
        <f>AP2</f>
        <v>2.2689438205046129E-2</v>
      </c>
      <c r="V17" s="86">
        <f>AP3</f>
        <v>12</v>
      </c>
      <c r="W17" s="86"/>
      <c r="X17" s="90">
        <f t="shared" si="3"/>
        <v>2.9701457233615525</v>
      </c>
      <c r="Y17" s="86" t="s">
        <v>14</v>
      </c>
      <c r="Z17" s="91" t="s">
        <v>45</v>
      </c>
      <c r="AA17" s="90">
        <f t="shared" si="4"/>
        <v>0.85740721645760409</v>
      </c>
      <c r="AB17" s="86" t="s">
        <v>10</v>
      </c>
      <c r="AC17" s="90">
        <f>SQRT((AA17^2)+(P11^2))</f>
        <v>0.91455754346377161</v>
      </c>
      <c r="AD17" s="90">
        <f t="shared" si="5"/>
        <v>1.8291150869275432</v>
      </c>
      <c r="AF17" s="1" t="s">
        <v>84</v>
      </c>
      <c r="AG17">
        <v>835</v>
      </c>
      <c r="AH17">
        <v>1.6060000000000001</v>
      </c>
    </row>
    <row r="18" spans="1:34" ht="38" customHeight="1" x14ac:dyDescent="0.45">
      <c r="A18" s="24" t="s">
        <v>55</v>
      </c>
      <c r="B18" s="26" t="s">
        <v>24</v>
      </c>
      <c r="C18" s="24" t="s">
        <v>66</v>
      </c>
      <c r="D18" s="27">
        <f>(1/330)*100</f>
        <v>0.30303030303030304</v>
      </c>
      <c r="E18" s="24" t="s">
        <v>9</v>
      </c>
      <c r="F18" s="24" t="s">
        <v>17</v>
      </c>
      <c r="G18" s="27">
        <f>((100+D18)-100)/(SQRT(3))</f>
        <v>0.17495462702715611</v>
      </c>
      <c r="H18" s="24" t="s">
        <v>10</v>
      </c>
      <c r="J18" s="54" t="s">
        <v>65</v>
      </c>
      <c r="K18" s="55" t="s">
        <v>24</v>
      </c>
      <c r="L18" s="54" t="s">
        <v>60</v>
      </c>
      <c r="M18" s="56">
        <f>M13</f>
        <v>0.5</v>
      </c>
      <c r="N18" s="54" t="s">
        <v>9</v>
      </c>
      <c r="O18" s="54" t="s">
        <v>17</v>
      </c>
      <c r="P18" s="56">
        <f>((100+M18)-100)/(SQRT(3))</f>
        <v>0.28867513459481292</v>
      </c>
      <c r="Q18" s="54" t="s">
        <v>10</v>
      </c>
      <c r="S18" s="1"/>
      <c r="AF18" s="1" t="s">
        <v>85</v>
      </c>
      <c r="AG18">
        <v>927</v>
      </c>
      <c r="AH18">
        <v>1.6220000000000001</v>
      </c>
    </row>
    <row r="19" spans="1:34" ht="40" customHeight="1" x14ac:dyDescent="0.45">
      <c r="A19" s="24" t="s">
        <v>52</v>
      </c>
      <c r="B19" s="26" t="s">
        <v>25</v>
      </c>
      <c r="C19" s="24" t="s">
        <v>54</v>
      </c>
      <c r="D19" s="28">
        <f>(0.5/591)*100</f>
        <v>8.4602368866328256E-2</v>
      </c>
      <c r="E19" s="22" t="s">
        <v>14</v>
      </c>
      <c r="F19" s="29" t="s">
        <v>45</v>
      </c>
      <c r="G19" s="27">
        <f>D19/SQRT(2)</f>
        <v>5.9822908729826353E-2</v>
      </c>
      <c r="H19" s="22" t="s">
        <v>10</v>
      </c>
      <c r="J19" s="54" t="s">
        <v>52</v>
      </c>
      <c r="K19" s="55" t="s">
        <v>25</v>
      </c>
      <c r="L19" s="54" t="s">
        <v>64</v>
      </c>
      <c r="M19" s="57">
        <f>M15</f>
        <v>1.306095110515745</v>
      </c>
      <c r="N19" s="52" t="s">
        <v>14</v>
      </c>
      <c r="O19" s="58" t="s">
        <v>45</v>
      </c>
      <c r="P19" s="56">
        <f>M19/SQRT(2)</f>
        <v>0.92354870952027646</v>
      </c>
      <c r="Q19" s="52" t="s">
        <v>10</v>
      </c>
      <c r="S19" s="1"/>
      <c r="AF19" s="1" t="s">
        <v>86</v>
      </c>
      <c r="AG19">
        <v>915</v>
      </c>
      <c r="AH19">
        <v>1.7310000000000001</v>
      </c>
    </row>
    <row r="20" spans="1:34" ht="33" customHeight="1" x14ac:dyDescent="0.45">
      <c r="A20" s="24" t="s">
        <v>56</v>
      </c>
      <c r="B20" s="26" t="s">
        <v>26</v>
      </c>
      <c r="C20" s="24"/>
      <c r="D20" s="28"/>
      <c r="E20" s="22" t="s">
        <v>14</v>
      </c>
      <c r="F20" s="22"/>
      <c r="G20" s="28">
        <f>SQRT((G18^2)+(G19^2))</f>
        <v>0.18489970775290165</v>
      </c>
      <c r="H20" s="22" t="s">
        <v>10</v>
      </c>
      <c r="J20" s="54" t="s">
        <v>56</v>
      </c>
      <c r="K20" s="55" t="s">
        <v>26</v>
      </c>
      <c r="L20" s="54"/>
      <c r="M20" s="57"/>
      <c r="N20" s="52" t="s">
        <v>14</v>
      </c>
      <c r="O20" s="52"/>
      <c r="P20" s="57">
        <f>SQRT((P18^2)+(P19^2))</f>
        <v>0.96761332782775444</v>
      </c>
      <c r="Q20" s="52" t="s">
        <v>10</v>
      </c>
      <c r="S20" s="1"/>
      <c r="AF20" s="1" t="s">
        <v>87</v>
      </c>
      <c r="AG20">
        <v>997</v>
      </c>
      <c r="AH20">
        <v>1.615</v>
      </c>
    </row>
    <row r="21" spans="1:34" ht="30.5" customHeight="1" x14ac:dyDescent="0.35">
      <c r="A21" s="24" t="s">
        <v>57</v>
      </c>
      <c r="B21" s="26" t="s">
        <v>31</v>
      </c>
      <c r="C21" s="24" t="s">
        <v>28</v>
      </c>
      <c r="D21" s="28"/>
      <c r="E21" s="22" t="s">
        <v>14</v>
      </c>
      <c r="F21" s="22"/>
      <c r="G21" s="27">
        <f>G20*2</f>
        <v>0.36979941550580331</v>
      </c>
      <c r="H21" s="22" t="s">
        <v>10</v>
      </c>
      <c r="J21" s="54" t="s">
        <v>57</v>
      </c>
      <c r="K21" s="55" t="s">
        <v>31</v>
      </c>
      <c r="L21" s="54" t="s">
        <v>28</v>
      </c>
      <c r="M21" s="57"/>
      <c r="N21" s="52" t="s">
        <v>14</v>
      </c>
      <c r="O21" s="52"/>
      <c r="P21" s="56">
        <f>P20*2</f>
        <v>1.9352266556555089</v>
      </c>
      <c r="Q21" s="52" t="s">
        <v>10</v>
      </c>
      <c r="S21" s="1"/>
      <c r="AF21" s="1" t="s">
        <v>88</v>
      </c>
      <c r="AG21">
        <v>891</v>
      </c>
      <c r="AH21">
        <v>1.7270000000000001</v>
      </c>
    </row>
    <row r="22" spans="1:34" x14ac:dyDescent="0.35">
      <c r="S22" s="1"/>
      <c r="AF22" s="1" t="s">
        <v>89</v>
      </c>
      <c r="AG22">
        <v>969</v>
      </c>
      <c r="AH22">
        <v>1.7430000000000001</v>
      </c>
    </row>
    <row r="23" spans="1:34" x14ac:dyDescent="0.35">
      <c r="S23" s="1"/>
      <c r="AF23" s="1" t="s">
        <v>90</v>
      </c>
      <c r="AG23">
        <v>942</v>
      </c>
      <c r="AH23">
        <v>1.532</v>
      </c>
    </row>
    <row r="24" spans="1:34" x14ac:dyDescent="0.35">
      <c r="S24" s="1"/>
      <c r="AF24" s="1" t="s">
        <v>91</v>
      </c>
      <c r="AG24">
        <v>827</v>
      </c>
      <c r="AH24">
        <v>1.373</v>
      </c>
    </row>
    <row r="25" spans="1:34" x14ac:dyDescent="0.35">
      <c r="S25" s="1"/>
    </row>
    <row r="26" spans="1:34" x14ac:dyDescent="0.35">
      <c r="S26" s="1"/>
    </row>
    <row r="27" spans="1:34" x14ac:dyDescent="0.35">
      <c r="S27" s="1"/>
    </row>
    <row r="28" spans="1:34" x14ac:dyDescent="0.35">
      <c r="S28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TEM</vt:lpstr>
      <vt:lpstr>absorption eff from UV-vis-IR</vt:lpstr>
      <vt:lpstr>Solar simulator performance</vt:lpstr>
      <vt:lpstr>UV-vis and UV-vis-IR</vt:lpstr>
    </vt:vector>
  </TitlesOfParts>
  <Company>none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Kimpton H.J.</dc:creator>
  <cp:lastModifiedBy>Kimpton H.J.</cp:lastModifiedBy>
  <dcterms:created xsi:type="dcterms:W3CDTF">2021-02-25T09:56:06Z</dcterms:created>
  <dcterms:modified xsi:type="dcterms:W3CDTF">2022-03-03T12:48:11Z</dcterms:modified>
</cp:coreProperties>
</file>