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universityofsouthwales-my.sharepoint.com/personal/maria_ramossuarez_southwales_ac_uk/Documents/000 UNIVERSITY OF SOUTHAMPTON ONE DRIVE FILES/PhD submission paperwork/DATA Maria Ramos Suarez Thesis - PhD Environmental Engineering - WEEG - 12092022/"/>
    </mc:Choice>
  </mc:AlternateContent>
  <xr:revisionPtr revIDLastSave="85" documentId="11_AD4DB114E441178AC67DF44F7E97EA3C683EDF11" xr6:coauthVersionLast="47" xr6:coauthVersionMax="47" xr10:uidLastSave="{076A4477-22B3-4609-A15B-AB4F0E6B754E}"/>
  <bookViews>
    <workbookView xWindow="-90" yWindow="-16320" windowWidth="29040" windowHeight="15840" xr2:uid="{00000000-000D-0000-FFFF-FFFF00000000}"/>
  </bookViews>
  <sheets>
    <sheet name="Table 8 (A)" sheetId="1" r:id="rId1"/>
    <sheet name="Table 8 (B)" sheetId="2" r:id="rId2"/>
    <sheet name="Table 9-10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1" i="3" l="1"/>
  <c r="D38" i="3"/>
  <c r="D37" i="3"/>
  <c r="D36" i="3"/>
  <c r="M35" i="3"/>
  <c r="D35" i="3"/>
  <c r="M34" i="3"/>
  <c r="D34" i="3"/>
  <c r="M33" i="3"/>
  <c r="T32" i="3"/>
  <c r="M32" i="3"/>
  <c r="M31" i="3"/>
  <c r="M26" i="3"/>
  <c r="M25" i="3"/>
  <c r="G25" i="3"/>
  <c r="F25" i="3"/>
  <c r="E25" i="3"/>
  <c r="D25" i="3"/>
  <c r="C25" i="3"/>
  <c r="M24" i="3"/>
  <c r="G24" i="3"/>
  <c r="F24" i="3"/>
  <c r="C24" i="3"/>
  <c r="B30" i="3" s="1"/>
  <c r="M23" i="3"/>
  <c r="G23" i="3"/>
  <c r="F23" i="3"/>
  <c r="C23" i="3"/>
  <c r="M22" i="3"/>
  <c r="G22" i="3"/>
  <c r="F22" i="3"/>
  <c r="E22" i="3"/>
  <c r="B28" i="3" s="1"/>
  <c r="G21" i="3"/>
  <c r="F21" i="3"/>
  <c r="E21" i="3"/>
  <c r="D21" i="3"/>
  <c r="C21" i="3"/>
  <c r="U18" i="3"/>
  <c r="U17" i="3"/>
  <c r="Q17" i="3"/>
  <c r="M17" i="3"/>
  <c r="I17" i="3"/>
  <c r="U15" i="3"/>
  <c r="Q15" i="3"/>
  <c r="M15" i="3"/>
  <c r="I15" i="3"/>
  <c r="U14" i="3"/>
  <c r="Q14" i="3"/>
  <c r="M14" i="3"/>
  <c r="I14" i="3"/>
  <c r="U13" i="3"/>
  <c r="Q13" i="3"/>
  <c r="M13" i="3"/>
  <c r="I13" i="3"/>
  <c r="U12" i="3"/>
  <c r="Q12" i="3"/>
  <c r="M12" i="3"/>
  <c r="I12" i="3"/>
  <c r="U11" i="3"/>
  <c r="Q11" i="3"/>
  <c r="M11" i="3"/>
  <c r="I11" i="3"/>
  <c r="U8" i="3"/>
  <c r="Q8" i="3"/>
  <c r="M8" i="3"/>
  <c r="I8" i="3"/>
  <c r="U7" i="3"/>
  <c r="Q7" i="3"/>
  <c r="M7" i="3"/>
  <c r="I7" i="3"/>
  <c r="U6" i="3"/>
  <c r="Q6" i="3"/>
  <c r="M6" i="3"/>
  <c r="I6" i="3"/>
  <c r="U5" i="3"/>
  <c r="Q5" i="3"/>
  <c r="M5" i="3"/>
  <c r="I5" i="3"/>
  <c r="B29" i="3" l="1"/>
  <c r="F38" i="3" s="1"/>
  <c r="B31" i="3"/>
  <c r="G38" i="3"/>
  <c r="G37" i="3"/>
  <c r="G34" i="3"/>
  <c r="G36" i="3"/>
  <c r="C30" i="3"/>
  <c r="G35" i="3"/>
  <c r="C29" i="3"/>
  <c r="E37" i="3"/>
  <c r="E36" i="3"/>
  <c r="E35" i="3"/>
  <c r="E41" i="3" s="1"/>
  <c r="C28" i="3"/>
  <c r="H37" i="3"/>
  <c r="H36" i="3"/>
  <c r="H35" i="3"/>
  <c r="H34" i="3"/>
  <c r="H38" i="3"/>
  <c r="F34" i="3" l="1"/>
  <c r="F35" i="3"/>
  <c r="F36" i="3"/>
  <c r="F37" i="3"/>
  <c r="B35" i="3"/>
  <c r="E42" i="3"/>
  <c r="G41" i="3"/>
  <c r="H41" i="3"/>
  <c r="F41" i="3" l="1"/>
  <c r="H42" i="3"/>
  <c r="B38" i="3"/>
  <c r="G42" i="3"/>
  <c r="B37" i="3"/>
  <c r="J8" i="3"/>
  <c r="N25" i="3" s="1"/>
  <c r="J12" i="3"/>
  <c r="J14" i="3"/>
  <c r="N34" i="3" s="1"/>
  <c r="J17" i="3"/>
  <c r="J7" i="3"/>
  <c r="N24" i="3" s="1"/>
  <c r="J15" i="3"/>
  <c r="N35" i="3" s="1"/>
  <c r="J6" i="3"/>
  <c r="N23" i="3" s="1"/>
  <c r="J5" i="3"/>
  <c r="J13" i="3"/>
  <c r="N33" i="3" s="1"/>
  <c r="J11" i="3"/>
  <c r="N31" i="3" s="1"/>
  <c r="F42" i="3" l="1"/>
  <c r="B36" i="3"/>
  <c r="N36" i="3"/>
  <c r="R15" i="3"/>
  <c r="P35" i="3" s="1"/>
  <c r="R7" i="3"/>
  <c r="P24" i="3" s="1"/>
  <c r="R12" i="3"/>
  <c r="P32" i="3" s="1"/>
  <c r="R14" i="3"/>
  <c r="P34" i="3" s="1"/>
  <c r="R6" i="3"/>
  <c r="P23" i="3" s="1"/>
  <c r="R17" i="3"/>
  <c r="P26" i="3" s="1"/>
  <c r="R8" i="3"/>
  <c r="P25" i="3" s="1"/>
  <c r="R13" i="3"/>
  <c r="P33" i="3" s="1"/>
  <c r="R5" i="3"/>
  <c r="P22" i="3" s="1"/>
  <c r="R11" i="3"/>
  <c r="P31" i="3" s="1"/>
  <c r="N27" i="3"/>
  <c r="V6" i="3"/>
  <c r="Q23" i="3" s="1"/>
  <c r="V14" i="3"/>
  <c r="Q34" i="3" s="1"/>
  <c r="V5" i="3"/>
  <c r="V13" i="3"/>
  <c r="Q33" i="3" s="1"/>
  <c r="V12" i="3"/>
  <c r="Q32" i="3" s="1"/>
  <c r="V11" i="3"/>
  <c r="Q31" i="3" s="1"/>
  <c r="V8" i="3"/>
  <c r="Q25" i="3" s="1"/>
  <c r="V17" i="3"/>
  <c r="V7" i="3"/>
  <c r="Q24" i="3" s="1"/>
  <c r="V15" i="3"/>
  <c r="Q35" i="3" s="1"/>
  <c r="N7" i="3" l="1"/>
  <c r="O24" i="3" s="1"/>
  <c r="N12" i="3"/>
  <c r="O32" i="3" s="1"/>
  <c r="N17" i="3"/>
  <c r="O26" i="3" s="1"/>
  <c r="N15" i="3"/>
  <c r="O35" i="3" s="1"/>
  <c r="N8" i="3"/>
  <c r="O25" i="3" s="1"/>
  <c r="N5" i="3"/>
  <c r="O22" i="3" s="1"/>
  <c r="N13" i="3"/>
  <c r="O33" i="3" s="1"/>
  <c r="N14" i="3"/>
  <c r="O34" i="3" s="1"/>
  <c r="N11" i="3"/>
  <c r="O31" i="3" s="1"/>
  <c r="N6" i="3"/>
  <c r="O23" i="3" s="1"/>
  <c r="Q36" i="3"/>
  <c r="N28" i="3"/>
  <c r="P36" i="3"/>
  <c r="T33" i="3"/>
  <c r="N37" i="3"/>
  <c r="P27" i="3"/>
  <c r="P28" i="3" s="1"/>
  <c r="Q27" i="3"/>
  <c r="Q28" i="3" s="1"/>
  <c r="O27" i="3" l="1"/>
  <c r="O28" i="3" s="1"/>
  <c r="O36" i="3"/>
  <c r="U33" i="3" s="1"/>
  <c r="V40" i="3"/>
  <c r="V42" i="3" s="1"/>
  <c r="V33" i="3"/>
  <c r="P37" i="3"/>
  <c r="W33" i="3"/>
  <c r="Q37" i="3"/>
  <c r="R36" i="3" l="1"/>
  <c r="X33" i="3" s="1"/>
  <c r="R27" i="3"/>
  <c r="O37" i="3"/>
  <c r="W40" i="3"/>
  <c r="W42" i="3" s="1"/>
  <c r="X40" i="3"/>
  <c r="X42" i="3" s="1"/>
  <c r="T40" i="3"/>
  <c r="T42" i="3" s="1"/>
  <c r="U40" i="3"/>
  <c r="Y33" i="3"/>
  <c r="U34" i="3" l="1"/>
  <c r="U35" i="3" s="1"/>
  <c r="T34" i="3"/>
  <c r="V34" i="3"/>
  <c r="X34" i="3"/>
  <c r="U42" i="3"/>
  <c r="T50" i="3"/>
  <c r="T52" i="3" s="1"/>
  <c r="U52" i="3" s="1"/>
  <c r="Y42" i="3"/>
  <c r="W34" i="3"/>
  <c r="W35" i="3" l="1"/>
  <c r="T35" i="3"/>
  <c r="X35" i="3"/>
  <c r="V35" i="3"/>
  <c r="L10" i="2" l="1"/>
  <c r="J10" i="2"/>
  <c r="H10" i="2"/>
  <c r="O7" i="2"/>
  <c r="O6" i="2"/>
  <c r="J6" i="2"/>
  <c r="I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21" authorId="0" shapeId="0" xr:uid="{327F7E9B-0829-42D4-B2FE-1D9A75DD121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dilution is already considered in the data, that is way I input 1
</t>
        </r>
      </text>
    </comment>
  </commentList>
</comments>
</file>

<file path=xl/sharedStrings.xml><?xml version="1.0" encoding="utf-8"?>
<sst xmlns="http://schemas.openxmlformats.org/spreadsheetml/2006/main" count="419" uniqueCount="230">
  <si>
    <t>Mixed sludge</t>
  </si>
  <si>
    <t>freeze-dried</t>
  </si>
  <si>
    <t>on total weight</t>
  </si>
  <si>
    <t>on TS</t>
  </si>
  <si>
    <t>Replica</t>
  </si>
  <si>
    <t>Crucible (g)</t>
  </si>
  <si>
    <t>plus sample</t>
  </si>
  <si>
    <t xml:space="preserve">dry </t>
  </si>
  <si>
    <t xml:space="preserve">Total Solids </t>
  </si>
  <si>
    <t>TS average</t>
  </si>
  <si>
    <t>SD</t>
  </si>
  <si>
    <t>Confid. Inter.</t>
  </si>
  <si>
    <t>after 550C 2h (g)</t>
  </si>
  <si>
    <t>Volatile solids</t>
  </si>
  <si>
    <t>VS average</t>
  </si>
  <si>
    <t>ASH</t>
  </si>
  <si>
    <t>ASH average</t>
  </si>
  <si>
    <t>after 900C 2h (g)</t>
  </si>
  <si>
    <t>CaCO3 %</t>
  </si>
  <si>
    <t>CaCO3 % average</t>
  </si>
  <si>
    <t>-</t>
  </si>
  <si>
    <t>error</t>
  </si>
  <si>
    <t>fresh-frozen</t>
  </si>
  <si>
    <t>extractive free</t>
  </si>
  <si>
    <t>FIBER ANALYSIS</t>
  </si>
  <si>
    <t xml:space="preserve">extractive free </t>
  </si>
  <si>
    <t>Concentration (mg/L)</t>
  </si>
  <si>
    <t>Sample (g)</t>
  </si>
  <si>
    <t>TS (g)</t>
  </si>
  <si>
    <t>acid concentrated (g)</t>
  </si>
  <si>
    <t>Sample + acid + water (g)</t>
  </si>
  <si>
    <t>with flask (g)</t>
  </si>
  <si>
    <t>after autoclave (g)</t>
  </si>
  <si>
    <t>Flask (g)</t>
  </si>
  <si>
    <t>Arabinose</t>
  </si>
  <si>
    <t>Galactose</t>
  </si>
  <si>
    <t>Glucose</t>
  </si>
  <si>
    <t>Xylose</t>
  </si>
  <si>
    <t>Mannose</t>
  </si>
  <si>
    <t>Cellobiose</t>
  </si>
  <si>
    <t>sample (g)</t>
  </si>
  <si>
    <t>water (g)</t>
  </si>
  <si>
    <t>Dilution</t>
  </si>
  <si>
    <t>Cellulose %</t>
  </si>
  <si>
    <t>Hemicellulose%</t>
  </si>
  <si>
    <t xml:space="preserve">sugar solution </t>
  </si>
  <si>
    <t>AVERAGE</t>
  </si>
  <si>
    <t>Sugar sol.</t>
  </si>
  <si>
    <t>added (g)</t>
  </si>
  <si>
    <t>STD</t>
  </si>
  <si>
    <t>xylose</t>
  </si>
  <si>
    <t>Sugar loss</t>
  </si>
  <si>
    <t>measured</t>
  </si>
  <si>
    <t>expected</t>
  </si>
  <si>
    <t>Dil. Factor</t>
  </si>
  <si>
    <t xml:space="preserve">measured </t>
  </si>
  <si>
    <t>Loss</t>
  </si>
  <si>
    <t>Conf Int</t>
  </si>
  <si>
    <t>glucose</t>
  </si>
  <si>
    <t>glucose (mg/L)</t>
  </si>
  <si>
    <t>Corrected</t>
  </si>
  <si>
    <t>water</t>
  </si>
  <si>
    <t>xylose (mg/L)</t>
  </si>
  <si>
    <t>ERROR</t>
  </si>
  <si>
    <t>filter+foil tray (g)</t>
  </si>
  <si>
    <t>B column + dry sample (g)</t>
  </si>
  <si>
    <t>lignin + ash (g)</t>
  </si>
  <si>
    <t>volatile solids(g)</t>
  </si>
  <si>
    <t>ash (g)</t>
  </si>
  <si>
    <t>lignin based on TS</t>
  </si>
  <si>
    <t xml:space="preserve">lignin average </t>
  </si>
  <si>
    <t xml:space="preserve">SD </t>
  </si>
  <si>
    <t>confidence intervals</t>
  </si>
  <si>
    <t>ash based on TS</t>
  </si>
  <si>
    <t xml:space="preserve">ash average </t>
  </si>
  <si>
    <t>corrected</t>
  </si>
  <si>
    <t>corrected for proteins</t>
  </si>
  <si>
    <t>Error</t>
  </si>
  <si>
    <t>dilution factor</t>
  </si>
  <si>
    <t>ABS at 325 nm</t>
  </si>
  <si>
    <t>Acid Soluble Lignin</t>
  </si>
  <si>
    <t>LIPIDS</t>
  </si>
  <si>
    <t xml:space="preserve">Replica </t>
  </si>
  <si>
    <t>Empty flask (g)</t>
  </si>
  <si>
    <t>Flask + lipids (g)</t>
  </si>
  <si>
    <t>lipids (g)</t>
  </si>
  <si>
    <t xml:space="preserve">lipids </t>
  </si>
  <si>
    <t>average</t>
  </si>
  <si>
    <t>Conf. Interv.</t>
  </si>
  <si>
    <t>Proteins (TKN)</t>
  </si>
  <si>
    <t xml:space="preserve">freeze-dried </t>
  </si>
  <si>
    <t xml:space="preserve">Sample </t>
  </si>
  <si>
    <t>ID</t>
  </si>
  <si>
    <t>weight 1 (g)</t>
  </si>
  <si>
    <t>weight 2 (g)</t>
  </si>
  <si>
    <t>mL H2SO4</t>
  </si>
  <si>
    <t>%N</t>
  </si>
  <si>
    <t>real %N</t>
  </si>
  <si>
    <t>% protein</t>
  </si>
  <si>
    <t>water (not digested)</t>
  </si>
  <si>
    <t>Blank</t>
  </si>
  <si>
    <t>NH4Cl (10 mL at 1000mg/L) F=0.971</t>
  </si>
  <si>
    <t>NH4Cl</t>
  </si>
  <si>
    <t xml:space="preserve">Conf. Int. </t>
  </si>
  <si>
    <t xml:space="preserve">Mixed sludge </t>
  </si>
  <si>
    <t>Glutamic acid</t>
  </si>
  <si>
    <t>Glutamic acid + sample</t>
  </si>
  <si>
    <t>Ammonium chloride</t>
  </si>
  <si>
    <t>paper-blank</t>
  </si>
  <si>
    <t>digestion %</t>
  </si>
  <si>
    <t>molecular weight (g/mol)</t>
  </si>
  <si>
    <t>nitrogen recovery %</t>
  </si>
  <si>
    <t xml:space="preserve">N content </t>
  </si>
  <si>
    <t>Klason lignin (AIL)</t>
  </si>
  <si>
    <t>Date</t>
  </si>
  <si>
    <t>Starch</t>
  </si>
  <si>
    <t>Uronics</t>
  </si>
  <si>
    <t>Acetyl</t>
  </si>
  <si>
    <t>Glycerol</t>
  </si>
  <si>
    <t>Name</t>
  </si>
  <si>
    <t>Order</t>
  </si>
  <si>
    <t>Tot. Sugars</t>
  </si>
  <si>
    <t>Glucan</t>
  </si>
  <si>
    <t>Xylan</t>
  </si>
  <si>
    <t>Arabinan</t>
  </si>
  <si>
    <t>Mannan</t>
  </si>
  <si>
    <t>KL</t>
  </si>
  <si>
    <t>ASL</t>
  </si>
  <si>
    <t>Ash</t>
  </si>
  <si>
    <t>Extr.</t>
  </si>
  <si>
    <t>// -&gt; solvent wash with acetone or something similar which removes waxes, gums, some oils etc</t>
  </si>
  <si>
    <t>05/07/2020</t>
  </si>
  <si>
    <t>Average: 37.24</t>
  </si>
  <si>
    <t>Average: 29.15</t>
  </si>
  <si>
    <t>Average: 4.48</t>
  </si>
  <si>
    <t>Average: 0.37</t>
  </si>
  <si>
    <t>Average: 2.48</t>
  </si>
  <si>
    <t>Average: 14.46</t>
  </si>
  <si>
    <t>Average: 0.66</t>
  </si>
  <si>
    <t>Average: 32.78</t>
  </si>
  <si>
    <t>Average: 10.65</t>
  </si>
  <si>
    <t>hemicellulose</t>
  </si>
  <si>
    <t>VS</t>
  </si>
  <si>
    <t>100-ash</t>
  </si>
  <si>
    <t>all organic</t>
  </si>
  <si>
    <t>Total fatty acids</t>
  </si>
  <si>
    <t>Oleic</t>
  </si>
  <si>
    <t>Linoleic</t>
  </si>
  <si>
    <t>Linolenic</t>
  </si>
  <si>
    <t>Palmitic</t>
  </si>
  <si>
    <t>Palmitoleic</t>
  </si>
  <si>
    <t>Stearic</t>
  </si>
  <si>
    <t>Octanoic</t>
  </si>
  <si>
    <t>Decanoic</t>
  </si>
  <si>
    <t>Dodecanoic</t>
  </si>
  <si>
    <t>Myristic</t>
  </si>
  <si>
    <t>Arachidic</t>
  </si>
  <si>
    <t>Behenic</t>
  </si>
  <si>
    <t>Euricic</t>
  </si>
  <si>
    <t>Lignoceric</t>
  </si>
  <si>
    <t>DRY ORS USA 3/2/20</t>
  </si>
  <si>
    <t>TABLE ROW</t>
  </si>
  <si>
    <t>SAMPLE NAME</t>
  </si>
  <si>
    <t>TYPE</t>
  </si>
  <si>
    <t>STD LOT</t>
  </si>
  <si>
    <t>wt(mg)</t>
  </si>
  <si>
    <t>A/S</t>
  </si>
  <si>
    <t>RT-N</t>
  </si>
  <si>
    <t>PA-N</t>
  </si>
  <si>
    <t>PA/wt</t>
  </si>
  <si>
    <t>RT-C</t>
  </si>
  <si>
    <t>PA-C</t>
  </si>
  <si>
    <t>%C</t>
  </si>
  <si>
    <t>RT-H</t>
  </si>
  <si>
    <t>PA-H</t>
  </si>
  <si>
    <t>%H</t>
  </si>
  <si>
    <t>RT-S</t>
  </si>
  <si>
    <t>PA-S</t>
  </si>
  <si>
    <t>%S</t>
  </si>
  <si>
    <t xml:space="preserve">std1 </t>
  </si>
  <si>
    <t>bypass</t>
  </si>
  <si>
    <t>B</t>
  </si>
  <si>
    <t>unk</t>
  </si>
  <si>
    <t>B1</t>
  </si>
  <si>
    <t>STD2</t>
  </si>
  <si>
    <t>Birch_st6</t>
  </si>
  <si>
    <t>STD3</t>
  </si>
  <si>
    <t>STD4</t>
  </si>
  <si>
    <t>STD5</t>
  </si>
  <si>
    <t>B2OK</t>
  </si>
  <si>
    <t>B3</t>
  </si>
  <si>
    <t>S1</t>
  </si>
  <si>
    <t>S2</t>
  </si>
  <si>
    <t>S3</t>
  </si>
  <si>
    <t>S4</t>
  </si>
  <si>
    <t>S5</t>
  </si>
  <si>
    <t>B4</t>
  </si>
  <si>
    <t>STD7</t>
  </si>
  <si>
    <t>B5</t>
  </si>
  <si>
    <t>BIRCH ST-6</t>
  </si>
  <si>
    <t>N</t>
  </si>
  <si>
    <t>C</t>
  </si>
  <si>
    <t>H</t>
  </si>
  <si>
    <t>S</t>
  </si>
  <si>
    <t>O</t>
  </si>
  <si>
    <t>e=M4</t>
  </si>
  <si>
    <t>e=Q4</t>
  </si>
  <si>
    <t>blank-mean</t>
  </si>
  <si>
    <t>%CV</t>
  </si>
  <si>
    <t>Mean</t>
  </si>
  <si>
    <t>% in moles assuming 1kg of ORS</t>
  </si>
  <si>
    <t>total</t>
  </si>
  <si>
    <t>K - FACTOR</t>
  </si>
  <si>
    <t>g/mol</t>
  </si>
  <si>
    <t>mols</t>
  </si>
  <si>
    <t>K (mean factor)</t>
  </si>
  <si>
    <t>%</t>
  </si>
  <si>
    <t>% corrected</t>
  </si>
  <si>
    <t>Methane potential (Buswell equation)</t>
  </si>
  <si>
    <t>(required)</t>
  </si>
  <si>
    <t>CO2</t>
  </si>
  <si>
    <t>CH4</t>
  </si>
  <si>
    <t>NH3</t>
  </si>
  <si>
    <t>H2S</t>
  </si>
  <si>
    <t>H2O</t>
  </si>
  <si>
    <t>moles</t>
  </si>
  <si>
    <t>kg/mol</t>
  </si>
  <si>
    <t>Mass balance</t>
  </si>
  <si>
    <t>kg</t>
  </si>
  <si>
    <t>Per mole of methane one mole of acetate is needed 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</si>
</sst>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0.0%"/>
    <numFmt numFmtId="167" formatCode="dd/mm/yyyy\ hh:mm:ss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3" fillId="0" borderId="0" xfId="0" applyFont="1"/>
    <xf numFmtId="14" fontId="3" fillId="0" borderId="0" xfId="0" applyNumberFormat="1" applyFont="1"/>
    <xf numFmtId="10" fontId="0" fillId="0" borderId="0" xfId="1" applyNumberFormat="1" applyFont="1"/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0" fillId="0" borderId="1" xfId="0" applyBorder="1"/>
    <xf numFmtId="0" fontId="0" fillId="2" borderId="1" xfId="0" applyFill="1" applyBorder="1"/>
    <xf numFmtId="10" fontId="0" fillId="0" borderId="1" xfId="1" applyNumberFormat="1" applyFont="1" applyBorder="1"/>
    <xf numFmtId="10" fontId="0" fillId="0" borderId="1" xfId="1" applyNumberFormat="1" applyFont="1" applyBorder="1" applyAlignment="1">
      <alignment horizontal="center" vertical="center"/>
    </xf>
    <xf numFmtId="10" fontId="0" fillId="0" borderId="1" xfId="0" applyNumberFormat="1" applyBorder="1"/>
    <xf numFmtId="10" fontId="3" fillId="0" borderId="0" xfId="0" applyNumberFormat="1" applyFont="1"/>
    <xf numFmtId="10" fontId="0" fillId="0" borderId="0" xfId="1" applyNumberFormat="1" applyFont="1" applyFill="1" applyBorder="1" applyAlignment="1">
      <alignment horizontal="center" vertical="center"/>
    </xf>
    <xf numFmtId="10" fontId="0" fillId="0" borderId="0" xfId="1" applyNumberFormat="1" applyFont="1" applyFill="1" applyBorder="1"/>
    <xf numFmtId="0" fontId="0" fillId="0" borderId="0" xfId="0" applyAlignment="1">
      <alignment horizontal="center" vertical="center"/>
    </xf>
    <xf numFmtId="10" fontId="4" fillId="0" borderId="0" xfId="1" applyNumberFormat="1" applyFont="1" applyFill="1" applyBorder="1" applyAlignment="1">
      <alignment horizontal="center" vertical="center"/>
    </xf>
    <xf numFmtId="10" fontId="0" fillId="0" borderId="0" xfId="0" applyNumberFormat="1"/>
    <xf numFmtId="0" fontId="3" fillId="0" borderId="0" xfId="0" applyFont="1" applyAlignment="1">
      <alignment wrapText="1"/>
    </xf>
    <xf numFmtId="10" fontId="0" fillId="3" borderId="2" xfId="0" applyNumberFormat="1" applyFill="1" applyBorder="1" applyAlignment="1">
      <alignment horizontal="center" vertical="center"/>
    </xf>
    <xf numFmtId="10" fontId="0" fillId="3" borderId="3" xfId="0" applyNumberFormat="1" applyFill="1" applyBorder="1" applyAlignment="1">
      <alignment horizontal="center" vertical="center"/>
    </xf>
    <xf numFmtId="10" fontId="0" fillId="3" borderId="4" xfId="0" applyNumberFormat="1" applyFill="1" applyBorder="1" applyAlignment="1">
      <alignment horizontal="center" vertical="center"/>
    </xf>
    <xf numFmtId="0" fontId="3" fillId="4" borderId="0" xfId="0" applyFont="1" applyFill="1"/>
    <xf numFmtId="14" fontId="0" fillId="0" borderId="0" xfId="0" applyNumberFormat="1"/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164" fontId="0" fillId="0" borderId="1" xfId="0" applyNumberFormat="1" applyBorder="1"/>
    <xf numFmtId="165" fontId="0" fillId="0" borderId="1" xfId="1" applyNumberFormat="1" applyFont="1" applyFill="1" applyBorder="1"/>
    <xf numFmtId="0" fontId="3" fillId="2" borderId="1" xfId="0" applyFont="1" applyFill="1" applyBorder="1"/>
    <xf numFmtId="2" fontId="0" fillId="0" borderId="0" xfId="0" applyNumberFormat="1"/>
    <xf numFmtId="166" fontId="3" fillId="0" borderId="1" xfId="1" applyNumberFormat="1" applyFont="1" applyFill="1" applyBorder="1"/>
    <xf numFmtId="10" fontId="3" fillId="0" borderId="1" xfId="0" applyNumberFormat="1" applyFont="1" applyBorder="1"/>
    <xf numFmtId="0" fontId="3" fillId="0" borderId="1" xfId="0" applyFont="1" applyBorder="1"/>
    <xf numFmtId="10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/>
    <xf numFmtId="10" fontId="0" fillId="3" borderId="2" xfId="1" applyNumberFormat="1" applyFont="1" applyFill="1" applyBorder="1" applyAlignment="1">
      <alignment horizontal="center" vertical="center"/>
    </xf>
    <xf numFmtId="10" fontId="0" fillId="0" borderId="2" xfId="1" applyNumberFormat="1" applyFont="1" applyBorder="1" applyAlignment="1">
      <alignment horizontal="center" vertical="center"/>
    </xf>
    <xf numFmtId="10" fontId="0" fillId="3" borderId="4" xfId="1" applyNumberFormat="1" applyFont="1" applyFill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10" fontId="3" fillId="0" borderId="2" xfId="1" applyNumberFormat="1" applyFont="1" applyFill="1" applyBorder="1"/>
    <xf numFmtId="10" fontId="3" fillId="0" borderId="2" xfId="1" applyNumberFormat="1" applyFont="1" applyFill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0" xfId="1" applyNumberFormat="1" applyFont="1" applyBorder="1"/>
    <xf numFmtId="10" fontId="3" fillId="0" borderId="1" xfId="1" applyNumberFormat="1" applyFont="1" applyFill="1" applyBorder="1"/>
    <xf numFmtId="0" fontId="3" fillId="0" borderId="4" xfId="0" applyFont="1" applyBorder="1"/>
    <xf numFmtId="0" fontId="3" fillId="0" borderId="4" xfId="0" applyFont="1" applyBorder="1" applyAlignment="1">
      <alignment wrapText="1"/>
    </xf>
    <xf numFmtId="10" fontId="0" fillId="3" borderId="1" xfId="1" applyNumberFormat="1" applyFont="1" applyFill="1" applyBorder="1"/>
    <xf numFmtId="0" fontId="0" fillId="0" borderId="0" xfId="1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2" fillId="0" borderId="1" xfId="0" applyFont="1" applyBorder="1"/>
    <xf numFmtId="10" fontId="2" fillId="0" borderId="1" xfId="1" applyNumberFormat="1" applyFont="1" applyBorder="1"/>
    <xf numFmtId="0" fontId="0" fillId="5" borderId="1" xfId="0" applyFill="1" applyBorder="1"/>
    <xf numFmtId="10" fontId="0" fillId="5" borderId="1" xfId="1" applyNumberFormat="1" applyFont="1" applyFill="1" applyBorder="1"/>
    <xf numFmtId="10" fontId="0" fillId="0" borderId="1" xfId="1" applyNumberFormat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0" fontId="4" fillId="0" borderId="0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0" fontId="0" fillId="0" borderId="3" xfId="1" applyNumberFormat="1" applyFont="1" applyBorder="1" applyAlignment="1">
      <alignment horizontal="center" vertical="center"/>
    </xf>
    <xf numFmtId="10" fontId="4" fillId="0" borderId="2" xfId="1" applyNumberFormat="1" applyFont="1" applyBorder="1" applyAlignment="1">
      <alignment horizontal="center" vertical="center"/>
    </xf>
    <xf numFmtId="10" fontId="4" fillId="0" borderId="3" xfId="1" applyNumberFormat="1" applyFont="1" applyBorder="1" applyAlignment="1">
      <alignment horizontal="center" vertical="center"/>
    </xf>
    <xf numFmtId="10" fontId="4" fillId="0" borderId="4" xfId="1" applyNumberFormat="1" applyFont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10" fontId="0" fillId="0" borderId="0" xfId="0" applyNumberFormat="1" applyFill="1" applyBorder="1"/>
    <xf numFmtId="10" fontId="0" fillId="0" borderId="0" xfId="0" applyNumberFormat="1" applyFill="1" applyBorder="1" applyAlignment="1">
      <alignment vertical="center"/>
    </xf>
    <xf numFmtId="10" fontId="0" fillId="0" borderId="0" xfId="1" applyNumberFormat="1" applyFont="1" applyFill="1" applyBorder="1" applyAlignment="1">
      <alignment vertical="center"/>
    </xf>
    <xf numFmtId="10" fontId="4" fillId="0" borderId="0" xfId="1" applyNumberFormat="1" applyFont="1" applyFill="1" applyBorder="1" applyAlignment="1">
      <alignment vertical="center"/>
    </xf>
    <xf numFmtId="10" fontId="0" fillId="0" borderId="0" xfId="1" applyNumberFormat="1" applyFont="1" applyBorder="1" applyAlignment="1">
      <alignment vertic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167" fontId="0" fillId="0" borderId="0" xfId="0" applyNumberForma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2" borderId="0" xfId="0" applyFont="1" applyFill="1"/>
    <xf numFmtId="0" fontId="11" fillId="6" borderId="0" xfId="0" applyFont="1" applyFill="1"/>
    <xf numFmtId="1" fontId="12" fillId="2" borderId="0" xfId="0" applyNumberFormat="1" applyFont="1" applyFill="1"/>
    <xf numFmtId="166" fontId="11" fillId="2" borderId="0" xfId="1" applyNumberFormat="1" applyFont="1" applyFill="1"/>
    <xf numFmtId="0" fontId="11" fillId="7" borderId="0" xfId="0" applyFont="1" applyFill="1"/>
    <xf numFmtId="0" fontId="11" fillId="3" borderId="0" xfId="0" applyFont="1" applyFill="1"/>
    <xf numFmtId="1" fontId="12" fillId="7" borderId="0" xfId="0" applyNumberFormat="1" applyFont="1" applyFill="1"/>
    <xf numFmtId="166" fontId="11" fillId="7" borderId="0" xfId="1" applyNumberFormat="1" applyFont="1" applyFill="1"/>
    <xf numFmtId="0" fontId="11" fillId="8" borderId="0" xfId="0" applyFont="1" applyFill="1"/>
    <xf numFmtId="0" fontId="11" fillId="9" borderId="0" xfId="0" applyFont="1" applyFill="1"/>
    <xf numFmtId="1" fontId="12" fillId="8" borderId="0" xfId="0" applyNumberFormat="1" applyFont="1" applyFill="1"/>
    <xf numFmtId="166" fontId="11" fillId="8" borderId="0" xfId="1" applyNumberFormat="1" applyFont="1" applyFill="1"/>
    <xf numFmtId="0" fontId="11" fillId="5" borderId="0" xfId="0" applyFont="1" applyFill="1"/>
    <xf numFmtId="0" fontId="11" fillId="10" borderId="0" xfId="0" applyFont="1" applyFill="1"/>
    <xf numFmtId="1" fontId="12" fillId="5" borderId="0" xfId="0" applyNumberFormat="1" applyFont="1" applyFill="1"/>
    <xf numFmtId="166" fontId="11" fillId="5" borderId="0" xfId="1" applyNumberFormat="1" applyFont="1" applyFill="1"/>
    <xf numFmtId="0" fontId="11" fillId="0" borderId="0" xfId="0" applyFont="1"/>
    <xf numFmtId="0" fontId="13" fillId="11" borderId="0" xfId="0" applyFont="1" applyFill="1" applyAlignment="1">
      <alignment horizontal="center"/>
    </xf>
    <xf numFmtId="0" fontId="13" fillId="11" borderId="0" xfId="0" applyFont="1" applyFill="1"/>
    <xf numFmtId="0" fontId="10" fillId="12" borderId="10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1" fillId="0" borderId="11" xfId="0" applyFont="1" applyBorder="1"/>
    <xf numFmtId="0" fontId="11" fillId="0" borderId="1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12" borderId="13" xfId="0" applyFont="1" applyFill="1" applyBorder="1"/>
    <xf numFmtId="10" fontId="11" fillId="12" borderId="14" xfId="1" applyNumberFormat="1" applyFont="1" applyFill="1" applyBorder="1"/>
    <xf numFmtId="0" fontId="11" fillId="0" borderId="14" xfId="0" applyFont="1" applyBorder="1"/>
    <xf numFmtId="0" fontId="11" fillId="0" borderId="13" xfId="0" applyFont="1" applyBorder="1" applyAlignment="1">
      <alignment horizontal="center"/>
    </xf>
    <xf numFmtId="10" fontId="11" fillId="0" borderId="0" xfId="0" applyNumberFormat="1" applyFont="1" applyAlignment="1">
      <alignment horizontal="center"/>
    </xf>
    <xf numFmtId="166" fontId="11" fillId="0" borderId="3" xfId="0" applyNumberFormat="1" applyFont="1" applyBorder="1" applyAlignment="1">
      <alignment horizontal="center"/>
    </xf>
    <xf numFmtId="0" fontId="11" fillId="12" borderId="15" xfId="0" applyFont="1" applyFill="1" applyBorder="1"/>
    <xf numFmtId="10" fontId="11" fillId="12" borderId="16" xfId="1" applyNumberFormat="1" applyFont="1" applyFill="1" applyBorder="1"/>
    <xf numFmtId="0" fontId="11" fillId="0" borderId="13" xfId="0" applyFont="1" applyBorder="1"/>
    <xf numFmtId="0" fontId="15" fillId="0" borderId="10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0" fillId="12" borderId="13" xfId="0" applyFont="1" applyFill="1" applyBorder="1" applyAlignment="1">
      <alignment horizontal="center"/>
    </xf>
    <xf numFmtId="10" fontId="10" fillId="12" borderId="0" xfId="0" applyNumberFormat="1" applyFont="1" applyFill="1" applyAlignment="1">
      <alignment horizontal="center"/>
    </xf>
    <xf numFmtId="166" fontId="10" fillId="0" borderId="3" xfId="0" applyNumberFormat="1" applyFont="1" applyBorder="1" applyAlignment="1">
      <alignment horizontal="center"/>
    </xf>
    <xf numFmtId="9" fontId="11" fillId="0" borderId="0" xfId="0" applyNumberFormat="1" applyFont="1"/>
    <xf numFmtId="0" fontId="15" fillId="2" borderId="13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166" fontId="15" fillId="2" borderId="14" xfId="1" applyNumberFormat="1" applyFont="1" applyFill="1" applyBorder="1" applyAlignment="1">
      <alignment horizontal="center"/>
    </xf>
    <xf numFmtId="0" fontId="11" fillId="0" borderId="15" xfId="0" applyFont="1" applyBorder="1" applyAlignment="1">
      <alignment horizontal="center"/>
    </xf>
    <xf numFmtId="10" fontId="11" fillId="0" borderId="17" xfId="1" applyNumberFormat="1" applyFont="1" applyBorder="1" applyAlignment="1">
      <alignment horizontal="center"/>
    </xf>
    <xf numFmtId="10" fontId="11" fillId="0" borderId="4" xfId="1" applyNumberFormat="1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1" fontId="15" fillId="7" borderId="0" xfId="0" applyNumberFormat="1" applyFont="1" applyFill="1" applyAlignment="1">
      <alignment horizontal="center"/>
    </xf>
    <xf numFmtId="166" fontId="15" fillId="7" borderId="14" xfId="1" applyNumberFormat="1" applyFont="1" applyFill="1" applyBorder="1" applyAlignment="1">
      <alignment horizontal="center"/>
    </xf>
    <xf numFmtId="0" fontId="15" fillId="9" borderId="13" xfId="0" applyFont="1" applyFill="1" applyBorder="1" applyAlignment="1">
      <alignment horizontal="center"/>
    </xf>
    <xf numFmtId="1" fontId="15" fillId="9" borderId="0" xfId="0" applyNumberFormat="1" applyFont="1" applyFill="1" applyAlignment="1">
      <alignment horizontal="center"/>
    </xf>
    <xf numFmtId="166" fontId="15" fillId="9" borderId="14" xfId="1" applyNumberFormat="1" applyFont="1" applyFill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166" fontId="15" fillId="0" borderId="16" xfId="1" applyNumberFormat="1" applyFont="1" applyBorder="1" applyAlignment="1">
      <alignment horizontal="center"/>
    </xf>
    <xf numFmtId="166" fontId="11" fillId="0" borderId="0" xfId="0" applyNumberFormat="1" applyFont="1" applyAlignment="1">
      <alignment horizontal="center"/>
    </xf>
    <xf numFmtId="166" fontId="11" fillId="0" borderId="14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1" fillId="0" borderId="7" xfId="0" applyFont="1" applyBorder="1"/>
    <xf numFmtId="0" fontId="10" fillId="0" borderId="0" xfId="0" applyFont="1" applyAlignment="1">
      <alignment horizontal="center"/>
    </xf>
    <xf numFmtId="0" fontId="10" fillId="0" borderId="20" xfId="0" applyFont="1" applyBorder="1" applyAlignment="1">
      <alignment horizontal="center"/>
    </xf>
    <xf numFmtId="0" fontId="15" fillId="0" borderId="10" xfId="0" applyFont="1" applyBorder="1" applyAlignment="1">
      <alignment horizontal="left"/>
    </xf>
    <xf numFmtId="0" fontId="11" fillId="0" borderId="7" xfId="0" applyFont="1" applyBorder="1" applyAlignment="1">
      <alignment horizontal="right"/>
    </xf>
    <xf numFmtId="165" fontId="11" fillId="0" borderId="0" xfId="0" applyNumberFormat="1" applyFont="1"/>
    <xf numFmtId="165" fontId="11" fillId="0" borderId="20" xfId="0" applyNumberFormat="1" applyFont="1" applyBorder="1"/>
    <xf numFmtId="10" fontId="11" fillId="0" borderId="0" xfId="1" applyNumberFormat="1" applyFont="1"/>
    <xf numFmtId="0" fontId="16" fillId="0" borderId="0" xfId="0" applyFont="1"/>
    <xf numFmtId="0" fontId="17" fillId="0" borderId="13" xfId="0" applyFont="1" applyBorder="1" applyAlignment="1">
      <alignment horizontal="center"/>
    </xf>
    <xf numFmtId="165" fontId="11" fillId="0" borderId="14" xfId="0" applyNumberFormat="1" applyFont="1" applyBorder="1" applyAlignment="1">
      <alignment horizontal="center"/>
    </xf>
    <xf numFmtId="166" fontId="10" fillId="12" borderId="0" xfId="0" applyNumberFormat="1" applyFont="1" applyFill="1" applyAlignment="1">
      <alignment horizontal="center"/>
    </xf>
    <xf numFmtId="166" fontId="10" fillId="12" borderId="14" xfId="0" applyNumberFormat="1" applyFont="1" applyFill="1" applyBorder="1" applyAlignment="1">
      <alignment horizontal="center"/>
    </xf>
    <xf numFmtId="10" fontId="11" fillId="0" borderId="16" xfId="1" applyNumberFormat="1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165" fontId="11" fillId="0" borderId="16" xfId="0" applyNumberFormat="1" applyFont="1" applyBorder="1" applyAlignment="1">
      <alignment horizontal="center"/>
    </xf>
    <xf numFmtId="0" fontId="13" fillId="0" borderId="13" xfId="0" applyFont="1" applyBorder="1"/>
    <xf numFmtId="0" fontId="13" fillId="0" borderId="0" xfId="0" applyFont="1"/>
    <xf numFmtId="0" fontId="13" fillId="0" borderId="7" xfId="0" applyFont="1" applyBorder="1"/>
    <xf numFmtId="0" fontId="10" fillId="0" borderId="7" xfId="0" applyFont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165" fontId="17" fillId="0" borderId="20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8" xfId="0" applyFont="1" applyBorder="1" applyAlignment="1">
      <alignment horizontal="center" vertical="center"/>
    </xf>
    <xf numFmtId="166" fontId="11" fillId="0" borderId="21" xfId="1" applyNumberFormat="1" applyFont="1" applyBorder="1" applyAlignment="1">
      <alignment horizontal="center" vertical="center"/>
    </xf>
    <xf numFmtId="166" fontId="11" fillId="0" borderId="22" xfId="1" applyNumberFormat="1" applyFont="1" applyBorder="1" applyAlignment="1">
      <alignment horizontal="center" vertical="center"/>
    </xf>
    <xf numFmtId="2" fontId="10" fillId="0" borderId="0" xfId="0" applyNumberFormat="1" applyFont="1"/>
    <xf numFmtId="0" fontId="11" fillId="0" borderId="15" xfId="0" applyFont="1" applyBorder="1"/>
    <xf numFmtId="0" fontId="11" fillId="0" borderId="17" xfId="0" applyFont="1" applyBorder="1"/>
    <xf numFmtId="0" fontId="11" fillId="0" borderId="16" xfId="0" applyFont="1" applyBorder="1"/>
    <xf numFmtId="166" fontId="10" fillId="0" borderId="0" xfId="0" applyNumberFormat="1" applyFont="1" applyAlignment="1">
      <alignment horizontal="center"/>
    </xf>
    <xf numFmtId="10" fontId="11" fillId="0" borderId="0" xfId="1" applyNumberFormat="1" applyFont="1" applyFill="1" applyBorder="1" applyAlignment="1">
      <alignment horizontal="center"/>
    </xf>
    <xf numFmtId="10" fontId="11" fillId="0" borderId="0" xfId="1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504091</xdr:colOff>
      <xdr:row>43</xdr:row>
      <xdr:rowOff>46891</xdr:rowOff>
    </xdr:from>
    <xdr:to>
      <xdr:col>24</xdr:col>
      <xdr:colOff>704727</xdr:colOff>
      <xdr:row>45</xdr:row>
      <xdr:rowOff>98274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766EB6-9C14-4566-9890-F587DEFFB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97821" y="7363996"/>
          <a:ext cx="4475456" cy="4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9"/>
  <sheetViews>
    <sheetView tabSelected="1" zoomScaleNormal="100" workbookViewId="0">
      <selection activeCell="K23" sqref="K23"/>
    </sheetView>
  </sheetViews>
  <sheetFormatPr defaultRowHeight="14.4" x14ac:dyDescent="0.3"/>
  <cols>
    <col min="1" max="1" width="28" customWidth="1"/>
    <col min="2" max="2" width="16.5546875" customWidth="1"/>
    <col min="3" max="3" width="14.5546875" customWidth="1"/>
    <col min="4" max="4" width="17.88671875" customWidth="1"/>
    <col min="8" max="8" width="12.6640625" customWidth="1"/>
    <col min="10" max="10" width="13.6640625" customWidth="1"/>
    <col min="14" max="14" width="11.6640625" customWidth="1"/>
    <col min="18" max="18" width="12.5546875" customWidth="1"/>
    <col min="19" max="19" width="11.77734375" customWidth="1"/>
  </cols>
  <sheetData>
    <row r="1" spans="1:24" x14ac:dyDescent="0.3">
      <c r="A1" s="1" t="s">
        <v>0</v>
      </c>
      <c r="B1" s="1"/>
      <c r="C1" s="1" t="s">
        <v>1</v>
      </c>
      <c r="D1" s="2">
        <v>42983</v>
      </c>
      <c r="J1" t="s">
        <v>2</v>
      </c>
      <c r="L1" s="3"/>
      <c r="M1" s="3"/>
      <c r="N1" t="s">
        <v>3</v>
      </c>
      <c r="U1" t="s">
        <v>3</v>
      </c>
    </row>
    <row r="2" spans="1:24" ht="43.2" x14ac:dyDescent="0.3">
      <c r="A2" s="4" t="s">
        <v>4</v>
      </c>
      <c r="B2" s="5" t="s">
        <v>5</v>
      </c>
      <c r="C2" s="5" t="s">
        <v>6</v>
      </c>
      <c r="D2" s="5" t="s">
        <v>7</v>
      </c>
      <c r="E2" s="4" t="s">
        <v>8</v>
      </c>
      <c r="F2" s="6" t="s">
        <v>9</v>
      </c>
      <c r="G2" s="4" t="s">
        <v>10</v>
      </c>
      <c r="H2" s="4" t="s">
        <v>11</v>
      </c>
      <c r="I2" s="5" t="s">
        <v>12</v>
      </c>
      <c r="J2" s="4" t="s">
        <v>13</v>
      </c>
      <c r="K2" s="6" t="s">
        <v>14</v>
      </c>
      <c r="L2" s="4" t="s">
        <v>10</v>
      </c>
      <c r="M2" s="4" t="s">
        <v>11</v>
      </c>
      <c r="N2" s="4" t="s">
        <v>13</v>
      </c>
      <c r="O2" s="6" t="s">
        <v>14</v>
      </c>
      <c r="P2" s="4" t="s">
        <v>10</v>
      </c>
      <c r="Q2" s="4" t="s">
        <v>11</v>
      </c>
      <c r="R2" s="4" t="s">
        <v>15</v>
      </c>
      <c r="S2" s="6" t="s">
        <v>16</v>
      </c>
      <c r="T2" s="5" t="s">
        <v>17</v>
      </c>
      <c r="U2" s="4" t="s">
        <v>18</v>
      </c>
      <c r="V2" s="6" t="s">
        <v>19</v>
      </c>
      <c r="W2" s="4" t="s">
        <v>10</v>
      </c>
      <c r="X2" s="4" t="s">
        <v>11</v>
      </c>
    </row>
    <row r="3" spans="1:24" x14ac:dyDescent="0.3">
      <c r="A3" s="7">
        <v>1</v>
      </c>
      <c r="B3" s="8">
        <v>15.6212</v>
      </c>
      <c r="C3" s="8">
        <v>15.811199999999999</v>
      </c>
      <c r="D3" s="8">
        <v>15.7994</v>
      </c>
      <c r="E3" s="9">
        <v>0.93789473684210956</v>
      </c>
      <c r="F3" s="19">
        <v>0.94542837030048299</v>
      </c>
      <c r="G3" s="36">
        <v>5.7502843365117356E-3</v>
      </c>
      <c r="H3" s="36">
        <v>6.5069397220783431E-3</v>
      </c>
      <c r="I3" s="8">
        <v>15.6555</v>
      </c>
      <c r="J3" s="9">
        <v>0.75736842105263547</v>
      </c>
      <c r="K3" s="19">
        <v>0.74263115586393369</v>
      </c>
      <c r="L3" s="36">
        <v>1.4737265188701776E-2</v>
      </c>
      <c r="M3" s="36">
        <v>2.0424432185477164E-2</v>
      </c>
      <c r="N3" s="9" t="s">
        <v>20</v>
      </c>
      <c r="O3" s="19">
        <v>0.75941443648449636</v>
      </c>
      <c r="P3" s="54">
        <v>9.5876866577477293E-3</v>
      </c>
      <c r="Q3" s="55">
        <v>1.3287611605638953E-2</v>
      </c>
      <c r="R3" s="11" t="s">
        <v>20</v>
      </c>
      <c r="S3" s="19">
        <v>0.24058556351550359</v>
      </c>
      <c r="T3" s="8">
        <v>15.651899999999999</v>
      </c>
      <c r="U3" s="9">
        <v>4.591368227732482E-2</v>
      </c>
      <c r="V3" s="19">
        <v>4.9978651599969115E-2</v>
      </c>
      <c r="W3" s="36">
        <v>4.0649693226442914E-3</v>
      </c>
      <c r="X3" s="36">
        <v>5.633656530116841E-3</v>
      </c>
    </row>
    <row r="4" spans="1:24" x14ac:dyDescent="0.3">
      <c r="A4" s="7">
        <v>2</v>
      </c>
      <c r="B4" s="8">
        <v>16.008900000000001</v>
      </c>
      <c r="C4" s="8">
        <v>16.2577</v>
      </c>
      <c r="D4" s="8">
        <v>16.244399999999999</v>
      </c>
      <c r="E4" s="9">
        <v>0.94654340836012452</v>
      </c>
      <c r="F4" s="20"/>
      <c r="G4" s="58"/>
      <c r="H4" s="58"/>
      <c r="I4" s="8">
        <v>16.063300000000002</v>
      </c>
      <c r="J4" s="9">
        <v>0.72789389067523191</v>
      </c>
      <c r="K4" s="20"/>
      <c r="L4" s="58"/>
      <c r="M4" s="58"/>
      <c r="N4" s="9">
        <v>0.76900212314224414</v>
      </c>
      <c r="O4" s="20"/>
      <c r="P4" s="54"/>
      <c r="Q4" s="55"/>
      <c r="R4" s="11">
        <v>0.23099787685775586</v>
      </c>
      <c r="S4" s="20"/>
      <c r="T4" s="8">
        <v>16.057700000000001</v>
      </c>
      <c r="U4" s="9">
        <v>5.4043620922613403E-2</v>
      </c>
      <c r="V4" s="20"/>
      <c r="W4" s="58"/>
      <c r="X4" s="58"/>
    </row>
    <row r="5" spans="1:24" x14ac:dyDescent="0.3">
      <c r="A5" s="7">
        <v>3</v>
      </c>
      <c r="B5" s="8">
        <v>15.8163</v>
      </c>
      <c r="C5" s="8">
        <v>16.119499999999999</v>
      </c>
      <c r="D5" s="8">
        <v>16.104900000000001</v>
      </c>
      <c r="E5" s="9">
        <v>0.95184696569921501</v>
      </c>
      <c r="F5" s="21"/>
      <c r="G5" s="38"/>
      <c r="H5" s="38"/>
      <c r="I5" s="8">
        <v>15.888500000000001</v>
      </c>
      <c r="J5" s="9" t="s">
        <v>20</v>
      </c>
      <c r="K5" s="21"/>
      <c r="L5" s="38"/>
      <c r="M5" s="38"/>
      <c r="N5" s="9">
        <v>0.74982674982674868</v>
      </c>
      <c r="O5" s="21"/>
      <c r="P5" s="54"/>
      <c r="Q5" s="55"/>
      <c r="R5" s="11">
        <v>0.25017325017325132</v>
      </c>
      <c r="S5" s="21"/>
      <c r="T5" s="8">
        <v>15.8805</v>
      </c>
      <c r="U5" s="9" t="s">
        <v>20</v>
      </c>
      <c r="V5" s="21"/>
      <c r="W5" s="38"/>
      <c r="X5" s="38"/>
    </row>
    <row r="6" spans="1:24" x14ac:dyDescent="0.3">
      <c r="E6" s="1" t="s">
        <v>21</v>
      </c>
      <c r="F6" s="12">
        <v>7.5336334583734343E-3</v>
      </c>
      <c r="G6" s="13"/>
      <c r="H6" s="13"/>
      <c r="J6" s="14"/>
      <c r="K6" s="15"/>
      <c r="L6" s="13"/>
      <c r="M6" s="13"/>
      <c r="N6" s="1" t="s">
        <v>21</v>
      </c>
      <c r="O6" s="12">
        <v>9.5876866577477848E-3</v>
      </c>
      <c r="P6" s="13"/>
      <c r="Q6" s="16"/>
      <c r="R6" s="17"/>
      <c r="S6" s="15"/>
      <c r="U6" s="14"/>
      <c r="V6" s="15"/>
      <c r="W6" s="13"/>
      <c r="X6" s="13"/>
    </row>
    <row r="7" spans="1:24" x14ac:dyDescent="0.3">
      <c r="A7" s="1" t="s">
        <v>0</v>
      </c>
      <c r="B7" s="1"/>
      <c r="C7" s="1" t="s">
        <v>22</v>
      </c>
      <c r="D7" s="2">
        <v>42983</v>
      </c>
      <c r="J7" t="s">
        <v>2</v>
      </c>
      <c r="N7" t="s">
        <v>3</v>
      </c>
      <c r="U7" t="s">
        <v>3</v>
      </c>
    </row>
    <row r="8" spans="1:24" ht="43.2" x14ac:dyDescent="0.3">
      <c r="A8" s="4" t="s">
        <v>4</v>
      </c>
      <c r="B8" s="5" t="s">
        <v>5</v>
      </c>
      <c r="C8" s="5" t="s">
        <v>6</v>
      </c>
      <c r="D8" s="5" t="s">
        <v>7</v>
      </c>
      <c r="E8" s="4" t="s">
        <v>8</v>
      </c>
      <c r="F8" s="6" t="s">
        <v>9</v>
      </c>
      <c r="G8" s="4" t="s">
        <v>10</v>
      </c>
      <c r="H8" s="4" t="s">
        <v>11</v>
      </c>
      <c r="I8" s="5" t="s">
        <v>12</v>
      </c>
      <c r="J8" s="4" t="s">
        <v>13</v>
      </c>
      <c r="K8" s="6" t="s">
        <v>14</v>
      </c>
      <c r="L8" s="4" t="s">
        <v>10</v>
      </c>
      <c r="M8" s="4" t="s">
        <v>11</v>
      </c>
      <c r="N8" s="4" t="s">
        <v>13</v>
      </c>
      <c r="O8" s="6" t="s">
        <v>14</v>
      </c>
      <c r="P8" s="4" t="s">
        <v>10</v>
      </c>
      <c r="Q8" s="4" t="s">
        <v>11</v>
      </c>
      <c r="R8" s="4" t="s">
        <v>15</v>
      </c>
      <c r="S8" s="6" t="s">
        <v>16</v>
      </c>
      <c r="T8" s="5" t="s">
        <v>17</v>
      </c>
      <c r="U8" s="4" t="s">
        <v>18</v>
      </c>
      <c r="V8" s="6" t="s">
        <v>19</v>
      </c>
      <c r="W8" s="4" t="s">
        <v>10</v>
      </c>
      <c r="X8" s="4" t="s">
        <v>11</v>
      </c>
    </row>
    <row r="9" spans="1:24" x14ac:dyDescent="0.3">
      <c r="A9" s="7">
        <v>1</v>
      </c>
      <c r="B9" s="8">
        <v>15.7484</v>
      </c>
      <c r="C9" s="8">
        <v>16.089200000000002</v>
      </c>
      <c r="D9" s="8">
        <v>15.839</v>
      </c>
      <c r="E9" s="9">
        <v>0.26584507042253469</v>
      </c>
      <c r="F9" s="19">
        <v>0.26636236481723041</v>
      </c>
      <c r="G9" s="36">
        <v>5.1729439469569427E-4</v>
      </c>
      <c r="H9" s="36">
        <v>7.1692027992341411E-4</v>
      </c>
      <c r="I9" s="8">
        <v>15.7729</v>
      </c>
      <c r="J9" s="9">
        <v>0.19395539906103343</v>
      </c>
      <c r="K9" s="19">
        <v>0.18148087546659894</v>
      </c>
      <c r="L9" s="36">
        <v>9.2372686174156445E-3</v>
      </c>
      <c r="M9" s="36">
        <v>1.0452761389297065E-2</v>
      </c>
      <c r="N9" s="9">
        <v>0.72958057395143838</v>
      </c>
      <c r="O9" s="19">
        <v>0.68681742185201866</v>
      </c>
      <c r="P9" s="54">
        <v>4.2763152099419666E-2</v>
      </c>
      <c r="Q9" s="55">
        <v>5.9265616035832649E-2</v>
      </c>
      <c r="R9" s="11">
        <v>0.27041942604856162</v>
      </c>
      <c r="S9" s="19">
        <v>0.31318257814798128</v>
      </c>
      <c r="T9" s="8">
        <v>15.7712</v>
      </c>
      <c r="U9" s="9">
        <v>4.264499297610843E-2</v>
      </c>
      <c r="V9" s="19">
        <v>3.479716411291453E-2</v>
      </c>
      <c r="W9" s="36">
        <v>7.8478288631938994E-3</v>
      </c>
      <c r="X9" s="36">
        <v>1.0876336034342206E-2</v>
      </c>
    </row>
    <row r="10" spans="1:24" x14ac:dyDescent="0.3">
      <c r="A10" s="7">
        <v>2</v>
      </c>
      <c r="B10" s="8">
        <v>17.593299999999999</v>
      </c>
      <c r="C10" s="8">
        <v>18.062799999999999</v>
      </c>
      <c r="D10" s="8">
        <v>17.718599999999999</v>
      </c>
      <c r="E10" s="9">
        <v>0.26687965921192608</v>
      </c>
      <c r="F10" s="20"/>
      <c r="G10" s="58"/>
      <c r="H10" s="58"/>
      <c r="I10" s="8">
        <v>17.637899999999998</v>
      </c>
      <c r="J10" s="9">
        <v>0.17188498402555955</v>
      </c>
      <c r="K10" s="20"/>
      <c r="L10" s="58"/>
      <c r="M10" s="58"/>
      <c r="N10" s="9">
        <v>0.64405426975259905</v>
      </c>
      <c r="O10" s="20"/>
      <c r="P10" s="54"/>
      <c r="Q10" s="55"/>
      <c r="R10" s="11">
        <v>0.35594573024740095</v>
      </c>
      <c r="S10" s="20"/>
      <c r="T10" s="8">
        <v>17.6249</v>
      </c>
      <c r="U10" s="9" t="s">
        <v>20</v>
      </c>
      <c r="V10" s="20"/>
      <c r="W10" s="58"/>
      <c r="X10" s="58"/>
    </row>
    <row r="11" spans="1:24" x14ac:dyDescent="0.3">
      <c r="A11" s="7">
        <v>3</v>
      </c>
      <c r="B11" s="8">
        <v>15.4902</v>
      </c>
      <c r="C11" s="8">
        <v>15.837899999999999</v>
      </c>
      <c r="D11" s="8">
        <v>15.5661</v>
      </c>
      <c r="E11" s="9" t="s">
        <v>20</v>
      </c>
      <c r="F11" s="21"/>
      <c r="G11" s="38"/>
      <c r="H11" s="38"/>
      <c r="I11" s="8">
        <v>15.504</v>
      </c>
      <c r="J11" s="9">
        <v>0.17860224331320387</v>
      </c>
      <c r="K11" s="21"/>
      <c r="L11" s="38"/>
      <c r="M11" s="38"/>
      <c r="N11" s="9" t="s">
        <v>20</v>
      </c>
      <c r="O11" s="21"/>
      <c r="P11" s="54"/>
      <c r="Q11" s="55"/>
      <c r="R11" s="11" t="s">
        <v>20</v>
      </c>
      <c r="S11" s="21"/>
      <c r="T11" s="8">
        <v>15.5031</v>
      </c>
      <c r="U11" s="9">
        <v>2.6949335249720627E-2</v>
      </c>
      <c r="V11" s="21"/>
      <c r="W11" s="38"/>
      <c r="X11" s="38"/>
    </row>
    <row r="12" spans="1:24" x14ac:dyDescent="0.3">
      <c r="E12" s="1" t="s">
        <v>21</v>
      </c>
      <c r="F12" s="12">
        <v>5.1729439469572203E-4</v>
      </c>
      <c r="U12" s="1" t="s">
        <v>21</v>
      </c>
      <c r="V12" s="12">
        <v>7.8478288631939029E-3</v>
      </c>
    </row>
    <row r="13" spans="1:24" x14ac:dyDescent="0.3">
      <c r="A13" s="1" t="s">
        <v>0</v>
      </c>
      <c r="B13" s="1"/>
      <c r="C13" s="1" t="s">
        <v>23</v>
      </c>
      <c r="D13" s="2">
        <v>42978</v>
      </c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</row>
    <row r="14" spans="1:24" ht="28.8" x14ac:dyDescent="0.3">
      <c r="A14" s="4" t="s">
        <v>4</v>
      </c>
      <c r="B14" s="5" t="s">
        <v>5</v>
      </c>
      <c r="C14" s="5" t="s">
        <v>6</v>
      </c>
      <c r="D14" s="5" t="s">
        <v>7</v>
      </c>
      <c r="E14" s="4" t="s">
        <v>8</v>
      </c>
      <c r="F14" s="6" t="s">
        <v>9</v>
      </c>
      <c r="G14" s="4" t="s">
        <v>10</v>
      </c>
      <c r="H14" s="4" t="s">
        <v>11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18"/>
      <c r="U14" s="18"/>
    </row>
    <row r="15" spans="1:24" x14ac:dyDescent="0.3">
      <c r="A15" s="7">
        <v>1</v>
      </c>
      <c r="B15" s="8">
        <v>15.6563</v>
      </c>
      <c r="C15" s="8">
        <v>15.819699999999999</v>
      </c>
      <c r="D15" s="8">
        <v>15.808299999999999</v>
      </c>
      <c r="E15" s="9">
        <v>0.93023255813953409</v>
      </c>
      <c r="F15" s="19">
        <v>0.92554241534596182</v>
      </c>
      <c r="G15" s="36">
        <v>3.4055541518664325E-3</v>
      </c>
      <c r="H15" s="10">
        <v>3.8536764948759305E-3</v>
      </c>
      <c r="I15" s="62"/>
      <c r="J15" s="14"/>
      <c r="K15" s="65"/>
      <c r="L15" s="66"/>
      <c r="M15" s="66"/>
      <c r="N15" s="14"/>
      <c r="O15" s="65"/>
      <c r="P15" s="66"/>
      <c r="Q15" s="67"/>
      <c r="R15" s="64"/>
      <c r="S15" s="65"/>
      <c r="T15" s="68"/>
      <c r="U15" s="56"/>
    </row>
    <row r="16" spans="1:24" x14ac:dyDescent="0.3">
      <c r="A16" s="7">
        <v>2</v>
      </c>
      <c r="B16" s="8">
        <v>16.665500000000002</v>
      </c>
      <c r="C16" s="8">
        <v>16.87</v>
      </c>
      <c r="D16" s="8">
        <v>16.854099999999999</v>
      </c>
      <c r="E16" s="9">
        <v>0.92224938875304618</v>
      </c>
      <c r="F16" s="20"/>
      <c r="G16" s="58"/>
      <c r="H16" s="10"/>
      <c r="I16" s="62"/>
      <c r="J16" s="14"/>
      <c r="K16" s="65"/>
      <c r="L16" s="66"/>
      <c r="M16" s="66"/>
      <c r="N16" s="14"/>
      <c r="O16" s="65"/>
      <c r="P16" s="66"/>
      <c r="Q16" s="67"/>
      <c r="R16" s="64"/>
      <c r="S16" s="65"/>
      <c r="T16" s="68"/>
      <c r="U16" s="56"/>
    </row>
    <row r="17" spans="1:21" x14ac:dyDescent="0.3">
      <c r="A17" s="7">
        <v>3</v>
      </c>
      <c r="B17" s="8">
        <v>16.471499999999999</v>
      </c>
      <c r="C17" s="8">
        <v>16.6587</v>
      </c>
      <c r="D17" s="8">
        <v>16.644500000000001</v>
      </c>
      <c r="E17" s="9">
        <v>0.92414529914530541</v>
      </c>
      <c r="F17" s="21"/>
      <c r="G17" s="38"/>
      <c r="H17" s="10"/>
      <c r="I17" s="62"/>
      <c r="J17" s="14"/>
      <c r="K17" s="65"/>
      <c r="L17" s="66"/>
      <c r="M17" s="66"/>
      <c r="N17" s="14"/>
      <c r="O17" s="65"/>
      <c r="P17" s="66"/>
      <c r="Q17" s="67"/>
      <c r="R17" s="64"/>
      <c r="S17" s="65"/>
      <c r="T17" s="68"/>
      <c r="U17" s="56"/>
    </row>
    <row r="20" spans="1:21" x14ac:dyDescent="0.3">
      <c r="A20" s="22" t="s">
        <v>24</v>
      </c>
      <c r="B20" s="22"/>
      <c r="C20" t="s">
        <v>25</v>
      </c>
      <c r="D20" s="23"/>
      <c r="J20" s="69" t="s">
        <v>26</v>
      </c>
      <c r="K20" s="70"/>
      <c r="L20" s="57"/>
      <c r="M20" s="57"/>
      <c r="N20" s="57"/>
      <c r="O20" s="57"/>
    </row>
    <row r="21" spans="1:21" ht="43.2" x14ac:dyDescent="0.3">
      <c r="A21" s="24" t="s">
        <v>4</v>
      </c>
      <c r="B21" s="25" t="s">
        <v>27</v>
      </c>
      <c r="C21" s="24" t="s">
        <v>28</v>
      </c>
      <c r="D21" s="25" t="s">
        <v>29</v>
      </c>
      <c r="E21" s="25" t="s">
        <v>30</v>
      </c>
      <c r="F21" s="25" t="s">
        <v>31</v>
      </c>
      <c r="G21" s="25" t="s">
        <v>32</v>
      </c>
      <c r="H21" s="25" t="s">
        <v>33</v>
      </c>
      <c r="J21" s="25" t="s">
        <v>34</v>
      </c>
      <c r="K21" s="25" t="s">
        <v>35</v>
      </c>
      <c r="L21" s="25" t="s">
        <v>36</v>
      </c>
      <c r="M21" s="25" t="s">
        <v>37</v>
      </c>
      <c r="N21" s="25" t="s">
        <v>38</v>
      </c>
      <c r="O21" s="25" t="s">
        <v>39</v>
      </c>
      <c r="P21" s="25" t="s">
        <v>40</v>
      </c>
      <c r="Q21" s="25" t="s">
        <v>41</v>
      </c>
      <c r="R21" s="25" t="s">
        <v>42</v>
      </c>
      <c r="S21" s="25" t="s">
        <v>43</v>
      </c>
      <c r="T21" s="25" t="s">
        <v>44</v>
      </c>
    </row>
    <row r="22" spans="1:21" x14ac:dyDescent="0.3">
      <c r="A22" s="7">
        <v>1</v>
      </c>
      <c r="B22" s="8">
        <v>0.30730000000000002</v>
      </c>
      <c r="C22" s="26">
        <v>0.28441918423581408</v>
      </c>
      <c r="D22" s="8">
        <v>4.95</v>
      </c>
      <c r="E22" s="8">
        <v>89.34</v>
      </c>
      <c r="F22" s="8">
        <v>138.21</v>
      </c>
      <c r="G22" s="8">
        <v>135.38999999999999</v>
      </c>
      <c r="H22" s="7">
        <v>48.870000000000005</v>
      </c>
      <c r="J22" s="7">
        <v>26.954965753567595</v>
      </c>
      <c r="K22" s="7">
        <v>25.830063045384158</v>
      </c>
      <c r="L22" s="7">
        <v>1126.2931556077842</v>
      </c>
      <c r="M22" s="7">
        <v>88.378279615416901</v>
      </c>
      <c r="N22" s="7">
        <v>46.353211060318628</v>
      </c>
      <c r="O22" s="7">
        <v>12.173732735530075</v>
      </c>
      <c r="P22" s="7" t="s">
        <v>20</v>
      </c>
      <c r="Q22" s="7" t="s">
        <v>20</v>
      </c>
      <c r="R22" s="27">
        <v>1</v>
      </c>
      <c r="S22" s="9">
        <v>0.37952981861505514</v>
      </c>
      <c r="T22" s="9">
        <v>6.3863796840995912E-2</v>
      </c>
    </row>
    <row r="23" spans="1:21" x14ac:dyDescent="0.3">
      <c r="A23" s="7">
        <v>2</v>
      </c>
      <c r="B23" s="8">
        <v>0.31969999999999998</v>
      </c>
      <c r="C23" s="26">
        <v>0.29589591018610401</v>
      </c>
      <c r="D23" s="8">
        <v>4.9400000000000004</v>
      </c>
      <c r="E23" s="8">
        <v>89.36</v>
      </c>
      <c r="F23" s="8">
        <v>137.74</v>
      </c>
      <c r="G23" s="8">
        <v>134.74</v>
      </c>
      <c r="H23" s="7">
        <v>48.38000000000001</v>
      </c>
      <c r="J23" s="7">
        <v>28.283732990201116</v>
      </c>
      <c r="K23" s="7">
        <v>23.967932311446926</v>
      </c>
      <c r="L23" s="7">
        <v>992.14204688442999</v>
      </c>
      <c r="M23" s="7">
        <v>82.932310996994403</v>
      </c>
      <c r="N23" s="7">
        <v>43.260040224648044</v>
      </c>
      <c r="O23" s="7">
        <v>13.484493420541899</v>
      </c>
      <c r="P23" s="7" t="s">
        <v>20</v>
      </c>
      <c r="Q23" s="7" t="s">
        <v>20</v>
      </c>
      <c r="R23" s="27">
        <v>1</v>
      </c>
      <c r="S23" s="9">
        <v>0.32076306910175534</v>
      </c>
      <c r="T23" s="9">
        <v>5.8823538277281637E-2</v>
      </c>
    </row>
    <row r="24" spans="1:21" x14ac:dyDescent="0.3">
      <c r="E24" s="28" t="s">
        <v>45</v>
      </c>
      <c r="F24" s="8">
        <v>59.08</v>
      </c>
      <c r="G24" s="8">
        <v>58.71</v>
      </c>
      <c r="N24" s="29"/>
      <c r="O24" s="29"/>
      <c r="P24" s="29"/>
      <c r="Q24" s="29"/>
      <c r="R24" s="30" t="s">
        <v>46</v>
      </c>
      <c r="S24" s="31">
        <v>0.35014644385840521</v>
      </c>
      <c r="T24" s="31">
        <v>6.1343667559138775E-2</v>
      </c>
    </row>
    <row r="25" spans="1:21" x14ac:dyDescent="0.3">
      <c r="B25" s="32" t="s">
        <v>47</v>
      </c>
      <c r="C25" s="32" t="s">
        <v>48</v>
      </c>
      <c r="N25" s="29"/>
      <c r="O25" s="29"/>
      <c r="P25" s="29"/>
      <c r="R25" s="7" t="s">
        <v>49</v>
      </c>
      <c r="S25" s="9">
        <v>2.9383374756649899E-2</v>
      </c>
      <c r="T25" s="9">
        <v>2.5201292818571377E-3</v>
      </c>
    </row>
    <row r="26" spans="1:21" x14ac:dyDescent="0.3">
      <c r="B26" s="7" t="s">
        <v>50</v>
      </c>
      <c r="C26" s="7">
        <v>0.1132</v>
      </c>
      <c r="E26" s="32" t="s">
        <v>51</v>
      </c>
      <c r="F26" s="32" t="s">
        <v>52</v>
      </c>
      <c r="G26" s="32" t="s">
        <v>53</v>
      </c>
      <c r="H26" s="32" t="s">
        <v>40</v>
      </c>
      <c r="I26" s="32" t="s">
        <v>41</v>
      </c>
      <c r="J26" s="32" t="s">
        <v>54</v>
      </c>
      <c r="K26" s="32" t="s">
        <v>55</v>
      </c>
      <c r="L26" s="32" t="s">
        <v>56</v>
      </c>
      <c r="R26" s="7" t="s">
        <v>57</v>
      </c>
      <c r="S26" s="9">
        <v>4.0722531447540865E-2</v>
      </c>
      <c r="T26" s="9">
        <v>3.4926568095814134E-3</v>
      </c>
    </row>
    <row r="27" spans="1:21" x14ac:dyDescent="0.3">
      <c r="B27" s="7" t="s">
        <v>58</v>
      </c>
      <c r="C27" s="7">
        <v>0.2082</v>
      </c>
      <c r="E27" s="7" t="s">
        <v>59</v>
      </c>
      <c r="F27" s="7">
        <v>108.31391236850001</v>
      </c>
      <c r="G27" s="7">
        <v>21502.933157068488</v>
      </c>
      <c r="H27" s="7">
        <v>2.8000000000000001E-2</v>
      </c>
      <c r="I27" s="7">
        <v>4.9318</v>
      </c>
      <c r="J27" s="7">
        <v>177.13571428571427</v>
      </c>
      <c r="K27" s="7">
        <v>19186.26223447451</v>
      </c>
      <c r="L27" s="9">
        <v>0.10773743775659912</v>
      </c>
      <c r="R27" s="32" t="s">
        <v>60</v>
      </c>
      <c r="S27" s="33">
        <v>0.33366403695334834</v>
      </c>
      <c r="T27" s="33">
        <v>5.8456043516419282E-2</v>
      </c>
    </row>
    <row r="28" spans="1:21" x14ac:dyDescent="0.3">
      <c r="B28" s="7" t="s">
        <v>61</v>
      </c>
      <c r="C28" s="34">
        <v>10.0524</v>
      </c>
      <c r="E28" s="7" t="s">
        <v>62</v>
      </c>
      <c r="F28" s="7">
        <v>58.346692325000006</v>
      </c>
      <c r="G28" s="7">
        <v>11691.316202594395</v>
      </c>
      <c r="H28" s="7">
        <v>2.8000000000000001E-2</v>
      </c>
      <c r="I28" s="7">
        <v>4.9318</v>
      </c>
      <c r="J28" s="7">
        <v>177.13571428571427</v>
      </c>
      <c r="K28" s="7">
        <v>10335.28302119768</v>
      </c>
      <c r="L28" s="9">
        <v>0.11598635755791128</v>
      </c>
      <c r="R28" t="s">
        <v>63</v>
      </c>
      <c r="S28" s="12">
        <v>2.9383374756649927E-2</v>
      </c>
      <c r="T28" s="12">
        <v>2.5201292818571377E-3</v>
      </c>
    </row>
    <row r="30" spans="1:21" x14ac:dyDescent="0.3">
      <c r="T30" s="13"/>
    </row>
    <row r="31" spans="1:21" ht="57.6" customHeight="1" x14ac:dyDescent="0.3">
      <c r="A31" s="4" t="s">
        <v>4</v>
      </c>
      <c r="B31" s="5" t="s">
        <v>64</v>
      </c>
      <c r="C31" s="5" t="s">
        <v>65</v>
      </c>
      <c r="D31" s="4" t="s">
        <v>66</v>
      </c>
      <c r="E31" s="5" t="s">
        <v>12</v>
      </c>
      <c r="F31" s="4" t="s">
        <v>67</v>
      </c>
      <c r="G31" s="4" t="s">
        <v>68</v>
      </c>
      <c r="H31" s="4" t="s">
        <v>69</v>
      </c>
      <c r="I31" s="6" t="s">
        <v>70</v>
      </c>
      <c r="J31" s="4" t="s">
        <v>71</v>
      </c>
      <c r="K31" s="4" t="s">
        <v>72</v>
      </c>
      <c r="L31" s="4" t="s">
        <v>73</v>
      </c>
      <c r="M31" s="6" t="s">
        <v>74</v>
      </c>
      <c r="N31" s="4" t="s">
        <v>71</v>
      </c>
      <c r="O31" s="4" t="s">
        <v>72</v>
      </c>
      <c r="P31" s="4" t="s">
        <v>73</v>
      </c>
    </row>
    <row r="32" spans="1:21" x14ac:dyDescent="0.3">
      <c r="A32" s="7">
        <v>1</v>
      </c>
      <c r="B32" s="8">
        <v>1.1679999999999999</v>
      </c>
      <c r="C32" s="8">
        <v>1.2475000000000001</v>
      </c>
      <c r="D32" s="7">
        <v>7.9500000000000126E-2</v>
      </c>
      <c r="E32" s="8">
        <v>1.1909000000000001</v>
      </c>
      <c r="F32" s="7">
        <v>5.6599999999999984E-2</v>
      </c>
      <c r="G32" s="7">
        <v>2.2900000000000142E-2</v>
      </c>
      <c r="H32" s="9">
        <v>0.1990020474605978</v>
      </c>
      <c r="I32" s="35">
        <v>0.1997051799193843</v>
      </c>
      <c r="J32" s="36">
        <v>7.0313245878651787E-4</v>
      </c>
      <c r="K32" s="36">
        <v>9.7447396365662694E-4</v>
      </c>
      <c r="L32" s="9">
        <v>8.0514962665154052E-2</v>
      </c>
      <c r="M32" s="35">
        <v>8.3009001595374249E-2</v>
      </c>
      <c r="N32" s="36">
        <v>2.4940389302201896E-3</v>
      </c>
      <c r="O32" s="36">
        <v>3.4564980914691388E-3</v>
      </c>
      <c r="P32" s="9">
        <v>7.1975327842279862E-6</v>
      </c>
    </row>
    <row r="33" spans="1:17" x14ac:dyDescent="0.3">
      <c r="A33" s="7">
        <v>2</v>
      </c>
      <c r="B33" s="8">
        <v>1.1717</v>
      </c>
      <c r="C33" s="8">
        <v>1.2563</v>
      </c>
      <c r="D33" s="7">
        <v>8.4600000000000009E-2</v>
      </c>
      <c r="E33" s="8">
        <v>1.1970000000000001</v>
      </c>
      <c r="F33" s="7">
        <v>5.9299999999999908E-2</v>
      </c>
      <c r="G33" s="7">
        <v>2.53000000000001E-2</v>
      </c>
      <c r="H33" s="9">
        <v>0.20040831237817083</v>
      </c>
      <c r="I33" s="37"/>
      <c r="J33" s="38"/>
      <c r="K33" s="38"/>
      <c r="L33" s="9">
        <v>8.5503040525594431E-2</v>
      </c>
      <c r="M33" s="37"/>
      <c r="N33" s="38"/>
      <c r="O33" s="38"/>
      <c r="P33" s="9">
        <v>0</v>
      </c>
    </row>
    <row r="34" spans="1:17" x14ac:dyDescent="0.3">
      <c r="H34" s="39" t="s">
        <v>75</v>
      </c>
      <c r="I34" s="40">
        <v>0.19030447888639032</v>
      </c>
      <c r="J34" s="13"/>
      <c r="K34" s="13"/>
      <c r="L34" s="14"/>
      <c r="M34" s="13"/>
      <c r="N34" s="41"/>
      <c r="O34" s="41"/>
      <c r="P34" s="42"/>
    </row>
    <row r="35" spans="1:17" x14ac:dyDescent="0.3">
      <c r="G35" s="32" t="s">
        <v>76</v>
      </c>
      <c r="H35" s="43"/>
      <c r="I35" s="33">
        <v>0.1091585732408885</v>
      </c>
      <c r="J35" s="13"/>
      <c r="K35" s="13"/>
      <c r="L35" s="14"/>
      <c r="M35" s="13"/>
      <c r="N35" s="41"/>
      <c r="O35" s="41"/>
      <c r="P35" s="42"/>
    </row>
    <row r="36" spans="1:17" x14ac:dyDescent="0.3">
      <c r="G36" s="44"/>
      <c r="H36" s="14" t="s">
        <v>77</v>
      </c>
      <c r="I36" s="12">
        <v>7.0313245878653174E-4</v>
      </c>
      <c r="J36" s="13"/>
      <c r="K36" s="13"/>
      <c r="L36" s="14"/>
      <c r="M36" s="13"/>
      <c r="N36" s="41"/>
      <c r="O36" s="41"/>
      <c r="P36" s="42"/>
    </row>
    <row r="37" spans="1:17" ht="43.2" x14ac:dyDescent="0.3">
      <c r="A37" s="4" t="s">
        <v>4</v>
      </c>
      <c r="B37" s="5" t="s">
        <v>78</v>
      </c>
      <c r="C37" s="5" t="s">
        <v>79</v>
      </c>
      <c r="D37" s="6" t="s">
        <v>80</v>
      </c>
      <c r="E37" s="6" t="s">
        <v>70</v>
      </c>
      <c r="F37" s="4" t="s">
        <v>71</v>
      </c>
      <c r="G37" s="45" t="s">
        <v>72</v>
      </c>
      <c r="I37" s="14"/>
      <c r="J37" s="13"/>
      <c r="K37" s="13"/>
      <c r="L37" s="13"/>
      <c r="M37" s="14"/>
      <c r="N37" s="13"/>
      <c r="O37" s="41"/>
      <c r="P37" s="41"/>
      <c r="Q37" s="42"/>
    </row>
    <row r="38" spans="1:17" x14ac:dyDescent="0.3">
      <c r="A38" s="7">
        <v>1</v>
      </c>
      <c r="B38" s="8">
        <v>1.5</v>
      </c>
      <c r="C38" s="8">
        <v>0.79</v>
      </c>
      <c r="D38" s="46">
        <v>1.2367996384189534E-2</v>
      </c>
      <c r="E38" s="35">
        <v>1.3332702852469007E-2</v>
      </c>
      <c r="F38" s="36">
        <v>9.647064682794743E-4</v>
      </c>
      <c r="G38" s="36">
        <v>1.3369903837633942E-3</v>
      </c>
      <c r="I38" s="14"/>
      <c r="J38" s="13"/>
      <c r="K38" s="13"/>
      <c r="L38" s="13"/>
      <c r="M38" s="14"/>
      <c r="N38" s="13"/>
      <c r="O38" s="47"/>
      <c r="P38" s="13"/>
      <c r="Q38" s="14"/>
    </row>
    <row r="39" spans="1:17" x14ac:dyDescent="0.3">
      <c r="A39" s="7">
        <v>2</v>
      </c>
      <c r="B39" s="8">
        <v>1.5</v>
      </c>
      <c r="C39" s="8">
        <v>0.95</v>
      </c>
      <c r="D39" s="46">
        <v>1.4297409320748482E-2</v>
      </c>
      <c r="E39" s="37"/>
      <c r="F39" s="38"/>
      <c r="G39" s="38"/>
      <c r="I39" s="14"/>
      <c r="J39" s="13"/>
      <c r="K39" s="13"/>
      <c r="L39" s="13"/>
      <c r="M39" s="14"/>
      <c r="N39" s="13"/>
      <c r="O39" s="13"/>
      <c r="P39" s="13"/>
      <c r="Q39" s="14"/>
    </row>
    <row r="40" spans="1:17" x14ac:dyDescent="0.3">
      <c r="D40" s="43" t="s">
        <v>75</v>
      </c>
      <c r="E40" s="33">
        <v>1.3991314537339714E-2</v>
      </c>
    </row>
    <row r="41" spans="1:17" x14ac:dyDescent="0.3">
      <c r="D41" s="14" t="s">
        <v>77</v>
      </c>
      <c r="E41" s="12">
        <v>9.6470646827947516E-4</v>
      </c>
      <c r="K41" s="71"/>
    </row>
    <row r="42" spans="1:17" x14ac:dyDescent="0.3">
      <c r="A42" s="22" t="s">
        <v>81</v>
      </c>
      <c r="B42" t="s">
        <v>1</v>
      </c>
      <c r="C42" s="23">
        <v>42963</v>
      </c>
    </row>
    <row r="43" spans="1:17" x14ac:dyDescent="0.3">
      <c r="A43" s="32" t="s">
        <v>82</v>
      </c>
      <c r="B43" s="28" t="s">
        <v>83</v>
      </c>
      <c r="C43" s="28" t="s">
        <v>40</v>
      </c>
      <c r="D43" s="28" t="s">
        <v>84</v>
      </c>
      <c r="E43" s="32" t="s">
        <v>85</v>
      </c>
      <c r="F43" s="32" t="s">
        <v>28</v>
      </c>
      <c r="G43" s="48" t="s">
        <v>86</v>
      </c>
      <c r="H43" s="48" t="s">
        <v>87</v>
      </c>
      <c r="I43" s="48" t="s">
        <v>49</v>
      </c>
      <c r="J43" s="48" t="s">
        <v>88</v>
      </c>
    </row>
    <row r="44" spans="1:17" x14ac:dyDescent="0.3">
      <c r="A44" s="7">
        <v>1</v>
      </c>
      <c r="B44" s="8">
        <v>102.5365</v>
      </c>
      <c r="C44" s="8">
        <v>3.2515000000000001</v>
      </c>
      <c r="D44" s="8">
        <v>102.6824</v>
      </c>
      <c r="E44" s="7">
        <v>0.14589999999999748</v>
      </c>
      <c r="F44" s="7">
        <v>3.0740603460320206</v>
      </c>
      <c r="G44" s="46">
        <v>4.7461657734964233E-2</v>
      </c>
      <c r="H44" s="19">
        <v>4.7072895338963139E-2</v>
      </c>
      <c r="I44" s="19">
        <v>1.6737586223684959E-3</v>
      </c>
      <c r="J44" s="19">
        <v>1.894001379359176E-3</v>
      </c>
      <c r="L44" s="3"/>
    </row>
    <row r="45" spans="1:17" x14ac:dyDescent="0.3">
      <c r="A45" s="7">
        <v>2</v>
      </c>
      <c r="B45" s="8">
        <v>95.282200000000003</v>
      </c>
      <c r="C45" s="8">
        <v>2.9710999999999999</v>
      </c>
      <c r="D45" s="8">
        <v>95.408199999999994</v>
      </c>
      <c r="E45" s="7">
        <v>0.12599999999999056</v>
      </c>
      <c r="F45" s="7">
        <v>2.8089622309997648</v>
      </c>
      <c r="G45" s="46">
        <v>4.485642370319258E-2</v>
      </c>
      <c r="H45" s="20"/>
      <c r="I45" s="20"/>
      <c r="J45" s="20"/>
    </row>
    <row r="46" spans="1:17" x14ac:dyDescent="0.3">
      <c r="A46" s="7">
        <v>3</v>
      </c>
      <c r="B46" s="8">
        <v>100.9966</v>
      </c>
      <c r="C46" s="8">
        <v>2.7946</v>
      </c>
      <c r="D46" s="8">
        <v>101.1258</v>
      </c>
      <c r="E46" s="7">
        <v>0.12919999999999732</v>
      </c>
      <c r="F46" s="7">
        <v>2.6420941236417299</v>
      </c>
      <c r="G46" s="46">
        <v>4.8900604578732618E-2</v>
      </c>
      <c r="H46" s="21"/>
      <c r="I46" s="21"/>
      <c r="J46" s="21"/>
    </row>
    <row r="47" spans="1:17" x14ac:dyDescent="0.3">
      <c r="G47" s="14" t="s">
        <v>77</v>
      </c>
      <c r="H47" s="12">
        <v>2.2164716357705588E-3</v>
      </c>
    </row>
    <row r="48" spans="1:17" x14ac:dyDescent="0.3">
      <c r="A48" s="22" t="s">
        <v>89</v>
      </c>
      <c r="B48" t="s">
        <v>90</v>
      </c>
    </row>
    <row r="49" spans="1:11" x14ac:dyDescent="0.3">
      <c r="A49" s="32" t="s">
        <v>91</v>
      </c>
      <c r="B49" s="32" t="s">
        <v>92</v>
      </c>
      <c r="C49" s="32" t="s">
        <v>93</v>
      </c>
      <c r="D49" s="32" t="s">
        <v>94</v>
      </c>
      <c r="E49" s="32" t="s">
        <v>95</v>
      </c>
      <c r="F49" s="32" t="s">
        <v>96</v>
      </c>
      <c r="G49" s="32" t="s">
        <v>97</v>
      </c>
      <c r="H49" s="32" t="s">
        <v>98</v>
      </c>
    </row>
    <row r="50" spans="1:11" x14ac:dyDescent="0.3">
      <c r="A50" s="7" t="s">
        <v>99</v>
      </c>
      <c r="B50" s="7" t="s">
        <v>100</v>
      </c>
      <c r="C50" s="7" t="s">
        <v>20</v>
      </c>
      <c r="D50" s="7" t="s">
        <v>20</v>
      </c>
      <c r="E50" s="7">
        <v>0.01</v>
      </c>
      <c r="F50" s="9" t="s">
        <v>20</v>
      </c>
      <c r="G50" s="7" t="s">
        <v>20</v>
      </c>
      <c r="H50" s="7"/>
    </row>
    <row r="51" spans="1:11" x14ac:dyDescent="0.3">
      <c r="A51" s="7" t="s">
        <v>101</v>
      </c>
      <c r="B51" s="7" t="s">
        <v>102</v>
      </c>
      <c r="C51" s="7" t="s">
        <v>20</v>
      </c>
      <c r="D51" s="7" t="s">
        <v>20</v>
      </c>
      <c r="E51" s="7">
        <v>2.76</v>
      </c>
      <c r="F51" s="9" t="s">
        <v>20</v>
      </c>
      <c r="G51" s="7" t="s">
        <v>20</v>
      </c>
      <c r="H51" s="7"/>
      <c r="I51" s="49" t="s">
        <v>87</v>
      </c>
      <c r="J51" s="7" t="s">
        <v>49</v>
      </c>
      <c r="K51" s="7" t="s">
        <v>103</v>
      </c>
    </row>
    <row r="52" spans="1:11" x14ac:dyDescent="0.3">
      <c r="A52" s="7" t="s">
        <v>104</v>
      </c>
      <c r="B52" s="7">
        <v>1</v>
      </c>
      <c r="C52" s="7">
        <v>0.20760000000000001</v>
      </c>
      <c r="D52" s="7" t="s">
        <v>20</v>
      </c>
      <c r="E52" s="7">
        <v>0.75</v>
      </c>
      <c r="F52" s="9">
        <v>1.2897390582495557E-2</v>
      </c>
      <c r="G52" s="9">
        <v>1.2930244586568728E-2</v>
      </c>
      <c r="H52" s="9">
        <v>8.0814028666054555E-2</v>
      </c>
      <c r="I52" s="19">
        <v>8.1145905645501823E-2</v>
      </c>
      <c r="J52" s="36">
        <v>2.2169373918504024E-3</v>
      </c>
      <c r="K52" s="59">
        <v>2.5086547259579508E-3</v>
      </c>
    </row>
    <row r="53" spans="1:11" x14ac:dyDescent="0.3">
      <c r="A53" s="7" t="s">
        <v>104</v>
      </c>
      <c r="B53" s="7">
        <v>2</v>
      </c>
      <c r="C53" s="7">
        <v>0.14699999999999999</v>
      </c>
      <c r="D53" s="7" t="s">
        <v>20</v>
      </c>
      <c r="E53" s="7">
        <v>0.56000000000000005</v>
      </c>
      <c r="F53" s="9">
        <v>1.3407729506904966E-2</v>
      </c>
      <c r="G53" s="9">
        <v>1.3441883516354728E-2</v>
      </c>
      <c r="H53" s="9">
        <v>8.4011771977217056E-2</v>
      </c>
      <c r="I53" s="20"/>
      <c r="J53" s="58"/>
      <c r="K53" s="60"/>
    </row>
    <row r="54" spans="1:11" x14ac:dyDescent="0.3">
      <c r="A54" s="7" t="s">
        <v>104</v>
      </c>
      <c r="B54" s="7">
        <v>3</v>
      </c>
      <c r="C54" s="7">
        <v>0.23119999999999999</v>
      </c>
      <c r="D54" s="7" t="s">
        <v>20</v>
      </c>
      <c r="E54" s="7">
        <v>0.81</v>
      </c>
      <c r="F54" s="9">
        <v>1.2545947846034822E-2</v>
      </c>
      <c r="G54" s="9">
        <v>1.2577906606917417E-2</v>
      </c>
      <c r="H54" s="9">
        <v>7.8611916293233858E-2</v>
      </c>
      <c r="I54" s="21"/>
      <c r="J54" s="38"/>
      <c r="K54" s="61"/>
    </row>
    <row r="55" spans="1:11" x14ac:dyDescent="0.3">
      <c r="A55" s="50" t="s">
        <v>104</v>
      </c>
      <c r="B55" s="50">
        <v>4</v>
      </c>
      <c r="C55" s="50">
        <v>0.23530000000000001</v>
      </c>
      <c r="D55" s="50" t="s">
        <v>20</v>
      </c>
      <c r="E55" s="50">
        <v>0.1</v>
      </c>
      <c r="F55" s="9">
        <v>1.1062997588470126E-3</v>
      </c>
      <c r="G55" s="51">
        <v>1.1091178774851065E-3</v>
      </c>
      <c r="H55" s="9" t="s">
        <v>21</v>
      </c>
      <c r="I55" s="31">
        <v>2.8658663317152333E-3</v>
      </c>
    </row>
    <row r="56" spans="1:11" x14ac:dyDescent="0.3">
      <c r="A56" s="7" t="s">
        <v>105</v>
      </c>
      <c r="B56" s="7">
        <v>7</v>
      </c>
      <c r="C56" s="7">
        <v>0.46129999999999999</v>
      </c>
      <c r="D56" s="7" t="s">
        <v>20</v>
      </c>
      <c r="E56" s="7">
        <v>11.7</v>
      </c>
      <c r="F56" s="9">
        <v>9.1694017724449725E-2</v>
      </c>
      <c r="G56" s="9" t="s">
        <v>20</v>
      </c>
      <c r="I56" s="12"/>
    </row>
    <row r="57" spans="1:11" x14ac:dyDescent="0.3">
      <c r="A57" s="52" t="s">
        <v>106</v>
      </c>
      <c r="B57" s="52">
        <v>8</v>
      </c>
      <c r="C57" s="52">
        <v>0.18529999999999999</v>
      </c>
      <c r="D57" s="52">
        <v>0.1062</v>
      </c>
      <c r="E57" s="52">
        <v>5.44</v>
      </c>
      <c r="F57" s="53" t="s">
        <v>20</v>
      </c>
      <c r="G57" s="9" t="s">
        <v>20</v>
      </c>
    </row>
    <row r="58" spans="1:11" x14ac:dyDescent="0.3">
      <c r="A58" s="7" t="s">
        <v>107</v>
      </c>
      <c r="B58" s="7">
        <v>9</v>
      </c>
      <c r="C58" s="7">
        <v>0.22819999999999999</v>
      </c>
      <c r="D58" s="7" t="s">
        <v>20</v>
      </c>
      <c r="E58" s="7">
        <v>17.05</v>
      </c>
      <c r="F58" s="9">
        <v>0.27033203687306312</v>
      </c>
      <c r="G58" s="9" t="s">
        <v>20</v>
      </c>
    </row>
    <row r="59" spans="1:11" x14ac:dyDescent="0.3">
      <c r="A59" s="7" t="s">
        <v>108</v>
      </c>
      <c r="B59" s="7">
        <v>10</v>
      </c>
      <c r="C59" s="7" t="s">
        <v>20</v>
      </c>
      <c r="D59" s="7" t="s">
        <v>20</v>
      </c>
      <c r="E59" s="7">
        <v>0.03</v>
      </c>
      <c r="F59" s="9" t="s">
        <v>20</v>
      </c>
      <c r="G59" s="9" t="s">
        <v>20</v>
      </c>
    </row>
    <row r="60" spans="1:11" x14ac:dyDescent="0.3">
      <c r="A60" s="7" t="s">
        <v>108</v>
      </c>
      <c r="B60" s="7">
        <v>11</v>
      </c>
      <c r="C60" s="7" t="s">
        <v>20</v>
      </c>
      <c r="D60" s="7" t="s">
        <v>20</v>
      </c>
      <c r="E60" s="7">
        <v>0.03</v>
      </c>
      <c r="F60" s="9" t="s">
        <v>20</v>
      </c>
      <c r="G60" s="9" t="s">
        <v>20</v>
      </c>
    </row>
    <row r="61" spans="1:11" x14ac:dyDescent="0.3">
      <c r="A61" s="7" t="s">
        <v>108</v>
      </c>
      <c r="B61" s="7">
        <v>12</v>
      </c>
      <c r="C61" s="7" t="s">
        <v>20</v>
      </c>
      <c r="D61" s="7" t="s">
        <v>20</v>
      </c>
      <c r="E61" s="7">
        <v>0.02</v>
      </c>
      <c r="F61" s="9" t="s">
        <v>20</v>
      </c>
      <c r="G61" s="9" t="s">
        <v>20</v>
      </c>
    </row>
    <row r="63" spans="1:11" x14ac:dyDescent="0.3">
      <c r="A63" t="s">
        <v>105</v>
      </c>
      <c r="D63" t="s">
        <v>109</v>
      </c>
      <c r="E63" s="3">
        <v>0.9996621490211991</v>
      </c>
    </row>
    <row r="64" spans="1:11" x14ac:dyDescent="0.3">
      <c r="A64" t="s">
        <v>110</v>
      </c>
      <c r="B64">
        <v>147.1</v>
      </c>
      <c r="D64" t="s">
        <v>111</v>
      </c>
      <c r="E64" s="3">
        <v>0.99779624157903046</v>
      </c>
    </row>
    <row r="65" spans="1:2" x14ac:dyDescent="0.3">
      <c r="A65" t="s">
        <v>112</v>
      </c>
      <c r="B65" s="17">
        <v>9.5241332426920469E-2</v>
      </c>
    </row>
    <row r="67" spans="1:2" x14ac:dyDescent="0.3">
      <c r="A67" t="s">
        <v>107</v>
      </c>
    </row>
    <row r="68" spans="1:2" x14ac:dyDescent="0.3">
      <c r="A68" t="s">
        <v>110</v>
      </c>
      <c r="B68">
        <v>53.49</v>
      </c>
    </row>
    <row r="69" spans="1:2" x14ac:dyDescent="0.3">
      <c r="A69" t="s">
        <v>112</v>
      </c>
      <c r="B69" s="3">
        <v>0.26191811553561412</v>
      </c>
    </row>
  </sheetData>
  <mergeCells count="41">
    <mergeCell ref="I52:I54"/>
    <mergeCell ref="J52:J54"/>
    <mergeCell ref="K52:K54"/>
    <mergeCell ref="E38:E39"/>
    <mergeCell ref="F38:F39"/>
    <mergeCell ref="G38:G39"/>
    <mergeCell ref="H44:H46"/>
    <mergeCell ref="I44:I46"/>
    <mergeCell ref="J44:J46"/>
    <mergeCell ref="I32:I33"/>
    <mergeCell ref="J32:J33"/>
    <mergeCell ref="K32:K33"/>
    <mergeCell ref="M32:M33"/>
    <mergeCell ref="N32:N33"/>
    <mergeCell ref="O32:O33"/>
    <mergeCell ref="J20:K20"/>
    <mergeCell ref="S9:S11"/>
    <mergeCell ref="V9:V11"/>
    <mergeCell ref="W9:W11"/>
    <mergeCell ref="X9:X11"/>
    <mergeCell ref="F15:F17"/>
    <mergeCell ref="G15:G17"/>
    <mergeCell ref="H15:H17"/>
    <mergeCell ref="X3:X5"/>
    <mergeCell ref="F9:F11"/>
    <mergeCell ref="G9:G11"/>
    <mergeCell ref="H9:H11"/>
    <mergeCell ref="K9:K11"/>
    <mergeCell ref="L9:L11"/>
    <mergeCell ref="M9:M11"/>
    <mergeCell ref="O9:O11"/>
    <mergeCell ref="O3:O5"/>
    <mergeCell ref="S3:S5"/>
    <mergeCell ref="V3:V5"/>
    <mergeCell ref="W3:W5"/>
    <mergeCell ref="F3:F5"/>
    <mergeCell ref="G3:G5"/>
    <mergeCell ref="H3:H5"/>
    <mergeCell ref="K3:K5"/>
    <mergeCell ref="L3:L5"/>
    <mergeCell ref="M3:M5"/>
  </mergeCells>
  <pageMargins left="0.7" right="0.7" top="0.75" bottom="0.75" header="0.3" footer="0.3"/>
  <headerFooter>
    <oddHeader>&amp;R&amp;"Calibri"&amp;10&amp;K000000 PUBLIC / CYHOEDDUS&amp;1#_x000D_</oddHead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AEB44-411A-4B33-A219-CF1C516733A5}">
  <dimension ref="A1:T10"/>
  <sheetViews>
    <sheetView workbookViewId="0">
      <selection activeCell="H10" sqref="H10"/>
    </sheetView>
  </sheetViews>
  <sheetFormatPr defaultRowHeight="14.4" x14ac:dyDescent="0.3"/>
  <cols>
    <col min="6" max="6" width="25.44140625" customWidth="1"/>
    <col min="8" max="8" width="20.44140625" customWidth="1"/>
    <col min="9" max="9" width="22.44140625" customWidth="1"/>
    <col min="10" max="10" width="22.109375" customWidth="1"/>
    <col min="11" max="11" width="18.109375" customWidth="1"/>
    <col min="12" max="12" width="13.44140625" customWidth="1"/>
    <col min="13" max="13" width="15.5546875" customWidth="1"/>
    <col min="14" max="14" width="17.33203125" customWidth="1"/>
    <col min="15" max="15" width="16.44140625" customWidth="1"/>
    <col min="16" max="16" width="15.109375" customWidth="1"/>
  </cols>
  <sheetData>
    <row r="1" spans="1:20" x14ac:dyDescent="0.3">
      <c r="M1" t="s">
        <v>113</v>
      </c>
    </row>
    <row r="2" spans="1:20" x14ac:dyDescent="0.3">
      <c r="A2" t="s">
        <v>114</v>
      </c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  <c r="L2" t="s">
        <v>125</v>
      </c>
      <c r="M2" t="s">
        <v>126</v>
      </c>
      <c r="N2" t="s">
        <v>127</v>
      </c>
      <c r="O2" t="s">
        <v>128</v>
      </c>
      <c r="P2" t="s">
        <v>129</v>
      </c>
      <c r="Q2" s="72" t="s">
        <v>130</v>
      </c>
    </row>
    <row r="3" spans="1:20" x14ac:dyDescent="0.3">
      <c r="A3" s="73" t="s">
        <v>131</v>
      </c>
      <c r="F3" t="s">
        <v>160</v>
      </c>
      <c r="G3">
        <v>1097</v>
      </c>
      <c r="H3">
        <v>37.24</v>
      </c>
      <c r="I3">
        <v>29.15</v>
      </c>
      <c r="J3">
        <v>4.4800000000000004</v>
      </c>
      <c r="K3">
        <v>0.37</v>
      </c>
      <c r="L3">
        <v>2.48</v>
      </c>
      <c r="M3">
        <v>14.46</v>
      </c>
      <c r="N3">
        <v>0.66</v>
      </c>
      <c r="O3">
        <v>32.78</v>
      </c>
      <c r="P3">
        <v>10.65</v>
      </c>
    </row>
    <row r="4" spans="1:20" x14ac:dyDescent="0.3">
      <c r="H4" t="s">
        <v>132</v>
      </c>
      <c r="I4" t="s">
        <v>133</v>
      </c>
      <c r="J4" t="s">
        <v>134</v>
      </c>
      <c r="K4" t="s">
        <v>135</v>
      </c>
      <c r="L4" t="s">
        <v>136</v>
      </c>
      <c r="M4" t="s">
        <v>137</v>
      </c>
      <c r="N4" t="s">
        <v>138</v>
      </c>
      <c r="O4" t="s">
        <v>139</v>
      </c>
      <c r="P4" t="s">
        <v>140</v>
      </c>
    </row>
    <row r="5" spans="1:20" x14ac:dyDescent="0.3">
      <c r="I5" t="s">
        <v>141</v>
      </c>
      <c r="J5" t="s">
        <v>141</v>
      </c>
      <c r="O5" t="s">
        <v>142</v>
      </c>
    </row>
    <row r="6" spans="1:20" x14ac:dyDescent="0.3">
      <c r="I6">
        <f>H3-I3</f>
        <v>8.0900000000000034</v>
      </c>
      <c r="J6">
        <f>J3+K3+L3</f>
        <v>7.33</v>
      </c>
      <c r="N6" t="s">
        <v>143</v>
      </c>
      <c r="O6">
        <f>100-O3</f>
        <v>67.22</v>
      </c>
    </row>
    <row r="7" spans="1:20" x14ac:dyDescent="0.3">
      <c r="N7" t="s">
        <v>144</v>
      </c>
      <c r="O7">
        <f>SUM(I3:N3,P3,F9)</f>
        <v>68.969999999999985</v>
      </c>
    </row>
    <row r="8" spans="1:20" x14ac:dyDescent="0.3">
      <c r="F8" t="s">
        <v>145</v>
      </c>
      <c r="G8" t="s">
        <v>146</v>
      </c>
      <c r="H8" t="s">
        <v>147</v>
      </c>
      <c r="I8" t="s">
        <v>148</v>
      </c>
      <c r="J8" t="s">
        <v>149</v>
      </c>
      <c r="K8" t="s">
        <v>150</v>
      </c>
      <c r="L8" t="s">
        <v>151</v>
      </c>
      <c r="M8" t="s">
        <v>152</v>
      </c>
      <c r="N8" t="s">
        <v>153</v>
      </c>
      <c r="O8" t="s">
        <v>154</v>
      </c>
      <c r="P8" t="s">
        <v>155</v>
      </c>
      <c r="Q8" t="s">
        <v>156</v>
      </c>
      <c r="R8" t="s">
        <v>157</v>
      </c>
      <c r="S8" t="s">
        <v>158</v>
      </c>
      <c r="T8" t="s">
        <v>159</v>
      </c>
    </row>
    <row r="9" spans="1:20" x14ac:dyDescent="0.3">
      <c r="F9">
        <v>6.72</v>
      </c>
      <c r="G9">
        <v>0.4</v>
      </c>
      <c r="H9">
        <v>1.22</v>
      </c>
      <c r="I9" t="s">
        <v>20</v>
      </c>
      <c r="J9">
        <v>2.83</v>
      </c>
      <c r="K9">
        <v>0.08</v>
      </c>
      <c r="L9">
        <v>1.83</v>
      </c>
      <c r="M9">
        <v>0.01</v>
      </c>
      <c r="N9">
        <v>0.02</v>
      </c>
      <c r="O9">
        <v>0.04</v>
      </c>
      <c r="P9">
        <v>0.14000000000000001</v>
      </c>
      <c r="Q9">
        <v>0.05</v>
      </c>
      <c r="R9">
        <v>0.03</v>
      </c>
      <c r="S9">
        <v>0.05</v>
      </c>
      <c r="T9">
        <v>0.02</v>
      </c>
    </row>
    <row r="10" spans="1:20" x14ac:dyDescent="0.3">
      <c r="H10">
        <f>H9/F9</f>
        <v>0.18154761904761904</v>
      </c>
      <c r="J10">
        <f>J9/F9</f>
        <v>0.42113095238095238</v>
      </c>
      <c r="L10">
        <f>L9/F9</f>
        <v>0.2723214285714286</v>
      </c>
    </row>
  </sheetData>
  <pageMargins left="0.7" right="0.7" top="0.75" bottom="0.75" header="0.3" footer="0.3"/>
  <headerFooter>
    <oddHeader>&amp;R&amp;"Calibri"&amp;10&amp;K000000 PUBLIC / CYHOEDDUS&amp;1#_x000D_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AF2C3-270B-40D4-AF26-043C11ABBAE2}">
  <dimension ref="A1:AC71"/>
  <sheetViews>
    <sheetView topLeftCell="A18" workbookViewId="0">
      <selection activeCell="W40" sqref="W40"/>
    </sheetView>
  </sheetViews>
  <sheetFormatPr defaultRowHeight="14.4" x14ac:dyDescent="0.3"/>
  <cols>
    <col min="7" max="7" width="11.44140625" customWidth="1"/>
    <col min="25" max="25" width="12.5546875" customWidth="1"/>
  </cols>
  <sheetData>
    <row r="1" spans="1:28" ht="24" x14ac:dyDescent="0.3">
      <c r="A1" s="74" t="s">
        <v>161</v>
      </c>
      <c r="B1" s="74" t="s">
        <v>162</v>
      </c>
      <c r="C1" s="75" t="s">
        <v>163</v>
      </c>
      <c r="D1" s="75" t="s">
        <v>164</v>
      </c>
      <c r="E1" s="75" t="s">
        <v>165</v>
      </c>
      <c r="F1" s="75" t="s">
        <v>166</v>
      </c>
      <c r="G1" s="76" t="s">
        <v>167</v>
      </c>
      <c r="H1" s="77" t="s">
        <v>168</v>
      </c>
      <c r="I1" s="78" t="s">
        <v>169</v>
      </c>
      <c r="J1" s="76" t="s">
        <v>96</v>
      </c>
      <c r="K1" s="79" t="s">
        <v>170</v>
      </c>
      <c r="L1" s="80" t="s">
        <v>171</v>
      </c>
      <c r="M1" s="81" t="s">
        <v>169</v>
      </c>
      <c r="N1" s="79" t="s">
        <v>172</v>
      </c>
      <c r="O1" s="82" t="s">
        <v>173</v>
      </c>
      <c r="P1" s="83" t="s">
        <v>174</v>
      </c>
      <c r="Q1" s="84" t="s">
        <v>169</v>
      </c>
      <c r="R1" s="82" t="s">
        <v>175</v>
      </c>
      <c r="S1" s="85" t="s">
        <v>176</v>
      </c>
      <c r="T1" s="86" t="s">
        <v>177</v>
      </c>
      <c r="U1" s="87" t="s">
        <v>169</v>
      </c>
      <c r="V1" s="85" t="s">
        <v>178</v>
      </c>
      <c r="W1" s="88"/>
      <c r="X1" s="88"/>
      <c r="Y1" s="88"/>
      <c r="Z1" s="88"/>
      <c r="AA1" s="88"/>
      <c r="AB1" s="88"/>
    </row>
    <row r="2" spans="1:28" x14ac:dyDescent="0.3">
      <c r="A2" s="89">
        <v>89</v>
      </c>
      <c r="B2" s="89" t="s">
        <v>179</v>
      </c>
      <c r="C2" s="89" t="s">
        <v>180</v>
      </c>
      <c r="D2" s="89"/>
      <c r="E2" s="89"/>
      <c r="F2" s="89">
        <v>0</v>
      </c>
      <c r="G2" s="90">
        <v>52</v>
      </c>
      <c r="H2" s="91">
        <v>271344</v>
      </c>
      <c r="I2" s="92"/>
      <c r="J2" s="93"/>
      <c r="K2" s="94">
        <v>73.5</v>
      </c>
      <c r="L2" s="95">
        <v>9668106</v>
      </c>
      <c r="M2" s="96"/>
      <c r="N2" s="97"/>
      <c r="O2" s="98">
        <v>283</v>
      </c>
      <c r="P2" s="99">
        <v>4007623</v>
      </c>
      <c r="Q2" s="100"/>
      <c r="R2" s="101"/>
      <c r="S2" s="102">
        <v>58.4</v>
      </c>
      <c r="T2" s="103">
        <v>10396</v>
      </c>
      <c r="U2" s="104"/>
      <c r="V2" s="105"/>
      <c r="W2" s="106"/>
      <c r="X2" s="106"/>
      <c r="Y2" s="106"/>
      <c r="Z2" s="106"/>
      <c r="AA2" s="106"/>
      <c r="AB2" s="106"/>
    </row>
    <row r="3" spans="1:28" x14ac:dyDescent="0.3">
      <c r="A3" s="89">
        <v>90</v>
      </c>
      <c r="B3" s="89" t="s">
        <v>181</v>
      </c>
      <c r="C3" s="89" t="s">
        <v>182</v>
      </c>
      <c r="D3" s="89"/>
      <c r="E3" s="89"/>
      <c r="F3" s="89">
        <v>1</v>
      </c>
      <c r="G3" s="90">
        <v>54</v>
      </c>
      <c r="H3" s="91">
        <v>90409</v>
      </c>
      <c r="I3" s="92"/>
      <c r="J3" s="93"/>
      <c r="K3" s="94">
        <v>84.5</v>
      </c>
      <c r="L3" s="95">
        <v>14678</v>
      </c>
      <c r="M3" s="96"/>
      <c r="N3" s="97"/>
      <c r="O3" s="98">
        <v>239.5</v>
      </c>
      <c r="P3" s="99">
        <v>10549</v>
      </c>
      <c r="Q3" s="100"/>
      <c r="R3" s="101"/>
      <c r="S3" s="102"/>
      <c r="T3" s="103"/>
      <c r="U3" s="104"/>
      <c r="V3" s="105"/>
      <c r="W3" s="106"/>
      <c r="X3" s="106"/>
      <c r="Y3" s="106"/>
      <c r="Z3" s="106"/>
      <c r="AA3" s="106"/>
      <c r="AB3" s="106"/>
    </row>
    <row r="4" spans="1:28" x14ac:dyDescent="0.3">
      <c r="A4" s="89">
        <v>91</v>
      </c>
      <c r="B4" s="89" t="s">
        <v>183</v>
      </c>
      <c r="C4" s="89" t="s">
        <v>182</v>
      </c>
      <c r="D4" s="89"/>
      <c r="E4" s="89"/>
      <c r="F4" s="89">
        <v>2</v>
      </c>
      <c r="G4" s="90">
        <v>54</v>
      </c>
      <c r="H4" s="91">
        <v>91117</v>
      </c>
      <c r="I4" s="92"/>
      <c r="J4" s="93"/>
      <c r="K4" s="94">
        <v>84.5</v>
      </c>
      <c r="L4" s="95">
        <v>33490</v>
      </c>
      <c r="M4" s="96"/>
      <c r="N4" s="97"/>
      <c r="O4" s="98">
        <v>233</v>
      </c>
      <c r="P4" s="99">
        <v>29834</v>
      </c>
      <c r="Q4" s="100"/>
      <c r="R4" s="101"/>
      <c r="S4" s="102"/>
      <c r="T4" s="103"/>
      <c r="U4" s="104"/>
      <c r="V4" s="105"/>
      <c r="W4" s="106"/>
      <c r="X4" s="106"/>
      <c r="Y4" s="106"/>
      <c r="Z4" s="106"/>
      <c r="AA4" s="106"/>
      <c r="AB4" s="106"/>
    </row>
    <row r="5" spans="1:28" x14ac:dyDescent="0.3">
      <c r="A5" s="89">
        <v>92</v>
      </c>
      <c r="B5" s="89" t="s">
        <v>184</v>
      </c>
      <c r="C5" s="89" t="s">
        <v>49</v>
      </c>
      <c r="D5" s="89" t="s">
        <v>185</v>
      </c>
      <c r="E5" s="89">
        <v>4.0599999999999996</v>
      </c>
      <c r="F5" s="89">
        <v>3</v>
      </c>
      <c r="G5" s="90">
        <v>52</v>
      </c>
      <c r="H5" s="91">
        <v>258333</v>
      </c>
      <c r="I5" s="92">
        <f>H5/E5</f>
        <v>63628.817733990152</v>
      </c>
      <c r="J5" s="93">
        <f>(H5-$B$28)/($B$35*E5)</f>
        <v>1.7533816953798669E-2</v>
      </c>
      <c r="K5" s="94">
        <v>74</v>
      </c>
      <c r="L5" s="95">
        <v>9368513</v>
      </c>
      <c r="M5" s="96">
        <f t="shared" ref="M5:M17" si="0">L5/E5</f>
        <v>2307515.5172413797</v>
      </c>
      <c r="N5" s="97">
        <f>(L5-$B$29)/($B$36*E5)</f>
        <v>0.48257432858906657</v>
      </c>
      <c r="O5" s="98">
        <v>281.5</v>
      </c>
      <c r="P5" s="99">
        <v>4031620</v>
      </c>
      <c r="Q5" s="100">
        <f t="shared" ref="Q5:Q17" si="1">P5/E5</f>
        <v>993009.85221674887</v>
      </c>
      <c r="R5" s="101">
        <f>(P5-$B$30)/($B$37*E5)</f>
        <v>6.5291920228784911E-2</v>
      </c>
      <c r="S5" s="102">
        <v>585.5</v>
      </c>
      <c r="T5" s="103">
        <v>9930</v>
      </c>
      <c r="U5" s="104">
        <f t="shared" ref="U5:U18" si="2">T5/E5</f>
        <v>2445.8128078817736</v>
      </c>
      <c r="V5" s="105">
        <f>(T5-$B$31)/($B$38*E5)</f>
        <v>1.5318695755097169E-3</v>
      </c>
      <c r="W5" s="106"/>
      <c r="X5" s="106"/>
      <c r="Y5" s="106"/>
      <c r="Z5" s="106"/>
      <c r="AA5" s="106"/>
      <c r="AB5" s="106"/>
    </row>
    <row r="6" spans="1:28" x14ac:dyDescent="0.3">
      <c r="A6" s="89">
        <v>93</v>
      </c>
      <c r="B6" s="89" t="s">
        <v>186</v>
      </c>
      <c r="C6" s="89" t="s">
        <v>49</v>
      </c>
      <c r="D6" s="89" t="s">
        <v>185</v>
      </c>
      <c r="E6" s="89">
        <v>2.12</v>
      </c>
      <c r="F6" s="89">
        <v>4</v>
      </c>
      <c r="G6" s="90">
        <v>52</v>
      </c>
      <c r="H6" s="91">
        <v>183668</v>
      </c>
      <c r="I6" s="92">
        <f t="shared" ref="I6:I17" si="3">H6/E6</f>
        <v>86635.849056603765</v>
      </c>
      <c r="J6" s="93">
        <f>(H6-$B$28)/($B$35*E6)</f>
        <v>2.1800533316452667E-2</v>
      </c>
      <c r="K6" s="94">
        <v>77</v>
      </c>
      <c r="L6" s="95">
        <v>4882523</v>
      </c>
      <c r="M6" s="96">
        <f t="shared" si="0"/>
        <v>2303076.8867924525</v>
      </c>
      <c r="N6" s="97">
        <f>(L6-$B$29)/($B$36*E6)</f>
        <v>0.48104937188623459</v>
      </c>
      <c r="O6" s="98">
        <v>240</v>
      </c>
      <c r="P6" s="99">
        <v>2017331</v>
      </c>
      <c r="Q6" s="100">
        <f t="shared" si="1"/>
        <v>951571.22641509434</v>
      </c>
      <c r="R6" s="101">
        <f>(P6-$B$30)/($B$37*E6)</f>
        <v>6.2381412602398517E-2</v>
      </c>
      <c r="S6" s="102">
        <v>583.5</v>
      </c>
      <c r="T6" s="103">
        <v>5575</v>
      </c>
      <c r="U6" s="104">
        <f t="shared" si="2"/>
        <v>2629.7169811320755</v>
      </c>
      <c r="V6" s="105">
        <f>(T6-$B$31)/($B$38*E6)</f>
        <v>1.64705304617581E-3</v>
      </c>
      <c r="W6" s="106"/>
      <c r="X6" s="106"/>
      <c r="Y6" s="106"/>
      <c r="Z6" s="106"/>
      <c r="AA6" s="106"/>
      <c r="AB6" s="106"/>
    </row>
    <row r="7" spans="1:28" x14ac:dyDescent="0.3">
      <c r="A7" s="89">
        <v>94</v>
      </c>
      <c r="B7" s="89" t="s">
        <v>187</v>
      </c>
      <c r="C7" s="89" t="s">
        <v>49</v>
      </c>
      <c r="D7" s="89" t="s">
        <v>185</v>
      </c>
      <c r="E7" s="89">
        <v>2.35</v>
      </c>
      <c r="F7" s="89">
        <v>5</v>
      </c>
      <c r="G7" s="90">
        <v>52</v>
      </c>
      <c r="H7" s="91">
        <v>193868</v>
      </c>
      <c r="I7" s="92">
        <f t="shared" si="3"/>
        <v>82497.02127659574</v>
      </c>
      <c r="J7" s="93">
        <f>(H7-$B$28)/($B$35*E7)</f>
        <v>2.1118429716907819E-2</v>
      </c>
      <c r="K7" s="94">
        <v>76.5</v>
      </c>
      <c r="L7" s="95">
        <v>5523743</v>
      </c>
      <c r="M7" s="96">
        <f t="shared" si="0"/>
        <v>2350528.9361702125</v>
      </c>
      <c r="N7" s="97">
        <f>(L7-$B$29)/($B$36*E7)</f>
        <v>0.49110843702281226</v>
      </c>
      <c r="O7" s="98">
        <v>246.5</v>
      </c>
      <c r="P7" s="99">
        <v>2349235</v>
      </c>
      <c r="Q7" s="100">
        <f t="shared" si="1"/>
        <v>999674.46808510635</v>
      </c>
      <c r="R7" s="101">
        <f>(P7-$B$30)/($B$37*E7)</f>
        <v>6.5590091370724871E-2</v>
      </c>
      <c r="S7" s="102">
        <v>584</v>
      </c>
      <c r="T7" s="103">
        <v>6440</v>
      </c>
      <c r="U7" s="104">
        <f t="shared" si="2"/>
        <v>2740.4255319148933</v>
      </c>
      <c r="V7" s="105">
        <f>(T7-$B$31)/($B$38*E7)</f>
        <v>1.7163923922396032E-3</v>
      </c>
      <c r="W7" s="106"/>
      <c r="X7" s="106"/>
      <c r="Y7" s="106"/>
      <c r="Z7" s="106"/>
      <c r="AA7" s="106"/>
      <c r="AB7" s="106"/>
    </row>
    <row r="8" spans="1:28" x14ac:dyDescent="0.3">
      <c r="A8" s="89">
        <v>95</v>
      </c>
      <c r="B8" s="89" t="s">
        <v>188</v>
      </c>
      <c r="C8" s="89" t="s">
        <v>182</v>
      </c>
      <c r="D8" s="89"/>
      <c r="E8" s="89">
        <v>2.92</v>
      </c>
      <c r="F8" s="89">
        <v>6</v>
      </c>
      <c r="G8" s="90">
        <v>52</v>
      </c>
      <c r="H8" s="91">
        <v>218185</v>
      </c>
      <c r="I8" s="92">
        <f t="shared" si="3"/>
        <v>74720.890410958906</v>
      </c>
      <c r="J8" s="93">
        <f>(H8-$B$28)/($B$35*E8)</f>
        <v>1.9781036966639517E-2</v>
      </c>
      <c r="K8" s="94">
        <v>75.5</v>
      </c>
      <c r="L8" s="95">
        <v>6643240</v>
      </c>
      <c r="M8" s="96">
        <f t="shared" si="0"/>
        <v>2275082.1917808219</v>
      </c>
      <c r="N8" s="97">
        <f>(L8-$B$29)/($B$36*E8)</f>
        <v>0.47552831219471314</v>
      </c>
      <c r="O8" s="98">
        <v>257</v>
      </c>
      <c r="P8" s="99">
        <v>2841632</v>
      </c>
      <c r="Q8" s="100">
        <f t="shared" si="1"/>
        <v>973161.64383561641</v>
      </c>
      <c r="R8" s="101">
        <f>(P8-$B$30)/($B$37*E8)</f>
        <v>6.3907153863947672E-2</v>
      </c>
      <c r="S8" s="102">
        <v>584.5</v>
      </c>
      <c r="T8" s="103">
        <v>7803</v>
      </c>
      <c r="U8" s="104">
        <f t="shared" si="2"/>
        <v>2672.2602739726026</v>
      </c>
      <c r="V8" s="105">
        <f>(T8-$B$31)/($B$38*E8)</f>
        <v>1.6736989022014175E-3</v>
      </c>
      <c r="W8" s="106"/>
      <c r="X8" s="106"/>
      <c r="Y8" s="106"/>
      <c r="Z8" s="106"/>
      <c r="AA8" s="106"/>
      <c r="AB8" s="106"/>
    </row>
    <row r="9" spans="1:28" x14ac:dyDescent="0.3">
      <c r="A9" s="107">
        <v>98</v>
      </c>
      <c r="B9" s="108" t="s">
        <v>189</v>
      </c>
      <c r="C9" s="108" t="s">
        <v>182</v>
      </c>
      <c r="D9" s="108"/>
      <c r="E9" s="108"/>
      <c r="F9" s="108"/>
      <c r="G9" s="90">
        <v>54.5</v>
      </c>
      <c r="H9" s="91">
        <v>46717</v>
      </c>
      <c r="I9" s="92"/>
      <c r="J9" s="93"/>
      <c r="K9" s="94">
        <v>84.5</v>
      </c>
      <c r="L9" s="95">
        <v>21895</v>
      </c>
      <c r="M9" s="96"/>
      <c r="N9" s="97"/>
      <c r="O9" s="98">
        <v>238</v>
      </c>
      <c r="P9" s="99">
        <v>17600</v>
      </c>
      <c r="Q9" s="100"/>
      <c r="R9" s="101"/>
      <c r="S9" s="102"/>
      <c r="T9" s="103"/>
      <c r="U9" s="104"/>
      <c r="V9" s="105"/>
      <c r="W9" s="106"/>
      <c r="X9" s="106"/>
      <c r="Y9" s="106"/>
      <c r="Z9" s="106"/>
      <c r="AA9" s="106"/>
      <c r="AB9" s="106"/>
    </row>
    <row r="10" spans="1:28" x14ac:dyDescent="0.3">
      <c r="A10" s="89">
        <v>99</v>
      </c>
      <c r="B10" s="89" t="s">
        <v>190</v>
      </c>
      <c r="C10" s="89" t="s">
        <v>182</v>
      </c>
      <c r="D10" s="89"/>
      <c r="E10" s="89"/>
      <c r="F10" s="89">
        <v>8</v>
      </c>
      <c r="G10" s="90">
        <v>54.5</v>
      </c>
      <c r="H10" s="91">
        <v>47600</v>
      </c>
      <c r="I10" s="92"/>
      <c r="J10" s="93"/>
      <c r="K10" s="94">
        <v>84</v>
      </c>
      <c r="L10" s="95">
        <v>11247</v>
      </c>
      <c r="M10" s="96" t="s">
        <v>20</v>
      </c>
      <c r="N10" s="97"/>
      <c r="O10" s="98">
        <v>239</v>
      </c>
      <c r="P10" s="99">
        <v>15652</v>
      </c>
      <c r="Q10" s="100"/>
      <c r="R10" s="101"/>
      <c r="S10" s="102"/>
      <c r="T10" s="103"/>
      <c r="U10" s="104"/>
      <c r="V10" s="105"/>
      <c r="W10" s="106"/>
      <c r="X10" s="106"/>
      <c r="Y10" s="106"/>
      <c r="Z10" s="106"/>
      <c r="AA10" s="106"/>
      <c r="AB10" s="106"/>
    </row>
    <row r="11" spans="1:28" x14ac:dyDescent="0.3">
      <c r="A11" s="89">
        <v>100</v>
      </c>
      <c r="B11" s="89" t="s">
        <v>191</v>
      </c>
      <c r="C11" s="89" t="s">
        <v>182</v>
      </c>
      <c r="D11" s="89"/>
      <c r="E11" s="89">
        <v>3.72</v>
      </c>
      <c r="F11" s="89">
        <v>9</v>
      </c>
      <c r="G11" s="90">
        <v>52.5</v>
      </c>
      <c r="H11" s="91">
        <v>155606</v>
      </c>
      <c r="I11" s="92">
        <f t="shared" si="3"/>
        <v>41829.569892473119</v>
      </c>
      <c r="J11" s="93">
        <f>(H11-$B$28)/($B$35*E11)</f>
        <v>9.901175986096071E-3</v>
      </c>
      <c r="K11" s="94">
        <v>75</v>
      </c>
      <c r="L11" s="95">
        <v>7012331</v>
      </c>
      <c r="M11" s="96">
        <f t="shared" si="0"/>
        <v>1885035.2150537632</v>
      </c>
      <c r="N11" s="97">
        <f>(L11-$B$29)/($B$36*E11)</f>
        <v>0.39404175521110263</v>
      </c>
      <c r="O11" s="98">
        <v>263.5</v>
      </c>
      <c r="P11" s="99">
        <v>3064424</v>
      </c>
      <c r="Q11" s="100">
        <f t="shared" si="1"/>
        <v>823769.89247311826</v>
      </c>
      <c r="R11" s="101">
        <f>(P11-$B$30)/($B$37*E11)</f>
        <v>5.4113275483703052E-2</v>
      </c>
      <c r="S11" s="102">
        <v>582.5</v>
      </c>
      <c r="T11" s="103">
        <v>9483</v>
      </c>
      <c r="U11" s="104">
        <f t="shared" si="2"/>
        <v>2549.1935483870966</v>
      </c>
      <c r="V11" s="105">
        <f>(T11-$B$31)/($B$38*E11)</f>
        <v>1.5966193431793546E-3</v>
      </c>
      <c r="W11" s="106"/>
      <c r="X11" s="106"/>
      <c r="Y11" s="106"/>
      <c r="Z11" s="106"/>
      <c r="AA11" s="106"/>
      <c r="AB11" s="106"/>
    </row>
    <row r="12" spans="1:28" x14ac:dyDescent="0.3">
      <c r="A12" s="89">
        <v>101</v>
      </c>
      <c r="B12" s="89" t="s">
        <v>192</v>
      </c>
      <c r="C12" s="89" t="s">
        <v>182</v>
      </c>
      <c r="D12" s="89"/>
      <c r="E12" s="89">
        <v>3.13</v>
      </c>
      <c r="F12" s="89">
        <v>10</v>
      </c>
      <c r="G12" s="90">
        <v>52</v>
      </c>
      <c r="H12" s="91">
        <v>143975</v>
      </c>
      <c r="I12" s="92">
        <f t="shared" si="3"/>
        <v>45998.402555910543</v>
      </c>
      <c r="J12" s="93">
        <f>(H12-$B$28)/($B$35*E12)</f>
        <v>1.0524800986544094E-2</v>
      </c>
      <c r="K12" s="94">
        <v>76</v>
      </c>
      <c r="L12" s="95">
        <v>5898295</v>
      </c>
      <c r="M12" s="96">
        <f t="shared" si="0"/>
        <v>1884439.2971246007</v>
      </c>
      <c r="N12" s="97">
        <f>(L12-$B$29)/($B$36*E12)</f>
        <v>0.39378309654778287</v>
      </c>
      <c r="O12" s="98">
        <v>251</v>
      </c>
      <c r="P12" s="99">
        <v>2489126</v>
      </c>
      <c r="Q12" s="100">
        <f t="shared" si="1"/>
        <v>795247.92332268378</v>
      </c>
      <c r="R12" s="101">
        <f>(P12-$B$30)/($B$37*E12)</f>
        <v>5.2192372610997934E-2</v>
      </c>
      <c r="S12" s="102">
        <v>583</v>
      </c>
      <c r="T12" s="103">
        <v>8215</v>
      </c>
      <c r="U12" s="104">
        <f t="shared" si="2"/>
        <v>2624.6006389776358</v>
      </c>
      <c r="V12" s="105">
        <f>(T12-$B$31)/($B$38*E12)</f>
        <v>1.6438485618182881E-3</v>
      </c>
      <c r="W12" s="106"/>
      <c r="X12" s="106"/>
      <c r="Y12" s="106"/>
      <c r="Z12" s="106"/>
      <c r="AA12" s="106"/>
      <c r="AB12" s="106"/>
    </row>
    <row r="13" spans="1:28" x14ac:dyDescent="0.3">
      <c r="A13" s="89">
        <v>102</v>
      </c>
      <c r="B13" s="89" t="s">
        <v>193</v>
      </c>
      <c r="C13" s="89" t="s">
        <v>182</v>
      </c>
      <c r="D13" s="89"/>
      <c r="E13" s="89">
        <v>3.92</v>
      </c>
      <c r="F13" s="89"/>
      <c r="G13" s="90">
        <v>52</v>
      </c>
      <c r="H13" s="91">
        <v>166101</v>
      </c>
      <c r="I13" s="92">
        <f t="shared" si="3"/>
        <v>42372.704081632655</v>
      </c>
      <c r="J13" s="93">
        <f>(H13-$B$28)/($B$35*E13)</f>
        <v>1.0291380236116301E-2</v>
      </c>
      <c r="K13" s="94">
        <v>74.5</v>
      </c>
      <c r="L13" s="95">
        <v>7492158</v>
      </c>
      <c r="M13" s="96">
        <f t="shared" si="0"/>
        <v>1911264.7959183673</v>
      </c>
      <c r="N13" s="97">
        <f>(L13-$B$29)/($B$36*E13)</f>
        <v>0.39957081795739208</v>
      </c>
      <c r="O13" s="98">
        <v>266</v>
      </c>
      <c r="P13" s="99">
        <v>3229392</v>
      </c>
      <c r="Q13" s="100">
        <f t="shared" si="1"/>
        <v>823824.48979591834</v>
      </c>
      <c r="R13" s="101">
        <f>(P13-$B$30)/($B$37*E13)</f>
        <v>5.4127692044474963E-2</v>
      </c>
      <c r="S13" s="102">
        <v>582</v>
      </c>
      <c r="T13" s="103">
        <v>10194</v>
      </c>
      <c r="U13" s="104">
        <f t="shared" si="2"/>
        <v>2600.5102040816328</v>
      </c>
      <c r="V13" s="105">
        <f>(T13-$B$31)/($B$38*E13)</f>
        <v>1.6287601608748221E-3</v>
      </c>
      <c r="W13" s="106"/>
      <c r="X13" s="106"/>
      <c r="Y13" s="106"/>
      <c r="Z13" s="106"/>
      <c r="AA13" s="106"/>
      <c r="AB13" s="106"/>
    </row>
    <row r="14" spans="1:28" x14ac:dyDescent="0.3">
      <c r="A14" s="89">
        <v>103</v>
      </c>
      <c r="B14" s="89" t="s">
        <v>194</v>
      </c>
      <c r="C14" s="89" t="s">
        <v>182</v>
      </c>
      <c r="D14" s="89"/>
      <c r="E14" s="89">
        <v>2.73</v>
      </c>
      <c r="F14" s="89"/>
      <c r="G14" s="90">
        <v>52.5</v>
      </c>
      <c r="H14" s="91">
        <v>119189</v>
      </c>
      <c r="I14" s="92">
        <f t="shared" si="3"/>
        <v>43658.974358974359</v>
      </c>
      <c r="J14" s="93">
        <f>(H14-$B$28)/($B$35*E14)</f>
        <v>9.0305720229005414E-3</v>
      </c>
      <c r="K14" s="94">
        <v>76.5</v>
      </c>
      <c r="L14" s="95">
        <v>5318559</v>
      </c>
      <c r="M14" s="96">
        <f t="shared" si="0"/>
        <v>1948190.1098901099</v>
      </c>
      <c r="N14" s="97">
        <f>(L14-$B$29)/($B$36*E14)</f>
        <v>0.40700971300249683</v>
      </c>
      <c r="O14" s="98">
        <v>247</v>
      </c>
      <c r="P14" s="99">
        <v>2290615</v>
      </c>
      <c r="Q14" s="100">
        <f t="shared" si="1"/>
        <v>839053.11355311354</v>
      </c>
      <c r="R14" s="101">
        <f>(P14-$B$30)/($B$37*E14)</f>
        <v>5.5044283258243072E-2</v>
      </c>
      <c r="S14" s="102">
        <v>584.5</v>
      </c>
      <c r="T14" s="103">
        <v>6834</v>
      </c>
      <c r="U14" s="104">
        <f t="shared" si="2"/>
        <v>2503.2967032967035</v>
      </c>
      <c r="V14" s="105">
        <f>(T14-$B$31)/($B$38*E14)</f>
        <v>1.5678730792055605E-3</v>
      </c>
      <c r="W14" s="106"/>
      <c r="X14" s="106"/>
      <c r="Y14" s="106"/>
      <c r="Z14" s="106"/>
      <c r="AA14" s="106"/>
      <c r="AB14" s="106"/>
    </row>
    <row r="15" spans="1:28" x14ac:dyDescent="0.3">
      <c r="A15" s="89">
        <v>104</v>
      </c>
      <c r="B15" s="89" t="s">
        <v>195</v>
      </c>
      <c r="C15" s="89" t="s">
        <v>182</v>
      </c>
      <c r="D15" s="89"/>
      <c r="E15" s="89">
        <v>4.2</v>
      </c>
      <c r="F15" s="89"/>
      <c r="G15" s="90">
        <v>52.5</v>
      </c>
      <c r="H15" s="91">
        <v>166901</v>
      </c>
      <c r="I15" s="92">
        <f t="shared" si="3"/>
        <v>39738.333333333328</v>
      </c>
      <c r="J15" s="93">
        <f>(H15-$B$28)/($B$35*E15)</f>
        <v>9.668989045844005E-3</v>
      </c>
      <c r="K15" s="94">
        <v>74.5</v>
      </c>
      <c r="L15" s="95">
        <v>7965121</v>
      </c>
      <c r="M15" s="96">
        <f t="shared" si="0"/>
        <v>1896457.3809523808</v>
      </c>
      <c r="N15" s="97">
        <f>(L15-$B$29)/($B$36*E15)</f>
        <v>0.39651487351696491</v>
      </c>
      <c r="O15" s="98">
        <v>271</v>
      </c>
      <c r="P15" s="99">
        <v>3344029</v>
      </c>
      <c r="Q15" s="100">
        <f t="shared" si="1"/>
        <v>796197.38095238095</v>
      </c>
      <c r="R15" s="101">
        <f>(P15-$B$30)/($B$37*E15)</f>
        <v>5.2319175061379952E-2</v>
      </c>
      <c r="S15" s="102">
        <v>583</v>
      </c>
      <c r="T15" s="103">
        <v>10365</v>
      </c>
      <c r="U15" s="104">
        <f t="shared" si="2"/>
        <v>2467.8571428571427</v>
      </c>
      <c r="V15" s="105">
        <f>(T15-$B$31)/($B$38*E15)</f>
        <v>1.5456764563765968E-3</v>
      </c>
      <c r="W15" s="106"/>
      <c r="X15" s="106"/>
      <c r="Y15" s="106"/>
      <c r="Z15" s="106"/>
      <c r="AA15" s="106"/>
      <c r="AB15" s="106"/>
    </row>
    <row r="16" spans="1:28" x14ac:dyDescent="0.3">
      <c r="A16" s="89">
        <v>105</v>
      </c>
      <c r="B16" s="89" t="s">
        <v>196</v>
      </c>
      <c r="C16" s="89" t="s">
        <v>182</v>
      </c>
      <c r="D16" s="89"/>
      <c r="E16" s="89"/>
      <c r="F16" s="89"/>
      <c r="G16" s="90">
        <v>54.5</v>
      </c>
      <c r="H16" s="91">
        <v>47366</v>
      </c>
      <c r="I16" s="92"/>
      <c r="J16" s="93"/>
      <c r="K16" s="94">
        <v>84</v>
      </c>
      <c r="L16" s="95">
        <v>12587</v>
      </c>
      <c r="M16" s="96" t="s">
        <v>20</v>
      </c>
      <c r="N16" s="97"/>
      <c r="O16" s="98">
        <v>242</v>
      </c>
      <c r="P16" s="99">
        <v>14000</v>
      </c>
      <c r="Q16" s="100"/>
      <c r="R16" s="101"/>
      <c r="S16" s="102"/>
      <c r="T16" s="103"/>
      <c r="U16" s="104"/>
      <c r="V16" s="105"/>
      <c r="W16" s="106"/>
      <c r="X16" s="106"/>
      <c r="Y16" s="106"/>
      <c r="Z16" s="106"/>
      <c r="AA16" s="106"/>
      <c r="AB16" s="106"/>
    </row>
    <row r="17" spans="1:29" x14ac:dyDescent="0.3">
      <c r="A17" s="89">
        <v>106</v>
      </c>
      <c r="B17" s="89" t="s">
        <v>197</v>
      </c>
      <c r="C17" s="89" t="s">
        <v>182</v>
      </c>
      <c r="D17" s="89"/>
      <c r="E17" s="89">
        <v>3.08</v>
      </c>
      <c r="F17" s="89"/>
      <c r="G17" s="90">
        <v>52.5</v>
      </c>
      <c r="H17" s="91">
        <v>188585</v>
      </c>
      <c r="I17" s="92">
        <f t="shared" si="3"/>
        <v>61228.896103896106</v>
      </c>
      <c r="J17" s="93">
        <f>(H17-$B$28)/($B$35*E17)</f>
        <v>1.5539454436603043E-2</v>
      </c>
      <c r="K17" s="94">
        <v>84</v>
      </c>
      <c r="L17" s="95">
        <v>7164100</v>
      </c>
      <c r="M17" s="96">
        <f t="shared" si="0"/>
        <v>2326006.4935064935</v>
      </c>
      <c r="N17" s="97">
        <f>(L17-$B$29)/($B$36*E17)</f>
        <v>0.48623955030717314</v>
      </c>
      <c r="O17" s="98">
        <v>267</v>
      </c>
      <c r="P17" s="99">
        <v>2852940</v>
      </c>
      <c r="Q17" s="100">
        <f t="shared" si="1"/>
        <v>926279.22077922081</v>
      </c>
      <c r="R17" s="101">
        <f>(P17-$B$30)/($B$37*E17)</f>
        <v>6.0829421934144062E-2</v>
      </c>
      <c r="S17" s="102">
        <v>584.5</v>
      </c>
      <c r="T17" s="103">
        <v>7037</v>
      </c>
      <c r="U17" s="104">
        <f t="shared" si="2"/>
        <v>2284.7402597402597</v>
      </c>
      <c r="V17" s="105">
        <f>(T17-$B$31)/($B$38*E17)</f>
        <v>1.4309860838734524E-3</v>
      </c>
      <c r="W17" s="106"/>
      <c r="X17" s="106"/>
      <c r="Y17" s="106"/>
      <c r="Z17" s="106"/>
      <c r="AA17" s="106"/>
      <c r="AB17" s="106"/>
    </row>
    <row r="18" spans="1:29" x14ac:dyDescent="0.3">
      <c r="A18" s="89">
        <v>107</v>
      </c>
      <c r="B18" s="89" t="s">
        <v>198</v>
      </c>
      <c r="C18" s="89" t="s">
        <v>182</v>
      </c>
      <c r="D18" s="89"/>
      <c r="E18" s="89"/>
      <c r="F18" s="89"/>
      <c r="G18" s="90">
        <v>54.5</v>
      </c>
      <c r="H18" s="91">
        <v>42330</v>
      </c>
      <c r="I18" s="92"/>
      <c r="J18" s="93"/>
      <c r="K18" s="94">
        <v>75.5</v>
      </c>
      <c r="L18" s="95">
        <v>10581</v>
      </c>
      <c r="M18" s="96" t="s">
        <v>20</v>
      </c>
      <c r="N18" s="97"/>
      <c r="O18" s="98">
        <v>246</v>
      </c>
      <c r="P18" s="99">
        <v>11326</v>
      </c>
      <c r="Q18" s="100"/>
      <c r="R18" s="101"/>
      <c r="S18" s="102"/>
      <c r="T18" s="103"/>
      <c r="U18" s="104" t="e">
        <f t="shared" si="2"/>
        <v>#DIV/0!</v>
      </c>
      <c r="V18" s="105"/>
      <c r="W18" s="106"/>
      <c r="X18" s="106"/>
      <c r="Y18" s="106"/>
      <c r="Z18" s="106"/>
      <c r="AA18" s="106"/>
      <c r="AB18" s="106"/>
    </row>
    <row r="19" spans="1:29" x14ac:dyDescent="0.3">
      <c r="A19" s="89"/>
      <c r="B19" s="89"/>
      <c r="C19" s="89"/>
      <c r="D19" s="89"/>
      <c r="E19" s="89"/>
      <c r="F19" s="89"/>
      <c r="G19" s="89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</row>
    <row r="20" spans="1:29" ht="15" thickBot="1" x14ac:dyDescent="0.35">
      <c r="A20" s="89"/>
      <c r="B20" s="89"/>
      <c r="C20" s="89"/>
      <c r="D20" s="89"/>
      <c r="E20" s="89"/>
      <c r="F20" s="89"/>
      <c r="G20" s="89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</row>
    <row r="21" spans="1:29" x14ac:dyDescent="0.3">
      <c r="A21" s="109" t="s">
        <v>199</v>
      </c>
      <c r="B21" s="110"/>
      <c r="C21" s="111" t="str">
        <f>$B3</f>
        <v>B</v>
      </c>
      <c r="D21" s="111" t="str">
        <f>$B4</f>
        <v>B1</v>
      </c>
      <c r="E21" s="112" t="str">
        <f>B9</f>
        <v>B2OK</v>
      </c>
      <c r="F21" s="111" t="str">
        <f>B16</f>
        <v>B4</v>
      </c>
      <c r="G21" s="111" t="str">
        <f>B18</f>
        <v>B5</v>
      </c>
      <c r="H21" s="113"/>
      <c r="I21" s="114"/>
      <c r="J21" s="106"/>
      <c r="K21" s="106"/>
      <c r="L21" s="106"/>
      <c r="M21" s="115"/>
      <c r="N21" s="116" t="s">
        <v>200</v>
      </c>
      <c r="O21" s="116" t="s">
        <v>201</v>
      </c>
      <c r="P21" s="116" t="s">
        <v>202</v>
      </c>
      <c r="Q21" s="116" t="s">
        <v>203</v>
      </c>
      <c r="R21" s="117" t="s">
        <v>204</v>
      </c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</row>
    <row r="22" spans="1:29" x14ac:dyDescent="0.3">
      <c r="A22" s="118" t="s">
        <v>200</v>
      </c>
      <c r="B22" s="119">
        <v>2.0899999999999998E-2</v>
      </c>
      <c r="C22" s="106" t="s">
        <v>20</v>
      </c>
      <c r="D22" s="106" t="s">
        <v>20</v>
      </c>
      <c r="E22" s="106">
        <f>H9</f>
        <v>46717</v>
      </c>
      <c r="F22" s="106">
        <f>H16</f>
        <v>47366</v>
      </c>
      <c r="G22" s="106">
        <f>H18</f>
        <v>42330</v>
      </c>
      <c r="H22" s="106"/>
      <c r="I22" s="120"/>
      <c r="J22" s="106"/>
      <c r="K22" s="106"/>
      <c r="L22" s="106"/>
      <c r="M22" s="121" t="str">
        <f>B5</f>
        <v>STD2</v>
      </c>
      <c r="N22" s="122" t="s">
        <v>20</v>
      </c>
      <c r="O22" s="122">
        <f>N5</f>
        <v>0.48257432858906657</v>
      </c>
      <c r="P22" s="122">
        <f>R5</f>
        <v>6.5291920228784911E-2</v>
      </c>
      <c r="Q22" s="122" t="s">
        <v>20</v>
      </c>
      <c r="R22" s="123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</row>
    <row r="23" spans="1:29" x14ac:dyDescent="0.3">
      <c r="A23" s="118" t="s">
        <v>201</v>
      </c>
      <c r="B23" s="119">
        <v>0.48330000000000001</v>
      </c>
      <c r="C23" s="106">
        <f>L3</f>
        <v>14678</v>
      </c>
      <c r="D23" s="106" t="s">
        <v>205</v>
      </c>
      <c r="E23" s="106" t="s">
        <v>20</v>
      </c>
      <c r="F23" s="106">
        <f>L16</f>
        <v>12587</v>
      </c>
      <c r="G23" s="106">
        <f>L18</f>
        <v>10581</v>
      </c>
      <c r="H23" s="106"/>
      <c r="I23" s="120"/>
      <c r="J23" s="106"/>
      <c r="K23" s="106"/>
      <c r="L23" s="106"/>
      <c r="M23" s="121" t="str">
        <f>B6</f>
        <v>STD3</v>
      </c>
      <c r="N23" s="122">
        <f>J6</f>
        <v>2.1800533316452667E-2</v>
      </c>
      <c r="O23" s="122">
        <f>N6</f>
        <v>0.48104937188623459</v>
      </c>
      <c r="P23" s="122">
        <f>R6</f>
        <v>6.2381412602398517E-2</v>
      </c>
      <c r="Q23" s="122">
        <f>V6</f>
        <v>1.64705304617581E-3</v>
      </c>
      <c r="R23" s="123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</row>
    <row r="24" spans="1:29" x14ac:dyDescent="0.3">
      <c r="A24" s="118" t="s">
        <v>202</v>
      </c>
      <c r="B24" s="119">
        <v>6.3600000000000004E-2</v>
      </c>
      <c r="C24" s="106">
        <f>P3</f>
        <v>10549</v>
      </c>
      <c r="D24" s="106" t="s">
        <v>206</v>
      </c>
      <c r="E24" s="106" t="s">
        <v>20</v>
      </c>
      <c r="F24" s="106">
        <f>P16</f>
        <v>14000</v>
      </c>
      <c r="G24" s="106">
        <f>P18</f>
        <v>11326</v>
      </c>
      <c r="H24" s="106"/>
      <c r="I24" s="120"/>
      <c r="J24" s="106"/>
      <c r="K24" s="106"/>
      <c r="L24" s="106"/>
      <c r="M24" s="121" t="str">
        <f>B7</f>
        <v>STD4</v>
      </c>
      <c r="N24" s="122">
        <f>J7</f>
        <v>2.1118429716907819E-2</v>
      </c>
      <c r="O24" s="122">
        <f>N7</f>
        <v>0.49110843702281226</v>
      </c>
      <c r="P24" s="122">
        <f>R7</f>
        <v>6.5590091370724871E-2</v>
      </c>
      <c r="Q24" s="122">
        <f>V7</f>
        <v>1.7163923922396032E-3</v>
      </c>
      <c r="R24" s="123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</row>
    <row r="25" spans="1:29" ht="15" thickBot="1" x14ac:dyDescent="0.35">
      <c r="A25" s="124" t="s">
        <v>203</v>
      </c>
      <c r="B25" s="125">
        <v>1.6000000000000001E-3</v>
      </c>
      <c r="C25" s="106">
        <f>T3</f>
        <v>0</v>
      </c>
      <c r="D25" s="106">
        <f>T4</f>
        <v>0</v>
      </c>
      <c r="E25" s="106">
        <f>T9</f>
        <v>0</v>
      </c>
      <c r="F25" s="106">
        <f>T16</f>
        <v>0</v>
      </c>
      <c r="G25" s="106">
        <f>T18</f>
        <v>0</v>
      </c>
      <c r="H25" s="106"/>
      <c r="I25" s="120"/>
      <c r="J25" s="106"/>
      <c r="K25" s="106"/>
      <c r="L25" s="106"/>
      <c r="M25" s="121" t="str">
        <f>B8</f>
        <v>STD5</v>
      </c>
      <c r="N25" s="122">
        <f>J8</f>
        <v>1.9781036966639517E-2</v>
      </c>
      <c r="O25" s="122">
        <f>N8</f>
        <v>0.47552831219471314</v>
      </c>
      <c r="P25" s="122">
        <f>R8</f>
        <v>6.3907153863947672E-2</v>
      </c>
      <c r="Q25" s="122">
        <f>V8</f>
        <v>1.6736989022014175E-3</v>
      </c>
      <c r="R25" s="123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</row>
    <row r="26" spans="1:29" ht="15" thickBot="1" x14ac:dyDescent="0.35">
      <c r="A26" s="126"/>
      <c r="B26" s="106"/>
      <c r="C26" s="106"/>
      <c r="D26" s="106"/>
      <c r="E26" s="106"/>
      <c r="F26" s="106"/>
      <c r="G26" s="106"/>
      <c r="H26" s="106"/>
      <c r="I26" s="120"/>
      <c r="J26" s="106"/>
      <c r="K26" s="106"/>
      <c r="L26" s="106"/>
      <c r="M26" s="121" t="str">
        <f>B17</f>
        <v>STD7</v>
      </c>
      <c r="N26" s="122" t="s">
        <v>20</v>
      </c>
      <c r="O26" s="122">
        <f>N17</f>
        <v>0.48623955030717314</v>
      </c>
      <c r="P26" s="122">
        <f>R17</f>
        <v>6.0829421934144062E-2</v>
      </c>
      <c r="Q26" s="122" t="s">
        <v>20</v>
      </c>
      <c r="R26" s="123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</row>
    <row r="27" spans="1:29" x14ac:dyDescent="0.3">
      <c r="A27" s="127" t="s">
        <v>207</v>
      </c>
      <c r="B27" s="128"/>
      <c r="C27" s="129" t="s">
        <v>208</v>
      </c>
      <c r="D27" s="106"/>
      <c r="E27" s="106"/>
      <c r="F27" s="106"/>
      <c r="G27" s="106"/>
      <c r="H27" s="106"/>
      <c r="I27" s="120"/>
      <c r="J27" s="106"/>
      <c r="K27" s="106"/>
      <c r="L27" s="106"/>
      <c r="M27" s="130" t="s">
        <v>209</v>
      </c>
      <c r="N27" s="131">
        <f>AVERAGE(N22:N26)</f>
        <v>2.0900000000000002E-2</v>
      </c>
      <c r="O27" s="131">
        <f>AVERAGE(O22:O26)</f>
        <v>0.48329999999999995</v>
      </c>
      <c r="P27" s="131">
        <f>AVERAGE(P22:P26)</f>
        <v>6.3600000000000018E-2</v>
      </c>
      <c r="Q27" s="131">
        <f>AVERAGE(Q22:Q26)</f>
        <v>1.6790481135389435E-3</v>
      </c>
      <c r="R27" s="132">
        <f>100%-N27-O27-P27-Q27</f>
        <v>0.43052095188646111</v>
      </c>
      <c r="S27" s="133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</row>
    <row r="28" spans="1:29" ht="15" thickBot="1" x14ac:dyDescent="0.35">
      <c r="A28" s="134" t="s">
        <v>200</v>
      </c>
      <c r="B28" s="135">
        <f>AVERAGE(C22:G22)</f>
        <v>45471</v>
      </c>
      <c r="C28" s="136">
        <f>_xlfn.STDEV.S(C22:G22)/B28</f>
        <v>6.0246591442726899E-2</v>
      </c>
      <c r="D28" s="106"/>
      <c r="E28" s="106"/>
      <c r="F28" s="106"/>
      <c r="G28" s="106"/>
      <c r="H28" s="106"/>
      <c r="I28" s="120"/>
      <c r="J28" s="106"/>
      <c r="K28" s="106"/>
      <c r="L28" s="106"/>
      <c r="M28" s="137" t="s">
        <v>208</v>
      </c>
      <c r="N28" s="138">
        <f>_xlfn.STDEV.S(N22:N26)/N27</f>
        <v>4.9153802680574524E-2</v>
      </c>
      <c r="O28" s="138">
        <f>_xlfn.STDEV.S(O22:O26)/O27</f>
        <v>1.2047279388494571E-2</v>
      </c>
      <c r="P28" s="138">
        <f>_xlfn.STDEV.S(P22:P26)/P27</f>
        <v>3.1523548874751096E-2</v>
      </c>
      <c r="Q28" s="138">
        <f>_xlfn.STDEV.S(Q22:Q26)/Q27</f>
        <v>2.0831924794467969E-2</v>
      </c>
      <c r="R28" s="139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</row>
    <row r="29" spans="1:29" ht="15" thickBot="1" x14ac:dyDescent="0.35">
      <c r="A29" s="140" t="s">
        <v>201</v>
      </c>
      <c r="B29" s="141">
        <f>AVERAGE(C23:G23)</f>
        <v>12615.333333333334</v>
      </c>
      <c r="C29" s="142">
        <f>_xlfn.STDEV.S(C23:G23)/B29</f>
        <v>0.16239340631920476</v>
      </c>
      <c r="D29" s="106"/>
      <c r="E29" s="106"/>
      <c r="F29" s="106"/>
      <c r="G29" s="106"/>
      <c r="H29" s="106"/>
      <c r="I29" s="120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</row>
    <row r="30" spans="1:29" x14ac:dyDescent="0.3">
      <c r="A30" s="143" t="s">
        <v>202</v>
      </c>
      <c r="B30" s="144">
        <f>AVERAGE(C24:G24)</f>
        <v>11958.333333333334</v>
      </c>
      <c r="C30" s="145">
        <f>_xlfn.STDEV.S(C24:G24)/B30</f>
        <v>0.15138508638021875</v>
      </c>
      <c r="D30" s="106"/>
      <c r="E30" s="106"/>
      <c r="F30" s="106"/>
      <c r="G30" s="106"/>
      <c r="H30" s="106"/>
      <c r="I30" s="120"/>
      <c r="J30" s="106"/>
      <c r="K30" s="106"/>
      <c r="L30" s="106"/>
      <c r="M30" s="146"/>
      <c r="N30" s="116" t="s">
        <v>200</v>
      </c>
      <c r="O30" s="116" t="s">
        <v>201</v>
      </c>
      <c r="P30" s="116" t="s">
        <v>202</v>
      </c>
      <c r="Q30" s="147" t="s">
        <v>203</v>
      </c>
      <c r="R30" s="117" t="s">
        <v>204</v>
      </c>
      <c r="S30" s="106"/>
      <c r="T30" s="106" t="s">
        <v>210</v>
      </c>
      <c r="U30" s="106"/>
      <c r="V30" s="106"/>
      <c r="W30" s="106"/>
      <c r="X30" s="106"/>
      <c r="Y30" s="106"/>
      <c r="Z30" s="106"/>
      <c r="AA30" s="106"/>
      <c r="AB30" s="106"/>
      <c r="AC30" s="106"/>
    </row>
    <row r="31" spans="1:29" ht="15" thickBot="1" x14ac:dyDescent="0.35">
      <c r="A31" s="148" t="s">
        <v>203</v>
      </c>
      <c r="B31" s="149">
        <f>AVERAGE(C25:G25)</f>
        <v>0</v>
      </c>
      <c r="C31" s="150" t="s">
        <v>20</v>
      </c>
      <c r="D31" s="106"/>
      <c r="E31" s="106"/>
      <c r="F31" s="106"/>
      <c r="G31" s="106"/>
      <c r="H31" s="106"/>
      <c r="I31" s="120"/>
      <c r="J31" s="106"/>
      <c r="K31" s="106"/>
      <c r="L31" s="106"/>
      <c r="M31" s="121" t="str">
        <f>B11</f>
        <v>S1</v>
      </c>
      <c r="N31" s="151">
        <f>J11</f>
        <v>9.901175986096071E-3</v>
      </c>
      <c r="O31" s="151">
        <f>N11</f>
        <v>0.39404175521110263</v>
      </c>
      <c r="P31" s="151">
        <f>R11</f>
        <v>5.4113275483703052E-2</v>
      </c>
      <c r="Q31" s="152">
        <f>V11</f>
        <v>1.5966193431793546E-3</v>
      </c>
      <c r="R31" s="123"/>
      <c r="S31" s="106"/>
      <c r="T31" s="106" t="s">
        <v>200</v>
      </c>
      <c r="U31" s="106" t="s">
        <v>201</v>
      </c>
      <c r="V31" s="106" t="s">
        <v>202</v>
      </c>
      <c r="W31" s="106" t="s">
        <v>203</v>
      </c>
      <c r="X31" s="106" t="s">
        <v>204</v>
      </c>
      <c r="Y31" s="106" t="s">
        <v>211</v>
      </c>
      <c r="Z31" s="106"/>
      <c r="AA31" s="106"/>
      <c r="AB31" s="106"/>
      <c r="AC31" s="106"/>
    </row>
    <row r="32" spans="1:29" x14ac:dyDescent="0.3">
      <c r="A32" s="126"/>
      <c r="B32" s="106"/>
      <c r="C32" s="89"/>
      <c r="D32" s="153" t="s">
        <v>212</v>
      </c>
      <c r="E32" s="154"/>
      <c r="F32" s="154"/>
      <c r="G32" s="154"/>
      <c r="H32" s="155"/>
      <c r="I32" s="120"/>
      <c r="J32" s="106"/>
      <c r="K32" s="106"/>
      <c r="L32" s="106"/>
      <c r="M32" s="121" t="str">
        <f>B12</f>
        <v>S2</v>
      </c>
      <c r="N32" s="151" t="s">
        <v>20</v>
      </c>
      <c r="O32" s="151">
        <f>N12</f>
        <v>0.39378309654778287</v>
      </c>
      <c r="P32" s="151">
        <f>R12</f>
        <v>5.2192372610997934E-2</v>
      </c>
      <c r="Q32" s="152">
        <f>V12</f>
        <v>1.6438485618182881E-3</v>
      </c>
      <c r="R32" s="123"/>
      <c r="S32" s="106" t="s">
        <v>213</v>
      </c>
      <c r="T32" s="106">
        <f>14.007</f>
        <v>14.007</v>
      </c>
      <c r="U32" s="106">
        <v>12.010999999999999</v>
      </c>
      <c r="V32" s="106">
        <v>1.008</v>
      </c>
      <c r="W32" s="106">
        <v>32.064999999999998</v>
      </c>
      <c r="X32" s="106">
        <v>15.999000000000001</v>
      </c>
      <c r="Y32" s="106"/>
      <c r="Z32" s="106"/>
      <c r="AA32" s="106"/>
      <c r="AB32" s="106"/>
      <c r="AC32" s="106"/>
    </row>
    <row r="33" spans="1:29" ht="15" thickBot="1" x14ac:dyDescent="0.35">
      <c r="A33" s="126"/>
      <c r="B33" s="106"/>
      <c r="C33" s="89"/>
      <c r="D33" s="156"/>
      <c r="E33" s="157" t="s">
        <v>200</v>
      </c>
      <c r="F33" s="157" t="s">
        <v>201</v>
      </c>
      <c r="G33" s="157" t="s">
        <v>202</v>
      </c>
      <c r="H33" s="158" t="s">
        <v>203</v>
      </c>
      <c r="I33" s="120"/>
      <c r="J33" s="106"/>
      <c r="K33" s="106"/>
      <c r="L33" s="106"/>
      <c r="M33" s="121" t="str">
        <f>B13</f>
        <v>S3</v>
      </c>
      <c r="N33" s="151">
        <f>J13</f>
        <v>1.0291380236116301E-2</v>
      </c>
      <c r="O33" s="151">
        <f>N13</f>
        <v>0.39957081795739208</v>
      </c>
      <c r="P33" s="151">
        <f>R13</f>
        <v>5.4127692044474963E-2</v>
      </c>
      <c r="Q33" s="152">
        <f>V13</f>
        <v>1.6287601608748221E-3</v>
      </c>
      <c r="R33" s="123"/>
      <c r="S33" s="106" t="s">
        <v>214</v>
      </c>
      <c r="T33" s="106">
        <f>1000*N36/T32</f>
        <v>0.69415501697288728</v>
      </c>
      <c r="U33" s="106">
        <f>1000*O36/U32</f>
        <v>33.151615289913238</v>
      </c>
      <c r="V33" s="106">
        <f>1000*P36/V32</f>
        <v>53.13428540849187</v>
      </c>
      <c r="W33" s="106">
        <f>1000*Q36/W32</f>
        <v>4.9791221590236225E-2</v>
      </c>
      <c r="X33" s="106">
        <f>1000*R36/X32</f>
        <v>33.560660304897937</v>
      </c>
      <c r="Y33" s="106">
        <f>SUM(T33:X33)</f>
        <v>120.59050724186618</v>
      </c>
      <c r="Z33" s="106"/>
      <c r="AA33" s="106"/>
      <c r="AB33" s="106"/>
      <c r="AC33" s="106"/>
    </row>
    <row r="34" spans="1:29" x14ac:dyDescent="0.3">
      <c r="A34" s="159" t="s">
        <v>215</v>
      </c>
      <c r="B34" s="129"/>
      <c r="C34" s="89"/>
      <c r="D34" s="160" t="str">
        <f>B5</f>
        <v>STD2</v>
      </c>
      <c r="E34" s="161"/>
      <c r="F34" s="161">
        <f>(L5-$B$29)/(E5*$B$23)</f>
        <v>4768070.1267999792</v>
      </c>
      <c r="G34" s="161">
        <f>((P5-$B$30))/(E5*$B$24)</f>
        <v>15567051.099338021</v>
      </c>
      <c r="H34" s="162">
        <f>((T5-$B$31))/(E5*$B$25)</f>
        <v>1528633.0049261083</v>
      </c>
      <c r="I34" s="120"/>
      <c r="J34" s="106"/>
      <c r="K34" s="106"/>
      <c r="L34" s="106"/>
      <c r="M34" s="121" t="str">
        <f>B14</f>
        <v>S4</v>
      </c>
      <c r="N34" s="151">
        <f>J14</f>
        <v>9.0305720229005414E-3</v>
      </c>
      <c r="O34" s="151">
        <f>N14</f>
        <v>0.40700971300249683</v>
      </c>
      <c r="P34" s="151">
        <f>R14</f>
        <v>5.5044283258243072E-2</v>
      </c>
      <c r="Q34" s="152">
        <f>V14</f>
        <v>1.5678730792055605E-3</v>
      </c>
      <c r="R34" s="123"/>
      <c r="S34" s="106" t="s">
        <v>216</v>
      </c>
      <c r="T34" s="163">
        <f>T33/$Y$33</f>
        <v>5.7562990060290005E-3</v>
      </c>
      <c r="U34" s="163">
        <f t="shared" ref="U34:X34" si="4">U33/$Y$33</f>
        <v>0.27491065464565673</v>
      </c>
      <c r="V34" s="163">
        <f t="shared" si="4"/>
        <v>0.44061747996400252</v>
      </c>
      <c r="W34" s="163">
        <f t="shared" si="4"/>
        <v>4.1289503402096886E-4</v>
      </c>
      <c r="X34" s="163">
        <f t="shared" si="4"/>
        <v>0.27830267135029074</v>
      </c>
      <c r="Y34" s="164"/>
      <c r="Z34" s="106"/>
      <c r="AA34" s="106"/>
      <c r="AB34" s="106"/>
      <c r="AC34" s="106"/>
    </row>
    <row r="35" spans="1:29" x14ac:dyDescent="0.3">
      <c r="A35" s="165" t="s">
        <v>200</v>
      </c>
      <c r="B35" s="166">
        <f>E41</f>
        <v>2990168.3231642391</v>
      </c>
      <c r="C35" s="89"/>
      <c r="D35" s="160" t="str">
        <f>B6</f>
        <v>STD3</v>
      </c>
      <c r="E35" s="161">
        <f>(H6-$B$28)/(E6*$B$22)</f>
        <v>3119007.8541121241</v>
      </c>
      <c r="F35" s="161">
        <f>(L6-$B$29)/(E6*$B$23)</f>
        <v>4753002.8095626635</v>
      </c>
      <c r="G35" s="161">
        <f>((P6-$B$30))/(E6*$B$24)</f>
        <v>14873121.118626636</v>
      </c>
      <c r="H35" s="162">
        <f>((T6-$B$31))/(E6*$B$25)</f>
        <v>1643573.113207547</v>
      </c>
      <c r="I35" s="120"/>
      <c r="J35" s="106"/>
      <c r="K35" s="106"/>
      <c r="L35" s="106"/>
      <c r="M35" s="121" t="str">
        <f>B15</f>
        <v>S5</v>
      </c>
      <c r="N35" s="151">
        <f>J15</f>
        <v>9.668989045844005E-3</v>
      </c>
      <c r="O35" s="151">
        <f>N15</f>
        <v>0.39651487351696491</v>
      </c>
      <c r="P35" s="151">
        <f>R15</f>
        <v>5.2319175061379952E-2</v>
      </c>
      <c r="Q35" s="152">
        <f>V15</f>
        <v>1.5456764563765968E-3</v>
      </c>
      <c r="R35" s="123"/>
      <c r="S35" s="106" t="s">
        <v>217</v>
      </c>
      <c r="T35" s="106">
        <f>T34/$U$34</f>
        <v>2.0938799238059809E-2</v>
      </c>
      <c r="U35" s="106">
        <f>U34/$U$34</f>
        <v>1</v>
      </c>
      <c r="V35" s="106">
        <f t="shared" ref="V35:X35" si="5">V34/$U$34</f>
        <v>1.6027661078903324</v>
      </c>
      <c r="W35" s="106">
        <f t="shared" si="5"/>
        <v>1.5019244508844725E-3</v>
      </c>
      <c r="X35" s="106">
        <f t="shared" si="5"/>
        <v>1.0123386149183855</v>
      </c>
      <c r="Y35" s="106"/>
      <c r="Z35" s="106"/>
      <c r="AA35" s="106"/>
      <c r="AB35" s="106"/>
      <c r="AC35" s="106"/>
    </row>
    <row r="36" spans="1:29" x14ac:dyDescent="0.3">
      <c r="A36" s="165" t="s">
        <v>201</v>
      </c>
      <c r="B36" s="166">
        <f>F41</f>
        <v>4775240.1148647424</v>
      </c>
      <c r="C36" s="89"/>
      <c r="D36" s="160" t="str">
        <f>B7</f>
        <v>STD4</v>
      </c>
      <c r="E36" s="161">
        <f>(H7-$B$28)/(E7*$B$22)</f>
        <v>3021419.1183956023</v>
      </c>
      <c r="F36" s="161">
        <f>(L7-$B$29)/(E7*$B$23)</f>
        <v>4852391.2874402199</v>
      </c>
      <c r="G36" s="161">
        <f>((P7-$B$30))/(E7*$B$24)</f>
        <v>15638141.754761584</v>
      </c>
      <c r="H36" s="162">
        <f>((T7-$B$31))/(E7*$B$25)</f>
        <v>1712765.9574468085</v>
      </c>
      <c r="I36" s="120"/>
      <c r="J36" s="106"/>
      <c r="K36" s="106"/>
      <c r="L36" s="106"/>
      <c r="M36" s="130"/>
      <c r="N36" s="167">
        <f>AVERAGE(N31:N35)</f>
        <v>9.7230293227392305E-3</v>
      </c>
      <c r="O36" s="167">
        <f t="shared" ref="O36:Q36" si="6">AVERAGE(O31:O35)</f>
        <v>0.39818405124714784</v>
      </c>
      <c r="P36" s="167">
        <f t="shared" si="6"/>
        <v>5.3559359691759803E-2</v>
      </c>
      <c r="Q36" s="168">
        <f t="shared" si="6"/>
        <v>1.5965555202909244E-3</v>
      </c>
      <c r="R36" s="132">
        <f>100%-N36-O36-P36-Q36</f>
        <v>0.53693700421806212</v>
      </c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</row>
    <row r="37" spans="1:29" ht="15" thickBot="1" x14ac:dyDescent="0.35">
      <c r="A37" s="165" t="s">
        <v>202</v>
      </c>
      <c r="B37" s="166">
        <f>G41</f>
        <v>15163659.553106751</v>
      </c>
      <c r="C37" s="89"/>
      <c r="D37" s="160" t="str">
        <f>B8</f>
        <v>STD5</v>
      </c>
      <c r="E37" s="161">
        <f>(H8-$B$28)/(E8*$B$22)</f>
        <v>2830077.9969849908</v>
      </c>
      <c r="F37" s="161">
        <f>(L8-$B$29)/(E8*$B$23)</f>
        <v>4698452.042512143</v>
      </c>
      <c r="G37" s="161">
        <f>((P8-$B$30))/(E8*$B$24)</f>
        <v>15236891.889951464</v>
      </c>
      <c r="H37" s="162">
        <f>((T8-$B$31))/(E8*$B$25)</f>
        <v>1670162.6712328768</v>
      </c>
      <c r="I37" s="120"/>
      <c r="J37" s="106"/>
      <c r="K37" s="106"/>
      <c r="L37" s="106"/>
      <c r="M37" s="137"/>
      <c r="N37" s="138">
        <f>_xlfn.STDEV.S(N33:N35,N31)/N36</f>
        <v>5.4330822622309816E-2</v>
      </c>
      <c r="O37" s="138">
        <f t="shared" ref="O37:Q37" si="7">_xlfn.STDEV.S(O31:O35)/O36</f>
        <v>1.3705477248182114E-2</v>
      </c>
      <c r="P37" s="138">
        <f t="shared" si="7"/>
        <v>2.3322778997731899E-2</v>
      </c>
      <c r="Q37" s="169">
        <f t="shared" si="7"/>
        <v>2.560596288373973E-2</v>
      </c>
      <c r="R37" s="139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</row>
    <row r="38" spans="1:29" ht="15" thickBot="1" x14ac:dyDescent="0.35">
      <c r="A38" s="170" t="s">
        <v>203</v>
      </c>
      <c r="B38" s="171">
        <f>H41</f>
        <v>1596619.4818302006</v>
      </c>
      <c r="C38" s="89"/>
      <c r="D38" s="160" t="str">
        <f>B17</f>
        <v>STD7</v>
      </c>
      <c r="E38" s="161"/>
      <c r="F38" s="161">
        <f>(L17-$B$29)/(E17*$B$23)</f>
        <v>4804284.3080087034</v>
      </c>
      <c r="G38" s="161">
        <f>((P17-$B$30))/(E17*$B$24)</f>
        <v>14503091.902856052</v>
      </c>
      <c r="H38" s="162">
        <f>((T17-$B$31))/(E17*$B$25)</f>
        <v>1427962.6623376624</v>
      </c>
      <c r="I38" s="120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 t="s">
        <v>218</v>
      </c>
      <c r="U38" s="106"/>
      <c r="V38" s="106"/>
      <c r="W38" s="106"/>
      <c r="X38" s="106" t="s">
        <v>219</v>
      </c>
      <c r="Y38" s="106"/>
      <c r="Z38" s="106"/>
      <c r="AA38" s="106"/>
      <c r="AB38" s="106"/>
      <c r="AC38" s="106"/>
    </row>
    <row r="39" spans="1:29" x14ac:dyDescent="0.3">
      <c r="A39" s="126"/>
      <c r="B39" s="106"/>
      <c r="C39" s="89"/>
      <c r="D39" s="160"/>
      <c r="E39" s="161"/>
      <c r="F39" s="161"/>
      <c r="G39" s="161"/>
      <c r="H39" s="162"/>
      <c r="I39" s="120"/>
      <c r="J39" s="106"/>
      <c r="K39" s="106"/>
      <c r="L39" s="157"/>
      <c r="M39" s="157"/>
      <c r="N39" s="157"/>
      <c r="O39" s="157"/>
      <c r="P39" s="157"/>
      <c r="Q39" s="157"/>
      <c r="R39" s="157"/>
      <c r="S39" s="106"/>
      <c r="T39" s="106" t="s">
        <v>220</v>
      </c>
      <c r="U39" s="106" t="s">
        <v>221</v>
      </c>
      <c r="V39" s="106" t="s">
        <v>222</v>
      </c>
      <c r="W39" s="106" t="s">
        <v>223</v>
      </c>
      <c r="X39" s="106" t="s">
        <v>224</v>
      </c>
      <c r="Y39" s="106"/>
      <c r="Z39" s="106"/>
      <c r="AA39" s="106"/>
      <c r="AB39" s="106"/>
      <c r="AC39" s="106"/>
    </row>
    <row r="40" spans="1:29" x14ac:dyDescent="0.3">
      <c r="A40" s="172"/>
      <c r="B40" s="173"/>
      <c r="C40" s="89"/>
      <c r="D40" s="174"/>
      <c r="E40" s="161"/>
      <c r="F40" s="161"/>
      <c r="G40" s="161"/>
      <c r="H40" s="162"/>
      <c r="I40" s="120"/>
      <c r="J40" s="106"/>
      <c r="K40" s="106"/>
      <c r="L40" s="89"/>
      <c r="M40" s="151"/>
      <c r="N40" s="151"/>
      <c r="O40" s="151"/>
      <c r="P40" s="151"/>
      <c r="Q40" s="151"/>
      <c r="R40" s="151"/>
      <c r="S40" s="106" t="s">
        <v>225</v>
      </c>
      <c r="T40" s="106">
        <f>1/8*(4*U33-V33+2*X33+3*T33+2*W33)</f>
        <v>18.596942981882012</v>
      </c>
      <c r="U40" s="106">
        <f>1/8*(4*U33+V33-2*X33-3*T33-2*W33)</f>
        <v>14.554672308031229</v>
      </c>
      <c r="V40" s="106">
        <f>T33</f>
        <v>0.69415501697288728</v>
      </c>
      <c r="W40" s="106">
        <f>W33</f>
        <v>4.9791221590236225E-2</v>
      </c>
      <c r="X40" s="106">
        <f>1/4*(4*U33-V33-2*X33+3*T33+2*W33)</f>
        <v>3.6332256588660838</v>
      </c>
      <c r="Y40" s="106"/>
      <c r="Z40" s="106"/>
      <c r="AA40" s="106"/>
      <c r="AB40" s="106"/>
      <c r="AC40" s="106"/>
    </row>
    <row r="41" spans="1:29" x14ac:dyDescent="0.3">
      <c r="A41" s="126"/>
      <c r="B41" s="106"/>
      <c r="C41" s="89"/>
      <c r="D41" s="175" t="s">
        <v>209</v>
      </c>
      <c r="E41" s="176">
        <f>AVERAGE(E34:E40)</f>
        <v>2990168.3231642391</v>
      </c>
      <c r="F41" s="176">
        <f>AVERAGE(F34:F40)</f>
        <v>4775240.1148647424</v>
      </c>
      <c r="G41" s="176">
        <f>AVERAGE(G34:G40)</f>
        <v>15163659.553106751</v>
      </c>
      <c r="H41" s="177">
        <f>AVERAGE(H34:H40)</f>
        <v>1596619.4818302006</v>
      </c>
      <c r="I41" s="120"/>
      <c r="J41" s="106"/>
      <c r="K41" s="106"/>
      <c r="L41" s="89"/>
      <c r="M41" s="151"/>
      <c r="N41" s="151"/>
      <c r="O41" s="151"/>
      <c r="P41" s="151"/>
      <c r="Q41" s="151"/>
      <c r="R41" s="151"/>
      <c r="S41" s="106" t="s">
        <v>226</v>
      </c>
      <c r="T41" s="106">
        <v>4.4010000000000001E-2</v>
      </c>
      <c r="U41" s="106">
        <v>1.6039999999999999E-2</v>
      </c>
      <c r="V41" s="106">
        <v>1.703E-2</v>
      </c>
      <c r="W41" s="106">
        <v>3.4009999999999999E-2</v>
      </c>
      <c r="X41" s="106">
        <v>1.8020000000000001E-2</v>
      </c>
      <c r="Y41" s="178" t="s">
        <v>227</v>
      </c>
      <c r="Z41" s="106"/>
      <c r="AA41" s="106"/>
      <c r="AB41" s="106"/>
      <c r="AC41" s="106"/>
    </row>
    <row r="42" spans="1:29" x14ac:dyDescent="0.3">
      <c r="A42" s="126"/>
      <c r="B42" s="106"/>
      <c r="C42" s="89"/>
      <c r="D42" s="179" t="s">
        <v>208</v>
      </c>
      <c r="E42" s="180">
        <f>_xlfn.STDEV.S(E34:E40)/E41</f>
        <v>4.915380268057451E-2</v>
      </c>
      <c r="F42" s="180">
        <f>_xlfn.STDEV.S(F34:F40)/F41</f>
        <v>1.2047279388494644E-2</v>
      </c>
      <c r="G42" s="180">
        <f>_xlfn.STDEV.S(G34:G40)/G41</f>
        <v>3.1523548874751089E-2</v>
      </c>
      <c r="H42" s="181">
        <f>_xlfn.STDEV.S(H34:H40)/H41</f>
        <v>7.2887009152700341E-2</v>
      </c>
      <c r="I42" s="120"/>
      <c r="J42" s="106"/>
      <c r="K42" s="106"/>
      <c r="L42" s="89"/>
      <c r="M42" s="151"/>
      <c r="N42" s="151"/>
      <c r="O42" s="151"/>
      <c r="P42" s="151"/>
      <c r="Q42" s="151"/>
      <c r="R42" s="151"/>
      <c r="S42" s="106" t="s">
        <v>228</v>
      </c>
      <c r="T42" s="106">
        <f>T40*T41</f>
        <v>0.81845146063262741</v>
      </c>
      <c r="U42" s="106">
        <f>U40*U41</f>
        <v>0.23345694382082088</v>
      </c>
      <c r="V42" s="106">
        <f t="shared" ref="V42:X42" si="8">V40*V41</f>
        <v>1.1821459939048271E-2</v>
      </c>
      <c r="W42" s="106">
        <f t="shared" si="8"/>
        <v>1.693399446283934E-3</v>
      </c>
      <c r="X42" s="106">
        <f t="shared" si="8"/>
        <v>6.5470726372766838E-2</v>
      </c>
      <c r="Y42" s="182">
        <f>1+X42-SUM(T42:W42)</f>
        <v>4.7462533986131206E-5</v>
      </c>
      <c r="Z42" s="106"/>
      <c r="AA42" s="106"/>
      <c r="AB42" s="106"/>
      <c r="AC42" s="106"/>
    </row>
    <row r="43" spans="1:29" ht="15" thickBot="1" x14ac:dyDescent="0.35">
      <c r="A43" s="183"/>
      <c r="B43" s="184"/>
      <c r="C43" s="184"/>
      <c r="D43" s="184"/>
      <c r="E43" s="184"/>
      <c r="F43" s="184"/>
      <c r="G43" s="184"/>
      <c r="H43" s="184"/>
      <c r="I43" s="185"/>
      <c r="J43" s="106"/>
      <c r="K43" s="106"/>
      <c r="L43" s="157"/>
      <c r="M43" s="186"/>
      <c r="N43" s="186"/>
      <c r="O43" s="186"/>
      <c r="P43" s="186"/>
      <c r="Q43" s="186"/>
      <c r="R43" s="18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</row>
    <row r="44" spans="1:29" x14ac:dyDescent="0.3">
      <c r="A44" s="89"/>
      <c r="B44" s="89"/>
      <c r="C44" s="89"/>
      <c r="D44" s="89"/>
      <c r="E44" s="89"/>
      <c r="F44" s="89"/>
      <c r="G44" s="89"/>
      <c r="H44" s="106"/>
      <c r="I44" s="106"/>
      <c r="J44" s="106"/>
      <c r="K44" s="106"/>
      <c r="L44" s="89"/>
      <c r="M44" s="187"/>
      <c r="N44" s="187"/>
      <c r="O44" s="187"/>
      <c r="P44" s="187"/>
      <c r="Q44" s="187"/>
      <c r="R44" s="188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</row>
    <row r="45" spans="1:29" x14ac:dyDescent="0.3">
      <c r="A45" s="89"/>
      <c r="B45" s="89"/>
      <c r="C45" s="89"/>
      <c r="D45" s="89"/>
      <c r="E45" s="89"/>
      <c r="F45" s="89"/>
      <c r="G45" s="89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</row>
    <row r="46" spans="1:29" x14ac:dyDescent="0.3">
      <c r="A46" s="89"/>
      <c r="B46" s="89"/>
      <c r="C46" s="89"/>
      <c r="D46" s="89"/>
      <c r="E46" s="89"/>
      <c r="F46" s="89"/>
      <c r="G46" s="89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</row>
    <row r="47" spans="1:29" x14ac:dyDescent="0.3">
      <c r="A47" s="89"/>
      <c r="B47" s="89"/>
      <c r="C47" s="89"/>
      <c r="D47" s="89"/>
      <c r="E47" s="89"/>
      <c r="F47" s="89"/>
      <c r="G47" s="89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</row>
    <row r="48" spans="1:29" x14ac:dyDescent="0.3">
      <c r="A48" s="89"/>
      <c r="B48" s="89"/>
      <c r="C48" s="89"/>
      <c r="D48" s="89"/>
      <c r="E48" s="89"/>
      <c r="F48" s="89"/>
      <c r="G48" s="89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</row>
    <row r="49" spans="1:29" x14ac:dyDescent="0.3">
      <c r="A49" s="89"/>
      <c r="B49" s="89"/>
      <c r="C49" s="89"/>
      <c r="D49" s="89"/>
      <c r="E49" s="89"/>
      <c r="F49" s="89"/>
      <c r="G49" s="89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 t="s">
        <v>229</v>
      </c>
      <c r="T49" s="106"/>
      <c r="U49" s="106"/>
      <c r="V49" s="106"/>
      <c r="W49" s="106"/>
      <c r="X49" s="106"/>
      <c r="Y49" s="106"/>
      <c r="Z49" s="106"/>
      <c r="AA49" s="106"/>
      <c r="AB49" s="106"/>
      <c r="AC49" s="106"/>
    </row>
    <row r="50" spans="1:29" x14ac:dyDescent="0.3">
      <c r="A50" s="89"/>
      <c r="B50" s="89"/>
      <c r="C50" s="89"/>
      <c r="D50" s="89"/>
      <c r="E50" s="89"/>
      <c r="F50" s="89"/>
      <c r="G50" s="89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 t="s">
        <v>225</v>
      </c>
      <c r="T50" s="106">
        <f>U40</f>
        <v>14.554672308031229</v>
      </c>
      <c r="U50" s="106"/>
      <c r="V50" s="106"/>
      <c r="W50" s="106"/>
      <c r="X50" s="106"/>
      <c r="Y50" s="106"/>
      <c r="Z50" s="106"/>
      <c r="AA50" s="106"/>
      <c r="AB50" s="106"/>
      <c r="AC50" s="106"/>
    </row>
    <row r="51" spans="1:29" x14ac:dyDescent="0.3">
      <c r="A51" s="89"/>
      <c r="B51" s="89"/>
      <c r="C51" s="89"/>
      <c r="D51" s="89"/>
      <c r="E51" s="89"/>
      <c r="F51" s="89"/>
      <c r="G51" s="89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 t="s">
        <v>226</v>
      </c>
      <c r="T51" s="106">
        <f>0.06005</f>
        <v>6.0049999999999999E-2</v>
      </c>
      <c r="U51" s="106"/>
      <c r="V51" s="106"/>
      <c r="W51" s="106"/>
      <c r="X51" s="106"/>
      <c r="Y51" s="106"/>
      <c r="Z51" s="106"/>
      <c r="AA51" s="106"/>
      <c r="AB51" s="106"/>
      <c r="AC51" s="106"/>
    </row>
    <row r="52" spans="1:29" x14ac:dyDescent="0.3">
      <c r="A52" s="89"/>
      <c r="B52" s="89"/>
      <c r="C52" s="89"/>
      <c r="D52" s="89"/>
      <c r="E52" s="89"/>
      <c r="F52" s="89"/>
      <c r="G52" s="89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 t="s">
        <v>228</v>
      </c>
      <c r="T52" s="106">
        <f>T50*T51</f>
        <v>0.87400807209727527</v>
      </c>
      <c r="U52" s="106">
        <f>T52*0.17</f>
        <v>0.14858137225653681</v>
      </c>
      <c r="V52" s="106"/>
      <c r="W52" s="106"/>
      <c r="X52" s="106"/>
      <c r="Y52" s="106"/>
      <c r="Z52" s="106"/>
      <c r="AA52" s="106"/>
      <c r="AB52" s="106"/>
      <c r="AC52" s="106"/>
    </row>
    <row r="53" spans="1:29" x14ac:dyDescent="0.3">
      <c r="A53" s="89"/>
      <c r="B53" s="89"/>
      <c r="C53" s="89"/>
      <c r="D53" s="89"/>
      <c r="E53" s="89"/>
      <c r="F53" s="89"/>
      <c r="G53" s="89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</row>
    <row r="54" spans="1:29" x14ac:dyDescent="0.3">
      <c r="A54" s="89"/>
      <c r="B54" s="89"/>
      <c r="C54" s="89"/>
      <c r="D54" s="89"/>
      <c r="E54" s="89"/>
      <c r="F54" s="89"/>
      <c r="G54" s="89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</row>
    <row r="55" spans="1:29" x14ac:dyDescent="0.3">
      <c r="A55" s="89"/>
      <c r="B55" s="89"/>
      <c r="C55" s="89"/>
      <c r="D55" s="89"/>
      <c r="E55" s="89"/>
      <c r="F55" s="89"/>
      <c r="G55" s="89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</row>
    <row r="56" spans="1:29" x14ac:dyDescent="0.3">
      <c r="A56" s="89"/>
      <c r="B56" s="89"/>
      <c r="C56" s="89"/>
      <c r="D56" s="89"/>
      <c r="E56" s="89"/>
      <c r="F56" s="89"/>
      <c r="G56" s="89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</row>
    <row r="57" spans="1:29" x14ac:dyDescent="0.3">
      <c r="A57" s="89"/>
      <c r="B57" s="89"/>
      <c r="C57" s="89"/>
      <c r="D57" s="89"/>
      <c r="E57" s="89"/>
      <c r="F57" s="89"/>
      <c r="G57" s="89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</row>
    <row r="58" spans="1:29" x14ac:dyDescent="0.3">
      <c r="A58" s="89"/>
      <c r="B58" s="89"/>
      <c r="C58" s="89"/>
      <c r="D58" s="89"/>
      <c r="E58" s="89"/>
      <c r="F58" s="89"/>
      <c r="G58" s="89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</row>
    <row r="59" spans="1:29" x14ac:dyDescent="0.3">
      <c r="A59" s="89"/>
      <c r="B59" s="89"/>
      <c r="C59" s="89"/>
      <c r="D59" s="89"/>
      <c r="E59" s="89"/>
      <c r="F59" s="89"/>
      <c r="G59" s="89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</row>
    <row r="60" spans="1:29" x14ac:dyDescent="0.3">
      <c r="A60" s="89"/>
      <c r="B60" s="89"/>
      <c r="C60" s="89"/>
      <c r="D60" s="89"/>
      <c r="E60" s="89"/>
      <c r="F60" s="89"/>
      <c r="G60" s="89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</row>
    <row r="61" spans="1:29" x14ac:dyDescent="0.3">
      <c r="A61" s="89"/>
      <c r="B61" s="89"/>
      <c r="C61" s="89"/>
      <c r="D61" s="89"/>
      <c r="E61" s="89"/>
      <c r="F61" s="89"/>
      <c r="G61" s="89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</row>
    <row r="62" spans="1:29" x14ac:dyDescent="0.3">
      <c r="A62" s="89"/>
      <c r="B62" s="89"/>
      <c r="C62" s="89"/>
      <c r="D62" s="89"/>
      <c r="E62" s="89"/>
      <c r="F62" s="89"/>
      <c r="G62" s="89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</row>
    <row r="63" spans="1:29" x14ac:dyDescent="0.3">
      <c r="A63" s="89"/>
      <c r="B63" s="89"/>
      <c r="C63" s="89"/>
      <c r="D63" s="89"/>
      <c r="E63" s="89"/>
      <c r="F63" s="89"/>
      <c r="G63" s="89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</row>
    <row r="64" spans="1:29" x14ac:dyDescent="0.3">
      <c r="A64" s="89"/>
      <c r="B64" s="89"/>
      <c r="C64" s="89"/>
      <c r="D64" s="89"/>
      <c r="E64" s="89"/>
      <c r="F64" s="89"/>
      <c r="G64" s="89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</row>
    <row r="65" spans="1:29" x14ac:dyDescent="0.3">
      <c r="A65" s="89"/>
      <c r="B65" s="89"/>
      <c r="C65" s="89"/>
      <c r="D65" s="89"/>
      <c r="E65" s="89"/>
      <c r="F65" s="89"/>
      <c r="G65" s="89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</row>
    <row r="66" spans="1:29" x14ac:dyDescent="0.3">
      <c r="A66" s="89"/>
      <c r="B66" s="89"/>
      <c r="C66" s="89"/>
      <c r="D66" s="89"/>
      <c r="E66" s="89"/>
      <c r="F66" s="89"/>
      <c r="G66" s="89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</row>
    <row r="67" spans="1:29" x14ac:dyDescent="0.3">
      <c r="A67" s="89"/>
      <c r="B67" s="89"/>
      <c r="C67" s="89"/>
      <c r="D67" s="89"/>
      <c r="E67" s="89"/>
      <c r="F67" s="89"/>
      <c r="G67" s="89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</row>
    <row r="68" spans="1:29" x14ac:dyDescent="0.3">
      <c r="A68" s="89"/>
      <c r="B68" s="89"/>
      <c r="C68" s="89"/>
      <c r="D68" s="89"/>
      <c r="E68" s="89"/>
      <c r="F68" s="89"/>
      <c r="G68" s="89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</row>
    <row r="69" spans="1:29" x14ac:dyDescent="0.3">
      <c r="A69" s="89"/>
      <c r="B69" s="89"/>
      <c r="C69" s="89"/>
      <c r="D69" s="89"/>
      <c r="E69" s="89"/>
      <c r="F69" s="89"/>
      <c r="G69" s="89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</row>
    <row r="70" spans="1:29" x14ac:dyDescent="0.3">
      <c r="A70" s="89"/>
      <c r="B70" s="89"/>
      <c r="C70" s="89"/>
      <c r="D70" s="89"/>
      <c r="E70" s="89"/>
      <c r="F70" s="89"/>
      <c r="G70" s="89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</row>
    <row r="71" spans="1:29" x14ac:dyDescent="0.3">
      <c r="A71" s="89"/>
      <c r="B71" s="89"/>
      <c r="C71" s="89"/>
      <c r="D71" s="89"/>
      <c r="E71" s="89"/>
      <c r="F71" s="89"/>
      <c r="G71" s="89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</row>
  </sheetData>
  <mergeCells count="3">
    <mergeCell ref="A21:B21"/>
    <mergeCell ref="A27:B27"/>
    <mergeCell ref="D32:H32"/>
  </mergeCells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553f0066-c24e-444c-9c2a-7427c31ebeab}" enabled="1" method="Standard" siteId="{e5aafe7c-971b-4ab7-b039-141ad36acec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8 (A)</vt:lpstr>
      <vt:lpstr>Table 8 (B)</vt:lpstr>
      <vt:lpstr>Table 9-10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oxyhy</dc:creator>
  <cp:lastModifiedBy>oxyhywater@outlook.com</cp:lastModifiedBy>
  <dcterms:created xsi:type="dcterms:W3CDTF">2015-06-05T18:19:34Z</dcterms:created>
  <dcterms:modified xsi:type="dcterms:W3CDTF">2023-02-05T17:18:09Z</dcterms:modified>
</cp:coreProperties>
</file>