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"/>
    </mc:Choice>
  </mc:AlternateContent>
  <xr:revisionPtr revIDLastSave="0" documentId="13_ncr:1_{D552D0B9-3B43-4FCB-BDC1-D2BD928500F9}" xr6:coauthVersionLast="47" xr6:coauthVersionMax="47" xr10:uidLastSave="{00000000-0000-0000-0000-000000000000}"/>
  <bookViews>
    <workbookView xWindow="-120" yWindow="-120" windowWidth="51840" windowHeight="21240" activeTab="1" xr2:uid="{00000000-000D-0000-FFFF-FFFF00000000}"/>
  </bookViews>
  <sheets>
    <sheet name="Filenames" sheetId="1" r:id="rId1"/>
    <sheet name="Summary" sheetId="2" r:id="rId2"/>
    <sheet name="6.5 kV" sheetId="3" r:id="rId3"/>
    <sheet name="8.0 kV" sheetId="4" r:id="rId4"/>
    <sheet name="9.5 kV" sheetId="5" r:id="rId5"/>
    <sheet name="tank curve align" sheetId="6" r:id="rId6"/>
    <sheet name="Efficiency_from_DeltaU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96" i="2" l="1"/>
  <c r="Y97" i="2"/>
  <c r="Y95" i="2"/>
  <c r="X96" i="2"/>
  <c r="X97" i="2"/>
  <c r="X95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46" i="2"/>
  <c r="R91" i="2"/>
  <c r="R92" i="2"/>
  <c r="R93" i="2"/>
  <c r="R94" i="2"/>
  <c r="R95" i="2"/>
  <c r="R96" i="2"/>
  <c r="R97" i="2"/>
  <c r="R98" i="2"/>
  <c r="R99" i="2"/>
  <c r="R100" i="2"/>
  <c r="R101" i="2"/>
  <c r="R102" i="2"/>
  <c r="R105" i="2"/>
  <c r="X69" i="2"/>
  <c r="W69" i="2"/>
  <c r="V70" i="2"/>
  <c r="V71" i="2"/>
  <c r="V69" i="2"/>
  <c r="F91" i="2"/>
  <c r="G91" i="2"/>
  <c r="M73" i="2"/>
  <c r="N73" i="2"/>
  <c r="M74" i="2"/>
  <c r="N74" i="2"/>
  <c r="M75" i="2"/>
  <c r="N75" i="2"/>
  <c r="M76" i="2"/>
  <c r="N76" i="2"/>
  <c r="M77" i="2"/>
  <c r="N77" i="2"/>
  <c r="M78" i="2"/>
  <c r="N78" i="2"/>
  <c r="M79" i="2"/>
  <c r="N79" i="2"/>
  <c r="M80" i="2"/>
  <c r="N80" i="2"/>
  <c r="M81" i="2"/>
  <c r="N81" i="2"/>
  <c r="M53" i="2"/>
  <c r="N53" i="2"/>
  <c r="M54" i="2"/>
  <c r="N54" i="2"/>
  <c r="M55" i="2"/>
  <c r="N55" i="2"/>
  <c r="M56" i="2"/>
  <c r="N56" i="2"/>
  <c r="M57" i="2"/>
  <c r="N57" i="2"/>
  <c r="M58" i="2"/>
  <c r="N58" i="2"/>
  <c r="M59" i="2"/>
  <c r="N59" i="2"/>
  <c r="M60" i="2"/>
  <c r="N60" i="2"/>
  <c r="M61" i="2"/>
  <c r="N61" i="2"/>
  <c r="M52" i="2"/>
  <c r="N52" i="2"/>
  <c r="M47" i="2"/>
  <c r="N47" i="2"/>
  <c r="M48" i="2"/>
  <c r="N48" i="2"/>
  <c r="M49" i="2"/>
  <c r="N49" i="2"/>
  <c r="F61" i="2"/>
  <c r="G61" i="2" s="1"/>
  <c r="F81" i="2"/>
  <c r="G81" i="2" s="1"/>
  <c r="F67" i="2"/>
  <c r="M96" i="2"/>
  <c r="N96" i="2"/>
  <c r="M97" i="2"/>
  <c r="N97" i="2"/>
  <c r="M98" i="2"/>
  <c r="N98" i="2"/>
  <c r="M99" i="2"/>
  <c r="N99" i="2"/>
  <c r="M100" i="2"/>
  <c r="N100" i="2"/>
  <c r="M101" i="2"/>
  <c r="N101" i="2"/>
  <c r="M102" i="2"/>
  <c r="N102" i="2"/>
  <c r="M103" i="2"/>
  <c r="N103" i="2"/>
  <c r="M104" i="2"/>
  <c r="N104" i="2"/>
  <c r="G67" i="2"/>
  <c r="M67" i="2"/>
  <c r="N67" i="2"/>
  <c r="F47" i="2"/>
  <c r="G47" i="2"/>
  <c r="M91" i="2"/>
  <c r="N105" i="2"/>
  <c r="L105" i="2"/>
  <c r="M105" i="2" s="1"/>
  <c r="F105" i="2"/>
  <c r="G105" i="2" s="1"/>
  <c r="N95" i="2"/>
  <c r="M95" i="2"/>
  <c r="N94" i="2"/>
  <c r="M94" i="2"/>
  <c r="N93" i="2"/>
  <c r="M93" i="2"/>
  <c r="N92" i="2"/>
  <c r="M92" i="2"/>
  <c r="D92" i="2"/>
  <c r="D93" i="2" s="1"/>
  <c r="M90" i="2"/>
  <c r="F90" i="2"/>
  <c r="G90" i="2" s="1"/>
  <c r="N72" i="2"/>
  <c r="M72" i="2"/>
  <c r="N71" i="2"/>
  <c r="M71" i="2"/>
  <c r="N70" i="2"/>
  <c r="M70" i="2"/>
  <c r="N69" i="2"/>
  <c r="M69" i="2"/>
  <c r="W6" i="2"/>
  <c r="X6" i="2" s="1"/>
  <c r="W7" i="2"/>
  <c r="X7" i="2" s="1"/>
  <c r="W5" i="2"/>
  <c r="X5" i="2" s="1"/>
  <c r="W10" i="2"/>
  <c r="W9" i="2"/>
  <c r="M41" i="2"/>
  <c r="N41" i="2"/>
  <c r="N50" i="2"/>
  <c r="N51" i="2"/>
  <c r="N68" i="2"/>
  <c r="N42" i="2"/>
  <c r="N43" i="2"/>
  <c r="F46" i="2"/>
  <c r="D48" i="2"/>
  <c r="F48" i="2" s="1"/>
  <c r="M46" i="2"/>
  <c r="M50" i="2"/>
  <c r="M51" i="2"/>
  <c r="F66" i="2"/>
  <c r="G66" i="2" s="1"/>
  <c r="D68" i="2"/>
  <c r="F68" i="2" s="1"/>
  <c r="G68" i="2" s="1"/>
  <c r="M66" i="2"/>
  <c r="M68" i="2"/>
  <c r="D42" i="2"/>
  <c r="F42" i="2" s="1"/>
  <c r="D43" i="2"/>
  <c r="F43" i="2" s="1"/>
  <c r="D41" i="2"/>
  <c r="F41" i="2" s="1"/>
  <c r="M43" i="2"/>
  <c r="M42" i="2"/>
  <c r="M35" i="2"/>
  <c r="M36" i="2"/>
  <c r="M34" i="2"/>
  <c r="E35" i="2"/>
  <c r="E36" i="2"/>
  <c r="E34" i="2"/>
  <c r="F36" i="2"/>
  <c r="F35" i="2"/>
  <c r="F34" i="2"/>
  <c r="E205" i="2"/>
  <c r="F205" i="2" s="1"/>
  <c r="G205" i="2" s="1"/>
  <c r="E204" i="2"/>
  <c r="F204" i="2" s="1"/>
  <c r="G204" i="2" s="1"/>
  <c r="F203" i="2"/>
  <c r="G203" i="2" s="1"/>
  <c r="E203" i="2"/>
  <c r="Y159" i="2"/>
  <c r="X159" i="2"/>
  <c r="Z159" i="2" s="1"/>
  <c r="Y158" i="2"/>
  <c r="X158" i="2"/>
  <c r="Z158" i="2" s="1"/>
  <c r="Y157" i="2"/>
  <c r="X157" i="2"/>
  <c r="Z157" i="2" s="1"/>
  <c r="F57" i="7"/>
  <c r="K57" i="7"/>
  <c r="Q54" i="7"/>
  <c r="Q55" i="7" s="1"/>
  <c r="Q57" i="7" s="1"/>
  <c r="K54" i="7"/>
  <c r="K55" i="7" s="1"/>
  <c r="F55" i="7"/>
  <c r="F54" i="7"/>
  <c r="F6" i="7"/>
  <c r="Q49" i="7"/>
  <c r="Q48" i="7"/>
  <c r="Q47" i="7"/>
  <c r="Q46" i="7"/>
  <c r="Q45" i="7"/>
  <c r="Q44" i="7"/>
  <c r="Q43" i="7"/>
  <c r="Q42" i="7"/>
  <c r="K42" i="7"/>
  <c r="Q41" i="7"/>
  <c r="K41" i="7"/>
  <c r="Q40" i="7"/>
  <c r="K40" i="7"/>
  <c r="Q39" i="7"/>
  <c r="K39" i="7"/>
  <c r="Q38" i="7"/>
  <c r="K38" i="7"/>
  <c r="F38" i="7"/>
  <c r="Q37" i="7"/>
  <c r="K37" i="7"/>
  <c r="F37" i="7"/>
  <c r="Q36" i="7"/>
  <c r="K36" i="7"/>
  <c r="F36" i="7"/>
  <c r="Q35" i="7"/>
  <c r="K35" i="7"/>
  <c r="F35" i="7"/>
  <c r="Q34" i="7"/>
  <c r="K34" i="7"/>
  <c r="F34" i="7"/>
  <c r="Q33" i="7"/>
  <c r="K33" i="7"/>
  <c r="F33" i="7"/>
  <c r="Q32" i="7"/>
  <c r="K32" i="7"/>
  <c r="F32" i="7"/>
  <c r="Q31" i="7"/>
  <c r="K31" i="7"/>
  <c r="F31" i="7"/>
  <c r="Q30" i="7"/>
  <c r="K30" i="7"/>
  <c r="F30" i="7"/>
  <c r="Q29" i="7"/>
  <c r="K29" i="7"/>
  <c r="F29" i="7"/>
  <c r="Q28" i="7"/>
  <c r="K28" i="7"/>
  <c r="F28" i="7"/>
  <c r="Q27" i="7"/>
  <c r="K27" i="7"/>
  <c r="F27" i="7"/>
  <c r="Q26" i="7"/>
  <c r="K26" i="7"/>
  <c r="F26" i="7"/>
  <c r="Q25" i="7"/>
  <c r="K25" i="7"/>
  <c r="F25" i="7"/>
  <c r="Q24" i="7"/>
  <c r="K24" i="7"/>
  <c r="F24" i="7"/>
  <c r="Q23" i="7"/>
  <c r="K23" i="7"/>
  <c r="F23" i="7"/>
  <c r="Q22" i="7"/>
  <c r="K22" i="7"/>
  <c r="F22" i="7"/>
  <c r="Q21" i="7"/>
  <c r="K21" i="7"/>
  <c r="F21" i="7"/>
  <c r="Q20" i="7"/>
  <c r="K20" i="7"/>
  <c r="F20" i="7"/>
  <c r="Q19" i="7"/>
  <c r="K19" i="7"/>
  <c r="F19" i="7"/>
  <c r="Q18" i="7"/>
  <c r="K18" i="7"/>
  <c r="F18" i="7"/>
  <c r="Q17" i="7"/>
  <c r="K17" i="7"/>
  <c r="F17" i="7"/>
  <c r="Q16" i="7"/>
  <c r="K16" i="7"/>
  <c r="F16" i="7"/>
  <c r="Q15" i="7"/>
  <c r="K15" i="7"/>
  <c r="F15" i="7"/>
  <c r="Q14" i="7"/>
  <c r="K14" i="7"/>
  <c r="F14" i="7"/>
  <c r="Q13" i="7"/>
  <c r="K13" i="7"/>
  <c r="F13" i="7"/>
  <c r="Q12" i="7"/>
  <c r="K12" i="7"/>
  <c r="F12" i="7"/>
  <c r="Q11" i="7"/>
  <c r="K11" i="7"/>
  <c r="F11" i="7"/>
  <c r="Q10" i="7"/>
  <c r="K10" i="7"/>
  <c r="F10" i="7"/>
  <c r="Q9" i="7"/>
  <c r="K9" i="7"/>
  <c r="F9" i="7"/>
  <c r="Q8" i="7"/>
  <c r="K8" i="7"/>
  <c r="F8" i="7"/>
  <c r="Q7" i="7"/>
  <c r="K7" i="7"/>
  <c r="F7" i="7"/>
  <c r="Q6" i="7"/>
  <c r="Q52" i="7" s="1"/>
  <c r="K6" i="7"/>
  <c r="K52" i="7" s="1"/>
  <c r="F52" i="7"/>
  <c r="AG44" i="4"/>
  <c r="AG8" i="4"/>
  <c r="AH8" i="4"/>
  <c r="AI8" i="4"/>
  <c r="AJ8" i="4"/>
  <c r="AG9" i="4"/>
  <c r="AH9" i="4"/>
  <c r="AI9" i="4"/>
  <c r="AJ9" i="4"/>
  <c r="AG10" i="4"/>
  <c r="AH10" i="4"/>
  <c r="AI10" i="4"/>
  <c r="AJ10" i="4"/>
  <c r="AG11" i="4"/>
  <c r="AH11" i="4"/>
  <c r="AI11" i="4"/>
  <c r="AJ11" i="4"/>
  <c r="AG12" i="4"/>
  <c r="AH12" i="4"/>
  <c r="AI12" i="4"/>
  <c r="AJ12" i="4"/>
  <c r="AG13" i="4"/>
  <c r="AH13" i="4"/>
  <c r="AI13" i="4"/>
  <c r="AJ13" i="4"/>
  <c r="AG14" i="4"/>
  <c r="AH14" i="4"/>
  <c r="AI14" i="4"/>
  <c r="AJ14" i="4"/>
  <c r="AG15" i="4"/>
  <c r="AH15" i="4"/>
  <c r="AI15" i="4"/>
  <c r="AJ15" i="4"/>
  <c r="AG16" i="4"/>
  <c r="AH16" i="4"/>
  <c r="AI16" i="4"/>
  <c r="AJ16" i="4"/>
  <c r="AG17" i="4"/>
  <c r="AH17" i="4"/>
  <c r="AI17" i="4"/>
  <c r="AJ17" i="4"/>
  <c r="AG18" i="4"/>
  <c r="AH18" i="4"/>
  <c r="AI18" i="4"/>
  <c r="AJ18" i="4"/>
  <c r="AG19" i="4"/>
  <c r="AH19" i="4"/>
  <c r="AI19" i="4"/>
  <c r="AJ19" i="4"/>
  <c r="AI7" i="4"/>
  <c r="AG7" i="4"/>
  <c r="AJ7" i="4"/>
  <c r="AH7" i="4"/>
  <c r="L82" i="3"/>
  <c r="L81" i="3"/>
  <c r="L80" i="3"/>
  <c r="AC77" i="3" a="1"/>
  <c r="AC77" i="3" s="1"/>
  <c r="AB77" i="3" a="1"/>
  <c r="AB77" i="3" s="1"/>
  <c r="AD77" i="3" s="1"/>
  <c r="Y77" i="3" a="1"/>
  <c r="Y77" i="3" s="1"/>
  <c r="X77" i="3" a="1"/>
  <c r="X77" i="3" s="1"/>
  <c r="Z77" i="3" s="1"/>
  <c r="U77" i="3" a="1"/>
  <c r="U77" i="3" s="1"/>
  <c r="T77" i="3" a="1"/>
  <c r="T77" i="3" s="1"/>
  <c r="V77" i="3" s="1"/>
  <c r="Q77" i="3" a="1"/>
  <c r="Q77" i="3" s="1"/>
  <c r="P77" i="3" a="1"/>
  <c r="P77" i="3" s="1"/>
  <c r="R77" i="3" s="1"/>
  <c r="M77" i="3" a="1"/>
  <c r="M77" i="3" s="1"/>
  <c r="N77" i="3" s="1"/>
  <c r="L77" i="3" a="1"/>
  <c r="L77" i="3" s="1"/>
  <c r="R61" i="3"/>
  <c r="R62" i="3"/>
  <c r="R63" i="3"/>
  <c r="R64" i="3"/>
  <c r="R65" i="3"/>
  <c r="R66" i="3"/>
  <c r="R67" i="3"/>
  <c r="R68" i="3"/>
  <c r="R69" i="3"/>
  <c r="R70" i="3"/>
  <c r="R71" i="3"/>
  <c r="R72" i="3"/>
  <c r="R60" i="3"/>
  <c r="V61" i="3"/>
  <c r="V62" i="3"/>
  <c r="V63" i="3"/>
  <c r="V64" i="3"/>
  <c r="V65" i="3"/>
  <c r="V66" i="3"/>
  <c r="V67" i="3"/>
  <c r="V68" i="3"/>
  <c r="V69" i="3"/>
  <c r="V70" i="3"/>
  <c r="V71" i="3"/>
  <c r="V72" i="3"/>
  <c r="V60" i="3"/>
  <c r="Z61" i="3"/>
  <c r="Z62" i="3"/>
  <c r="Z63" i="3"/>
  <c r="Z64" i="3"/>
  <c r="Z65" i="3"/>
  <c r="Z66" i="3"/>
  <c r="Z67" i="3"/>
  <c r="Z68" i="3"/>
  <c r="Z69" i="3"/>
  <c r="Z70" i="3"/>
  <c r="Z71" i="3"/>
  <c r="Z72" i="3"/>
  <c r="Z60" i="3"/>
  <c r="N61" i="3"/>
  <c r="N62" i="3"/>
  <c r="N63" i="3"/>
  <c r="N64" i="3"/>
  <c r="N65" i="3"/>
  <c r="N66" i="3"/>
  <c r="N67" i="3"/>
  <c r="N68" i="3"/>
  <c r="N69" i="3"/>
  <c r="N70" i="3"/>
  <c r="N71" i="3"/>
  <c r="N72" i="3"/>
  <c r="N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60" i="3"/>
  <c r="M61" i="3"/>
  <c r="M62" i="3"/>
  <c r="M63" i="3"/>
  <c r="M64" i="3"/>
  <c r="M65" i="3"/>
  <c r="M66" i="3"/>
  <c r="M67" i="3"/>
  <c r="M68" i="3"/>
  <c r="M69" i="3"/>
  <c r="M70" i="3"/>
  <c r="M71" i="3"/>
  <c r="M72" i="3"/>
  <c r="M60" i="3"/>
  <c r="L61" i="3"/>
  <c r="P61" i="3"/>
  <c r="Q61" i="3"/>
  <c r="T61" i="3"/>
  <c r="U61" i="3"/>
  <c r="X61" i="3"/>
  <c r="Y61" i="3"/>
  <c r="AB61" i="3"/>
  <c r="AC61" i="3"/>
  <c r="L62" i="3"/>
  <c r="P62" i="3"/>
  <c r="Q62" i="3"/>
  <c r="T62" i="3"/>
  <c r="U62" i="3"/>
  <c r="X62" i="3"/>
  <c r="Y62" i="3"/>
  <c r="AB62" i="3"/>
  <c r="AC62" i="3"/>
  <c r="L63" i="3"/>
  <c r="P63" i="3"/>
  <c r="Q63" i="3"/>
  <c r="T63" i="3"/>
  <c r="U63" i="3"/>
  <c r="X63" i="3"/>
  <c r="Y63" i="3"/>
  <c r="AB63" i="3"/>
  <c r="AC63" i="3"/>
  <c r="L64" i="3"/>
  <c r="P64" i="3"/>
  <c r="Q64" i="3"/>
  <c r="T64" i="3"/>
  <c r="U64" i="3"/>
  <c r="X64" i="3"/>
  <c r="Y64" i="3"/>
  <c r="AB64" i="3"/>
  <c r="AC64" i="3"/>
  <c r="L65" i="3"/>
  <c r="P65" i="3"/>
  <c r="Q65" i="3"/>
  <c r="T65" i="3"/>
  <c r="U65" i="3"/>
  <c r="X65" i="3"/>
  <c r="Y65" i="3"/>
  <c r="AB65" i="3"/>
  <c r="AC65" i="3"/>
  <c r="L66" i="3"/>
  <c r="P66" i="3"/>
  <c r="Q66" i="3"/>
  <c r="T66" i="3"/>
  <c r="U66" i="3"/>
  <c r="X66" i="3"/>
  <c r="Y66" i="3"/>
  <c r="AB66" i="3"/>
  <c r="AC66" i="3"/>
  <c r="L67" i="3"/>
  <c r="P67" i="3"/>
  <c r="Q67" i="3"/>
  <c r="T67" i="3"/>
  <c r="U67" i="3"/>
  <c r="X67" i="3"/>
  <c r="Y67" i="3"/>
  <c r="AB67" i="3"/>
  <c r="AC67" i="3"/>
  <c r="L68" i="3"/>
  <c r="P68" i="3"/>
  <c r="Q68" i="3"/>
  <c r="T68" i="3"/>
  <c r="U68" i="3"/>
  <c r="X68" i="3"/>
  <c r="Y68" i="3"/>
  <c r="AB68" i="3"/>
  <c r="AC68" i="3"/>
  <c r="L69" i="3"/>
  <c r="P69" i="3"/>
  <c r="Q69" i="3"/>
  <c r="T69" i="3"/>
  <c r="U69" i="3"/>
  <c r="X69" i="3"/>
  <c r="Y69" i="3"/>
  <c r="AB69" i="3"/>
  <c r="AC69" i="3"/>
  <c r="L70" i="3"/>
  <c r="P70" i="3"/>
  <c r="Q70" i="3"/>
  <c r="T70" i="3"/>
  <c r="U70" i="3"/>
  <c r="X70" i="3"/>
  <c r="Y70" i="3"/>
  <c r="AB70" i="3"/>
  <c r="AC70" i="3"/>
  <c r="L71" i="3"/>
  <c r="P71" i="3"/>
  <c r="Q71" i="3"/>
  <c r="T71" i="3"/>
  <c r="U71" i="3"/>
  <c r="X71" i="3"/>
  <c r="Y71" i="3"/>
  <c r="AB71" i="3"/>
  <c r="AC71" i="3"/>
  <c r="L72" i="3"/>
  <c r="P72" i="3"/>
  <c r="Q72" i="3"/>
  <c r="T72" i="3"/>
  <c r="U72" i="3"/>
  <c r="X72" i="3"/>
  <c r="Y72" i="3"/>
  <c r="AB72" i="3"/>
  <c r="AC72" i="3"/>
  <c r="AC60" i="3"/>
  <c r="AB60" i="3"/>
  <c r="Y60" i="3"/>
  <c r="X60" i="3"/>
  <c r="U60" i="3"/>
  <c r="T60" i="3"/>
  <c r="Q60" i="3"/>
  <c r="P60" i="3"/>
  <c r="L60" i="3"/>
  <c r="Y52" i="3"/>
  <c r="X52" i="3"/>
  <c r="W52" i="3"/>
  <c r="L22" i="6"/>
  <c r="L23" i="6"/>
  <c r="L24" i="6"/>
  <c r="L25" i="6"/>
  <c r="L26" i="6"/>
  <c r="L27" i="6"/>
  <c r="L28" i="6"/>
  <c r="L29" i="6"/>
  <c r="L30" i="6"/>
  <c r="L31" i="6"/>
  <c r="L32" i="6"/>
  <c r="L33" i="6"/>
  <c r="L21" i="6"/>
  <c r="I49" i="6"/>
  <c r="D49" i="6"/>
  <c r="B49" i="6" a="1"/>
  <c r="B49" i="6" s="1"/>
  <c r="C49" i="6" a="1"/>
  <c r="C49" i="6" s="1"/>
  <c r="G49" i="6" a="1"/>
  <c r="G49" i="6" s="1"/>
  <c r="H49" i="6" a="1"/>
  <c r="H49" i="6" s="1"/>
  <c r="L52" i="6" a="1"/>
  <c r="L52" i="6" s="1"/>
  <c r="M21" i="6"/>
  <c r="M22" i="6"/>
  <c r="M33" i="6"/>
  <c r="M23" i="6"/>
  <c r="M24" i="6"/>
  <c r="M25" i="6"/>
  <c r="M26" i="6"/>
  <c r="M27" i="6"/>
  <c r="M28" i="6"/>
  <c r="M29" i="6"/>
  <c r="M30" i="6"/>
  <c r="M31" i="6"/>
  <c r="M32" i="6"/>
  <c r="H22" i="6"/>
  <c r="I22" i="6"/>
  <c r="H23" i="6"/>
  <c r="I23" i="6"/>
  <c r="H24" i="6"/>
  <c r="I24" i="6"/>
  <c r="H25" i="6"/>
  <c r="I25" i="6"/>
  <c r="H26" i="6"/>
  <c r="I26" i="6"/>
  <c r="H27" i="6"/>
  <c r="I27" i="6"/>
  <c r="H28" i="6"/>
  <c r="I28" i="6"/>
  <c r="H29" i="6"/>
  <c r="I29" i="6"/>
  <c r="H30" i="6"/>
  <c r="I30" i="6"/>
  <c r="H31" i="6"/>
  <c r="I31" i="6"/>
  <c r="H32" i="6"/>
  <c r="I32" i="6"/>
  <c r="H33" i="6"/>
  <c r="I33" i="6"/>
  <c r="I21" i="6"/>
  <c r="H21" i="6"/>
  <c r="E22" i="6"/>
  <c r="E23" i="6"/>
  <c r="E24" i="6"/>
  <c r="E25" i="6"/>
  <c r="E26" i="6"/>
  <c r="E27" i="6"/>
  <c r="E28" i="6"/>
  <c r="E29" i="6"/>
  <c r="E30" i="6"/>
  <c r="E31" i="6"/>
  <c r="E32" i="6"/>
  <c r="E33" i="6"/>
  <c r="E21" i="6"/>
  <c r="D22" i="6"/>
  <c r="D23" i="6"/>
  <c r="D24" i="6"/>
  <c r="D25" i="6"/>
  <c r="D26" i="6"/>
  <c r="D27" i="6"/>
  <c r="D28" i="6"/>
  <c r="D29" i="6"/>
  <c r="D30" i="6"/>
  <c r="D31" i="6"/>
  <c r="D32" i="6"/>
  <c r="D33" i="6"/>
  <c r="D21" i="6"/>
  <c r="O49" i="6"/>
  <c r="J49" i="6"/>
  <c r="E49" i="6"/>
  <c r="K42" i="6" a="1"/>
  <c r="K42" i="6" s="1"/>
  <c r="G42" i="6" a="1"/>
  <c r="G42" i="6" s="1"/>
  <c r="K36" i="6" a="1"/>
  <c r="K36" i="6" s="1"/>
  <c r="G36" i="6" a="1"/>
  <c r="G36" i="6" s="1"/>
  <c r="B42" i="6" a="1"/>
  <c r="B42" i="6" s="1"/>
  <c r="B36" i="6" a="1"/>
  <c r="B36" i="6" s="1"/>
  <c r="H193" i="2"/>
  <c r="H192" i="2"/>
  <c r="H191" i="2"/>
  <c r="H186" i="2"/>
  <c r="I186" i="2" s="1"/>
  <c r="H187" i="2"/>
  <c r="I187" i="2" s="1"/>
  <c r="H185" i="2"/>
  <c r="I185" i="2" s="1"/>
  <c r="H180" i="2"/>
  <c r="H181" i="2"/>
  <c r="H179" i="2"/>
  <c r="G232" i="2"/>
  <c r="M232" i="2" s="1"/>
  <c r="G233" i="2"/>
  <c r="H233" i="2" s="1"/>
  <c r="G231" i="2"/>
  <c r="H231" i="2" s="1"/>
  <c r="V26" i="2"/>
  <c r="J226" i="2"/>
  <c r="K226" i="2" s="1"/>
  <c r="J225" i="2"/>
  <c r="K225" i="2" s="1"/>
  <c r="J224" i="2"/>
  <c r="K224" i="2" s="1"/>
  <c r="C218" i="2"/>
  <c r="C219" i="2"/>
  <c r="C217" i="2"/>
  <c r="D217" i="2" s="1"/>
  <c r="D49" i="2" l="1"/>
  <c r="D50" i="2" s="1"/>
  <c r="D51" i="2" s="1"/>
  <c r="D69" i="2"/>
  <c r="D70" i="2" s="1"/>
  <c r="D71" i="2" s="1"/>
  <c r="D94" i="2"/>
  <c r="F93" i="2"/>
  <c r="F92" i="2"/>
  <c r="G48" i="2"/>
  <c r="G46" i="2"/>
  <c r="AA158" i="2"/>
  <c r="AB152" i="2" s="1"/>
  <c r="G41" i="2"/>
  <c r="G42" i="2"/>
  <c r="G43" i="2"/>
  <c r="G36" i="2"/>
  <c r="G35" i="2"/>
  <c r="G34" i="2"/>
  <c r="AA157" i="2"/>
  <c r="AB151" i="2" s="1"/>
  <c r="AA159" i="2"/>
  <c r="AB153" i="2" s="1"/>
  <c r="L225" i="2"/>
  <c r="Q225" i="2" s="1"/>
  <c r="M231" i="2"/>
  <c r="H232" i="2"/>
  <c r="L226" i="2"/>
  <c r="Q226" i="2" s="1"/>
  <c r="M233" i="2"/>
  <c r="M224" i="2"/>
  <c r="H203" i="2"/>
  <c r="H204" i="2"/>
  <c r="H205" i="2"/>
  <c r="M226" i="2"/>
  <c r="M49" i="6" a="1"/>
  <c r="M49" i="6" s="1"/>
  <c r="L49" i="6" a="1"/>
  <c r="L49" i="6" s="1"/>
  <c r="L51" i="6"/>
  <c r="J50" i="6"/>
  <c r="E50" i="6"/>
  <c r="M225" i="2"/>
  <c r="L224" i="2"/>
  <c r="Q224" i="2" s="1"/>
  <c r="L22" i="5" a="1"/>
  <c r="L22" i="5" s="1"/>
  <c r="W51" i="5" s="1"/>
  <c r="Y52" i="5"/>
  <c r="X52" i="5"/>
  <c r="W52" i="5"/>
  <c r="Y51" i="5"/>
  <c r="X51" i="5"/>
  <c r="Y52" i="4"/>
  <c r="X52" i="4"/>
  <c r="W52" i="4"/>
  <c r="Y51" i="4"/>
  <c r="X51" i="4"/>
  <c r="W51" i="4"/>
  <c r="Y51" i="3"/>
  <c r="X51" i="3"/>
  <c r="W51" i="3"/>
  <c r="D213" i="2"/>
  <c r="D218" i="2"/>
  <c r="D219" i="2"/>
  <c r="D214" i="2"/>
  <c r="D215" i="2"/>
  <c r="F187" i="2"/>
  <c r="G187" i="2"/>
  <c r="G186" i="2"/>
  <c r="G185" i="2"/>
  <c r="F186" i="2"/>
  <c r="F185" i="2"/>
  <c r="C187" i="2"/>
  <c r="J187" i="2" s="1"/>
  <c r="M186" i="2"/>
  <c r="C186" i="2"/>
  <c r="M185" i="2"/>
  <c r="C185" i="2"/>
  <c r="J185" i="2" s="1"/>
  <c r="F49" i="2" l="1"/>
  <c r="G49" i="2" s="1"/>
  <c r="F50" i="2"/>
  <c r="G50" i="2" s="1"/>
  <c r="F70" i="2"/>
  <c r="F69" i="2"/>
  <c r="D72" i="2"/>
  <c r="D73" i="2" s="1"/>
  <c r="F71" i="2"/>
  <c r="G92" i="2"/>
  <c r="G93" i="2"/>
  <c r="D95" i="2"/>
  <c r="F94" i="2"/>
  <c r="O226" i="2"/>
  <c r="D52" i="2"/>
  <c r="D53" i="2" s="1"/>
  <c r="F51" i="2"/>
  <c r="O225" i="2"/>
  <c r="U185" i="2"/>
  <c r="V185" i="2" s="1"/>
  <c r="W185" i="2" s="1"/>
  <c r="J203" i="2"/>
  <c r="U187" i="2"/>
  <c r="V187" i="2" s="1"/>
  <c r="Y187" i="2" s="1"/>
  <c r="J205" i="2"/>
  <c r="U186" i="2"/>
  <c r="V186" i="2" s="1"/>
  <c r="Y186" i="2" s="1"/>
  <c r="J204" i="2"/>
  <c r="O224" i="2"/>
  <c r="N49" i="6"/>
  <c r="O50" i="6" s="1"/>
  <c r="K187" i="2"/>
  <c r="L187" i="2" s="1"/>
  <c r="N186" i="2"/>
  <c r="Q186" i="2" s="1"/>
  <c r="M187" i="2"/>
  <c r="P187" i="2" s="1"/>
  <c r="J186" i="2"/>
  <c r="K186" i="2" s="1"/>
  <c r="L186" i="2" s="1"/>
  <c r="P185" i="2"/>
  <c r="K185" i="2"/>
  <c r="L185" i="2" s="1"/>
  <c r="P186" i="2"/>
  <c r="U180" i="2"/>
  <c r="U181" i="2"/>
  <c r="U179" i="2"/>
  <c r="U192" i="2"/>
  <c r="U193" i="2"/>
  <c r="U191" i="2"/>
  <c r="C192" i="2"/>
  <c r="J192" i="2" s="1"/>
  <c r="K192" i="2" s="1"/>
  <c r="C193" i="2"/>
  <c r="J193" i="2" s="1"/>
  <c r="K193" i="2" s="1"/>
  <c r="C191" i="2"/>
  <c r="J191" i="2" s="1"/>
  <c r="K191" i="2" s="1"/>
  <c r="C180" i="2"/>
  <c r="C181" i="2"/>
  <c r="C179" i="2"/>
  <c r="J179" i="2" s="1"/>
  <c r="M193" i="2"/>
  <c r="M192" i="2"/>
  <c r="M191" i="2"/>
  <c r="I180" i="2"/>
  <c r="M181" i="2"/>
  <c r="P181" i="2" s="1"/>
  <c r="I181" i="2"/>
  <c r="M179" i="2"/>
  <c r="X179" i="2" s="1"/>
  <c r="E114" i="2"/>
  <c r="W165" i="2"/>
  <c r="Y152" i="2" s="1"/>
  <c r="F153" i="2"/>
  <c r="F154" i="2"/>
  <c r="F155" i="2"/>
  <c r="F156" i="2"/>
  <c r="H153" i="2"/>
  <c r="H154" i="2"/>
  <c r="H155" i="2"/>
  <c r="H156" i="2"/>
  <c r="H162" i="2"/>
  <c r="H163" i="2"/>
  <c r="H164" i="2"/>
  <c r="H165" i="2"/>
  <c r="F162" i="2"/>
  <c r="F163" i="2"/>
  <c r="F164" i="2"/>
  <c r="F165" i="2"/>
  <c r="F161" i="2"/>
  <c r="H161" i="2"/>
  <c r="H152" i="2"/>
  <c r="F152" i="2"/>
  <c r="H144" i="2"/>
  <c r="H145" i="2"/>
  <c r="H146" i="2"/>
  <c r="H147" i="2"/>
  <c r="F144" i="2"/>
  <c r="F145" i="2"/>
  <c r="F146" i="2"/>
  <c r="F147" i="2"/>
  <c r="H143" i="2"/>
  <c r="F143" i="2"/>
  <c r="J151" i="2"/>
  <c r="G148" i="2"/>
  <c r="G157" i="2"/>
  <c r="I144" i="2"/>
  <c r="Q144" i="2" s="1"/>
  <c r="I145" i="2"/>
  <c r="Q145" i="2" s="1"/>
  <c r="I146" i="2"/>
  <c r="Q146" i="2" s="1"/>
  <c r="I147" i="2"/>
  <c r="I152" i="2"/>
  <c r="I153" i="2"/>
  <c r="Q153" i="2" s="1"/>
  <c r="I154" i="2"/>
  <c r="Q154" i="2" s="1"/>
  <c r="I155" i="2"/>
  <c r="Q155" i="2" s="1"/>
  <c r="I156" i="2"/>
  <c r="Q156" i="2" s="1"/>
  <c r="I161" i="2"/>
  <c r="Q161" i="2" s="1"/>
  <c r="I162" i="2"/>
  <c r="Q162" i="2" s="1"/>
  <c r="I163" i="2"/>
  <c r="Q163" i="2" s="1"/>
  <c r="I164" i="2"/>
  <c r="Q164" i="2" s="1"/>
  <c r="I165" i="2"/>
  <c r="Q165" i="2" s="1"/>
  <c r="I143" i="2"/>
  <c r="Q143" i="2" s="1"/>
  <c r="V166" i="2"/>
  <c r="V165" i="2"/>
  <c r="X153" i="2" s="1"/>
  <c r="Z153" i="2" s="1"/>
  <c r="E118" i="2"/>
  <c r="E117" i="2"/>
  <c r="F122" i="2"/>
  <c r="F123" i="2"/>
  <c r="F124" i="2"/>
  <c r="F125" i="2"/>
  <c r="F126" i="2"/>
  <c r="F130" i="2"/>
  <c r="F131" i="2"/>
  <c r="F132" i="2"/>
  <c r="F133" i="2"/>
  <c r="F134" i="2"/>
  <c r="F115" i="2"/>
  <c r="F116" i="2"/>
  <c r="F117" i="2"/>
  <c r="F118" i="2"/>
  <c r="F114" i="2"/>
  <c r="E116" i="2"/>
  <c r="E115" i="2"/>
  <c r="E126" i="2"/>
  <c r="E125" i="2"/>
  <c r="E124" i="2"/>
  <c r="E123" i="2"/>
  <c r="E122" i="2"/>
  <c r="E134" i="2"/>
  <c r="E133" i="2"/>
  <c r="E132" i="2"/>
  <c r="E130" i="2"/>
  <c r="E131" i="2"/>
  <c r="D143" i="2"/>
  <c r="S143" i="2"/>
  <c r="D144" i="2"/>
  <c r="S144" i="2"/>
  <c r="D145" i="2"/>
  <c r="S145" i="2"/>
  <c r="G17" i="2"/>
  <c r="G15" i="2"/>
  <c r="G167" i="2"/>
  <c r="K167" i="2"/>
  <c r="M167" i="2"/>
  <c r="O167" i="2"/>
  <c r="G158" i="2"/>
  <c r="K158" i="2"/>
  <c r="M158" i="2"/>
  <c r="O158" i="2"/>
  <c r="G149" i="2"/>
  <c r="K149" i="2"/>
  <c r="M149" i="2"/>
  <c r="O149" i="2"/>
  <c r="K148" i="2"/>
  <c r="L148" i="2"/>
  <c r="M148" i="2"/>
  <c r="N148" i="2"/>
  <c r="O148" i="2"/>
  <c r="K157" i="2"/>
  <c r="M157" i="2"/>
  <c r="O157" i="2"/>
  <c r="G166" i="2"/>
  <c r="K166" i="2"/>
  <c r="L166" i="2"/>
  <c r="M166" i="2"/>
  <c r="N166" i="2"/>
  <c r="O166" i="2"/>
  <c r="S164" i="2"/>
  <c r="P38" i="5"/>
  <c r="H30" i="5"/>
  <c r="S161" i="2"/>
  <c r="S163" i="2"/>
  <c r="S162" i="2"/>
  <c r="D54" i="2" l="1"/>
  <c r="F53" i="2"/>
  <c r="D74" i="2"/>
  <c r="F73" i="2"/>
  <c r="G69" i="2"/>
  <c r="G70" i="2"/>
  <c r="G94" i="2"/>
  <c r="G71" i="2"/>
  <c r="D96" i="2"/>
  <c r="F96" i="2" s="1"/>
  <c r="F95" i="2"/>
  <c r="F72" i="2"/>
  <c r="F52" i="2"/>
  <c r="G51" i="2"/>
  <c r="J164" i="2"/>
  <c r="J155" i="2"/>
  <c r="W187" i="2"/>
  <c r="J145" i="2"/>
  <c r="J163" i="2"/>
  <c r="J154" i="2"/>
  <c r="V179" i="2"/>
  <c r="W179" i="2"/>
  <c r="Y185" i="2"/>
  <c r="V181" i="2"/>
  <c r="W181" i="2"/>
  <c r="X181" i="2" s="1"/>
  <c r="O204" i="2"/>
  <c r="L204" i="2"/>
  <c r="K204" i="2"/>
  <c r="V180" i="2"/>
  <c r="W180" i="2"/>
  <c r="Y180" i="2" s="1"/>
  <c r="G114" i="2"/>
  <c r="W186" i="2"/>
  <c r="O205" i="2"/>
  <c r="K205" i="2"/>
  <c r="L205" i="2"/>
  <c r="O203" i="2"/>
  <c r="L203" i="2"/>
  <c r="K203" i="2"/>
  <c r="Y151" i="2"/>
  <c r="J143" i="2"/>
  <c r="J162" i="2"/>
  <c r="F157" i="2"/>
  <c r="V167" i="2"/>
  <c r="Y153" i="2"/>
  <c r="AA153" i="2" s="1"/>
  <c r="AB147" i="2" s="1"/>
  <c r="H157" i="2"/>
  <c r="G125" i="2"/>
  <c r="J146" i="2"/>
  <c r="I149" i="2"/>
  <c r="R186" i="2"/>
  <c r="P191" i="2"/>
  <c r="F128" i="2"/>
  <c r="G133" i="2"/>
  <c r="P192" i="2"/>
  <c r="G134" i="2"/>
  <c r="N192" i="2"/>
  <c r="Q192" i="2" s="1"/>
  <c r="J144" i="2"/>
  <c r="J153" i="2"/>
  <c r="P193" i="2"/>
  <c r="N187" i="2"/>
  <c r="Q187" i="2" s="1"/>
  <c r="R187" i="2" s="1"/>
  <c r="J165" i="2"/>
  <c r="J181" i="2"/>
  <c r="K181" i="2" s="1"/>
  <c r="L181" i="2" s="1"/>
  <c r="J180" i="2"/>
  <c r="K180" i="2" s="1"/>
  <c r="L180" i="2" s="1"/>
  <c r="P179" i="2"/>
  <c r="F148" i="2"/>
  <c r="I157" i="2"/>
  <c r="X144" i="2" s="1"/>
  <c r="Z144" i="2" s="1"/>
  <c r="I158" i="2"/>
  <c r="Q147" i="2"/>
  <c r="Q149" i="2" s="1"/>
  <c r="G122" i="2"/>
  <c r="G130" i="2"/>
  <c r="I166" i="2"/>
  <c r="X145" i="2" s="1"/>
  <c r="Z145" i="2" s="1"/>
  <c r="I167" i="2"/>
  <c r="F136" i="2"/>
  <c r="X151" i="2"/>
  <c r="Z151" i="2" s="1"/>
  <c r="I179" i="2"/>
  <c r="K179" i="2" s="1"/>
  <c r="L179" i="2" s="1"/>
  <c r="H166" i="2"/>
  <c r="J156" i="2"/>
  <c r="Q152" i="2"/>
  <c r="X152" i="2"/>
  <c r="Z152" i="2" s="1"/>
  <c r="AA152" i="2" s="1"/>
  <c r="AB146" i="2" s="1"/>
  <c r="G116" i="2"/>
  <c r="G126" i="2"/>
  <c r="M180" i="2"/>
  <c r="N180" i="2" s="1"/>
  <c r="Q180" i="2" s="1"/>
  <c r="Y179" i="2"/>
  <c r="N185" i="2"/>
  <c r="Q185" i="2" s="1"/>
  <c r="R185" i="2" s="1"/>
  <c r="N181" i="2"/>
  <c r="Q181" i="2" s="1"/>
  <c r="R181" i="2" s="1"/>
  <c r="N191" i="2"/>
  <c r="Q191" i="2" s="1"/>
  <c r="J161" i="2"/>
  <c r="J147" i="2"/>
  <c r="H148" i="2"/>
  <c r="F127" i="2"/>
  <c r="J152" i="2"/>
  <c r="F166" i="2"/>
  <c r="G115" i="2"/>
  <c r="I148" i="2"/>
  <c r="X143" i="2" s="1"/>
  <c r="Z143" i="2" s="1"/>
  <c r="F120" i="2"/>
  <c r="F135" i="2"/>
  <c r="G132" i="2"/>
  <c r="G124" i="2"/>
  <c r="G131" i="2"/>
  <c r="G123" i="2"/>
  <c r="G118" i="2"/>
  <c r="F119" i="2"/>
  <c r="G117" i="2"/>
  <c r="G22" i="2"/>
  <c r="H31" i="5"/>
  <c r="G31" i="5"/>
  <c r="G30" i="5"/>
  <c r="H25" i="5"/>
  <c r="G25" i="5"/>
  <c r="H24" i="5"/>
  <c r="G24" i="5"/>
  <c r="H19" i="5"/>
  <c r="G19" i="5"/>
  <c r="H18" i="5"/>
  <c r="G18" i="5"/>
  <c r="H7" i="5"/>
  <c r="G7" i="5"/>
  <c r="H6" i="5"/>
  <c r="G6" i="5"/>
  <c r="H13" i="5"/>
  <c r="G13" i="5"/>
  <c r="H12" i="5"/>
  <c r="G12" i="5"/>
  <c r="G52" i="2" l="1"/>
  <c r="G73" i="2"/>
  <c r="D75" i="2"/>
  <c r="F74" i="2"/>
  <c r="G53" i="2"/>
  <c r="G96" i="2"/>
  <c r="D55" i="2"/>
  <c r="F54" i="2"/>
  <c r="D97" i="2"/>
  <c r="X180" i="2"/>
  <c r="G72" i="2"/>
  <c r="G95" i="2"/>
  <c r="Y181" i="2"/>
  <c r="P203" i="2"/>
  <c r="R203" i="2" s="1"/>
  <c r="R191" i="2"/>
  <c r="P204" i="2"/>
  <c r="R204" i="2" s="1"/>
  <c r="Q204" i="2"/>
  <c r="S204" i="2" s="1"/>
  <c r="AA151" i="2"/>
  <c r="AB145" i="2" s="1"/>
  <c r="Q203" i="2"/>
  <c r="S203" i="2" s="1"/>
  <c r="X203" i="2"/>
  <c r="P205" i="2"/>
  <c r="R205" i="2" s="1"/>
  <c r="X204" i="2"/>
  <c r="X205" i="2"/>
  <c r="Q205" i="2"/>
  <c r="S205" i="2" s="1"/>
  <c r="G136" i="2"/>
  <c r="J166" i="2"/>
  <c r="Y145" i="2" s="1"/>
  <c r="AA145" i="2" s="1"/>
  <c r="AB139" i="2" s="1"/>
  <c r="J148" i="2"/>
  <c r="Y143" i="2" s="1"/>
  <c r="AA143" i="2" s="1"/>
  <c r="AB137" i="2" s="1"/>
  <c r="N179" i="2"/>
  <c r="Q179" i="2" s="1"/>
  <c r="R179" i="2" s="1"/>
  <c r="G128" i="2"/>
  <c r="P180" i="2"/>
  <c r="R180" i="2" s="1"/>
  <c r="N193" i="2"/>
  <c r="Q193" i="2" s="1"/>
  <c r="R193" i="2" s="1"/>
  <c r="R192" i="2"/>
  <c r="Q148" i="2"/>
  <c r="Q150" i="2" s="1"/>
  <c r="J157" i="2"/>
  <c r="Y144" i="2" s="1"/>
  <c r="AA144" i="2" s="1"/>
  <c r="AB138" i="2" s="1"/>
  <c r="G120" i="2"/>
  <c r="Q166" i="2"/>
  <c r="Q167" i="2"/>
  <c r="L45" i="5"/>
  <c r="G74" i="2" l="1"/>
  <c r="D98" i="2"/>
  <c r="F97" i="2"/>
  <c r="G54" i="2"/>
  <c r="D56" i="2"/>
  <c r="F55" i="2"/>
  <c r="D76" i="2"/>
  <c r="F75" i="2"/>
  <c r="D99" i="2"/>
  <c r="F98" i="2"/>
  <c r="G98" i="2" s="1"/>
  <c r="V204" i="2"/>
  <c r="Y204" i="2"/>
  <c r="U204" i="2"/>
  <c r="V203" i="2"/>
  <c r="Y203" i="2" s="1"/>
  <c r="V205" i="2"/>
  <c r="Y205" i="2" s="1"/>
  <c r="U205" i="2"/>
  <c r="U203" i="2"/>
  <c r="S153" i="2"/>
  <c r="S154" i="2"/>
  <c r="S155" i="2"/>
  <c r="S156" i="2"/>
  <c r="S152" i="2"/>
  <c r="E35" i="4"/>
  <c r="D35" i="4"/>
  <c r="E29" i="4"/>
  <c r="D29" i="4"/>
  <c r="E23" i="4"/>
  <c r="D23" i="4"/>
  <c r="E17" i="4"/>
  <c r="D17" i="4"/>
  <c r="E11" i="4"/>
  <c r="D11" i="4"/>
  <c r="L45" i="4"/>
  <c r="E167" i="2"/>
  <c r="E166" i="2"/>
  <c r="E158" i="2"/>
  <c r="E157" i="2"/>
  <c r="D152" i="2"/>
  <c r="D153" i="2"/>
  <c r="D154" i="2"/>
  <c r="D155" i="2"/>
  <c r="D156" i="2"/>
  <c r="D161" i="2"/>
  <c r="D162" i="2"/>
  <c r="D163" i="2"/>
  <c r="D164" i="2"/>
  <c r="D165" i="2"/>
  <c r="S146" i="2"/>
  <c r="S147" i="2"/>
  <c r="T28" i="3" a="1"/>
  <c r="T28" i="3" s="1"/>
  <c r="T22" i="3" a="1"/>
  <c r="T22" i="3" s="1"/>
  <c r="B78" i="5"/>
  <c r="F65" i="5" a="1"/>
  <c r="F65" i="5" s="1"/>
  <c r="B65" i="5" a="1"/>
  <c r="B65" i="5" s="1"/>
  <c r="AB45" i="5"/>
  <c r="X45" i="5"/>
  <c r="T45" i="5"/>
  <c r="P45" i="5"/>
  <c r="AB41" i="5"/>
  <c r="AB44" i="5" s="1"/>
  <c r="X41" i="5"/>
  <c r="X44" i="5" s="1"/>
  <c r="T41" i="5"/>
  <c r="U41" i="5" s="1"/>
  <c r="V41" i="5" s="1"/>
  <c r="P41" i="5"/>
  <c r="P44" i="5" s="1"/>
  <c r="L41" i="5"/>
  <c r="L44" i="5" s="1"/>
  <c r="AB28" i="5" a="1"/>
  <c r="AB28" i="5" s="1"/>
  <c r="AB36" i="5" s="1"/>
  <c r="X28" i="5" a="1"/>
  <c r="T28" i="5" a="1"/>
  <c r="P28" i="5" a="1"/>
  <c r="P28" i="5" s="1"/>
  <c r="L28" i="5" a="1"/>
  <c r="AB22" i="5" a="1"/>
  <c r="AB22" i="5" s="1"/>
  <c r="X22" i="5" a="1"/>
  <c r="T22" i="5" a="1"/>
  <c r="T22" i="5" s="1"/>
  <c r="P22" i="5" a="1"/>
  <c r="P22" i="5" s="1"/>
  <c r="B80" i="4"/>
  <c r="F67" i="4" a="1"/>
  <c r="F67" i="4" s="1"/>
  <c r="B67" i="4" a="1"/>
  <c r="B67" i="4" s="1"/>
  <c r="AB45" i="4"/>
  <c r="X45" i="4"/>
  <c r="T45" i="4"/>
  <c r="P45" i="4"/>
  <c r="AB41" i="4"/>
  <c r="AC41" i="4" s="1"/>
  <c r="AD41" i="4" s="1"/>
  <c r="X41" i="4"/>
  <c r="X44" i="4" s="1"/>
  <c r="T41" i="4"/>
  <c r="T44" i="4" s="1"/>
  <c r="P41" i="4"/>
  <c r="P44" i="4" s="1"/>
  <c r="L41" i="4"/>
  <c r="L44" i="4" s="1"/>
  <c r="AB28" i="4" a="1"/>
  <c r="AB28" i="4" s="1"/>
  <c r="X28" i="4" a="1"/>
  <c r="T28" i="4" a="1"/>
  <c r="P28" i="4" a="1"/>
  <c r="P28" i="4" s="1"/>
  <c r="L28" i="4" a="1"/>
  <c r="AB22" i="4" a="1"/>
  <c r="AB22" i="4" s="1"/>
  <c r="X22" i="4" a="1"/>
  <c r="X22" i="4" s="1"/>
  <c r="X35" i="4" s="1"/>
  <c r="Y35" i="4" s="1"/>
  <c r="T22" i="4" a="1"/>
  <c r="P22" i="4" a="1"/>
  <c r="P22" i="4" s="1"/>
  <c r="L22" i="4" a="1"/>
  <c r="D57" i="2" l="1"/>
  <c r="F56" i="2"/>
  <c r="G97" i="2"/>
  <c r="G55" i="2"/>
  <c r="G75" i="2"/>
  <c r="D77" i="2"/>
  <c r="F76" i="2"/>
  <c r="D100" i="2"/>
  <c r="F99" i="2"/>
  <c r="G99" i="2" s="1"/>
  <c r="S157" i="2"/>
  <c r="Q158" i="2"/>
  <c r="Q157" i="2"/>
  <c r="K159" i="2"/>
  <c r="O159" i="2"/>
  <c r="S158" i="2"/>
  <c r="E168" i="2"/>
  <c r="AC41" i="5"/>
  <c r="AD41" i="5" s="1"/>
  <c r="Y41" i="5"/>
  <c r="Z41" i="5" s="1"/>
  <c r="P36" i="5"/>
  <c r="Q36" i="5" s="1"/>
  <c r="R36" i="5" s="1"/>
  <c r="Q41" i="5"/>
  <c r="R41" i="5" s="1"/>
  <c r="T44" i="5"/>
  <c r="U44" i="5" s="1"/>
  <c r="G168" i="2"/>
  <c r="M41" i="5"/>
  <c r="N41" i="5" s="1"/>
  <c r="B74" i="5"/>
  <c r="C74" i="5" s="1"/>
  <c r="D74" i="5" s="1"/>
  <c r="M159" i="2"/>
  <c r="G159" i="2"/>
  <c r="E159" i="2"/>
  <c r="M168" i="2"/>
  <c r="Y41" i="4"/>
  <c r="Z41" i="4" s="1"/>
  <c r="P36" i="4"/>
  <c r="Q36" i="4" s="1"/>
  <c r="R36" i="4" s="1"/>
  <c r="Q41" i="4"/>
  <c r="R41" i="4" s="1"/>
  <c r="K168" i="2"/>
  <c r="M41" i="4"/>
  <c r="N41" i="4" s="1"/>
  <c r="L48" i="4"/>
  <c r="O150" i="2"/>
  <c r="L48" i="5"/>
  <c r="AC36" i="5"/>
  <c r="AD36" i="5" s="1"/>
  <c r="AB48" i="5"/>
  <c r="X22" i="5"/>
  <c r="X35" i="5" s="1"/>
  <c r="Y35" i="5" s="1"/>
  <c r="T28" i="5"/>
  <c r="T36" i="5" s="1"/>
  <c r="P35" i="5"/>
  <c r="Q35" i="5" s="1"/>
  <c r="P48" i="5"/>
  <c r="B73" i="5"/>
  <c r="C73" i="5" s="1"/>
  <c r="D73" i="5" s="1"/>
  <c r="AB35" i="5"/>
  <c r="L35" i="5"/>
  <c r="M35" i="5" s="1"/>
  <c r="X28" i="5"/>
  <c r="X36" i="5" s="1"/>
  <c r="X48" i="5"/>
  <c r="T35" i="5"/>
  <c r="U35" i="5" s="1"/>
  <c r="L28" i="5"/>
  <c r="L36" i="5" s="1"/>
  <c r="Z35" i="4"/>
  <c r="T48" i="4"/>
  <c r="L28" i="4"/>
  <c r="L36" i="4" s="1"/>
  <c r="T22" i="4"/>
  <c r="T35" i="4" s="1"/>
  <c r="U35" i="4" s="1"/>
  <c r="T28" i="4"/>
  <c r="T36" i="4" s="1"/>
  <c r="P35" i="4"/>
  <c r="Q35" i="4" s="1"/>
  <c r="AB36" i="4"/>
  <c r="P48" i="4"/>
  <c r="B75" i="4"/>
  <c r="C75" i="4" s="1"/>
  <c r="D75" i="4" s="1"/>
  <c r="AB35" i="4"/>
  <c r="AC35" i="4" s="1"/>
  <c r="U41" i="4"/>
  <c r="V41" i="4" s="1"/>
  <c r="L22" i="4"/>
  <c r="L35" i="4" s="1"/>
  <c r="M35" i="4" s="1"/>
  <c r="X28" i="4"/>
  <c r="X36" i="4" s="1"/>
  <c r="X48" i="4"/>
  <c r="AB44" i="4"/>
  <c r="B76" i="4"/>
  <c r="B80" i="3"/>
  <c r="L41" i="3"/>
  <c r="M41" i="3" s="1"/>
  <c r="N41" i="3" s="1"/>
  <c r="L45" i="3"/>
  <c r="F67" i="3" a="1"/>
  <c r="F67" i="3" s="1"/>
  <c r="B67" i="3" a="1"/>
  <c r="B67" i="3" s="1"/>
  <c r="AB45" i="3"/>
  <c r="X45" i="3"/>
  <c r="T45" i="3"/>
  <c r="P45" i="3"/>
  <c r="AB41" i="3"/>
  <c r="AB28" i="3" a="1"/>
  <c r="AB28" i="3" s="1"/>
  <c r="AB22" i="3" a="1"/>
  <c r="X41" i="3"/>
  <c r="T41" i="3"/>
  <c r="P41" i="3"/>
  <c r="X28" i="3" a="1"/>
  <c r="X28" i="3" s="1"/>
  <c r="X22" i="3" a="1"/>
  <c r="X22" i="3" s="1"/>
  <c r="G150" i="2"/>
  <c r="K150" i="2"/>
  <c r="M150" i="2"/>
  <c r="E149" i="2"/>
  <c r="E148" i="2"/>
  <c r="D146" i="2"/>
  <c r="D147" i="2"/>
  <c r="P28" i="3" a="1"/>
  <c r="P22" i="3" a="1"/>
  <c r="P22" i="3" s="1"/>
  <c r="L28" i="3" a="1"/>
  <c r="L28" i="3" s="1"/>
  <c r="L36" i="3" s="1"/>
  <c r="L22" i="3" a="1"/>
  <c r="L22" i="3" s="1"/>
  <c r="L7" i="2"/>
  <c r="G7" i="2"/>
  <c r="L10" i="2"/>
  <c r="G10" i="2"/>
  <c r="L9" i="2"/>
  <c r="G9" i="2"/>
  <c r="L8" i="2"/>
  <c r="G8" i="2"/>
  <c r="L6" i="2"/>
  <c r="G6" i="2"/>
  <c r="L5" i="2"/>
  <c r="G5" i="2"/>
  <c r="L15" i="2"/>
  <c r="L14" i="2"/>
  <c r="L13" i="2"/>
  <c r="L17" i="2"/>
  <c r="L16" i="2"/>
  <c r="G16" i="2"/>
  <c r="G14" i="2"/>
  <c r="G13" i="2"/>
  <c r="G76" i="2" l="1"/>
  <c r="G56" i="2"/>
  <c r="D78" i="2"/>
  <c r="F77" i="2"/>
  <c r="D58" i="2"/>
  <c r="F57" i="2"/>
  <c r="D101" i="2"/>
  <c r="F100" i="2"/>
  <c r="G100" i="2" s="1"/>
  <c r="Q159" i="2"/>
  <c r="S159" i="2"/>
  <c r="E150" i="2"/>
  <c r="AC35" i="5"/>
  <c r="AC38" i="5" s="1"/>
  <c r="AB38" i="5"/>
  <c r="AB43" i="5" s="1"/>
  <c r="AB47" i="5" s="1"/>
  <c r="Y44" i="5"/>
  <c r="AC44" i="5"/>
  <c r="Q44" i="5"/>
  <c r="T48" i="5"/>
  <c r="M44" i="5"/>
  <c r="Y44" i="4"/>
  <c r="Q44" i="4"/>
  <c r="P38" i="4"/>
  <c r="P43" i="4" s="1"/>
  <c r="M44" i="4"/>
  <c r="X44" i="3"/>
  <c r="Y41" i="3"/>
  <c r="B75" i="3"/>
  <c r="C75" i="3" s="1"/>
  <c r="D75" i="3" s="1"/>
  <c r="Q41" i="3"/>
  <c r="R41" i="3" s="1"/>
  <c r="AB44" i="3"/>
  <c r="AB48" i="3" s="1"/>
  <c r="AC41" i="3"/>
  <c r="AD41" i="3" s="1"/>
  <c r="L44" i="3"/>
  <c r="M44" i="3" s="1"/>
  <c r="T44" i="3"/>
  <c r="T48" i="3" s="1"/>
  <c r="U41" i="3"/>
  <c r="V41" i="3" s="1"/>
  <c r="M36" i="5"/>
  <c r="N36" i="5" s="1"/>
  <c r="L38" i="5"/>
  <c r="L43" i="5" s="1"/>
  <c r="Y36" i="5"/>
  <c r="Z36" i="5" s="1"/>
  <c r="X38" i="5"/>
  <c r="X43" i="5" s="1"/>
  <c r="Z35" i="5"/>
  <c r="V35" i="5"/>
  <c r="N35" i="5"/>
  <c r="R35" i="5"/>
  <c r="Q38" i="5"/>
  <c r="U36" i="5"/>
  <c r="V36" i="5" s="1"/>
  <c r="T38" i="5"/>
  <c r="T43" i="5" s="1"/>
  <c r="B76" i="5"/>
  <c r="P43" i="5"/>
  <c r="Y36" i="4"/>
  <c r="X38" i="4"/>
  <c r="X43" i="4" s="1"/>
  <c r="V35" i="4"/>
  <c r="N35" i="4"/>
  <c r="M36" i="4"/>
  <c r="N36" i="4" s="1"/>
  <c r="L38" i="4"/>
  <c r="L43" i="4" s="1"/>
  <c r="U36" i="4"/>
  <c r="V36" i="4" s="1"/>
  <c r="T38" i="4"/>
  <c r="T43" i="4" s="1"/>
  <c r="AD35" i="4"/>
  <c r="B78" i="4"/>
  <c r="C76" i="4"/>
  <c r="D76" i="4" s="1"/>
  <c r="AB38" i="4"/>
  <c r="AB43" i="4" s="1"/>
  <c r="AC36" i="4"/>
  <c r="AD36" i="4" s="1"/>
  <c r="U44" i="4"/>
  <c r="AC44" i="4"/>
  <c r="AB48" i="4"/>
  <c r="Q38" i="4"/>
  <c r="R35" i="4"/>
  <c r="S148" i="2"/>
  <c r="B76" i="3"/>
  <c r="X48" i="3"/>
  <c r="P44" i="3"/>
  <c r="AB22" i="3"/>
  <c r="AB35" i="3" s="1"/>
  <c r="AC35" i="3" s="1"/>
  <c r="AB36" i="3"/>
  <c r="Z41" i="3"/>
  <c r="X35" i="3"/>
  <c r="Y35" i="3" s="1"/>
  <c r="X36" i="3"/>
  <c r="S149" i="2"/>
  <c r="T35" i="3"/>
  <c r="U35" i="3" s="1"/>
  <c r="T36" i="3"/>
  <c r="L35" i="3"/>
  <c r="M35" i="3" s="1"/>
  <c r="P28" i="3"/>
  <c r="P36" i="3" s="1"/>
  <c r="P35" i="3"/>
  <c r="Q35" i="3" s="1"/>
  <c r="G25" i="2"/>
  <c r="G24" i="2"/>
  <c r="L25" i="2"/>
  <c r="L24" i="2"/>
  <c r="L23" i="2"/>
  <c r="G23" i="2"/>
  <c r="L22" i="2"/>
  <c r="L21" i="2"/>
  <c r="N3" i="2"/>
  <c r="G21" i="2"/>
  <c r="I56" i="2" l="1"/>
  <c r="I75" i="2"/>
  <c r="I91" i="2"/>
  <c r="I58" i="2"/>
  <c r="I59" i="2"/>
  <c r="I78" i="2"/>
  <c r="I96" i="2"/>
  <c r="H61" i="2"/>
  <c r="I54" i="2"/>
  <c r="I73" i="2"/>
  <c r="I81" i="2"/>
  <c r="I67" i="2"/>
  <c r="I57" i="2"/>
  <c r="I76" i="2"/>
  <c r="I97" i="2"/>
  <c r="I77" i="2"/>
  <c r="I52" i="2"/>
  <c r="I60" i="2"/>
  <c r="I79" i="2"/>
  <c r="I55" i="2"/>
  <c r="I74" i="2"/>
  <c r="I53" i="2"/>
  <c r="I61" i="2"/>
  <c r="I80" i="2"/>
  <c r="I47" i="2"/>
  <c r="H67" i="2"/>
  <c r="H81" i="2"/>
  <c r="H91" i="2"/>
  <c r="H47" i="2"/>
  <c r="H52" i="2"/>
  <c r="H96" i="2"/>
  <c r="H73" i="2"/>
  <c r="H53" i="2"/>
  <c r="H74" i="2"/>
  <c r="H54" i="2"/>
  <c r="H97" i="2"/>
  <c r="H75" i="2"/>
  <c r="H55" i="2"/>
  <c r="D59" i="2"/>
  <c r="F58" i="2"/>
  <c r="G77" i="2"/>
  <c r="H77" i="2"/>
  <c r="H56" i="2"/>
  <c r="D79" i="2"/>
  <c r="F78" i="2"/>
  <c r="H76" i="2"/>
  <c r="G57" i="2"/>
  <c r="H57" i="2"/>
  <c r="D102" i="2"/>
  <c r="F101" i="2"/>
  <c r="G101" i="2" s="1"/>
  <c r="I105" i="2"/>
  <c r="I70" i="2"/>
  <c r="I103" i="2"/>
  <c r="I98" i="2"/>
  <c r="I95" i="2"/>
  <c r="I99" i="2"/>
  <c r="I92" i="2"/>
  <c r="I72" i="2"/>
  <c r="I100" i="2"/>
  <c r="I69" i="2"/>
  <c r="I101" i="2"/>
  <c r="I94" i="2"/>
  <c r="I102" i="2"/>
  <c r="I90" i="2"/>
  <c r="I71" i="2"/>
  <c r="I104" i="2"/>
  <c r="I93" i="2"/>
  <c r="H90" i="2"/>
  <c r="H105" i="2"/>
  <c r="H98" i="2"/>
  <c r="H99" i="2"/>
  <c r="H93" i="2"/>
  <c r="H100" i="2"/>
  <c r="H92" i="2"/>
  <c r="H69" i="2"/>
  <c r="H71" i="2"/>
  <c r="H70" i="2"/>
  <c r="H101" i="2"/>
  <c r="H94" i="2"/>
  <c r="H72" i="2"/>
  <c r="H95" i="2"/>
  <c r="I49" i="2"/>
  <c r="I68" i="2"/>
  <c r="H66" i="2"/>
  <c r="I66" i="2"/>
  <c r="I50" i="2"/>
  <c r="I48" i="2"/>
  <c r="I46" i="2"/>
  <c r="I51" i="2"/>
  <c r="H68" i="2"/>
  <c r="H48" i="2"/>
  <c r="H46" i="2"/>
  <c r="H50" i="2"/>
  <c r="H49" i="2"/>
  <c r="H51" i="2"/>
  <c r="Q34" i="2"/>
  <c r="I35" i="2"/>
  <c r="H41" i="2"/>
  <c r="P41" i="2" s="1"/>
  <c r="Q41" i="2" s="1"/>
  <c r="H34" i="2"/>
  <c r="P34" i="2" s="1"/>
  <c r="I41" i="2"/>
  <c r="Q35" i="2"/>
  <c r="H35" i="2"/>
  <c r="P35" i="2" s="1"/>
  <c r="I42" i="2"/>
  <c r="H36" i="2"/>
  <c r="P36" i="2" s="1"/>
  <c r="H42" i="2"/>
  <c r="P42" i="2" s="1"/>
  <c r="Q36" i="2"/>
  <c r="I43" i="2"/>
  <c r="H43" i="2"/>
  <c r="P43" i="2" s="1"/>
  <c r="I36" i="2"/>
  <c r="I34" i="2"/>
  <c r="J122" i="2"/>
  <c r="J114" i="2"/>
  <c r="J132" i="2"/>
  <c r="J133" i="2"/>
  <c r="J123" i="2"/>
  <c r="J115" i="2"/>
  <c r="J124" i="2"/>
  <c r="J118" i="2"/>
  <c r="J126" i="2"/>
  <c r="J131" i="2"/>
  <c r="J116" i="2"/>
  <c r="J125" i="2"/>
  <c r="J134" i="2"/>
  <c r="J130" i="2"/>
  <c r="J117" i="2"/>
  <c r="P143" i="2"/>
  <c r="R143" i="2" s="1"/>
  <c r="O117" i="2"/>
  <c r="N117" i="2"/>
  <c r="N133" i="2"/>
  <c r="N134" i="2"/>
  <c r="O114" i="2"/>
  <c r="N116" i="2"/>
  <c r="N124" i="2"/>
  <c r="O132" i="2"/>
  <c r="N126" i="2"/>
  <c r="N115" i="2"/>
  <c r="N131" i="2"/>
  <c r="O131" i="2"/>
  <c r="I115" i="2"/>
  <c r="N125" i="2"/>
  <c r="N114" i="2"/>
  <c r="N132" i="2"/>
  <c r="I126" i="2"/>
  <c r="I125" i="2"/>
  <c r="N123" i="2"/>
  <c r="N122" i="2"/>
  <c r="N130" i="2"/>
  <c r="I117" i="2"/>
  <c r="I131" i="2"/>
  <c r="O118" i="2"/>
  <c r="N118" i="2"/>
  <c r="I118" i="2"/>
  <c r="O130" i="2"/>
  <c r="O124" i="2"/>
  <c r="I132" i="2"/>
  <c r="I133" i="2"/>
  <c r="O125" i="2"/>
  <c r="I114" i="2"/>
  <c r="O123" i="2"/>
  <c r="O116" i="2"/>
  <c r="I130" i="2"/>
  <c r="I134" i="2"/>
  <c r="I123" i="2"/>
  <c r="O122" i="2"/>
  <c r="I122" i="2"/>
  <c r="O134" i="2"/>
  <c r="O115" i="2"/>
  <c r="I116" i="2"/>
  <c r="O126" i="2"/>
  <c r="O133" i="2"/>
  <c r="I124" i="2"/>
  <c r="P165" i="2"/>
  <c r="R165" i="2" s="1"/>
  <c r="P145" i="2"/>
  <c r="R145" i="2" s="1"/>
  <c r="P144" i="2"/>
  <c r="R144" i="2" s="1"/>
  <c r="N15" i="2"/>
  <c r="O15" i="2" s="1"/>
  <c r="P154" i="2"/>
  <c r="R154" i="2" s="1"/>
  <c r="P156" i="2"/>
  <c r="R156" i="2" s="1"/>
  <c r="P155" i="2"/>
  <c r="R155" i="2" s="1"/>
  <c r="P153" i="2"/>
  <c r="R153" i="2" s="1"/>
  <c r="P161" i="2"/>
  <c r="R161" i="2" s="1"/>
  <c r="P164" i="2"/>
  <c r="R164" i="2" s="1"/>
  <c r="P152" i="2"/>
  <c r="R152" i="2" s="1"/>
  <c r="N21" i="2"/>
  <c r="S165" i="2"/>
  <c r="P162" i="2"/>
  <c r="R162" i="2" s="1"/>
  <c r="P146" i="2"/>
  <c r="R146" i="2" s="1"/>
  <c r="P163" i="2"/>
  <c r="R163" i="2" s="1"/>
  <c r="P147" i="2"/>
  <c r="R147" i="2" s="1"/>
  <c r="AD35" i="5"/>
  <c r="AC43" i="5"/>
  <c r="M38" i="5"/>
  <c r="N38" i="5" s="1"/>
  <c r="AD38" i="5"/>
  <c r="Y38" i="5"/>
  <c r="Z38" i="5" s="1"/>
  <c r="R38" i="5"/>
  <c r="Q43" i="4"/>
  <c r="R38" i="4"/>
  <c r="P47" i="4"/>
  <c r="L48" i="3"/>
  <c r="Q44" i="3"/>
  <c r="L38" i="3"/>
  <c r="L43" i="3" s="1"/>
  <c r="S150" i="2"/>
  <c r="Q43" i="5"/>
  <c r="P47" i="5"/>
  <c r="Y43" i="5"/>
  <c r="X47" i="5"/>
  <c r="T47" i="5"/>
  <c r="U38" i="5"/>
  <c r="V38" i="5" s="1"/>
  <c r="L47" i="5"/>
  <c r="T47" i="4"/>
  <c r="AB47" i="4"/>
  <c r="L47" i="4"/>
  <c r="M38" i="4"/>
  <c r="N38" i="4" s="1"/>
  <c r="AC38" i="4"/>
  <c r="AD38" i="4" s="1"/>
  <c r="U38" i="4"/>
  <c r="V38" i="4" s="1"/>
  <c r="Y43" i="4"/>
  <c r="X47" i="4"/>
  <c r="Z36" i="4"/>
  <c r="Y38" i="4"/>
  <c r="Z38" i="4" s="1"/>
  <c r="C76" i="3"/>
  <c r="D76" i="3" s="1"/>
  <c r="B78" i="3"/>
  <c r="AC44" i="3"/>
  <c r="Y44" i="3"/>
  <c r="U44" i="3"/>
  <c r="P48" i="3"/>
  <c r="AB38" i="3"/>
  <c r="AB43" i="3" s="1"/>
  <c r="AC36" i="3"/>
  <c r="AD36" i="3" s="1"/>
  <c r="AD35" i="3"/>
  <c r="X38" i="3"/>
  <c r="X43" i="3" s="1"/>
  <c r="Y36" i="3"/>
  <c r="Z36" i="3" s="1"/>
  <c r="Z35" i="3"/>
  <c r="T38" i="3"/>
  <c r="T43" i="3" s="1"/>
  <c r="U36" i="3"/>
  <c r="V36" i="3" s="1"/>
  <c r="V35" i="3"/>
  <c r="Q36" i="3"/>
  <c r="R36" i="3" s="1"/>
  <c r="P38" i="3"/>
  <c r="P43" i="3" s="1"/>
  <c r="R35" i="3"/>
  <c r="M36" i="3"/>
  <c r="N36" i="3" s="1"/>
  <c r="N35" i="3"/>
  <c r="P14" i="2"/>
  <c r="Q14" i="2" s="1"/>
  <c r="P25" i="2"/>
  <c r="Q25" i="2" s="1"/>
  <c r="P15" i="2"/>
  <c r="Q15" i="2" s="1"/>
  <c r="P5" i="2"/>
  <c r="P16" i="2"/>
  <c r="Q16" i="2" s="1"/>
  <c r="P6" i="2"/>
  <c r="Q6" i="2" s="1"/>
  <c r="P17" i="2"/>
  <c r="Q17" i="2" s="1"/>
  <c r="P7" i="2"/>
  <c r="Q7" i="2" s="1"/>
  <c r="P21" i="2"/>
  <c r="Q21" i="2" s="1"/>
  <c r="P8" i="2"/>
  <c r="Q8" i="2" s="1"/>
  <c r="P22" i="2"/>
  <c r="Q22" i="2" s="1"/>
  <c r="P24" i="2"/>
  <c r="Q24" i="2" s="1"/>
  <c r="P9" i="2"/>
  <c r="Q9" i="2" s="1"/>
  <c r="P23" i="2"/>
  <c r="Q23" i="2" s="1"/>
  <c r="P13" i="2"/>
  <c r="Q13" i="2" s="1"/>
  <c r="N5" i="2"/>
  <c r="N16" i="2"/>
  <c r="O16" i="2" s="1"/>
  <c r="N6" i="2"/>
  <c r="O6" i="2" s="1"/>
  <c r="N7" i="2"/>
  <c r="O7" i="2" s="1"/>
  <c r="N23" i="2"/>
  <c r="O23" i="2" s="1"/>
  <c r="N8" i="2"/>
  <c r="O8" i="2" s="1"/>
  <c r="N22" i="2"/>
  <c r="O22" i="2" s="1"/>
  <c r="N9" i="2"/>
  <c r="O9" i="2" s="1"/>
  <c r="N13" i="2"/>
  <c r="O13" i="2" s="1"/>
  <c r="N24" i="2"/>
  <c r="O24" i="2" s="1"/>
  <c r="N17" i="2"/>
  <c r="N14" i="2"/>
  <c r="O14" i="2" s="1"/>
  <c r="N25" i="2"/>
  <c r="O25" i="2" s="1"/>
  <c r="H5" i="1"/>
  <c r="K33" i="1" s="1"/>
  <c r="O33" i="1" s="1"/>
  <c r="R7" i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R26" i="1" s="1"/>
  <c r="R27" i="1" s="1"/>
  <c r="R28" i="1" s="1"/>
  <c r="R29" i="1" s="1"/>
  <c r="R30" i="1" s="1"/>
  <c r="R31" i="1" s="1"/>
  <c r="R32" i="1" s="1"/>
  <c r="R33" i="1" s="1"/>
  <c r="R34" i="1" s="1"/>
  <c r="R35" i="1" s="1"/>
  <c r="R36" i="1" s="1"/>
  <c r="R37" i="1" s="1"/>
  <c r="R38" i="1" s="1"/>
  <c r="R39" i="1" s="1"/>
  <c r="R40" i="1" s="1"/>
  <c r="R41" i="1" s="1"/>
  <c r="R42" i="1" s="1"/>
  <c r="R43" i="1" s="1"/>
  <c r="R44" i="1" s="1"/>
  <c r="R45" i="1" s="1"/>
  <c r="R46" i="1" s="1"/>
  <c r="R47" i="1" s="1"/>
  <c r="R48" i="1" s="1"/>
  <c r="R49" i="1" s="1"/>
  <c r="R50" i="1" s="1"/>
  <c r="R51" i="1" s="1"/>
  <c r="T51" i="1" s="1"/>
  <c r="Q57" i="2" l="1"/>
  <c r="P57" i="2"/>
  <c r="Q73" i="2"/>
  <c r="R73" i="2" s="1"/>
  <c r="P73" i="2"/>
  <c r="P61" i="2"/>
  <c r="Q61" i="2"/>
  <c r="Q99" i="2"/>
  <c r="P99" i="2"/>
  <c r="F59" i="2"/>
  <c r="D60" i="2"/>
  <c r="F60" i="2" s="1"/>
  <c r="P96" i="2"/>
  <c r="Q96" i="2"/>
  <c r="G58" i="2"/>
  <c r="H58" i="2"/>
  <c r="P49" i="2"/>
  <c r="Q49" i="2"/>
  <c r="Q101" i="2"/>
  <c r="P101" i="2"/>
  <c r="Q98" i="2"/>
  <c r="P98" i="2"/>
  <c r="P76" i="2"/>
  <c r="Q76" i="2"/>
  <c r="R76" i="2" s="1"/>
  <c r="Q55" i="2"/>
  <c r="P55" i="2"/>
  <c r="Q52" i="2"/>
  <c r="P52" i="2"/>
  <c r="H78" i="2"/>
  <c r="G78" i="2"/>
  <c r="D80" i="2"/>
  <c r="F80" i="2" s="1"/>
  <c r="F79" i="2"/>
  <c r="Q97" i="2"/>
  <c r="P97" i="2"/>
  <c r="Q91" i="2"/>
  <c r="P91" i="2"/>
  <c r="P47" i="2"/>
  <c r="Q47" i="2"/>
  <c r="Q48" i="2"/>
  <c r="P48" i="2"/>
  <c r="P56" i="2"/>
  <c r="Q56" i="2"/>
  <c r="Q54" i="2"/>
  <c r="P54" i="2"/>
  <c r="P81" i="2"/>
  <c r="Q81" i="2"/>
  <c r="R81" i="2" s="1"/>
  <c r="P75" i="2"/>
  <c r="Q75" i="2"/>
  <c r="R75" i="2" s="1"/>
  <c r="R36" i="2"/>
  <c r="Q77" i="2"/>
  <c r="R77" i="2" s="1"/>
  <c r="P77" i="2"/>
  <c r="Q74" i="2"/>
  <c r="R74" i="2" s="1"/>
  <c r="P74" i="2"/>
  <c r="P67" i="2"/>
  <c r="Q67" i="2"/>
  <c r="R67" i="2" s="1"/>
  <c r="Q42" i="2"/>
  <c r="R42" i="2" s="1"/>
  <c r="P100" i="2"/>
  <c r="Q100" i="2"/>
  <c r="P53" i="2"/>
  <c r="Q53" i="2"/>
  <c r="D103" i="2"/>
  <c r="F102" i="2"/>
  <c r="P93" i="2"/>
  <c r="Q93" i="2"/>
  <c r="Q94" i="2"/>
  <c r="P94" i="2"/>
  <c r="Q70" i="2"/>
  <c r="R70" i="2" s="1"/>
  <c r="P70" i="2"/>
  <c r="Q105" i="2"/>
  <c r="P105" i="2"/>
  <c r="P95" i="2"/>
  <c r="Q95" i="2"/>
  <c r="P71" i="2"/>
  <c r="Q71" i="2"/>
  <c r="R71" i="2" s="1"/>
  <c r="Q90" i="2"/>
  <c r="R90" i="2" s="1"/>
  <c r="P90" i="2"/>
  <c r="P72" i="2"/>
  <c r="Q72" i="2"/>
  <c r="R72" i="2" s="1"/>
  <c r="Q69" i="2"/>
  <c r="R69" i="2" s="1"/>
  <c r="P69" i="2"/>
  <c r="P92" i="2"/>
  <c r="Q92" i="2"/>
  <c r="Q46" i="2"/>
  <c r="P46" i="2"/>
  <c r="Q68" i="2"/>
  <c r="R68" i="2" s="1"/>
  <c r="P68" i="2"/>
  <c r="P66" i="2"/>
  <c r="Q66" i="2"/>
  <c r="R66" i="2" s="1"/>
  <c r="R35" i="2"/>
  <c r="P50" i="2"/>
  <c r="Q50" i="2"/>
  <c r="Q51" i="2"/>
  <c r="P51" i="2"/>
  <c r="Q43" i="2"/>
  <c r="R43" i="2" s="1"/>
  <c r="R41" i="2"/>
  <c r="R34" i="2"/>
  <c r="J135" i="2"/>
  <c r="N135" i="2"/>
  <c r="J119" i="2"/>
  <c r="J127" i="2"/>
  <c r="P157" i="2"/>
  <c r="I128" i="2"/>
  <c r="I127" i="2"/>
  <c r="N119" i="2"/>
  <c r="N127" i="2"/>
  <c r="I136" i="2"/>
  <c r="I135" i="2"/>
  <c r="I120" i="2"/>
  <c r="I119" i="2"/>
  <c r="P166" i="2"/>
  <c r="P148" i="2"/>
  <c r="O21" i="2"/>
  <c r="N26" i="2"/>
  <c r="N27" i="2" s="1"/>
  <c r="O5" i="2"/>
  <c r="N10" i="2"/>
  <c r="N11" i="2" s="1"/>
  <c r="O17" i="2"/>
  <c r="N18" i="2"/>
  <c r="N19" i="2" s="1"/>
  <c r="S166" i="2"/>
  <c r="S167" i="2"/>
  <c r="Q168" i="2"/>
  <c r="M43" i="5"/>
  <c r="L47" i="3"/>
  <c r="M38" i="3"/>
  <c r="M43" i="3" s="1"/>
  <c r="U43" i="5"/>
  <c r="U43" i="4"/>
  <c r="M43" i="4"/>
  <c r="AC43" i="4"/>
  <c r="AB47" i="3"/>
  <c r="AC38" i="3"/>
  <c r="AC43" i="3" s="1"/>
  <c r="X47" i="3"/>
  <c r="T47" i="3"/>
  <c r="Q38" i="3"/>
  <c r="R38" i="3" s="1"/>
  <c r="P47" i="3"/>
  <c r="Y38" i="3"/>
  <c r="Z38" i="3" s="1"/>
  <c r="U38" i="3"/>
  <c r="V38" i="3" s="1"/>
  <c r="P18" i="2"/>
  <c r="P19" i="2" s="1"/>
  <c r="P26" i="2"/>
  <c r="P27" i="2" s="1"/>
  <c r="P10" i="2"/>
  <c r="P11" i="2" s="1"/>
  <c r="Q5" i="2"/>
  <c r="T24" i="1"/>
  <c r="K42" i="1"/>
  <c r="T31" i="1"/>
  <c r="I36" i="1"/>
  <c r="T46" i="1"/>
  <c r="T38" i="1"/>
  <c r="T30" i="1"/>
  <c r="T22" i="1"/>
  <c r="T14" i="1"/>
  <c r="K51" i="1"/>
  <c r="K47" i="1"/>
  <c r="K41" i="1"/>
  <c r="K35" i="1"/>
  <c r="T32" i="1"/>
  <c r="K36" i="1"/>
  <c r="T47" i="1"/>
  <c r="T23" i="1"/>
  <c r="T15" i="1"/>
  <c r="T37" i="1"/>
  <c r="T29" i="1"/>
  <c r="T21" i="1"/>
  <c r="T13" i="1"/>
  <c r="I51" i="1"/>
  <c r="I47" i="1"/>
  <c r="I41" i="1"/>
  <c r="I35" i="1"/>
  <c r="T48" i="1"/>
  <c r="T16" i="1"/>
  <c r="K48" i="1"/>
  <c r="T39" i="1"/>
  <c r="I48" i="1"/>
  <c r="T7" i="1"/>
  <c r="T20" i="1"/>
  <c r="T12" i="1"/>
  <c r="K50" i="1"/>
  <c r="K44" i="1"/>
  <c r="K40" i="1"/>
  <c r="K34" i="1"/>
  <c r="T40" i="1"/>
  <c r="T8" i="1"/>
  <c r="I42" i="1"/>
  <c r="T28" i="1"/>
  <c r="T43" i="1"/>
  <c r="T35" i="1"/>
  <c r="T27" i="1"/>
  <c r="T19" i="1"/>
  <c r="T11" i="1"/>
  <c r="I50" i="1"/>
  <c r="I44" i="1"/>
  <c r="I40" i="1"/>
  <c r="I34" i="1"/>
  <c r="T36" i="1"/>
  <c r="T50" i="1"/>
  <c r="T42" i="1"/>
  <c r="T34" i="1"/>
  <c r="T26" i="1"/>
  <c r="T18" i="1"/>
  <c r="T10" i="1"/>
  <c r="K49" i="1"/>
  <c r="K43" i="1"/>
  <c r="K37" i="1"/>
  <c r="I33" i="1"/>
  <c r="N33" i="1" s="1"/>
  <c r="T45" i="1"/>
  <c r="T44" i="1"/>
  <c r="T49" i="1"/>
  <c r="T41" i="1"/>
  <c r="T33" i="1"/>
  <c r="T25" i="1"/>
  <c r="T17" i="1"/>
  <c r="T9" i="1"/>
  <c r="I49" i="1"/>
  <c r="I43" i="1"/>
  <c r="I37" i="1"/>
  <c r="G79" i="2" l="1"/>
  <c r="H79" i="2"/>
  <c r="Q58" i="2"/>
  <c r="P58" i="2"/>
  <c r="G80" i="2"/>
  <c r="H80" i="2"/>
  <c r="Q78" i="2"/>
  <c r="R78" i="2" s="1"/>
  <c r="P78" i="2"/>
  <c r="G60" i="2"/>
  <c r="H60" i="2"/>
  <c r="H59" i="2"/>
  <c r="G59" i="2"/>
  <c r="G102" i="2"/>
  <c r="H102" i="2"/>
  <c r="D104" i="2"/>
  <c r="F104" i="2" s="1"/>
  <c r="F103" i="2"/>
  <c r="K119" i="2"/>
  <c r="K127" i="2"/>
  <c r="K135" i="2"/>
  <c r="J120" i="2"/>
  <c r="O168" i="2"/>
  <c r="S168" i="2"/>
  <c r="AD38" i="3"/>
  <c r="Y43" i="3"/>
  <c r="Q43" i="3"/>
  <c r="U43" i="3"/>
  <c r="N38" i="3"/>
  <c r="Q102" i="2" l="1"/>
  <c r="P102" i="2"/>
  <c r="Q80" i="2"/>
  <c r="R80" i="2" s="1"/>
  <c r="P80" i="2"/>
  <c r="Q59" i="2"/>
  <c r="P59" i="2"/>
  <c r="P60" i="2"/>
  <c r="Q60" i="2"/>
  <c r="P79" i="2"/>
  <c r="W70" i="2" s="1"/>
  <c r="X70" i="2" s="1"/>
  <c r="Q79" i="2"/>
  <c r="R79" i="2" s="1"/>
  <c r="G103" i="2"/>
  <c r="H103" i="2"/>
  <c r="G104" i="2"/>
  <c r="H104" i="2"/>
  <c r="P104" i="2" l="1"/>
  <c r="Q104" i="2"/>
  <c r="R104" i="2" s="1"/>
  <c r="Q103" i="2"/>
  <c r="R103" i="2" s="1"/>
  <c r="P103" i="2"/>
  <c r="W71" i="2" s="1"/>
  <c r="X7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<sst xmlns="http://schemas.openxmlformats.org/spreadsheetml/2006/main" count="834" uniqueCount="266">
  <si>
    <t>PFPE</t>
  </si>
  <si>
    <t>s</t>
  </si>
  <si>
    <t>3 mm</t>
  </si>
  <si>
    <t>9.5 kV</t>
  </si>
  <si>
    <t>8.0 kV</t>
  </si>
  <si>
    <t>H1</t>
  </si>
  <si>
    <t>H2</t>
  </si>
  <si>
    <t>H3</t>
  </si>
  <si>
    <t>H4</t>
  </si>
  <si>
    <t>6.5 kV</t>
  </si>
  <si>
    <t>t</t>
  </si>
  <si>
    <t>v</t>
  </si>
  <si>
    <t>H3 - max height of liquid column</t>
  </si>
  <si>
    <t>T3 - time to reach max height</t>
  </si>
  <si>
    <t>T3</t>
  </si>
  <si>
    <t>H4 - tank meniscus height at H3 (max height)</t>
  </si>
  <si>
    <t>H7 - height of meniscus in tank at final hydrostatic equilibrium</t>
  </si>
  <si>
    <t>H1 - height of meniscus in tank (at initial hydrostatic equilibrium)</t>
  </si>
  <si>
    <t>h</t>
  </si>
  <si>
    <t>6th and 7th of Feb 2020</t>
  </si>
  <si>
    <t>PFPE - 3 mm</t>
  </si>
  <si>
    <t>Run</t>
  </si>
  <si>
    <t>H6</t>
  </si>
  <si>
    <t>H7</t>
  </si>
  <si>
    <t>Comments</t>
  </si>
  <si>
    <t>1 frame=</t>
  </si>
  <si>
    <t>t1</t>
  </si>
  <si>
    <t>t2</t>
  </si>
  <si>
    <t>IMG_20200206_120424866</t>
  </si>
  <si>
    <t>VID_20200206_121048393; VID_20200206_122618673</t>
  </si>
  <si>
    <t>t2- time to max height</t>
  </si>
  <si>
    <t>t4</t>
  </si>
  <si>
    <t>t5</t>
  </si>
  <si>
    <t>T6 - time to hydrostatic equilibrium</t>
  </si>
  <si>
    <t>T6</t>
  </si>
  <si>
    <t>t5 - frame at end of motion</t>
  </si>
  <si>
    <t>t1 - time at start of motion</t>
  </si>
  <si>
    <t>t4 - frame at voltage off</t>
  </si>
  <si>
    <t>H2 - height of meniscus in tube (at initial hydrostatic equilibrium before voltage on)</t>
  </si>
  <si>
    <t>IMG_20200206_122602145</t>
  </si>
  <si>
    <t>IMG_20200206_123241548</t>
  </si>
  <si>
    <t>IMG_20200206_123309101</t>
  </si>
  <si>
    <t>H6 - height of meniscus at final hydrostatic equilibrium (same as image at t5)</t>
  </si>
  <si>
    <t>up</t>
  </si>
  <si>
    <t>down</t>
  </si>
  <si>
    <t>speed [mm/s]</t>
  </si>
  <si>
    <t>VID_20200206_14029660; VID_20200206_141956480</t>
  </si>
  <si>
    <t>VID_20200206_142926462; VID_20200206_14339895</t>
  </si>
  <si>
    <t>VID_20200206_145240967; VID_20200206_151840776</t>
  </si>
  <si>
    <t>VID_20200206_152714109; VID_20200206_154640045</t>
  </si>
  <si>
    <t>VID_20200207_091833037; VID_20200207_092838637</t>
  </si>
  <si>
    <t>VID_20200207_093705534; VID_20200207_094710824</t>
  </si>
  <si>
    <t>VID_20200207_095528661; VID_20200207_100559296</t>
  </si>
  <si>
    <t>VID_20200207_101413530; VID_20200207_102431817</t>
  </si>
  <si>
    <t>VID_20200207_103312920; VID_20200207_104432957</t>
  </si>
  <si>
    <t>VID_20200207_105406651; VID_20200207_110442973</t>
  </si>
  <si>
    <t>VID_20200207_111502101; VID_20200207_112713772</t>
  </si>
  <si>
    <t>VID_20200207_113516503; VID_20200207_114547092</t>
  </si>
  <si>
    <t>VID_20200207_115401026; VID_20200207_120433059</t>
  </si>
  <si>
    <t>VID_20200207_12111910; VID_20200207_122152117</t>
  </si>
  <si>
    <t>run</t>
  </si>
  <si>
    <t>conduit</t>
  </si>
  <si>
    <t>meniscus</t>
  </si>
  <si>
    <t>max</t>
  </si>
  <si>
    <t>kV</t>
  </si>
  <si>
    <t>time_final</t>
  </si>
  <si>
    <t>time_initial</t>
  </si>
  <si>
    <t>error_time</t>
  </si>
  <si>
    <t>framerate</t>
  </si>
  <si>
    <t>Decent video</t>
  </si>
  <si>
    <t>Ascend video</t>
  </si>
  <si>
    <t>12241_descent/image</t>
  </si>
  <si>
    <t>8067_ascend</t>
  </si>
  <si>
    <t>min</t>
  </si>
  <si>
    <t>min_meniscus</t>
  </si>
  <si>
    <t>max_conduit</t>
  </si>
  <si>
    <t>*measure the conduit displacement from initial (ascend video) and measure the meniscus displacement from max and min_meniscus (descend video)</t>
  </si>
  <si>
    <t>Max</t>
  </si>
  <si>
    <t>ascend</t>
  </si>
  <si>
    <t>descend</t>
  </si>
  <si>
    <t>STD.dev</t>
  </si>
  <si>
    <t>error</t>
  </si>
  <si>
    <t>min_men</t>
  </si>
  <si>
    <t>min_cond</t>
  </si>
  <si>
    <t>max_cond</t>
  </si>
  <si>
    <t>max_men</t>
  </si>
  <si>
    <t>zero mark to conduit at t_min</t>
  </si>
  <si>
    <t>zero mark  to conduit at t_max</t>
  </si>
  <si>
    <t>zero mark  to meniscus at t_min</t>
  </si>
  <si>
    <t>zero mark  to meniscus at t_max</t>
  </si>
  <si>
    <t>1 spacing = 1.90 +/- 0.01</t>
  </si>
  <si>
    <t>1 spacing [pixel]</t>
  </si>
  <si>
    <t>calibration [pixel/mm]</t>
  </si>
  <si>
    <t>Mean</t>
  </si>
  <si>
    <t>SD</t>
  </si>
  <si>
    <t>Min</t>
  </si>
  <si>
    <t>x</t>
  </si>
  <si>
    <t>y</t>
  </si>
  <si>
    <t>c</t>
  </si>
  <si>
    <t>a</t>
  </si>
  <si>
    <t>b</t>
  </si>
  <si>
    <t>uncertainty</t>
  </si>
  <si>
    <t>coeff</t>
  </si>
  <si>
    <t>R^2</t>
  </si>
  <si>
    <t>E_off</t>
  </si>
  <si>
    <t>E_on</t>
  </si>
  <si>
    <t>m3</t>
  </si>
  <si>
    <t>volume in column</t>
  </si>
  <si>
    <t>measured peak height difference in membrane</t>
  </si>
  <si>
    <t>t_ascend</t>
  </si>
  <si>
    <t>mean</t>
  </si>
  <si>
    <t>v_men [m/s]</t>
  </si>
  <si>
    <t>v_col [m/s]</t>
  </si>
  <si>
    <t>min_cond [mm]</t>
  </si>
  <si>
    <t>column height at max in each run, for E_off and E_on</t>
  </si>
  <si>
    <t>membrane x-y coordinates for each run, for E_off and E_on</t>
  </si>
  <si>
    <t>volume in membrane by fit</t>
  </si>
  <si>
    <t>volume in membrane measured</t>
  </si>
  <si>
    <t>measured</t>
  </si>
  <si>
    <t>fitted</t>
  </si>
  <si>
    <t>men_fitted</t>
  </si>
  <si>
    <t>men_measured</t>
  </si>
  <si>
    <t>%</t>
  </si>
  <si>
    <t xml:space="preserve"> </t>
  </si>
  <si>
    <t>A 20-30% uncertainty would be understandable given how much liquid remains on the inner surface of the tube, the ascending column of liquid would collect the remaining droplet on the walls - increasing its mass and slowing the column down.</t>
  </si>
  <si>
    <t>It is encouraging that the uncertainty decreases as the applied E_field increases, suggesting that at higher applied forces (or higher E^2), the collected mass influences the liquid column momentum to a lesser degree.</t>
  </si>
  <si>
    <t>TO TOP</t>
  </si>
  <si>
    <t>TO PLANE (X mm)</t>
  </si>
  <si>
    <t>finish</t>
  </si>
  <si>
    <t>start</t>
  </si>
  <si>
    <t>uncertainty interval</t>
  </si>
  <si>
    <t>uncertainty percentage</t>
  </si>
  <si>
    <t>total ascend</t>
  </si>
  <si>
    <t>over total displacement</t>
  </si>
  <si>
    <t>wihtin E_field (displacement until ground plane)</t>
  </si>
  <si>
    <t>liquid meniscs at E=0 to ground plane distance</t>
  </si>
  <si>
    <t>average</t>
  </si>
  <si>
    <t>total (s)</t>
  </si>
  <si>
    <t>d_total</t>
  </si>
  <si>
    <t>v_mean [m/s]</t>
  </si>
  <si>
    <t>t_mean [s]</t>
  </si>
  <si>
    <t>d_mean [m]</t>
  </si>
  <si>
    <t>uncertainty_mean</t>
  </si>
  <si>
    <t>stdev.s</t>
  </si>
  <si>
    <t>R^2 [m^2]</t>
  </si>
  <si>
    <t>L [m]</t>
  </si>
  <si>
    <t>uncertainty on R^2</t>
  </si>
  <si>
    <t>dP [Pa]</t>
  </si>
  <si>
    <t>m_dot [kg/s]</t>
  </si>
  <si>
    <t>8 rho mu</t>
  </si>
  <si>
    <t>m_dot [ug/s]</t>
  </si>
  <si>
    <t>gravity at max height</t>
  </si>
  <si>
    <t>Comsol</t>
  </si>
  <si>
    <t>Pa</t>
  </si>
  <si>
    <t>over total displacement (with uncertainty)</t>
  </si>
  <si>
    <t>over total displacement (with SD)</t>
  </si>
  <si>
    <t>E=0</t>
  </si>
  <si>
    <t>E=6.5</t>
  </si>
  <si>
    <t>E=9.5</t>
  </si>
  <si>
    <t>E=8</t>
  </si>
  <si>
    <t>tank meniscus shape</t>
  </si>
  <si>
    <t>center</t>
  </si>
  <si>
    <t>VeroClear platform holding the tank to the meniscus in the tank (averaged over 10 measurements)</t>
  </si>
  <si>
    <t>sides (anchor points on walls)</t>
  </si>
  <si>
    <t>F [N]</t>
  </si>
  <si>
    <t>P_grav [Pa]</t>
  </si>
  <si>
    <t>A_cond [m2]</t>
  </si>
  <si>
    <t>A_tank [m2]</t>
  </si>
  <si>
    <t>tank membrane (arc) length [m]</t>
  </si>
  <si>
    <t>es-dnTez_tank (average over membrane length) [Pa]</t>
  </si>
  <si>
    <t>Exp</t>
  </si>
  <si>
    <t>%_unc</t>
  </si>
  <si>
    <t>%_SD</t>
  </si>
  <si>
    <t>2sigma</t>
  </si>
  <si>
    <t>3sigma</t>
  </si>
  <si>
    <t>comp</t>
  </si>
  <si>
    <t>comp @ 3sigma</t>
  </si>
  <si>
    <t>m2</t>
  </si>
  <si>
    <t>N</t>
  </si>
  <si>
    <t>Calibration? - does the up force on conduit and down force on tank meniscus conincide?</t>
  </si>
  <si>
    <t>quadratic polynomial form</t>
  </si>
  <si>
    <t>parametric form</t>
  </si>
  <si>
    <t>max force (line integral of es.dnTez+es.dnTer)</t>
  </si>
  <si>
    <t>if the force from Comsol (tank) would be applied to over the conduit meniscus</t>
  </si>
  <si>
    <t>P_conduit</t>
  </si>
  <si>
    <t>comparison</t>
  </si>
  <si>
    <t>raw</t>
  </si>
  <si>
    <t>data point</t>
  </si>
  <si>
    <t>E=0 (8kV)</t>
  </si>
  <si>
    <t>E=0 (6.5kV)</t>
  </si>
  <si>
    <t>E=8.0</t>
  </si>
  <si>
    <t>E=0 (9.5kV)</t>
  </si>
  <si>
    <t>processed - the y-data values for each Efield ON have been moved on the x-data of the Efield OFF, so that the curve keeps its shape, but the axis of symmetry concide</t>
  </si>
  <si>
    <t>y_on</t>
  </si>
  <si>
    <t>y_off</t>
  </si>
  <si>
    <t>ON</t>
  </si>
  <si>
    <t>OFF</t>
  </si>
  <si>
    <t>V_ON</t>
  </si>
  <si>
    <t>V_OFF</t>
  </si>
  <si>
    <t>V_diff</t>
  </si>
  <si>
    <t>V_diff [m3]</t>
  </si>
  <si>
    <t>V_conduit [m3]</t>
  </si>
  <si>
    <t>V_tot-V_off</t>
  </si>
  <si>
    <t>V_tot-V_on</t>
  </si>
  <si>
    <t>Processed - same x-data used for both axis and interface anchor points concide</t>
  </si>
  <si>
    <t>Volume calc by revolution (washer method)</t>
  </si>
  <si>
    <t>V_tank</t>
  </si>
  <si>
    <t>Average</t>
  </si>
  <si>
    <t>%SD</t>
  </si>
  <si>
    <t>%error</t>
  </si>
  <si>
    <t>The efficiency can be calculated from (work done/internal energy change)</t>
  </si>
  <si>
    <t>z</t>
  </si>
  <si>
    <t>J/m3</t>
  </si>
  <si>
    <t>tank movement</t>
  </si>
  <si>
    <t>Voltage</t>
  </si>
  <si>
    <t>Electric energy (J)</t>
  </si>
  <si>
    <t>volume of domain (m3)</t>
  </si>
  <si>
    <t>U</t>
  </si>
  <si>
    <t>J/kg</t>
  </si>
  <si>
    <t>the internal energy change comes from the electrical energy stored in the fluid 1/2 epsilon E^2</t>
  </si>
  <si>
    <t>wihtin needle length during E_field &gt;0 (displacement up to needle tip)</t>
  </si>
  <si>
    <t>Initial to needle tip</t>
  </si>
  <si>
    <t>error t</t>
  </si>
  <si>
    <t>error h</t>
  </si>
  <si>
    <t>h_low</t>
  </si>
  <si>
    <t>h_high</t>
  </si>
  <si>
    <t>Delta h</t>
  </si>
  <si>
    <t>this is measued from ground plane, so z coordinate is negative</t>
  </si>
  <si>
    <t>ascend v</t>
  </si>
  <si>
    <t>From initial potion driven for 60 frames, i.e. 2 seconds</t>
  </si>
  <si>
    <t>v error</t>
  </si>
  <si>
    <t>9.5 - run 3</t>
  </si>
  <si>
    <t>this looks at interface position every 10 frames, so a h vs t graph (i.e. velocity profile)</t>
  </si>
  <si>
    <t>8 - run 3</t>
  </si>
  <si>
    <t>6.5 - run 3</t>
  </si>
  <si>
    <t>t [s]</t>
  </si>
  <si>
    <t>Delta h [mm]</t>
  </si>
  <si>
    <t>v_ascend [m/s]</t>
  </si>
  <si>
    <t>error v</t>
  </si>
  <si>
    <t>a_ascend [m/s^2]</t>
  </si>
  <si>
    <t>from sims</t>
  </si>
  <si>
    <t>V</t>
  </si>
  <si>
    <t>h [mm]</t>
  </si>
  <si>
    <t>v = sqrt(2*(p_ES)-(rho g h)/1900)</t>
  </si>
  <si>
    <t>t initial</t>
  </si>
  <si>
    <t>t measured</t>
  </si>
  <si>
    <t>t error</t>
  </si>
  <si>
    <t>Delta t</t>
  </si>
  <si>
    <t>error t [s]</t>
  </si>
  <si>
    <t>z_initial</t>
  </si>
  <si>
    <t>z_measured</t>
  </si>
  <si>
    <t>Delta z [mm]</t>
  </si>
  <si>
    <t>error Delta z [mm]</t>
  </si>
  <si>
    <t>acceleration [m/s^2]</t>
  </si>
  <si>
    <t>max h</t>
  </si>
  <si>
    <t>h = 0</t>
  </si>
  <si>
    <t>h=0</t>
  </si>
  <si>
    <t>h_max</t>
  </si>
  <si>
    <t># 6.5 kV</t>
  </si>
  <si>
    <t># t [s]</t>
  </si>
  <si>
    <t># Delta h (absolute, z_initial = -7.184 mm from ground plane) [mm]</t>
  </si>
  <si>
    <t># 8.0 kV</t>
  </si>
  <si>
    <t># 9.5 kV</t>
  </si>
  <si>
    <t>#z_poistion (measred) [mm]</t>
  </si>
  <si>
    <t>um/s</t>
  </si>
  <si>
    <t>mm/s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</si>
</sst>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0"/>
    <numFmt numFmtId="165" formatCode="0.0"/>
    <numFmt numFmtId="166" formatCode="0.000"/>
    <numFmt numFmtId="167" formatCode="0.0%"/>
    <numFmt numFmtId="168" formatCode="0.0E+00"/>
    <numFmt numFmtId="169" formatCode="0.000%"/>
    <numFmt numFmtId="170" formatCode="0.000000"/>
    <numFmt numFmtId="171" formatCode="0.000E+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165" fontId="0" fillId="0" borderId="0" xfId="0" applyNumberFormat="1"/>
    <xf numFmtId="0" fontId="0" fillId="0" borderId="0" xfId="0" applyFill="1" applyBorder="1"/>
    <xf numFmtId="0" fontId="0" fillId="0" borderId="0" xfId="0" applyBorder="1"/>
    <xf numFmtId="0" fontId="0" fillId="0" borderId="9" xfId="0" applyFill="1" applyBorder="1"/>
    <xf numFmtId="164" fontId="0" fillId="0" borderId="0" xfId="0" applyNumberFormat="1"/>
    <xf numFmtId="0" fontId="0" fillId="0" borderId="8" xfId="0" applyFill="1" applyBorder="1"/>
    <xf numFmtId="9" fontId="0" fillId="0" borderId="0" xfId="1" applyFont="1"/>
    <xf numFmtId="11" fontId="0" fillId="0" borderId="0" xfId="0" applyNumberFormat="1"/>
    <xf numFmtId="0" fontId="0" fillId="2" borderId="0" xfId="0" applyFill="1"/>
    <xf numFmtId="0" fontId="0" fillId="3" borderId="0" xfId="0" applyFill="1"/>
    <xf numFmtId="9" fontId="0" fillId="0" borderId="8" xfId="1" applyFont="1" applyBorder="1"/>
    <xf numFmtId="9" fontId="0" fillId="0" borderId="9" xfId="1" applyFont="1" applyBorder="1"/>
    <xf numFmtId="0" fontId="0" fillId="0" borderId="12" xfId="0" applyBorder="1"/>
    <xf numFmtId="0" fontId="0" fillId="0" borderId="13" xfId="0" applyBorder="1"/>
    <xf numFmtId="166" fontId="0" fillId="0" borderId="5" xfId="0" applyNumberFormat="1" applyBorder="1"/>
    <xf numFmtId="166" fontId="0" fillId="0" borderId="6" xfId="0" applyNumberFormat="1" applyBorder="1"/>
    <xf numFmtId="166" fontId="0" fillId="0" borderId="13" xfId="0" applyNumberFormat="1" applyBorder="1"/>
    <xf numFmtId="166" fontId="0" fillId="0" borderId="14" xfId="0" applyNumberFormat="1" applyBorder="1"/>
    <xf numFmtId="166" fontId="0" fillId="0" borderId="0" xfId="0" applyNumberFormat="1"/>
    <xf numFmtId="2" fontId="0" fillId="0" borderId="0" xfId="0" applyNumberFormat="1"/>
    <xf numFmtId="164" fontId="0" fillId="0" borderId="0" xfId="1" applyNumberFormat="1" applyFont="1"/>
    <xf numFmtId="9" fontId="0" fillId="0" borderId="0" xfId="1" applyNumberFormat="1" applyFont="1"/>
    <xf numFmtId="2" fontId="0" fillId="0" borderId="0" xfId="1" applyNumberFormat="1" applyFont="1"/>
    <xf numFmtId="166" fontId="0" fillId="0" borderId="0" xfId="1" applyNumberFormat="1" applyFont="1"/>
    <xf numFmtId="2" fontId="0" fillId="0" borderId="13" xfId="0" applyNumberFormat="1" applyBorder="1"/>
    <xf numFmtId="166" fontId="0" fillId="0" borderId="8" xfId="0" applyNumberFormat="1" applyBorder="1"/>
    <xf numFmtId="167" fontId="0" fillId="0" borderId="8" xfId="1" applyNumberFormat="1" applyFont="1" applyBorder="1"/>
    <xf numFmtId="167" fontId="0" fillId="0" borderId="9" xfId="1" applyNumberFormat="1" applyFont="1" applyBorder="1"/>
    <xf numFmtId="0" fontId="0" fillId="0" borderId="4" xfId="0" applyFill="1" applyBorder="1"/>
    <xf numFmtId="0" fontId="0" fillId="0" borderId="6" xfId="0" applyFill="1" applyBorder="1"/>
    <xf numFmtId="0" fontId="0" fillId="0" borderId="15" xfId="0" applyBorder="1"/>
    <xf numFmtId="0" fontId="0" fillId="0" borderId="16" xfId="0" applyBorder="1"/>
    <xf numFmtId="166" fontId="0" fillId="0" borderId="15" xfId="0" applyNumberForma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12" xfId="0" applyNumberFormat="1" applyBorder="1"/>
    <xf numFmtId="9" fontId="0" fillId="0" borderId="7" xfId="1" applyFont="1" applyBorder="1"/>
    <xf numFmtId="164" fontId="0" fillId="0" borderId="6" xfId="0" applyNumberFormat="1" applyBorder="1"/>
    <xf numFmtId="166" fontId="0" fillId="0" borderId="16" xfId="1" applyNumberFormat="1" applyFont="1" applyBorder="1"/>
    <xf numFmtId="167" fontId="0" fillId="0" borderId="7" xfId="1" applyNumberFormat="1" applyFont="1" applyBorder="1"/>
    <xf numFmtId="168" fontId="0" fillId="0" borderId="0" xfId="0" applyNumberFormat="1"/>
    <xf numFmtId="166" fontId="0" fillId="0" borderId="0" xfId="0" applyNumberFormat="1" applyBorder="1"/>
    <xf numFmtId="11" fontId="0" fillId="0" borderId="13" xfId="0" applyNumberFormat="1" applyBorder="1"/>
    <xf numFmtId="11" fontId="0" fillId="0" borderId="5" xfId="0" applyNumberFormat="1" applyBorder="1"/>
    <xf numFmtId="0" fontId="0" fillId="0" borderId="0" xfId="0" applyAlignment="1">
      <alignment vertical="center" wrapText="1"/>
    </xf>
    <xf numFmtId="11" fontId="0" fillId="0" borderId="0" xfId="0" applyNumberFormat="1" applyAlignment="1">
      <alignment vertical="center" wrapText="1"/>
    </xf>
    <xf numFmtId="10" fontId="0" fillId="0" borderId="0" xfId="1" applyNumberFormat="1" applyFont="1"/>
    <xf numFmtId="169" fontId="0" fillId="0" borderId="0" xfId="1" applyNumberFormat="1" applyFont="1"/>
    <xf numFmtId="11" fontId="0" fillId="0" borderId="0" xfId="1" applyNumberFormat="1" applyFont="1" applyAlignment="1">
      <alignment vertical="center" wrapText="1"/>
    </xf>
    <xf numFmtId="49" fontId="0" fillId="0" borderId="0" xfId="0" applyNumberFormat="1"/>
    <xf numFmtId="0" fontId="3" fillId="0" borderId="0" xfId="0" applyFont="1"/>
    <xf numFmtId="2" fontId="0" fillId="0" borderId="0" xfId="0" applyNumberFormat="1" applyBorder="1"/>
    <xf numFmtId="9" fontId="0" fillId="0" borderId="0" xfId="1" applyFont="1" applyBorder="1"/>
    <xf numFmtId="11" fontId="0" fillId="0" borderId="0" xfId="0" applyNumberFormat="1" applyBorder="1"/>
    <xf numFmtId="170" fontId="0" fillId="0" borderId="0" xfId="0" applyNumberFormat="1"/>
    <xf numFmtId="171" fontId="0" fillId="0" borderId="0" xfId="0" applyNumberFormat="1"/>
    <xf numFmtId="0" fontId="0" fillId="0" borderId="0" xfId="0" applyNumberFormat="1"/>
    <xf numFmtId="170" fontId="0" fillId="0" borderId="0" xfId="0" applyNumberFormat="1" applyBorder="1"/>
    <xf numFmtId="166" fontId="0" fillId="0" borderId="0" xfId="0" applyNumberFormat="1" applyFill="1" applyBorder="1"/>
    <xf numFmtId="0" fontId="0" fillId="0" borderId="0" xfId="0" applyNumberFormat="1" applyFill="1" applyBorder="1"/>
    <xf numFmtId="0" fontId="0" fillId="0" borderId="0" xfId="0" applyNumberForma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77537182852145E-2"/>
          <c:y val="2.7777777777777776E-2"/>
          <c:w val="0.868071959755030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v>6.5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42059514435695539"/>
                  <c:y val="0.3981353893263341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Summary!$H$46:$H$52</c:f>
              <c:numCache>
                <c:formatCode>0.000</c:formatCode>
                <c:ptCount val="7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  <c:pt idx="5">
                  <c:v>1.6683350016683351</c:v>
                </c:pt>
                <c:pt idx="6">
                  <c:v>2.0020020020020022</c:v>
                </c:pt>
              </c:numCache>
            </c:numRef>
          </c:xVal>
          <c:yVal>
            <c:numRef>
              <c:f>Summary!$M$46:$M$52</c:f>
              <c:numCache>
                <c:formatCode>General</c:formatCode>
                <c:ptCount val="7"/>
                <c:pt idx="0">
                  <c:v>2.3000000000000576E-2</c:v>
                </c:pt>
                <c:pt idx="1">
                  <c:v>0.28100000000000058</c:v>
                </c:pt>
                <c:pt idx="2">
                  <c:v>0.47500000000000053</c:v>
                </c:pt>
                <c:pt idx="3">
                  <c:v>0.89599999999999991</c:v>
                </c:pt>
                <c:pt idx="4">
                  <c:v>1.2510000000000003</c:v>
                </c:pt>
                <c:pt idx="5">
                  <c:v>1.4400000000000004</c:v>
                </c:pt>
                <c:pt idx="6">
                  <c:v>1.5360000000000005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54E-4E56-94B5-B762C2A0F59A}"/>
            </c:ext>
          </c:extLst>
        </c:ser>
        <c:ser>
          <c:idx val="1"/>
          <c:order val="1"/>
          <c:tx>
            <c:v>8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7561745406824149"/>
                  <c:y val="0.336457786526684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Summary!$H$66:$H$72</c:f>
              <c:numCache>
                <c:formatCode>0.000</c:formatCode>
                <c:ptCount val="7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  <c:pt idx="5">
                  <c:v>1.6683350016683351</c:v>
                </c:pt>
                <c:pt idx="6">
                  <c:v>2.0020020020020022</c:v>
                </c:pt>
              </c:numCache>
            </c:numRef>
          </c:xVal>
          <c:yVal>
            <c:numRef>
              <c:f>Summary!$M$66:$M$72</c:f>
              <c:numCache>
                <c:formatCode>General</c:formatCode>
                <c:ptCount val="7"/>
                <c:pt idx="0">
                  <c:v>0.12599999999999945</c:v>
                </c:pt>
                <c:pt idx="1">
                  <c:v>0.74299999999999944</c:v>
                </c:pt>
                <c:pt idx="2">
                  <c:v>1.0759999999999996</c:v>
                </c:pt>
                <c:pt idx="3">
                  <c:v>1.702</c:v>
                </c:pt>
                <c:pt idx="4">
                  <c:v>1.9169999999999998</c:v>
                </c:pt>
                <c:pt idx="5">
                  <c:v>2.2309999999999999</c:v>
                </c:pt>
                <c:pt idx="6">
                  <c:v>2.4239999999999995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54E-4E56-94B5-B762C2A0F59A}"/>
            </c:ext>
          </c:extLst>
        </c:ser>
        <c:ser>
          <c:idx val="2"/>
          <c:order val="2"/>
          <c:tx>
            <c:v>9.5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8471478565179351"/>
                  <c:y val="-9.537109944590259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Summary!$H$90:$H$96</c:f>
              <c:numCache>
                <c:formatCode>0.000</c:formatCode>
                <c:ptCount val="7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  <c:pt idx="5">
                  <c:v>1.6683350016683351</c:v>
                </c:pt>
                <c:pt idx="6">
                  <c:v>2.0020020020020022</c:v>
                </c:pt>
              </c:numCache>
            </c:numRef>
          </c:xVal>
          <c:yVal>
            <c:numRef>
              <c:f>Summary!$M$90:$M$96</c:f>
              <c:numCache>
                <c:formatCode>General</c:formatCode>
                <c:ptCount val="7"/>
                <c:pt idx="0">
                  <c:v>0.20899999999999963</c:v>
                </c:pt>
                <c:pt idx="1">
                  <c:v>0.41699999999999982</c:v>
                </c:pt>
                <c:pt idx="2">
                  <c:v>0.77899999999999991</c:v>
                </c:pt>
                <c:pt idx="3">
                  <c:v>1.1319999999999997</c:v>
                </c:pt>
                <c:pt idx="4">
                  <c:v>1.4710000000000001</c:v>
                </c:pt>
                <c:pt idx="5">
                  <c:v>1.806</c:v>
                </c:pt>
                <c:pt idx="6">
                  <c:v>2.085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54E-4E56-94B5-B762C2A0F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7150127"/>
        <c:axId val="1347143887"/>
      </c:scatterChart>
      <c:valAx>
        <c:axId val="1347150127"/>
        <c:scaling>
          <c:orientation val="minMax"/>
          <c:max val="3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7143887"/>
        <c:crosses val="autoZero"/>
        <c:crossBetween val="midCat"/>
      </c:valAx>
      <c:valAx>
        <c:axId val="1347143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71501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'6.5 kV'!$T$60:$T$72</c:f>
              <c:numCache>
                <c:formatCode>General</c:formatCode>
                <c:ptCount val="13"/>
                <c:pt idx="0">
                  <c:v>37.284999999999997</c:v>
                </c:pt>
                <c:pt idx="1">
                  <c:v>36.680999999999997</c:v>
                </c:pt>
                <c:pt idx="2">
                  <c:v>36.121000000000002</c:v>
                </c:pt>
                <c:pt idx="3">
                  <c:v>35.518000000000001</c:v>
                </c:pt>
                <c:pt idx="4">
                  <c:v>34.854999999999997</c:v>
                </c:pt>
                <c:pt idx="5">
                  <c:v>34.143999999999998</c:v>
                </c:pt>
                <c:pt idx="6">
                  <c:v>33.204999999999998</c:v>
                </c:pt>
                <c:pt idx="7">
                  <c:v>32.442999999999998</c:v>
                </c:pt>
                <c:pt idx="8">
                  <c:v>31.626000000000001</c:v>
                </c:pt>
                <c:pt idx="9">
                  <c:v>30.849</c:v>
                </c:pt>
                <c:pt idx="10">
                  <c:v>29.803000000000001</c:v>
                </c:pt>
                <c:pt idx="11">
                  <c:v>29.184000000000001</c:v>
                </c:pt>
                <c:pt idx="12">
                  <c:v>28.183</c:v>
                </c:pt>
              </c:numCache>
            </c:numRef>
          </c:xVal>
          <c:yVal>
            <c:numRef>
              <c:f>'6.5 kV'!$U$60:$U$72</c:f>
              <c:numCache>
                <c:formatCode>General</c:formatCode>
                <c:ptCount val="13"/>
                <c:pt idx="0">
                  <c:v>-29.890999999999998</c:v>
                </c:pt>
                <c:pt idx="1">
                  <c:v>-30.009</c:v>
                </c:pt>
                <c:pt idx="2">
                  <c:v>-30.111999999999998</c:v>
                </c:pt>
                <c:pt idx="3">
                  <c:v>-30.186</c:v>
                </c:pt>
                <c:pt idx="4">
                  <c:v>-30.245000000000001</c:v>
                </c:pt>
                <c:pt idx="5">
                  <c:v>-30.366</c:v>
                </c:pt>
                <c:pt idx="6">
                  <c:v>-30.388000000000002</c:v>
                </c:pt>
                <c:pt idx="7">
                  <c:v>-30.366</c:v>
                </c:pt>
                <c:pt idx="8">
                  <c:v>-30.332999999999998</c:v>
                </c:pt>
                <c:pt idx="9">
                  <c:v>-30.26</c:v>
                </c:pt>
                <c:pt idx="10">
                  <c:v>-30.23</c:v>
                </c:pt>
                <c:pt idx="11">
                  <c:v>-30.186</c:v>
                </c:pt>
                <c:pt idx="12">
                  <c:v>-30.082999999999998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F5-4E49-9A5E-A8C1BB04E196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'6.5 kV'!$T$60:$T$72</c:f>
              <c:numCache>
                <c:formatCode>General</c:formatCode>
                <c:ptCount val="13"/>
                <c:pt idx="0">
                  <c:v>37.284999999999997</c:v>
                </c:pt>
                <c:pt idx="1">
                  <c:v>36.680999999999997</c:v>
                </c:pt>
                <c:pt idx="2">
                  <c:v>36.121000000000002</c:v>
                </c:pt>
                <c:pt idx="3">
                  <c:v>35.518000000000001</c:v>
                </c:pt>
                <c:pt idx="4">
                  <c:v>34.854999999999997</c:v>
                </c:pt>
                <c:pt idx="5">
                  <c:v>34.143999999999998</c:v>
                </c:pt>
                <c:pt idx="6">
                  <c:v>33.204999999999998</c:v>
                </c:pt>
                <c:pt idx="7">
                  <c:v>32.442999999999998</c:v>
                </c:pt>
                <c:pt idx="8">
                  <c:v>31.626000000000001</c:v>
                </c:pt>
                <c:pt idx="9">
                  <c:v>30.849</c:v>
                </c:pt>
                <c:pt idx="10">
                  <c:v>29.803000000000001</c:v>
                </c:pt>
                <c:pt idx="11">
                  <c:v>29.184000000000001</c:v>
                </c:pt>
                <c:pt idx="12">
                  <c:v>28.183</c:v>
                </c:pt>
              </c:numCache>
            </c:numRef>
          </c:xVal>
          <c:yVal>
            <c:numRef>
              <c:f>'6.5 kV'!$V$60:$V$72</c:f>
              <c:numCache>
                <c:formatCode>General</c:formatCode>
                <c:ptCount val="13"/>
                <c:pt idx="0">
                  <c:v>-29.890999999999998</c:v>
                </c:pt>
                <c:pt idx="1">
                  <c:v>-29.955999999999996</c:v>
                </c:pt>
                <c:pt idx="2">
                  <c:v>-30.009999999999998</c:v>
                </c:pt>
                <c:pt idx="3">
                  <c:v>-30.107999999999997</c:v>
                </c:pt>
                <c:pt idx="4">
                  <c:v>-30.13</c:v>
                </c:pt>
                <c:pt idx="5">
                  <c:v>-30.183999999999997</c:v>
                </c:pt>
                <c:pt idx="6">
                  <c:v>-30.238999999999997</c:v>
                </c:pt>
                <c:pt idx="7">
                  <c:v>-30.227999999999998</c:v>
                </c:pt>
                <c:pt idx="8">
                  <c:v>-30.205999999999996</c:v>
                </c:pt>
                <c:pt idx="9">
                  <c:v>-30.140999999999998</c:v>
                </c:pt>
                <c:pt idx="10">
                  <c:v>-30.075999999999997</c:v>
                </c:pt>
                <c:pt idx="11">
                  <c:v>-30.064999999999998</c:v>
                </c:pt>
                <c:pt idx="12">
                  <c:v>-29.999999999999996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F5-4E49-9A5E-A8C1BB04E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4653999"/>
        <c:axId val="2143640095"/>
      </c:scatterChart>
      <c:valAx>
        <c:axId val="2094653999"/>
        <c:scaling>
          <c:orientation val="minMax"/>
          <c:min val="2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3640095"/>
        <c:crosses val="autoZero"/>
        <c:crossBetween val="midCat"/>
      </c:valAx>
      <c:valAx>
        <c:axId val="2143640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4653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'6.5 kV'!$P$60:$P$72</c:f>
              <c:numCache>
                <c:formatCode>General</c:formatCode>
                <c:ptCount val="13"/>
                <c:pt idx="0">
                  <c:v>33.618000000000002</c:v>
                </c:pt>
                <c:pt idx="1">
                  <c:v>32.902999999999999</c:v>
                </c:pt>
                <c:pt idx="2">
                  <c:v>32.231999999999999</c:v>
                </c:pt>
                <c:pt idx="3">
                  <c:v>31.574999999999999</c:v>
                </c:pt>
                <c:pt idx="4">
                  <c:v>30.904</c:v>
                </c:pt>
                <c:pt idx="5">
                  <c:v>30.132000000000001</c:v>
                </c:pt>
                <c:pt idx="6">
                  <c:v>29.39</c:v>
                </c:pt>
                <c:pt idx="7">
                  <c:v>28.731999999999999</c:v>
                </c:pt>
                <c:pt idx="8">
                  <c:v>28.074999999999999</c:v>
                </c:pt>
                <c:pt idx="9">
                  <c:v>27.332999999999998</c:v>
                </c:pt>
                <c:pt idx="10">
                  <c:v>26.718</c:v>
                </c:pt>
                <c:pt idx="11">
                  <c:v>26.047000000000001</c:v>
                </c:pt>
                <c:pt idx="12">
                  <c:v>25.460999999999999</c:v>
                </c:pt>
              </c:numCache>
            </c:numRef>
          </c:xVal>
          <c:yVal>
            <c:numRef>
              <c:f>'6.5 kV'!$Q$60:$Q$72</c:f>
              <c:numCache>
                <c:formatCode>General</c:formatCode>
                <c:ptCount val="13"/>
                <c:pt idx="0">
                  <c:v>-25.646999999999998</c:v>
                </c:pt>
                <c:pt idx="1">
                  <c:v>-25.719000000000001</c:v>
                </c:pt>
                <c:pt idx="2">
                  <c:v>-25.818999999999999</c:v>
                </c:pt>
                <c:pt idx="3">
                  <c:v>-25.861000000000001</c:v>
                </c:pt>
                <c:pt idx="4">
                  <c:v>-25.933</c:v>
                </c:pt>
                <c:pt idx="5">
                  <c:v>-25.99</c:v>
                </c:pt>
                <c:pt idx="6">
                  <c:v>-26.033000000000001</c:v>
                </c:pt>
                <c:pt idx="7">
                  <c:v>-25.975999999999999</c:v>
                </c:pt>
                <c:pt idx="8">
                  <c:v>-25.960999999999999</c:v>
                </c:pt>
                <c:pt idx="9">
                  <c:v>-25.917999999999999</c:v>
                </c:pt>
                <c:pt idx="10">
                  <c:v>-25.904</c:v>
                </c:pt>
                <c:pt idx="11">
                  <c:v>-25.847000000000001</c:v>
                </c:pt>
                <c:pt idx="12">
                  <c:v>-25.760999999999999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9-423A-9B3F-BF5F022257BE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'6.5 kV'!$P$60:$P$72</c:f>
              <c:numCache>
                <c:formatCode>General</c:formatCode>
                <c:ptCount val="13"/>
                <c:pt idx="0">
                  <c:v>33.618000000000002</c:v>
                </c:pt>
                <c:pt idx="1">
                  <c:v>32.902999999999999</c:v>
                </c:pt>
                <c:pt idx="2">
                  <c:v>32.231999999999999</c:v>
                </c:pt>
                <c:pt idx="3">
                  <c:v>31.574999999999999</c:v>
                </c:pt>
                <c:pt idx="4">
                  <c:v>30.904</c:v>
                </c:pt>
                <c:pt idx="5">
                  <c:v>30.132000000000001</c:v>
                </c:pt>
                <c:pt idx="6">
                  <c:v>29.39</c:v>
                </c:pt>
                <c:pt idx="7">
                  <c:v>28.731999999999999</c:v>
                </c:pt>
                <c:pt idx="8">
                  <c:v>28.074999999999999</c:v>
                </c:pt>
                <c:pt idx="9">
                  <c:v>27.332999999999998</c:v>
                </c:pt>
                <c:pt idx="10">
                  <c:v>26.718</c:v>
                </c:pt>
                <c:pt idx="11">
                  <c:v>26.047000000000001</c:v>
                </c:pt>
                <c:pt idx="12">
                  <c:v>25.460999999999999</c:v>
                </c:pt>
              </c:numCache>
            </c:numRef>
          </c:xVal>
          <c:yVal>
            <c:numRef>
              <c:f>'6.5 kV'!$R$60:$R$72</c:f>
              <c:numCache>
                <c:formatCode>General</c:formatCode>
                <c:ptCount val="13"/>
                <c:pt idx="0">
                  <c:v>-25.646999999999998</c:v>
                </c:pt>
                <c:pt idx="1">
                  <c:v>-25.843</c:v>
                </c:pt>
                <c:pt idx="2">
                  <c:v>-25.995999999999999</c:v>
                </c:pt>
                <c:pt idx="3">
                  <c:v>-26.105</c:v>
                </c:pt>
                <c:pt idx="4">
                  <c:v>-26.236000000000001</c:v>
                </c:pt>
                <c:pt idx="5">
                  <c:v>-26.323999999999998</c:v>
                </c:pt>
                <c:pt idx="6">
                  <c:v>-26.388999999999999</c:v>
                </c:pt>
                <c:pt idx="7">
                  <c:v>-26.323999999999998</c:v>
                </c:pt>
                <c:pt idx="8">
                  <c:v>-26.28</c:v>
                </c:pt>
                <c:pt idx="9">
                  <c:v>-26.105</c:v>
                </c:pt>
                <c:pt idx="10">
                  <c:v>-25.908999999999999</c:v>
                </c:pt>
                <c:pt idx="11">
                  <c:v>-25.843</c:v>
                </c:pt>
                <c:pt idx="12">
                  <c:v>-25.733999999999998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9-423A-9B3F-BF5F02225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342463"/>
        <c:axId val="142339551"/>
      </c:scatterChart>
      <c:valAx>
        <c:axId val="142342463"/>
        <c:scaling>
          <c:orientation val="minMax"/>
          <c:min val="2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339551"/>
        <c:crosses val="autoZero"/>
        <c:crossBetween val="midCat"/>
      </c:valAx>
      <c:valAx>
        <c:axId val="14233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3424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'8.0 kV'!$AG$7:$AG$19</c:f>
              <c:numCache>
                <c:formatCode>General</c:formatCode>
                <c:ptCount val="13"/>
                <c:pt idx="0">
                  <c:v>37.615000000000002</c:v>
                </c:pt>
                <c:pt idx="1">
                  <c:v>36.582999999999998</c:v>
                </c:pt>
                <c:pt idx="2">
                  <c:v>35.534999999999997</c:v>
                </c:pt>
                <c:pt idx="3">
                  <c:v>34.798000000000002</c:v>
                </c:pt>
                <c:pt idx="4">
                  <c:v>34.011000000000003</c:v>
                </c:pt>
                <c:pt idx="5">
                  <c:v>33.274000000000001</c:v>
                </c:pt>
                <c:pt idx="6">
                  <c:v>32.225999999999999</c:v>
                </c:pt>
                <c:pt idx="7">
                  <c:v>31.603999999999999</c:v>
                </c:pt>
                <c:pt idx="8">
                  <c:v>30.899000000000001</c:v>
                </c:pt>
                <c:pt idx="9">
                  <c:v>30.08</c:v>
                </c:pt>
                <c:pt idx="10">
                  <c:v>29.047999999999998</c:v>
                </c:pt>
                <c:pt idx="11">
                  <c:v>27.722000000000001</c:v>
                </c:pt>
                <c:pt idx="12">
                  <c:v>25.690999999999999</c:v>
                </c:pt>
              </c:numCache>
            </c:numRef>
          </c:xVal>
          <c:yVal>
            <c:numRef>
              <c:f>'8.0 kV'!$AH$7:$AH$19</c:f>
              <c:numCache>
                <c:formatCode>General</c:formatCode>
                <c:ptCount val="13"/>
                <c:pt idx="0">
                  <c:v>-27.623000000000001</c:v>
                </c:pt>
                <c:pt idx="1">
                  <c:v>-27.771000000000001</c:v>
                </c:pt>
                <c:pt idx="2">
                  <c:v>-27.82</c:v>
                </c:pt>
                <c:pt idx="3">
                  <c:v>-27.885999999999999</c:v>
                </c:pt>
                <c:pt idx="4">
                  <c:v>-27.951000000000001</c:v>
                </c:pt>
                <c:pt idx="5">
                  <c:v>-28.016999999999999</c:v>
                </c:pt>
                <c:pt idx="6">
                  <c:v>-28.11</c:v>
                </c:pt>
                <c:pt idx="7">
                  <c:v>-28.048999999999999</c:v>
                </c:pt>
                <c:pt idx="8">
                  <c:v>-27.984000000000002</c:v>
                </c:pt>
                <c:pt idx="9">
                  <c:v>-27.984000000000002</c:v>
                </c:pt>
                <c:pt idx="10">
                  <c:v>-27.934999999999999</c:v>
                </c:pt>
                <c:pt idx="11">
                  <c:v>-27.951000000000001</c:v>
                </c:pt>
                <c:pt idx="12">
                  <c:v>-27.722000000000001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64-4CEE-B990-995542534AFB}"/>
            </c:ext>
          </c:extLst>
        </c:ser>
        <c:ser>
          <c:idx val="2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'8.0 kV'!$AG$7:$AG$19</c:f>
              <c:numCache>
                <c:formatCode>General</c:formatCode>
                <c:ptCount val="13"/>
                <c:pt idx="0">
                  <c:v>37.615000000000002</c:v>
                </c:pt>
                <c:pt idx="1">
                  <c:v>36.582999999999998</c:v>
                </c:pt>
                <c:pt idx="2">
                  <c:v>35.534999999999997</c:v>
                </c:pt>
                <c:pt idx="3">
                  <c:v>34.798000000000002</c:v>
                </c:pt>
                <c:pt idx="4">
                  <c:v>34.011000000000003</c:v>
                </c:pt>
                <c:pt idx="5">
                  <c:v>33.274000000000001</c:v>
                </c:pt>
                <c:pt idx="6">
                  <c:v>32.225999999999999</c:v>
                </c:pt>
                <c:pt idx="7">
                  <c:v>31.603999999999999</c:v>
                </c:pt>
                <c:pt idx="8">
                  <c:v>30.899000000000001</c:v>
                </c:pt>
                <c:pt idx="9">
                  <c:v>30.08</c:v>
                </c:pt>
                <c:pt idx="10">
                  <c:v>29.047999999999998</c:v>
                </c:pt>
                <c:pt idx="11">
                  <c:v>27.722000000000001</c:v>
                </c:pt>
                <c:pt idx="12">
                  <c:v>25.690999999999999</c:v>
                </c:pt>
              </c:numCache>
            </c:numRef>
          </c:xVal>
          <c:yVal>
            <c:numRef>
              <c:f>'8.0 kV'!$AJ$7:$AJ$19</c:f>
              <c:numCache>
                <c:formatCode>General</c:formatCode>
                <c:ptCount val="13"/>
                <c:pt idx="0">
                  <c:v>-28.038</c:v>
                </c:pt>
                <c:pt idx="1">
                  <c:v>-28.225000000000001</c:v>
                </c:pt>
                <c:pt idx="2">
                  <c:v>-28.337</c:v>
                </c:pt>
                <c:pt idx="3">
                  <c:v>-28.437000000000001</c:v>
                </c:pt>
                <c:pt idx="4">
                  <c:v>-28.574000000000002</c:v>
                </c:pt>
                <c:pt idx="5">
                  <c:v>-28.698</c:v>
                </c:pt>
                <c:pt idx="6">
                  <c:v>-28.728000000000002</c:v>
                </c:pt>
                <c:pt idx="7">
                  <c:v>-28.797999999999998</c:v>
                </c:pt>
                <c:pt idx="8">
                  <c:v>-28.748000000000001</c:v>
                </c:pt>
                <c:pt idx="9">
                  <c:v>-28.635999999999999</c:v>
                </c:pt>
                <c:pt idx="10">
                  <c:v>-28.510999999999999</c:v>
                </c:pt>
                <c:pt idx="11">
                  <c:v>-28.423999999999999</c:v>
                </c:pt>
                <c:pt idx="12">
                  <c:v>-28.038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64-4CEE-B990-995542534A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824127"/>
        <c:axId val="135825791"/>
      </c:scatterChart>
      <c:valAx>
        <c:axId val="135824127"/>
        <c:scaling>
          <c:orientation val="minMax"/>
          <c:min val="2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25791"/>
        <c:crosses val="autoZero"/>
        <c:crossBetween val="midCat"/>
      </c:valAx>
      <c:valAx>
        <c:axId val="135825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241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-0.22590526465017954"/>
                  <c:y val="6.773731408573928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'tank curve align'!$C$21:$C$33</c:f>
              <c:numCache>
                <c:formatCode>General</c:formatCode>
                <c:ptCount val="13"/>
                <c:pt idx="0">
                  <c:v>33.618000000000002</c:v>
                </c:pt>
                <c:pt idx="1">
                  <c:v>32.902999999999999</c:v>
                </c:pt>
                <c:pt idx="2">
                  <c:v>32.231999999999999</c:v>
                </c:pt>
                <c:pt idx="3">
                  <c:v>31.574999999999999</c:v>
                </c:pt>
                <c:pt idx="4">
                  <c:v>30.904</c:v>
                </c:pt>
                <c:pt idx="5">
                  <c:v>30.132000000000001</c:v>
                </c:pt>
                <c:pt idx="6">
                  <c:v>29.39</c:v>
                </c:pt>
                <c:pt idx="7">
                  <c:v>28.731999999999999</c:v>
                </c:pt>
                <c:pt idx="8">
                  <c:v>28.074999999999999</c:v>
                </c:pt>
                <c:pt idx="9">
                  <c:v>27.332999999999998</c:v>
                </c:pt>
                <c:pt idx="10">
                  <c:v>26.718</c:v>
                </c:pt>
                <c:pt idx="11">
                  <c:v>26.047000000000001</c:v>
                </c:pt>
                <c:pt idx="12">
                  <c:v>25.460999999999999</c:v>
                </c:pt>
              </c:numCache>
            </c:numRef>
          </c:xVal>
          <c:yVal>
            <c:numRef>
              <c:f>'tank curve align'!$D$21:$D$33</c:f>
              <c:numCache>
                <c:formatCode>General</c:formatCode>
                <c:ptCount val="13"/>
                <c:pt idx="0">
                  <c:v>-25.646999999999998</c:v>
                </c:pt>
                <c:pt idx="1">
                  <c:v>-25.719000000000001</c:v>
                </c:pt>
                <c:pt idx="2">
                  <c:v>-25.818999999999999</c:v>
                </c:pt>
                <c:pt idx="3">
                  <c:v>-25.861000000000001</c:v>
                </c:pt>
                <c:pt idx="4">
                  <c:v>-25.933</c:v>
                </c:pt>
                <c:pt idx="5">
                  <c:v>-25.99</c:v>
                </c:pt>
                <c:pt idx="6">
                  <c:v>-26.033000000000001</c:v>
                </c:pt>
                <c:pt idx="7">
                  <c:v>-25.975999999999999</c:v>
                </c:pt>
                <c:pt idx="8">
                  <c:v>-25.960999999999999</c:v>
                </c:pt>
                <c:pt idx="9">
                  <c:v>-25.917999999999999</c:v>
                </c:pt>
                <c:pt idx="10">
                  <c:v>-25.904</c:v>
                </c:pt>
                <c:pt idx="11">
                  <c:v>-25.847000000000001</c:v>
                </c:pt>
                <c:pt idx="12">
                  <c:v>-25.760999999999999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89-4669-938C-78729A63009D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-0.22042446826025502"/>
                  <c:y val="0.458865558471857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'tank curve align'!$C$21:$C$33</c:f>
              <c:numCache>
                <c:formatCode>General</c:formatCode>
                <c:ptCount val="13"/>
                <c:pt idx="0">
                  <c:v>33.618000000000002</c:v>
                </c:pt>
                <c:pt idx="1">
                  <c:v>32.902999999999999</c:v>
                </c:pt>
                <c:pt idx="2">
                  <c:v>32.231999999999999</c:v>
                </c:pt>
                <c:pt idx="3">
                  <c:v>31.574999999999999</c:v>
                </c:pt>
                <c:pt idx="4">
                  <c:v>30.904</c:v>
                </c:pt>
                <c:pt idx="5">
                  <c:v>30.132000000000001</c:v>
                </c:pt>
                <c:pt idx="6">
                  <c:v>29.39</c:v>
                </c:pt>
                <c:pt idx="7">
                  <c:v>28.731999999999999</c:v>
                </c:pt>
                <c:pt idx="8">
                  <c:v>28.074999999999999</c:v>
                </c:pt>
                <c:pt idx="9">
                  <c:v>27.332999999999998</c:v>
                </c:pt>
                <c:pt idx="10">
                  <c:v>26.718</c:v>
                </c:pt>
                <c:pt idx="11">
                  <c:v>26.047000000000001</c:v>
                </c:pt>
                <c:pt idx="12">
                  <c:v>25.460999999999999</c:v>
                </c:pt>
              </c:numCache>
            </c:numRef>
          </c:xVal>
          <c:yVal>
            <c:numRef>
              <c:f>'tank curve align'!$E$21:$E$33</c:f>
              <c:numCache>
                <c:formatCode>General</c:formatCode>
                <c:ptCount val="13"/>
                <c:pt idx="0">
                  <c:v>-25.722999999999999</c:v>
                </c:pt>
                <c:pt idx="1">
                  <c:v>-25.919</c:v>
                </c:pt>
                <c:pt idx="2">
                  <c:v>-26.071999999999999</c:v>
                </c:pt>
                <c:pt idx="3">
                  <c:v>-26.181000000000001</c:v>
                </c:pt>
                <c:pt idx="4">
                  <c:v>-26.312000000000001</c:v>
                </c:pt>
                <c:pt idx="5">
                  <c:v>-26.4</c:v>
                </c:pt>
                <c:pt idx="6">
                  <c:v>-26.465</c:v>
                </c:pt>
                <c:pt idx="7">
                  <c:v>-26.4</c:v>
                </c:pt>
                <c:pt idx="8">
                  <c:v>-26.356000000000002</c:v>
                </c:pt>
                <c:pt idx="9">
                  <c:v>-26.181000000000001</c:v>
                </c:pt>
                <c:pt idx="10">
                  <c:v>-25.984999999999999</c:v>
                </c:pt>
                <c:pt idx="11">
                  <c:v>-25.919</c:v>
                </c:pt>
                <c:pt idx="12">
                  <c:v>-25.81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389-4669-938C-78729A63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6476639"/>
        <c:axId val="1356477055"/>
      </c:scatterChart>
      <c:valAx>
        <c:axId val="13564766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6477055"/>
        <c:crosses val="autoZero"/>
        <c:crossBetween val="midCat"/>
      </c:valAx>
      <c:valAx>
        <c:axId val="1356477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64766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-0.33256587798582021"/>
                  <c:y val="7.365740740740740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'tank curve align'!$G$21:$G$33</c:f>
              <c:numCache>
                <c:formatCode>General</c:formatCode>
                <c:ptCount val="13"/>
                <c:pt idx="0">
                  <c:v>41.514000000000003</c:v>
                </c:pt>
                <c:pt idx="1">
                  <c:v>39.92</c:v>
                </c:pt>
                <c:pt idx="2">
                  <c:v>38.728999999999999</c:v>
                </c:pt>
                <c:pt idx="3">
                  <c:v>37.521000000000001</c:v>
                </c:pt>
                <c:pt idx="4">
                  <c:v>36.463999999999999</c:v>
                </c:pt>
                <c:pt idx="5">
                  <c:v>35.524999999999999</c:v>
                </c:pt>
                <c:pt idx="6">
                  <c:v>34.534999999999997</c:v>
                </c:pt>
                <c:pt idx="7">
                  <c:v>33.561999999999998</c:v>
                </c:pt>
                <c:pt idx="8">
                  <c:v>32.673000000000002</c:v>
                </c:pt>
                <c:pt idx="9">
                  <c:v>31.8</c:v>
                </c:pt>
                <c:pt idx="10">
                  <c:v>30.76</c:v>
                </c:pt>
                <c:pt idx="11">
                  <c:v>29.451000000000001</c:v>
                </c:pt>
                <c:pt idx="12">
                  <c:v>28.059000000000001</c:v>
                </c:pt>
              </c:numCache>
            </c:numRef>
          </c:xVal>
          <c:yVal>
            <c:numRef>
              <c:f>'tank curve align'!$H$21:$H$33</c:f>
              <c:numCache>
                <c:formatCode>General</c:formatCode>
                <c:ptCount val="13"/>
                <c:pt idx="0">
                  <c:v>-27.521999999999998</c:v>
                </c:pt>
                <c:pt idx="1">
                  <c:v>-27.69</c:v>
                </c:pt>
                <c:pt idx="2">
                  <c:v>-27.791</c:v>
                </c:pt>
                <c:pt idx="3">
                  <c:v>-27.975000000000001</c:v>
                </c:pt>
                <c:pt idx="4">
                  <c:v>-28.093</c:v>
                </c:pt>
                <c:pt idx="5">
                  <c:v>-28.143000000000001</c:v>
                </c:pt>
                <c:pt idx="6">
                  <c:v>-28.193000000000001</c:v>
                </c:pt>
                <c:pt idx="7">
                  <c:v>-28.143000000000001</c:v>
                </c:pt>
                <c:pt idx="8">
                  <c:v>-28.076000000000001</c:v>
                </c:pt>
                <c:pt idx="9">
                  <c:v>-27.975000000000001</c:v>
                </c:pt>
                <c:pt idx="10">
                  <c:v>-27.873999999999999</c:v>
                </c:pt>
                <c:pt idx="11">
                  <c:v>-27.824000000000002</c:v>
                </c:pt>
                <c:pt idx="12">
                  <c:v>-27.757000000000001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F7-4350-B06C-AD39D89B3367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-0.32434468340093342"/>
                  <c:y val="0.494953703703703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'tank curve align'!$G$21:$G$33</c:f>
              <c:numCache>
                <c:formatCode>General</c:formatCode>
                <c:ptCount val="13"/>
                <c:pt idx="0">
                  <c:v>41.514000000000003</c:v>
                </c:pt>
                <c:pt idx="1">
                  <c:v>39.92</c:v>
                </c:pt>
                <c:pt idx="2">
                  <c:v>38.728999999999999</c:v>
                </c:pt>
                <c:pt idx="3">
                  <c:v>37.521000000000001</c:v>
                </c:pt>
                <c:pt idx="4">
                  <c:v>36.463999999999999</c:v>
                </c:pt>
                <c:pt idx="5">
                  <c:v>35.524999999999999</c:v>
                </c:pt>
                <c:pt idx="6">
                  <c:v>34.534999999999997</c:v>
                </c:pt>
                <c:pt idx="7">
                  <c:v>33.561999999999998</c:v>
                </c:pt>
                <c:pt idx="8">
                  <c:v>32.673000000000002</c:v>
                </c:pt>
                <c:pt idx="9">
                  <c:v>31.8</c:v>
                </c:pt>
                <c:pt idx="10">
                  <c:v>30.76</c:v>
                </c:pt>
                <c:pt idx="11">
                  <c:v>29.451000000000001</c:v>
                </c:pt>
                <c:pt idx="12">
                  <c:v>28.059000000000001</c:v>
                </c:pt>
              </c:numCache>
            </c:numRef>
          </c:xVal>
          <c:yVal>
            <c:numRef>
              <c:f>'tank curve align'!$I$21:$I$33</c:f>
              <c:numCache>
                <c:formatCode>General</c:formatCode>
                <c:ptCount val="13"/>
                <c:pt idx="0">
                  <c:v>-27.600999999999999</c:v>
                </c:pt>
                <c:pt idx="1">
                  <c:v>-27.875</c:v>
                </c:pt>
                <c:pt idx="2">
                  <c:v>-28.045999999999999</c:v>
                </c:pt>
                <c:pt idx="3">
                  <c:v>-28.216999999999999</c:v>
                </c:pt>
                <c:pt idx="4">
                  <c:v>-28.439</c:v>
                </c:pt>
                <c:pt idx="5">
                  <c:v>-28.611000000000001</c:v>
                </c:pt>
                <c:pt idx="6">
                  <c:v>-28.765000000000001</c:v>
                </c:pt>
                <c:pt idx="7">
                  <c:v>-28.696000000000002</c:v>
                </c:pt>
                <c:pt idx="8">
                  <c:v>-28.593</c:v>
                </c:pt>
                <c:pt idx="9">
                  <c:v>-28.439</c:v>
                </c:pt>
                <c:pt idx="10">
                  <c:v>-28.251000000000001</c:v>
                </c:pt>
                <c:pt idx="11">
                  <c:v>-28.097000000000001</c:v>
                </c:pt>
                <c:pt idx="12">
                  <c:v>-27.908999999999999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F7-4350-B06C-AD39D89B33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9308431"/>
        <c:axId val="2069309679"/>
      </c:scatterChart>
      <c:valAx>
        <c:axId val="2069308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9309679"/>
        <c:crosses val="autoZero"/>
        <c:crossBetween val="midCat"/>
      </c:valAx>
      <c:valAx>
        <c:axId val="2069309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9308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-0.20615454594299151"/>
                  <c:y val="0.357935258092738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'tank curve align'!$K$21:$K$33</c:f>
              <c:numCache>
                <c:formatCode>General</c:formatCode>
                <c:ptCount val="13"/>
                <c:pt idx="0">
                  <c:v>43.097999999999999</c:v>
                </c:pt>
                <c:pt idx="1">
                  <c:v>42.448999999999998</c:v>
                </c:pt>
                <c:pt idx="2">
                  <c:v>41.701000000000001</c:v>
                </c:pt>
                <c:pt idx="3">
                  <c:v>40.954000000000001</c:v>
                </c:pt>
                <c:pt idx="4">
                  <c:v>40.106999999999999</c:v>
                </c:pt>
                <c:pt idx="5">
                  <c:v>39.134</c:v>
                </c:pt>
                <c:pt idx="6">
                  <c:v>38.005000000000003</c:v>
                </c:pt>
                <c:pt idx="7">
                  <c:v>37.101999999999997</c:v>
                </c:pt>
                <c:pt idx="8">
                  <c:v>36.198999999999998</c:v>
                </c:pt>
                <c:pt idx="9">
                  <c:v>35.212000000000003</c:v>
                </c:pt>
                <c:pt idx="10">
                  <c:v>34.040999999999997</c:v>
                </c:pt>
                <c:pt idx="11">
                  <c:v>32.305999999999997</c:v>
                </c:pt>
                <c:pt idx="12">
                  <c:v>31.190999999999999</c:v>
                </c:pt>
              </c:numCache>
            </c:numRef>
          </c:xVal>
          <c:yVal>
            <c:numRef>
              <c:f>'tank curve align'!$L$21:$L$33</c:f>
              <c:numCache>
                <c:formatCode>General</c:formatCode>
                <c:ptCount val="13"/>
                <c:pt idx="0">
                  <c:v>-29.584</c:v>
                </c:pt>
                <c:pt idx="1">
                  <c:v>-29.696000000000002</c:v>
                </c:pt>
                <c:pt idx="2">
                  <c:v>-29.753</c:v>
                </c:pt>
                <c:pt idx="3">
                  <c:v>-29.809000000000001</c:v>
                </c:pt>
                <c:pt idx="4">
                  <c:v>-29.922000000000001</c:v>
                </c:pt>
                <c:pt idx="5">
                  <c:v>-29.979000000000003</c:v>
                </c:pt>
                <c:pt idx="6">
                  <c:v>-30.065000000000001</c:v>
                </c:pt>
                <c:pt idx="7">
                  <c:v>-30.021000000000001</c:v>
                </c:pt>
                <c:pt idx="8">
                  <c:v>-29.993000000000002</c:v>
                </c:pt>
                <c:pt idx="9">
                  <c:v>-29.993000000000002</c:v>
                </c:pt>
                <c:pt idx="10">
                  <c:v>-29.950000000000003</c:v>
                </c:pt>
                <c:pt idx="11">
                  <c:v>-29.936</c:v>
                </c:pt>
                <c:pt idx="12">
                  <c:v>-29.866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30-40DF-992E-29345DB3BA83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-0.21163534233291609"/>
                  <c:y val="4.841717701953922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'tank curve align'!$K$21:$K$33</c:f>
              <c:numCache>
                <c:formatCode>General</c:formatCode>
                <c:ptCount val="13"/>
                <c:pt idx="0">
                  <c:v>43.097999999999999</c:v>
                </c:pt>
                <c:pt idx="1">
                  <c:v>42.448999999999998</c:v>
                </c:pt>
                <c:pt idx="2">
                  <c:v>41.701000000000001</c:v>
                </c:pt>
                <c:pt idx="3">
                  <c:v>40.954000000000001</c:v>
                </c:pt>
                <c:pt idx="4">
                  <c:v>40.106999999999999</c:v>
                </c:pt>
                <c:pt idx="5">
                  <c:v>39.134</c:v>
                </c:pt>
                <c:pt idx="6">
                  <c:v>38.005000000000003</c:v>
                </c:pt>
                <c:pt idx="7">
                  <c:v>37.101999999999997</c:v>
                </c:pt>
                <c:pt idx="8">
                  <c:v>36.198999999999998</c:v>
                </c:pt>
                <c:pt idx="9">
                  <c:v>35.212000000000003</c:v>
                </c:pt>
                <c:pt idx="10">
                  <c:v>34.040999999999997</c:v>
                </c:pt>
                <c:pt idx="11">
                  <c:v>32.305999999999997</c:v>
                </c:pt>
                <c:pt idx="12">
                  <c:v>31.190999999999999</c:v>
                </c:pt>
              </c:numCache>
            </c:numRef>
          </c:xVal>
          <c:yVal>
            <c:numRef>
              <c:f>'tank curve align'!$M$21:$M$33</c:f>
              <c:numCache>
                <c:formatCode>General</c:formatCode>
                <c:ptCount val="13"/>
                <c:pt idx="0">
                  <c:v>-29.584</c:v>
                </c:pt>
                <c:pt idx="1">
                  <c:v>-29.946000000000002</c:v>
                </c:pt>
                <c:pt idx="2">
                  <c:v>-30.390999999999998</c:v>
                </c:pt>
                <c:pt idx="3">
                  <c:v>-30.687000000000001</c:v>
                </c:pt>
                <c:pt idx="4">
                  <c:v>-30.965</c:v>
                </c:pt>
                <c:pt idx="5">
                  <c:v>-31.262</c:v>
                </c:pt>
                <c:pt idx="6">
                  <c:v>-31.460999999999999</c:v>
                </c:pt>
                <c:pt idx="7">
                  <c:v>-31.446999999999999</c:v>
                </c:pt>
                <c:pt idx="8">
                  <c:v>-31.378</c:v>
                </c:pt>
                <c:pt idx="9">
                  <c:v>-31.28</c:v>
                </c:pt>
                <c:pt idx="10">
                  <c:v>-30.960999999999999</c:v>
                </c:pt>
                <c:pt idx="11">
                  <c:v>-30.655000000000001</c:v>
                </c:pt>
                <c:pt idx="12">
                  <c:v>-29.974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30-40DF-992E-29345DB3B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4653999"/>
        <c:axId val="2094654415"/>
      </c:scatterChart>
      <c:valAx>
        <c:axId val="2094653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4654415"/>
        <c:crosses val="autoZero"/>
        <c:crossBetween val="midCat"/>
      </c:valAx>
      <c:valAx>
        <c:axId val="2094654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4653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[1]Sheet1!$R$3:$R$35</c:f>
              <c:strCache>
                <c:ptCount val="33"/>
                <c:pt idx="0">
                  <c:v>P</c:v>
                </c:pt>
                <c:pt idx="1">
                  <c:v>1.8486</c:v>
                </c:pt>
                <c:pt idx="2">
                  <c:v>2.8003</c:v>
                </c:pt>
                <c:pt idx="3">
                  <c:v>3.9489</c:v>
                </c:pt>
              </c:strCache>
            </c:strRef>
          </c:xVal>
          <c:yVal>
            <c:numRef>
              <c:f>[1]Sheet1!$W$3:$W$35</c:f>
              <c:numCache>
                <c:formatCode>General</c:formatCode>
                <c:ptCount val="33"/>
                <c:pt idx="12">
                  <c:v>2.8</c:v>
                </c:pt>
                <c:pt idx="13">
                  <c:v>4.8</c:v>
                </c:pt>
                <c:pt idx="14">
                  <c:v>5</c:v>
                </c:pt>
                <c:pt idx="15">
                  <c:v>2.2999999999999998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94-47BB-9AF9-86D80E958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0185055"/>
        <c:axId val="1680188383"/>
      </c:scatterChart>
      <c:valAx>
        <c:axId val="16801850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0188383"/>
        <c:crosses val="autoZero"/>
        <c:crossBetween val="midCat"/>
      </c:valAx>
      <c:valAx>
        <c:axId val="1680188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01850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[1]Sheet1!$R$3:$R$39</c:f>
              <c:strCache>
                <c:ptCount val="37"/>
                <c:pt idx="0">
                  <c:v>P</c:v>
                </c:pt>
                <c:pt idx="1">
                  <c:v>1.8486</c:v>
                </c:pt>
                <c:pt idx="2">
                  <c:v>2.8003</c:v>
                </c:pt>
                <c:pt idx="3">
                  <c:v>3.9489</c:v>
                </c:pt>
                <c:pt idx="33">
                  <c:v>5.178</c:v>
                </c:pt>
                <c:pt idx="34">
                  <c:v>5.566</c:v>
                </c:pt>
                <c:pt idx="35">
                  <c:v>10.744</c:v>
                </c:pt>
              </c:strCache>
            </c:strRef>
          </c:xVal>
          <c:yVal>
            <c:numRef>
              <c:f>[1]Sheet1!$AB$3:$AB$39</c:f>
              <c:numCache>
                <c:formatCode>General</c:formatCode>
                <c:ptCount val="37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3E-42A8-98BC-7888CBF8C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8656751"/>
        <c:axId val="1098657583"/>
      </c:scatterChart>
      <c:valAx>
        <c:axId val="10986567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657583"/>
        <c:crosses val="autoZero"/>
        <c:crossBetween val="midCat"/>
      </c:valAx>
      <c:valAx>
        <c:axId val="1098657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6567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[1]Sheet1!$R$3:$R$46</c:f>
              <c:strCache>
                <c:ptCount val="44"/>
                <c:pt idx="0">
                  <c:v>P</c:v>
                </c:pt>
                <c:pt idx="1">
                  <c:v>1.8486</c:v>
                </c:pt>
                <c:pt idx="2">
                  <c:v>2.8003</c:v>
                </c:pt>
                <c:pt idx="3">
                  <c:v>3.9489</c:v>
                </c:pt>
                <c:pt idx="33">
                  <c:v>5.178</c:v>
                </c:pt>
                <c:pt idx="34">
                  <c:v>5.566</c:v>
                </c:pt>
                <c:pt idx="35">
                  <c:v>10.744</c:v>
                </c:pt>
              </c:strCache>
            </c:strRef>
          </c:xVal>
          <c:yVal>
            <c:numRef>
              <c:f>[1]Sheet1!$AH$3:$AH$46</c:f>
              <c:numCache>
                <c:formatCode>General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82-4984-826A-931135339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0728511"/>
        <c:axId val="1570729343"/>
      </c:scatterChart>
      <c:valAx>
        <c:axId val="15707285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729343"/>
        <c:crosses val="autoZero"/>
        <c:crossBetween val="midCat"/>
      </c:valAx>
      <c:valAx>
        <c:axId val="1570729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7285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Summary!$H$46:$H$50</c:f>
              <c:numCache>
                <c:formatCode>0.000</c:formatCode>
                <c:ptCount val="5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</c:numCache>
            </c:numRef>
          </c:xVal>
          <c:yVal>
            <c:numRef>
              <c:f>Summary!$M$46:$M$50</c:f>
              <c:numCache>
                <c:formatCode>General</c:formatCode>
                <c:ptCount val="5"/>
                <c:pt idx="0">
                  <c:v>2.3000000000000576E-2</c:v>
                </c:pt>
                <c:pt idx="1">
                  <c:v>0.28100000000000058</c:v>
                </c:pt>
                <c:pt idx="2">
                  <c:v>0.47500000000000053</c:v>
                </c:pt>
                <c:pt idx="3">
                  <c:v>0.89599999999999991</c:v>
                </c:pt>
                <c:pt idx="4">
                  <c:v>1.2510000000000003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FB-4CC0-8E70-1CDDEA489C51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Summary!$H$66:$H$69</c:f>
              <c:numCache>
                <c:formatCode>0.000</c:formatCode>
                <c:ptCount val="4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</c:numCache>
            </c:numRef>
          </c:xVal>
          <c:yVal>
            <c:numRef>
              <c:f>Summary!$M$66:$M$69</c:f>
              <c:numCache>
                <c:formatCode>General</c:formatCode>
                <c:ptCount val="4"/>
                <c:pt idx="0">
                  <c:v>0.12599999999999945</c:v>
                </c:pt>
                <c:pt idx="1">
                  <c:v>0.74299999999999944</c:v>
                </c:pt>
                <c:pt idx="2">
                  <c:v>1.0759999999999996</c:v>
                </c:pt>
                <c:pt idx="3">
                  <c:v>1.702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FB-4CC0-8E70-1CDDEA489C51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Summary!$H$90:$H$95</c:f>
              <c:numCache>
                <c:formatCode>0.000</c:formatCode>
                <c:ptCount val="6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  <c:pt idx="5">
                  <c:v>1.6683350016683351</c:v>
                </c:pt>
              </c:numCache>
            </c:numRef>
          </c:xVal>
          <c:yVal>
            <c:numRef>
              <c:f>Summary!$M$90:$M$95</c:f>
              <c:numCache>
                <c:formatCode>General</c:formatCode>
                <c:ptCount val="6"/>
                <c:pt idx="0">
                  <c:v>0.20899999999999963</c:v>
                </c:pt>
                <c:pt idx="1">
                  <c:v>0.41699999999999982</c:v>
                </c:pt>
                <c:pt idx="2">
                  <c:v>0.77899999999999991</c:v>
                </c:pt>
                <c:pt idx="3">
                  <c:v>1.1319999999999997</c:v>
                </c:pt>
                <c:pt idx="4">
                  <c:v>1.4710000000000001</c:v>
                </c:pt>
                <c:pt idx="5">
                  <c:v>1.806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8FB-4CC0-8E70-1CDDEA489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6045775"/>
        <c:axId val="456046191"/>
      </c:scatterChart>
      <c:valAx>
        <c:axId val="456045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046191"/>
        <c:crosses val="autoZero"/>
        <c:crossBetween val="midCat"/>
      </c:valAx>
      <c:valAx>
        <c:axId val="45604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0457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Summary!$U$5:$U$7</c:f>
              <c:numCache>
                <c:formatCode>General</c:formatCode>
                <c:ptCount val="3"/>
                <c:pt idx="0">
                  <c:v>7.24</c:v>
                </c:pt>
                <c:pt idx="1">
                  <c:v>11.78</c:v>
                </c:pt>
                <c:pt idx="2">
                  <c:v>18.079999999999998</c:v>
                </c:pt>
              </c:numCache>
            </c:numRef>
          </c:xVal>
          <c:yVal>
            <c:numRef>
              <c:f>Summary!$W$5:$W$7</c:f>
              <c:numCache>
                <c:formatCode>General</c:formatCode>
                <c:ptCount val="3"/>
                <c:pt idx="0">
                  <c:v>42.25</c:v>
                </c:pt>
                <c:pt idx="1">
                  <c:v>64</c:v>
                </c:pt>
                <c:pt idx="2">
                  <c:v>90.25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B0-4469-B443-A0CFAD80E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3053679"/>
        <c:axId val="1343054095"/>
      </c:scatterChart>
      <c:valAx>
        <c:axId val="1343053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054095"/>
        <c:crosses val="autoZero"/>
        <c:crossBetween val="midCat"/>
      </c:valAx>
      <c:valAx>
        <c:axId val="134305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0536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velocty</a:t>
            </a:r>
            <a:r>
              <a:rPr lang="en-GB" baseline="0"/>
              <a:t> vs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6.5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Summary!$H$46:$H$60</c:f>
              <c:numCache>
                <c:formatCode>0.000</c:formatCode>
                <c:ptCount val="15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  <c:pt idx="5">
                  <c:v>1.6683350016683351</c:v>
                </c:pt>
                <c:pt idx="6">
                  <c:v>2.0020020020020022</c:v>
                </c:pt>
                <c:pt idx="7">
                  <c:v>2.3356690023356692</c:v>
                </c:pt>
                <c:pt idx="8">
                  <c:v>3.0030030030030033</c:v>
                </c:pt>
                <c:pt idx="9">
                  <c:v>4.3376710043376718</c:v>
                </c:pt>
                <c:pt idx="10">
                  <c:v>7.0070070070070081</c:v>
                </c:pt>
                <c:pt idx="11">
                  <c:v>12.345679012345681</c:v>
                </c:pt>
                <c:pt idx="12">
                  <c:v>23.023023023023026</c:v>
                </c:pt>
                <c:pt idx="13">
                  <c:v>44.377711044377719</c:v>
                </c:pt>
                <c:pt idx="14">
                  <c:v>65.732399065732409</c:v>
                </c:pt>
              </c:numCache>
            </c:numRef>
          </c:xVal>
          <c:yVal>
            <c:numRef>
              <c:f>Summary!$P$46:$P$60</c:f>
              <c:numCache>
                <c:formatCode>0.00E+00</c:formatCode>
                <c:ptCount val="15"/>
                <c:pt idx="0">
                  <c:v>6.8931000000001716E-5</c:v>
                </c:pt>
                <c:pt idx="1">
                  <c:v>5.6143800000000113E-4</c:v>
                </c:pt>
                <c:pt idx="2">
                  <c:v>7.1178750000000079E-4</c:v>
                </c:pt>
                <c:pt idx="3">
                  <c:v>8.9510399999999976E-4</c:v>
                </c:pt>
                <c:pt idx="4">
                  <c:v>9.3731175000000017E-4</c:v>
                </c:pt>
                <c:pt idx="5">
                  <c:v>8.6313600000000024E-4</c:v>
                </c:pt>
                <c:pt idx="6">
                  <c:v>7.6723200000000018E-4</c:v>
                </c:pt>
                <c:pt idx="7">
                  <c:v>7.1071714285714292E-4</c:v>
                </c:pt>
                <c:pt idx="8">
                  <c:v>5.804190000000001E-4</c:v>
                </c:pt>
                <c:pt idx="9">
                  <c:v>4.3963684615384608E-4</c:v>
                </c:pt>
                <c:pt idx="10">
                  <c:v>3.1225885714285706E-4</c:v>
                </c:pt>
                <c:pt idx="11">
                  <c:v>2.1116700000000001E-4</c:v>
                </c:pt>
                <c:pt idx="12">
                  <c:v>1.3916504347826085E-4</c:v>
                </c:pt>
                <c:pt idx="13">
                  <c:v>9.4213962406015017E-5</c:v>
                </c:pt>
                <c:pt idx="14">
                  <c:v>7.338846700507614E-5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59-4929-A1A7-91C8DE8AD4C8}"/>
            </c:ext>
          </c:extLst>
        </c:ser>
        <c:ser>
          <c:idx val="1"/>
          <c:order val="1"/>
          <c:tx>
            <c:v>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Summary!$H$66:$H$80</c:f>
              <c:numCache>
                <c:formatCode>0.000</c:formatCode>
                <c:ptCount val="15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  <c:pt idx="5">
                  <c:v>1.6683350016683351</c:v>
                </c:pt>
                <c:pt idx="6">
                  <c:v>2.0020020020020022</c:v>
                </c:pt>
                <c:pt idx="7">
                  <c:v>2.3356690023356692</c:v>
                </c:pt>
                <c:pt idx="8">
                  <c:v>3.0030030030030033</c:v>
                </c:pt>
                <c:pt idx="9">
                  <c:v>4.3376710043376718</c:v>
                </c:pt>
                <c:pt idx="10">
                  <c:v>7.0070070070070081</c:v>
                </c:pt>
                <c:pt idx="11">
                  <c:v>12.345679012345681</c:v>
                </c:pt>
                <c:pt idx="12">
                  <c:v>23.023023023023026</c:v>
                </c:pt>
                <c:pt idx="13">
                  <c:v>44.377711044377719</c:v>
                </c:pt>
                <c:pt idx="14">
                  <c:v>65.732399065732409</c:v>
                </c:pt>
              </c:numCache>
            </c:numRef>
          </c:xVal>
          <c:yVal>
            <c:numRef>
              <c:f>Summary!$P$66:$P$80</c:f>
              <c:numCache>
                <c:formatCode>0.00E+00</c:formatCode>
                <c:ptCount val="15"/>
                <c:pt idx="0">
                  <c:v>3.7762199999999836E-4</c:v>
                </c:pt>
                <c:pt idx="1">
                  <c:v>1.4845139999999986E-3</c:v>
                </c:pt>
                <c:pt idx="2">
                  <c:v>1.6123859999999995E-3</c:v>
                </c:pt>
                <c:pt idx="3">
                  <c:v>1.7002979999999998E-3</c:v>
                </c:pt>
                <c:pt idx="4">
                  <c:v>1.4363122499999998E-3</c:v>
                </c:pt>
                <c:pt idx="5">
                  <c:v>1.3372613999999999E-3</c:v>
                </c:pt>
                <c:pt idx="6">
                  <c:v>1.2107879999999998E-3</c:v>
                </c:pt>
                <c:pt idx="7">
                  <c:v>9.8515671428571418E-4</c:v>
                </c:pt>
                <c:pt idx="8">
                  <c:v>7.7888699999999981E-4</c:v>
                </c:pt>
                <c:pt idx="9">
                  <c:v>6.249897692307692E-4</c:v>
                </c:pt>
                <c:pt idx="10">
                  <c:v>4.4769471428571418E-4</c:v>
                </c:pt>
                <c:pt idx="11">
                  <c:v>3.4125300000000002E-4</c:v>
                </c:pt>
                <c:pt idx="12">
                  <c:v>2.5470156521739131E-4</c:v>
                </c:pt>
                <c:pt idx="13">
                  <c:v>1.787383759398496E-4</c:v>
                </c:pt>
                <c:pt idx="14">
                  <c:v>1.4031132487309639E-4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D59-4929-A1A7-91C8DE8AD4C8}"/>
            </c:ext>
          </c:extLst>
        </c:ser>
        <c:ser>
          <c:idx val="2"/>
          <c:order val="2"/>
          <c:tx>
            <c:v>9.5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Summary!$H$90:$H$104</c:f>
              <c:numCache>
                <c:formatCode>0.000</c:formatCode>
                <c:ptCount val="15"/>
                <c:pt idx="0">
                  <c:v>0.33366700033366703</c:v>
                </c:pt>
                <c:pt idx="1">
                  <c:v>0.50050050050050054</c:v>
                </c:pt>
                <c:pt idx="2">
                  <c:v>0.66733400066733406</c:v>
                </c:pt>
                <c:pt idx="3">
                  <c:v>1.0010010010010011</c:v>
                </c:pt>
                <c:pt idx="4">
                  <c:v>1.3346680013346681</c:v>
                </c:pt>
                <c:pt idx="5">
                  <c:v>1.6683350016683351</c:v>
                </c:pt>
                <c:pt idx="6">
                  <c:v>2.0020020020020022</c:v>
                </c:pt>
                <c:pt idx="7">
                  <c:v>2.3356690023356692</c:v>
                </c:pt>
                <c:pt idx="8">
                  <c:v>3.0030030030030033</c:v>
                </c:pt>
                <c:pt idx="9">
                  <c:v>4.3376710043376718</c:v>
                </c:pt>
                <c:pt idx="10">
                  <c:v>7.0070070070070081</c:v>
                </c:pt>
                <c:pt idx="11">
                  <c:v>12.345679012345681</c:v>
                </c:pt>
                <c:pt idx="12">
                  <c:v>23.023023023023026</c:v>
                </c:pt>
                <c:pt idx="13">
                  <c:v>44.377711044377719</c:v>
                </c:pt>
                <c:pt idx="14">
                  <c:v>65.732399065732409</c:v>
                </c:pt>
              </c:numCache>
            </c:numRef>
          </c:xVal>
          <c:yVal>
            <c:numRef>
              <c:f>Summary!$P$90:$P$104</c:f>
              <c:numCache>
                <c:formatCode>0.00E+00</c:formatCode>
                <c:ptCount val="15"/>
                <c:pt idx="0">
                  <c:v>6.2637299999999886E-4</c:v>
                </c:pt>
                <c:pt idx="1">
                  <c:v>8.3316599999999955E-4</c:v>
                </c:pt>
                <c:pt idx="2">
                  <c:v>1.1673314999999999E-3</c:v>
                </c:pt>
                <c:pt idx="3">
                  <c:v>1.1308679999999997E-3</c:v>
                </c:pt>
                <c:pt idx="4">
                  <c:v>1.1021467500000001E-3</c:v>
                </c:pt>
                <c:pt idx="5">
                  <c:v>1.0825163999999999E-3</c:v>
                </c:pt>
                <c:pt idx="6">
                  <c:v>1.0414574999999999E-3</c:v>
                </c:pt>
                <c:pt idx="7">
                  <c:v>9.7873457142857155E-4</c:v>
                </c:pt>
                <c:pt idx="8">
                  <c:v>8.4149099999999998E-4</c:v>
                </c:pt>
                <c:pt idx="9">
                  <c:v>7.0314230769230753E-4</c:v>
                </c:pt>
                <c:pt idx="10">
                  <c:v>5.6871642857142849E-4</c:v>
                </c:pt>
                <c:pt idx="11">
                  <c:v>4.5270899999999998E-4</c:v>
                </c:pt>
                <c:pt idx="12">
                  <c:v>3.4482873913043474E-4</c:v>
                </c:pt>
                <c:pt idx="13">
                  <c:v>2.5645757142857137E-4</c:v>
                </c:pt>
                <c:pt idx="14">
                  <c:v>1.9813669035532994E-4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59-4929-A1A7-91C8DE8AD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4211775"/>
        <c:axId val="1234212191"/>
      </c:scatterChart>
      <c:valAx>
        <c:axId val="1234211775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4212191"/>
        <c:crosses val="autoZero"/>
        <c:crossBetween val="midCat"/>
      </c:valAx>
      <c:valAx>
        <c:axId val="1234212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42117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6.5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Summary!$M$46:$M$61</c:f>
              <c:numCache>
                <c:formatCode>General</c:formatCode>
                <c:ptCount val="16"/>
                <c:pt idx="0">
                  <c:v>2.3000000000000576E-2</c:v>
                </c:pt>
                <c:pt idx="1">
                  <c:v>0.28100000000000058</c:v>
                </c:pt>
                <c:pt idx="2">
                  <c:v>0.47500000000000053</c:v>
                </c:pt>
                <c:pt idx="3">
                  <c:v>0.89599999999999991</c:v>
                </c:pt>
                <c:pt idx="4">
                  <c:v>1.2510000000000003</c:v>
                </c:pt>
                <c:pt idx="5">
                  <c:v>1.4400000000000004</c:v>
                </c:pt>
                <c:pt idx="6">
                  <c:v>1.5360000000000005</c:v>
                </c:pt>
                <c:pt idx="7">
                  <c:v>1.6600000000000001</c:v>
                </c:pt>
                <c:pt idx="8">
                  <c:v>1.7430000000000003</c:v>
                </c:pt>
                <c:pt idx="9">
                  <c:v>1.907</c:v>
                </c:pt>
                <c:pt idx="10">
                  <c:v>2.1879999999999997</c:v>
                </c:pt>
                <c:pt idx="11">
                  <c:v>2.6070000000000002</c:v>
                </c:pt>
                <c:pt idx="12">
                  <c:v>3.2040000000000002</c:v>
                </c:pt>
                <c:pt idx="13">
                  <c:v>4.181</c:v>
                </c:pt>
                <c:pt idx="14">
                  <c:v>4.8239999999999998</c:v>
                </c:pt>
                <c:pt idx="15">
                  <c:v>7.24</c:v>
                </c:pt>
              </c:numCache>
            </c:numRef>
          </c:xVal>
          <c:yVal>
            <c:numRef>
              <c:f>Summary!$P$46:$P$61</c:f>
              <c:numCache>
                <c:formatCode>0.00E+00</c:formatCode>
                <c:ptCount val="16"/>
                <c:pt idx="0">
                  <c:v>6.8931000000001716E-5</c:v>
                </c:pt>
                <c:pt idx="1">
                  <c:v>5.6143800000000113E-4</c:v>
                </c:pt>
                <c:pt idx="2">
                  <c:v>7.1178750000000079E-4</c:v>
                </c:pt>
                <c:pt idx="3">
                  <c:v>8.9510399999999976E-4</c:v>
                </c:pt>
                <c:pt idx="4">
                  <c:v>9.3731175000000017E-4</c:v>
                </c:pt>
                <c:pt idx="5">
                  <c:v>8.6313600000000024E-4</c:v>
                </c:pt>
                <c:pt idx="6">
                  <c:v>7.6723200000000018E-4</c:v>
                </c:pt>
                <c:pt idx="7">
                  <c:v>7.1071714285714292E-4</c:v>
                </c:pt>
                <c:pt idx="8">
                  <c:v>5.804190000000001E-4</c:v>
                </c:pt>
                <c:pt idx="9">
                  <c:v>4.3963684615384608E-4</c:v>
                </c:pt>
                <c:pt idx="10">
                  <c:v>3.1225885714285706E-4</c:v>
                </c:pt>
                <c:pt idx="11">
                  <c:v>2.1116700000000001E-4</c:v>
                </c:pt>
                <c:pt idx="12">
                  <c:v>1.3916504347826085E-4</c:v>
                </c:pt>
                <c:pt idx="13">
                  <c:v>9.4213962406015017E-5</c:v>
                </c:pt>
                <c:pt idx="14">
                  <c:v>7.338846700507614E-5</c:v>
                </c:pt>
                <c:pt idx="15">
                  <c:v>3.5740866414099821E-5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0F-480D-8339-100E34F26962}"/>
            </c:ext>
          </c:extLst>
        </c:ser>
        <c:ser>
          <c:idx val="1"/>
          <c:order val="1"/>
          <c:tx>
            <c:v>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Summary!$M$66:$M$81</c:f>
              <c:numCache>
                <c:formatCode>General</c:formatCode>
                <c:ptCount val="16"/>
                <c:pt idx="0">
                  <c:v>0.12599999999999945</c:v>
                </c:pt>
                <c:pt idx="1">
                  <c:v>0.74299999999999944</c:v>
                </c:pt>
                <c:pt idx="2">
                  <c:v>1.0759999999999996</c:v>
                </c:pt>
                <c:pt idx="3">
                  <c:v>1.702</c:v>
                </c:pt>
                <c:pt idx="4">
                  <c:v>1.9169999999999998</c:v>
                </c:pt>
                <c:pt idx="5">
                  <c:v>2.2309999999999999</c:v>
                </c:pt>
                <c:pt idx="6">
                  <c:v>2.4239999999999995</c:v>
                </c:pt>
                <c:pt idx="7">
                  <c:v>2.3010000000000002</c:v>
                </c:pt>
                <c:pt idx="8">
                  <c:v>2.3389999999999995</c:v>
                </c:pt>
                <c:pt idx="9">
                  <c:v>2.7110000000000003</c:v>
                </c:pt>
                <c:pt idx="10">
                  <c:v>3.1369999999999996</c:v>
                </c:pt>
                <c:pt idx="11">
                  <c:v>4.2130000000000001</c:v>
                </c:pt>
                <c:pt idx="12">
                  <c:v>5.8639999999999999</c:v>
                </c:pt>
                <c:pt idx="13">
                  <c:v>7.9319999999999995</c:v>
                </c:pt>
                <c:pt idx="14">
                  <c:v>9.222999999999999</c:v>
                </c:pt>
                <c:pt idx="15">
                  <c:v>11.785</c:v>
                </c:pt>
              </c:numCache>
            </c:numRef>
          </c:xVal>
          <c:yVal>
            <c:numRef>
              <c:f>Summary!$P$66:$P$81</c:f>
              <c:numCache>
                <c:formatCode>0.00E+00</c:formatCode>
                <c:ptCount val="16"/>
                <c:pt idx="0">
                  <c:v>3.7762199999999836E-4</c:v>
                </c:pt>
                <c:pt idx="1">
                  <c:v>1.4845139999999986E-3</c:v>
                </c:pt>
                <c:pt idx="2">
                  <c:v>1.6123859999999995E-3</c:v>
                </c:pt>
                <c:pt idx="3">
                  <c:v>1.7002979999999998E-3</c:v>
                </c:pt>
                <c:pt idx="4">
                  <c:v>1.4363122499999998E-3</c:v>
                </c:pt>
                <c:pt idx="5">
                  <c:v>1.3372613999999999E-3</c:v>
                </c:pt>
                <c:pt idx="6">
                  <c:v>1.2107879999999998E-3</c:v>
                </c:pt>
                <c:pt idx="7">
                  <c:v>9.8515671428571418E-4</c:v>
                </c:pt>
                <c:pt idx="8">
                  <c:v>7.7888699999999981E-4</c:v>
                </c:pt>
                <c:pt idx="9">
                  <c:v>6.249897692307692E-4</c:v>
                </c:pt>
                <c:pt idx="10">
                  <c:v>4.4769471428571418E-4</c:v>
                </c:pt>
                <c:pt idx="11">
                  <c:v>3.4125300000000002E-4</c:v>
                </c:pt>
                <c:pt idx="12">
                  <c:v>2.5470156521739131E-4</c:v>
                </c:pt>
                <c:pt idx="13">
                  <c:v>1.787383759398496E-4</c:v>
                </c:pt>
                <c:pt idx="14">
                  <c:v>1.4031132487309639E-4</c:v>
                </c:pt>
                <c:pt idx="15">
                  <c:v>4.0131399840927165E-5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0F-480D-8339-100E34F26962}"/>
            </c:ext>
          </c:extLst>
        </c:ser>
        <c:ser>
          <c:idx val="2"/>
          <c:order val="2"/>
          <c:tx>
            <c:v>9.5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Summary!$M$90:$M$105</c:f>
              <c:numCache>
                <c:formatCode>General</c:formatCode>
                <c:ptCount val="16"/>
                <c:pt idx="0">
                  <c:v>0.20899999999999963</c:v>
                </c:pt>
                <c:pt idx="1">
                  <c:v>0.41699999999999982</c:v>
                </c:pt>
                <c:pt idx="2">
                  <c:v>0.77899999999999991</c:v>
                </c:pt>
                <c:pt idx="3">
                  <c:v>1.1319999999999997</c:v>
                </c:pt>
                <c:pt idx="4">
                  <c:v>1.4710000000000001</c:v>
                </c:pt>
                <c:pt idx="5">
                  <c:v>1.806</c:v>
                </c:pt>
                <c:pt idx="6">
                  <c:v>2.085</c:v>
                </c:pt>
                <c:pt idx="7">
                  <c:v>2.2860000000000005</c:v>
                </c:pt>
                <c:pt idx="8">
                  <c:v>2.5270000000000001</c:v>
                </c:pt>
                <c:pt idx="9">
                  <c:v>3.05</c:v>
                </c:pt>
                <c:pt idx="10">
                  <c:v>3.9849999999999999</c:v>
                </c:pt>
                <c:pt idx="11">
                  <c:v>5.5890000000000004</c:v>
                </c:pt>
                <c:pt idx="12">
                  <c:v>7.9390000000000001</c:v>
                </c:pt>
                <c:pt idx="13">
                  <c:v>11.381</c:v>
                </c:pt>
                <c:pt idx="14">
                  <c:v>13.024000000000001</c:v>
                </c:pt>
                <c:pt idx="15">
                  <c:v>18.079999999999998</c:v>
                </c:pt>
              </c:numCache>
            </c:numRef>
          </c:xVal>
          <c:yVal>
            <c:numRef>
              <c:f>Summary!$P$90:$P$105</c:f>
              <c:numCache>
                <c:formatCode>0.00E+00</c:formatCode>
                <c:ptCount val="16"/>
                <c:pt idx="0">
                  <c:v>6.2637299999999886E-4</c:v>
                </c:pt>
                <c:pt idx="1">
                  <c:v>8.3316599999999955E-4</c:v>
                </c:pt>
                <c:pt idx="2">
                  <c:v>1.1673314999999999E-3</c:v>
                </c:pt>
                <c:pt idx="3">
                  <c:v>1.1308679999999997E-3</c:v>
                </c:pt>
                <c:pt idx="4">
                  <c:v>1.1021467500000001E-3</c:v>
                </c:pt>
                <c:pt idx="5">
                  <c:v>1.0825163999999999E-3</c:v>
                </c:pt>
                <c:pt idx="6">
                  <c:v>1.0414574999999999E-3</c:v>
                </c:pt>
                <c:pt idx="7">
                  <c:v>9.7873457142857155E-4</c:v>
                </c:pt>
                <c:pt idx="8">
                  <c:v>8.4149099999999998E-4</c:v>
                </c:pt>
                <c:pt idx="9">
                  <c:v>7.0314230769230753E-4</c:v>
                </c:pt>
                <c:pt idx="10">
                  <c:v>5.6871642857142849E-4</c:v>
                </c:pt>
                <c:pt idx="11">
                  <c:v>4.5270899999999998E-4</c:v>
                </c:pt>
                <c:pt idx="12">
                  <c:v>3.4482873913043474E-4</c:v>
                </c:pt>
                <c:pt idx="13">
                  <c:v>2.5645757142857137E-4</c:v>
                </c:pt>
                <c:pt idx="14">
                  <c:v>1.9813669035532994E-4</c:v>
                </c:pt>
                <c:pt idx="15">
                  <c:v>2.3947390285941568E-5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0F-480D-8339-100E34F26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2537759"/>
        <c:axId val="452539839"/>
      </c:scatterChart>
      <c:valAx>
        <c:axId val="452537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539839"/>
        <c:crosses val="autoZero"/>
        <c:crossBetween val="midCat"/>
      </c:valAx>
      <c:valAx>
        <c:axId val="452539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5377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19923315835520561"/>
                  <c:y val="0.152361111111111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Summary!$V$95:$V$97</c:f>
              <c:numCache>
                <c:formatCode>General</c:formatCode>
                <c:ptCount val="3"/>
                <c:pt idx="0">
                  <c:v>6.5</c:v>
                </c:pt>
                <c:pt idx="1">
                  <c:v>8</c:v>
                </c:pt>
                <c:pt idx="2">
                  <c:v>9.5</c:v>
                </c:pt>
              </c:numCache>
            </c:numRef>
          </c:xVal>
          <c:yVal>
            <c:numRef>
              <c:f>Summary!$W$95:$W$97</c:f>
              <c:numCache>
                <c:formatCode>General</c:formatCode>
                <c:ptCount val="3"/>
                <c:pt idx="0">
                  <c:v>6.8931000000001716E-5</c:v>
                </c:pt>
                <c:pt idx="1">
                  <c:v>3.7762199999999836E-4</c:v>
                </c:pt>
                <c:pt idx="2">
                  <c:v>6.2637299999999886E-4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C1-447D-B730-3D4141B817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8244031"/>
        <c:axId val="1098253599"/>
      </c:scatterChart>
      <c:valAx>
        <c:axId val="1098244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253599"/>
        <c:crosses val="autoZero"/>
        <c:crossBetween val="midCat"/>
      </c:valAx>
      <c:valAx>
        <c:axId val="1098253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244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'6.5 kV'!$AB$60:$AB$72</c:f>
              <c:numCache>
                <c:formatCode>General</c:formatCode>
                <c:ptCount val="13"/>
                <c:pt idx="0">
                  <c:v>42.168999999999997</c:v>
                </c:pt>
                <c:pt idx="1">
                  <c:v>41.597000000000001</c:v>
                </c:pt>
                <c:pt idx="2">
                  <c:v>41.024000000000001</c:v>
                </c:pt>
                <c:pt idx="3">
                  <c:v>40.191000000000003</c:v>
                </c:pt>
                <c:pt idx="4">
                  <c:v>39.479999999999997</c:v>
                </c:pt>
                <c:pt idx="5">
                  <c:v>38.820999999999998</c:v>
                </c:pt>
                <c:pt idx="6">
                  <c:v>37.554000000000002</c:v>
                </c:pt>
                <c:pt idx="7">
                  <c:v>36.756</c:v>
                </c:pt>
                <c:pt idx="8">
                  <c:v>36.113999999999997</c:v>
                </c:pt>
                <c:pt idx="9">
                  <c:v>35.42</c:v>
                </c:pt>
                <c:pt idx="10">
                  <c:v>34.518000000000001</c:v>
                </c:pt>
                <c:pt idx="11">
                  <c:v>33.963000000000001</c:v>
                </c:pt>
                <c:pt idx="12">
                  <c:v>33.286000000000001</c:v>
                </c:pt>
              </c:numCache>
            </c:numRef>
          </c:xVal>
          <c:yVal>
            <c:numRef>
              <c:f>'6.5 kV'!$AC$60:$AC$72</c:f>
              <c:numCache>
                <c:formatCode>General</c:formatCode>
                <c:ptCount val="13"/>
                <c:pt idx="0">
                  <c:v>-29</c:v>
                </c:pt>
                <c:pt idx="1">
                  <c:v>-29.035</c:v>
                </c:pt>
                <c:pt idx="2">
                  <c:v>-29.087</c:v>
                </c:pt>
                <c:pt idx="3">
                  <c:v>-29.138999999999999</c:v>
                </c:pt>
                <c:pt idx="4">
                  <c:v>-29.225999999999999</c:v>
                </c:pt>
                <c:pt idx="5">
                  <c:v>-29.242999999999999</c:v>
                </c:pt>
                <c:pt idx="6">
                  <c:v>-29.312999999999999</c:v>
                </c:pt>
                <c:pt idx="7">
                  <c:v>-29.277999999999999</c:v>
                </c:pt>
                <c:pt idx="8">
                  <c:v>-29.295000000000002</c:v>
                </c:pt>
                <c:pt idx="9">
                  <c:v>-29.242999999999999</c:v>
                </c:pt>
                <c:pt idx="10">
                  <c:v>-29.209</c:v>
                </c:pt>
                <c:pt idx="11">
                  <c:v>-29.157</c:v>
                </c:pt>
                <c:pt idx="12">
                  <c:v>-29.105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3A-4312-B83A-70560DD70A77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'6.5 kV'!$AB$60:$AB$72</c:f>
              <c:numCache>
                <c:formatCode>General</c:formatCode>
                <c:ptCount val="13"/>
                <c:pt idx="0">
                  <c:v>42.168999999999997</c:v>
                </c:pt>
                <c:pt idx="1">
                  <c:v>41.597000000000001</c:v>
                </c:pt>
                <c:pt idx="2">
                  <c:v>41.024000000000001</c:v>
                </c:pt>
                <c:pt idx="3">
                  <c:v>40.191000000000003</c:v>
                </c:pt>
                <c:pt idx="4">
                  <c:v>39.479999999999997</c:v>
                </c:pt>
                <c:pt idx="5">
                  <c:v>38.820999999999998</c:v>
                </c:pt>
                <c:pt idx="6">
                  <c:v>37.554000000000002</c:v>
                </c:pt>
                <c:pt idx="7">
                  <c:v>36.756</c:v>
                </c:pt>
                <c:pt idx="8">
                  <c:v>36.113999999999997</c:v>
                </c:pt>
                <c:pt idx="9">
                  <c:v>35.42</c:v>
                </c:pt>
                <c:pt idx="10">
                  <c:v>34.518000000000001</c:v>
                </c:pt>
                <c:pt idx="11">
                  <c:v>33.963000000000001</c:v>
                </c:pt>
                <c:pt idx="12">
                  <c:v>33.286000000000001</c:v>
                </c:pt>
              </c:numCache>
            </c:numRef>
          </c:xVal>
          <c:yVal>
            <c:numRef>
              <c:f>'6.5 kV'!$AD$60:$AD$72</c:f>
              <c:numCache>
                <c:formatCode>General</c:formatCode>
                <c:ptCount val="13"/>
                <c:pt idx="0">
                  <c:v>-29</c:v>
                </c:pt>
                <c:pt idx="1">
                  <c:v>-29.141000000000002</c:v>
                </c:pt>
                <c:pt idx="2">
                  <c:v>-29.247</c:v>
                </c:pt>
                <c:pt idx="3">
                  <c:v>-29.309000000000001</c:v>
                </c:pt>
                <c:pt idx="4">
                  <c:v>-29.389000000000003</c:v>
                </c:pt>
                <c:pt idx="5">
                  <c:v>-29.459000000000003</c:v>
                </c:pt>
                <c:pt idx="6">
                  <c:v>-29.495000000000001</c:v>
                </c:pt>
                <c:pt idx="7">
                  <c:v>-29.521000000000001</c:v>
                </c:pt>
                <c:pt idx="8">
                  <c:v>-29.495000000000001</c:v>
                </c:pt>
                <c:pt idx="9">
                  <c:v>-29.442</c:v>
                </c:pt>
                <c:pt idx="10">
                  <c:v>-29.362000000000002</c:v>
                </c:pt>
                <c:pt idx="11">
                  <c:v>-29.265000000000001</c:v>
                </c:pt>
                <c:pt idx="12">
                  <c:v>-29.247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3A-4312-B83A-70560DD70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9714287"/>
        <c:axId val="1969715119"/>
      </c:scatterChart>
      <c:valAx>
        <c:axId val="1969714287"/>
        <c:scaling>
          <c:orientation val="minMax"/>
          <c:min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9715119"/>
        <c:crosses val="autoZero"/>
        <c:crossBetween val="midCat"/>
      </c:valAx>
      <c:valAx>
        <c:axId val="1969715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9714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'6.5 kV'!$L$60:$L$72</c:f>
              <c:numCache>
                <c:formatCode>General</c:formatCode>
                <c:ptCount val="13"/>
                <c:pt idx="0">
                  <c:v>38.543999999999997</c:v>
                </c:pt>
                <c:pt idx="1">
                  <c:v>36.156999999999996</c:v>
                </c:pt>
                <c:pt idx="2">
                  <c:v>35.393999999999998</c:v>
                </c:pt>
                <c:pt idx="3">
                  <c:v>34.451999999999998</c:v>
                </c:pt>
                <c:pt idx="4">
                  <c:v>33.281999999999996</c:v>
                </c:pt>
                <c:pt idx="5">
                  <c:v>32.161999999999999</c:v>
                </c:pt>
                <c:pt idx="6">
                  <c:v>31.058</c:v>
                </c:pt>
                <c:pt idx="7">
                  <c:v>29.824000000000002</c:v>
                </c:pt>
                <c:pt idx="8">
                  <c:v>28.978999999999999</c:v>
                </c:pt>
                <c:pt idx="9">
                  <c:v>27.68</c:v>
                </c:pt>
                <c:pt idx="10">
                  <c:v>26.576000000000001</c:v>
                </c:pt>
                <c:pt idx="11">
                  <c:v>25.488</c:v>
                </c:pt>
                <c:pt idx="12">
                  <c:v>24.545999999999999</c:v>
                </c:pt>
              </c:numCache>
            </c:numRef>
          </c:xVal>
          <c:yVal>
            <c:numRef>
              <c:f>'6.5 kV'!$M$60:$M$72</c:f>
              <c:numCache>
                <c:formatCode>General</c:formatCode>
                <c:ptCount val="13"/>
                <c:pt idx="0">
                  <c:v>-27.047000000000001</c:v>
                </c:pt>
                <c:pt idx="1">
                  <c:v>-27.306000000000001</c:v>
                </c:pt>
                <c:pt idx="2">
                  <c:v>-27.338999999999999</c:v>
                </c:pt>
                <c:pt idx="3">
                  <c:v>-27.42</c:v>
                </c:pt>
                <c:pt idx="4">
                  <c:v>-27.518000000000001</c:v>
                </c:pt>
                <c:pt idx="5">
                  <c:v>-27.631</c:v>
                </c:pt>
                <c:pt idx="6">
                  <c:v>-27.68</c:v>
                </c:pt>
                <c:pt idx="7">
                  <c:v>-27.646999999999998</c:v>
                </c:pt>
                <c:pt idx="8">
                  <c:v>-27.565999999999999</c:v>
                </c:pt>
                <c:pt idx="9">
                  <c:v>-27.452999999999999</c:v>
                </c:pt>
                <c:pt idx="10">
                  <c:v>-27.404</c:v>
                </c:pt>
                <c:pt idx="11">
                  <c:v>-27.370999999999999</c:v>
                </c:pt>
                <c:pt idx="12">
                  <c:v>-27.29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F47-4817-8180-E08C6C4EF95A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'6.5 kV'!$L$60:$L$72</c:f>
              <c:numCache>
                <c:formatCode>General</c:formatCode>
                <c:ptCount val="13"/>
                <c:pt idx="0">
                  <c:v>38.543999999999997</c:v>
                </c:pt>
                <c:pt idx="1">
                  <c:v>36.156999999999996</c:v>
                </c:pt>
                <c:pt idx="2">
                  <c:v>35.393999999999998</c:v>
                </c:pt>
                <c:pt idx="3">
                  <c:v>34.451999999999998</c:v>
                </c:pt>
                <c:pt idx="4">
                  <c:v>33.281999999999996</c:v>
                </c:pt>
                <c:pt idx="5">
                  <c:v>32.161999999999999</c:v>
                </c:pt>
                <c:pt idx="6">
                  <c:v>31.058</c:v>
                </c:pt>
                <c:pt idx="7">
                  <c:v>29.824000000000002</c:v>
                </c:pt>
                <c:pt idx="8">
                  <c:v>28.978999999999999</c:v>
                </c:pt>
                <c:pt idx="9">
                  <c:v>27.68</c:v>
                </c:pt>
                <c:pt idx="10">
                  <c:v>26.576000000000001</c:v>
                </c:pt>
                <c:pt idx="11">
                  <c:v>25.488</c:v>
                </c:pt>
                <c:pt idx="12">
                  <c:v>24.545999999999999</c:v>
                </c:pt>
              </c:numCache>
            </c:numRef>
          </c:xVal>
          <c:yVal>
            <c:numRef>
              <c:f>'6.5 kV'!$N$60:$N$72</c:f>
              <c:numCache>
                <c:formatCode>General</c:formatCode>
                <c:ptCount val="13"/>
                <c:pt idx="0">
                  <c:v>-27.047000000000001</c:v>
                </c:pt>
                <c:pt idx="1">
                  <c:v>-27.146000000000001</c:v>
                </c:pt>
                <c:pt idx="2">
                  <c:v>-27.244</c:v>
                </c:pt>
                <c:pt idx="3">
                  <c:v>-27.343</c:v>
                </c:pt>
                <c:pt idx="4">
                  <c:v>-27.524000000000001</c:v>
                </c:pt>
                <c:pt idx="5">
                  <c:v>-27.639000000000003</c:v>
                </c:pt>
                <c:pt idx="6">
                  <c:v>-27.688000000000002</c:v>
                </c:pt>
                <c:pt idx="7">
                  <c:v>-27.656000000000002</c:v>
                </c:pt>
                <c:pt idx="8">
                  <c:v>-27.573</c:v>
                </c:pt>
                <c:pt idx="9">
                  <c:v>-27.507000000000001</c:v>
                </c:pt>
                <c:pt idx="10">
                  <c:v>-27.391999999999999</c:v>
                </c:pt>
                <c:pt idx="11">
                  <c:v>-27.277000000000001</c:v>
                </c:pt>
                <c:pt idx="12">
                  <c:v>-27.096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F47-4817-8180-E08C6C4EF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5973311"/>
        <c:axId val="2062469103"/>
      </c:scatterChart>
      <c:valAx>
        <c:axId val="2135973311"/>
        <c:scaling>
          <c:orientation val="minMax"/>
          <c:min val="2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469103"/>
        <c:crosses val="autoZero"/>
        <c:crossBetween val="midCat"/>
      </c:valAx>
      <c:valAx>
        <c:axId val="2062469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59733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'6.5 kV'!$X$60:$X$72</c:f>
              <c:numCache>
                <c:formatCode>General</c:formatCode>
                <c:ptCount val="13"/>
                <c:pt idx="0">
                  <c:v>39.679000000000002</c:v>
                </c:pt>
                <c:pt idx="1">
                  <c:v>38.835000000000001</c:v>
                </c:pt>
                <c:pt idx="2">
                  <c:v>38.094000000000001</c:v>
                </c:pt>
                <c:pt idx="3">
                  <c:v>37.249000000000002</c:v>
                </c:pt>
                <c:pt idx="4">
                  <c:v>36.302</c:v>
                </c:pt>
                <c:pt idx="5">
                  <c:v>35.457000000000001</c:v>
                </c:pt>
                <c:pt idx="6">
                  <c:v>34.698999999999998</c:v>
                </c:pt>
                <c:pt idx="7">
                  <c:v>33.991999999999997</c:v>
                </c:pt>
                <c:pt idx="8">
                  <c:v>33.148000000000003</c:v>
                </c:pt>
                <c:pt idx="9">
                  <c:v>32.475999999999999</c:v>
                </c:pt>
                <c:pt idx="10">
                  <c:v>31.649000000000001</c:v>
                </c:pt>
                <c:pt idx="11">
                  <c:v>30.942</c:v>
                </c:pt>
                <c:pt idx="12">
                  <c:v>30.253</c:v>
                </c:pt>
              </c:numCache>
            </c:numRef>
          </c:xVal>
          <c:yVal>
            <c:numRef>
              <c:f>'6.5 kV'!$Y$60:$Y$72</c:f>
              <c:numCache>
                <c:formatCode>General</c:formatCode>
                <c:ptCount val="13"/>
                <c:pt idx="0">
                  <c:v>-32.286000000000001</c:v>
                </c:pt>
                <c:pt idx="1">
                  <c:v>-32.372</c:v>
                </c:pt>
                <c:pt idx="2">
                  <c:v>-32.406999999999996</c:v>
                </c:pt>
                <c:pt idx="3">
                  <c:v>-32.51</c:v>
                </c:pt>
                <c:pt idx="4">
                  <c:v>-32.579000000000001</c:v>
                </c:pt>
                <c:pt idx="5">
                  <c:v>-32.664999999999999</c:v>
                </c:pt>
                <c:pt idx="6">
                  <c:v>-32.683</c:v>
                </c:pt>
                <c:pt idx="7">
                  <c:v>-32.700000000000003</c:v>
                </c:pt>
                <c:pt idx="8">
                  <c:v>-32.683</c:v>
                </c:pt>
                <c:pt idx="9">
                  <c:v>-32.597000000000001</c:v>
                </c:pt>
                <c:pt idx="10">
                  <c:v>-32.613999999999997</c:v>
                </c:pt>
                <c:pt idx="11">
                  <c:v>-32.613999999999997</c:v>
                </c:pt>
                <c:pt idx="12">
                  <c:v>-32.51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65-44E1-BC9A-F9BEB7185966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'6.5 kV'!$X$60:$X$72</c:f>
              <c:numCache>
                <c:formatCode>General</c:formatCode>
                <c:ptCount val="13"/>
                <c:pt idx="0">
                  <c:v>39.679000000000002</c:v>
                </c:pt>
                <c:pt idx="1">
                  <c:v>38.835000000000001</c:v>
                </c:pt>
                <c:pt idx="2">
                  <c:v>38.094000000000001</c:v>
                </c:pt>
                <c:pt idx="3">
                  <c:v>37.249000000000002</c:v>
                </c:pt>
                <c:pt idx="4">
                  <c:v>36.302</c:v>
                </c:pt>
                <c:pt idx="5">
                  <c:v>35.457000000000001</c:v>
                </c:pt>
                <c:pt idx="6">
                  <c:v>34.698999999999998</c:v>
                </c:pt>
                <c:pt idx="7">
                  <c:v>33.991999999999997</c:v>
                </c:pt>
                <c:pt idx="8">
                  <c:v>33.148000000000003</c:v>
                </c:pt>
                <c:pt idx="9">
                  <c:v>32.475999999999999</c:v>
                </c:pt>
                <c:pt idx="10">
                  <c:v>31.649000000000001</c:v>
                </c:pt>
                <c:pt idx="11">
                  <c:v>30.942</c:v>
                </c:pt>
                <c:pt idx="12">
                  <c:v>30.253</c:v>
                </c:pt>
              </c:numCache>
            </c:numRef>
          </c:xVal>
          <c:yVal>
            <c:numRef>
              <c:f>'6.5 kV'!$Z$60:$Z$72</c:f>
              <c:numCache>
                <c:formatCode>General</c:formatCode>
                <c:ptCount val="13"/>
                <c:pt idx="0">
                  <c:v>-32.286000000000001</c:v>
                </c:pt>
                <c:pt idx="1">
                  <c:v>-32.579000000000001</c:v>
                </c:pt>
                <c:pt idx="2">
                  <c:v>-32.821000000000005</c:v>
                </c:pt>
                <c:pt idx="3">
                  <c:v>-33.063000000000002</c:v>
                </c:pt>
                <c:pt idx="4">
                  <c:v>-33.305</c:v>
                </c:pt>
                <c:pt idx="5">
                  <c:v>-33.46</c:v>
                </c:pt>
                <c:pt idx="6">
                  <c:v>-33.681000000000004</c:v>
                </c:pt>
                <c:pt idx="7">
                  <c:v>-33.495000000000005</c:v>
                </c:pt>
                <c:pt idx="8">
                  <c:v>-33.391000000000005</c:v>
                </c:pt>
                <c:pt idx="9">
                  <c:v>-33.288000000000004</c:v>
                </c:pt>
                <c:pt idx="10">
                  <c:v>-33.219000000000001</c:v>
                </c:pt>
                <c:pt idx="11">
                  <c:v>-33.115000000000002</c:v>
                </c:pt>
                <c:pt idx="12">
                  <c:v>-32.873000000000005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65-44E1-BC9A-F9BEB7185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7285407"/>
        <c:axId val="2087289151"/>
      </c:scatterChart>
      <c:valAx>
        <c:axId val="2087285407"/>
        <c:scaling>
          <c:orientation val="minMax"/>
          <c:min val="2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7289151"/>
        <c:crosses val="autoZero"/>
        <c:crossBetween val="midCat"/>
      </c:valAx>
      <c:valAx>
        <c:axId val="208728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72854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195262</xdr:colOff>
      <xdr:row>27</xdr:row>
      <xdr:rowOff>119062</xdr:rowOff>
    </xdr:from>
    <xdr:to>
      <xdr:col>25</xdr:col>
      <xdr:colOff>376237</xdr:colOff>
      <xdr:row>42</xdr:row>
      <xdr:rowOff>4762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8532416-04A4-4871-8281-EECD36409E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404812</xdr:colOff>
      <xdr:row>50</xdr:row>
      <xdr:rowOff>90487</xdr:rowOff>
    </xdr:from>
    <xdr:to>
      <xdr:col>25</xdr:col>
      <xdr:colOff>585787</xdr:colOff>
      <xdr:row>64</xdr:row>
      <xdr:rowOff>166687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44882CC2-0638-45E5-A512-280D9F94A1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754476</xdr:colOff>
      <xdr:row>1</xdr:row>
      <xdr:rowOff>133669</xdr:rowOff>
    </xdr:from>
    <xdr:to>
      <xdr:col>32</xdr:col>
      <xdr:colOff>431907</xdr:colOff>
      <xdr:row>16</xdr:row>
      <xdr:rowOff>19369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3686D3DC-D455-47D3-85A9-FEF9BC6FCF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605918</xdr:colOff>
      <xdr:row>46</xdr:row>
      <xdr:rowOff>62594</xdr:rowOff>
    </xdr:from>
    <xdr:to>
      <xdr:col>33</xdr:col>
      <xdr:colOff>246689</xdr:colOff>
      <xdr:row>70</xdr:row>
      <xdr:rowOff>114301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AA4A550C-5CB6-4263-A6E4-FC32ADA522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244928</xdr:colOff>
      <xdr:row>91</xdr:row>
      <xdr:rowOff>125184</xdr:rowOff>
    </xdr:from>
    <xdr:to>
      <xdr:col>40</xdr:col>
      <xdr:colOff>27213</xdr:colOff>
      <xdr:row>114</xdr:row>
      <xdr:rowOff>176891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D370E64C-7749-403D-856B-DC4DE589D8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598714</xdr:colOff>
      <xdr:row>102</xdr:row>
      <xdr:rowOff>2721</xdr:rowOff>
    </xdr:from>
    <xdr:to>
      <xdr:col>26</xdr:col>
      <xdr:colOff>462642</xdr:colOff>
      <xdr:row>116</xdr:row>
      <xdr:rowOff>78921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5F604A86-3994-48B9-A4E5-B2DD393E00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346980</xdr:colOff>
      <xdr:row>42</xdr:row>
      <xdr:rowOff>2721</xdr:rowOff>
    </xdr:from>
    <xdr:to>
      <xdr:col>37</xdr:col>
      <xdr:colOff>20409</xdr:colOff>
      <xdr:row>56</xdr:row>
      <xdr:rowOff>78921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870D03B-63F0-4FDB-8566-2A23F00952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34017</xdr:colOff>
      <xdr:row>41</xdr:row>
      <xdr:rowOff>2722</xdr:rowOff>
    </xdr:from>
    <xdr:to>
      <xdr:col>10</xdr:col>
      <xdr:colOff>319767</xdr:colOff>
      <xdr:row>55</xdr:row>
      <xdr:rowOff>78922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4AA16D63-51FF-4BE4-B0A7-F667438EC3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258536</xdr:colOff>
      <xdr:row>40</xdr:row>
      <xdr:rowOff>43543</xdr:rowOff>
    </xdr:from>
    <xdr:to>
      <xdr:col>28</xdr:col>
      <xdr:colOff>605517</xdr:colOff>
      <xdr:row>54</xdr:row>
      <xdr:rowOff>119743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E328F2E-EEBF-4A68-B5E3-6E37F5FEE1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530678</xdr:colOff>
      <xdr:row>40</xdr:row>
      <xdr:rowOff>152401</xdr:rowOff>
    </xdr:from>
    <xdr:to>
      <xdr:col>22</xdr:col>
      <xdr:colOff>748392</xdr:colOff>
      <xdr:row>55</xdr:row>
      <xdr:rowOff>38101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E01D1E28-5395-418B-81B7-5DE7A736AF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544287</xdr:colOff>
      <xdr:row>41</xdr:row>
      <xdr:rowOff>29935</xdr:rowOff>
    </xdr:from>
    <xdr:to>
      <xdr:col>17</xdr:col>
      <xdr:colOff>81644</xdr:colOff>
      <xdr:row>55</xdr:row>
      <xdr:rowOff>106135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78027989-7133-4D83-B6B5-A22526C75B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571500</xdr:colOff>
      <xdr:row>15</xdr:row>
      <xdr:rowOff>68355</xdr:rowOff>
    </xdr:from>
    <xdr:to>
      <xdr:col>25</xdr:col>
      <xdr:colOff>302559</xdr:colOff>
      <xdr:row>29</xdr:row>
      <xdr:rowOff>144555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E4897B3-C569-44D2-9FF1-36228F2799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543483</xdr:colOff>
      <xdr:row>3</xdr:row>
      <xdr:rowOff>4567</xdr:rowOff>
    </xdr:from>
    <xdr:to>
      <xdr:col>24</xdr:col>
      <xdr:colOff>274542</xdr:colOff>
      <xdr:row>17</xdr:row>
      <xdr:rowOff>80767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CEAAFFD-E84E-48DB-8A2C-62EB09995B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375396</xdr:colOff>
      <xdr:row>18</xdr:row>
      <xdr:rowOff>158002</xdr:rowOff>
    </xdr:from>
    <xdr:to>
      <xdr:col>23</xdr:col>
      <xdr:colOff>106455</xdr:colOff>
      <xdr:row>33</xdr:row>
      <xdr:rowOff>43702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980B144-411D-4132-B996-FF3BFC486C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397807</xdr:colOff>
      <xdr:row>34</xdr:row>
      <xdr:rowOff>90766</xdr:rowOff>
    </xdr:from>
    <xdr:to>
      <xdr:col>23</xdr:col>
      <xdr:colOff>128866</xdr:colOff>
      <xdr:row>48</xdr:row>
      <xdr:rowOff>166966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7A69531-6B5A-4CAA-996B-A9B3B9B8C2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427225</xdr:colOff>
      <xdr:row>12</xdr:row>
      <xdr:rowOff>68075</xdr:rowOff>
    </xdr:from>
    <xdr:to>
      <xdr:col>15</xdr:col>
      <xdr:colOff>473168</xdr:colOff>
      <xdr:row>26</xdr:row>
      <xdr:rowOff>144275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61859C-AAB6-4490-81BC-7A14F9E44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316846</xdr:colOff>
      <xdr:row>21</xdr:row>
      <xdr:rowOff>82643</xdr:rowOff>
    </xdr:from>
    <xdr:to>
      <xdr:col>25</xdr:col>
      <xdr:colOff>552169</xdr:colOff>
      <xdr:row>35</xdr:row>
      <xdr:rowOff>158843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8848D2C-9811-43D6-BD80-D4E4D972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397528</xdr:colOff>
      <xdr:row>5</xdr:row>
      <xdr:rowOff>107296</xdr:rowOff>
    </xdr:from>
    <xdr:to>
      <xdr:col>25</xdr:col>
      <xdr:colOff>579063</xdr:colOff>
      <xdr:row>19</xdr:row>
      <xdr:rowOff>183496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2BA7F2D-B344-42BF-8064-D951E472EA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R3" t="str">
            <v>P</v>
          </cell>
        </row>
        <row r="4">
          <cell r="R4">
            <v>1.8486</v>
          </cell>
        </row>
        <row r="5">
          <cell r="R5">
            <v>2.8003</v>
          </cell>
        </row>
        <row r="6">
          <cell r="R6">
            <v>3.9489000000000001</v>
          </cell>
        </row>
        <row r="15">
          <cell r="W15">
            <v>2.8</v>
          </cell>
        </row>
        <row r="16">
          <cell r="W16">
            <v>4.8</v>
          </cell>
        </row>
        <row r="17">
          <cell r="W17">
            <v>5</v>
          </cell>
        </row>
        <row r="18">
          <cell r="W18">
            <v>2.2999999999999998</v>
          </cell>
        </row>
        <row r="36">
          <cell r="R36">
            <v>5.1779999999999999</v>
          </cell>
        </row>
        <row r="37">
          <cell r="R37">
            <v>5.5659999999999998</v>
          </cell>
        </row>
        <row r="38">
          <cell r="R38">
            <v>10.744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V51"/>
  <sheetViews>
    <sheetView zoomScale="85" zoomScaleNormal="85" workbookViewId="0">
      <selection activeCell="C34" sqref="C34"/>
    </sheetView>
  </sheetViews>
  <sheetFormatPr defaultRowHeight="15" x14ac:dyDescent="0.25"/>
  <cols>
    <col min="1" max="1" width="9.140625" style="1"/>
    <col min="2" max="2" width="61.7109375" style="1" customWidth="1"/>
    <col min="3" max="3" width="19.140625" style="1" customWidth="1"/>
    <col min="4" max="16384" width="9.140625" style="1"/>
  </cols>
  <sheetData>
    <row r="3" spans="1:22" x14ac:dyDescent="0.25">
      <c r="A3" s="3"/>
      <c r="B3" s="5" t="s">
        <v>20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ht="15.75" thickBot="1" x14ac:dyDescent="0.3">
      <c r="A4" s="3"/>
      <c r="B4" s="6" t="s">
        <v>19</v>
      </c>
      <c r="M4" s="3"/>
      <c r="N4" s="3"/>
      <c r="O4" s="3"/>
      <c r="P4" s="3"/>
      <c r="Q4" s="3"/>
      <c r="R4" s="3"/>
      <c r="S4" s="3"/>
      <c r="T4" s="3"/>
      <c r="U4" s="3"/>
      <c r="V4" s="3"/>
    </row>
    <row r="5" spans="1:22" ht="15.75" thickBot="1" x14ac:dyDescent="0.3">
      <c r="A5" s="3"/>
      <c r="G5" s="7" t="s">
        <v>25</v>
      </c>
      <c r="H5" s="9">
        <f>1/29.97</f>
        <v>3.3366700033366704E-2</v>
      </c>
      <c r="I5" s="8" t="s">
        <v>1</v>
      </c>
      <c r="M5" s="3"/>
      <c r="N5" s="3"/>
      <c r="O5" s="3"/>
      <c r="P5" s="3"/>
      <c r="Q5" s="3"/>
      <c r="R5" s="3" t="s">
        <v>10</v>
      </c>
      <c r="S5" s="3" t="s">
        <v>18</v>
      </c>
      <c r="T5" s="3" t="s">
        <v>11</v>
      </c>
      <c r="U5" s="3"/>
      <c r="V5" s="3"/>
    </row>
    <row r="6" spans="1:22" x14ac:dyDescent="0.25">
      <c r="A6" s="3"/>
      <c r="B6" s="2" t="s">
        <v>17</v>
      </c>
      <c r="D6" s="1" t="s">
        <v>0</v>
      </c>
      <c r="M6" s="3"/>
      <c r="N6" s="3"/>
      <c r="O6" s="3"/>
      <c r="P6" s="3"/>
      <c r="Q6" s="3"/>
      <c r="R6" s="3">
        <v>0</v>
      </c>
      <c r="S6" s="3">
        <v>0</v>
      </c>
      <c r="T6" s="3">
        <v>0</v>
      </c>
      <c r="U6" s="3"/>
      <c r="V6" s="3"/>
    </row>
    <row r="7" spans="1:22" x14ac:dyDescent="0.25">
      <c r="A7" s="3"/>
      <c r="B7" s="4" t="s">
        <v>38</v>
      </c>
      <c r="D7" s="1" t="s">
        <v>2</v>
      </c>
      <c r="N7" s="3"/>
      <c r="O7" s="3"/>
      <c r="P7" s="3"/>
      <c r="Q7" s="3"/>
      <c r="R7" s="3">
        <f>2</f>
        <v>2</v>
      </c>
      <c r="S7" s="3"/>
      <c r="T7" s="3">
        <f>S7/R7</f>
        <v>0</v>
      </c>
      <c r="U7" s="3"/>
      <c r="V7" s="3"/>
    </row>
    <row r="8" spans="1:22" x14ac:dyDescent="0.25">
      <c r="A8" s="3"/>
      <c r="B8" s="2" t="s">
        <v>12</v>
      </c>
      <c r="D8" s="1" t="s">
        <v>3</v>
      </c>
      <c r="E8" s="1" t="s">
        <v>21</v>
      </c>
      <c r="F8" s="1" t="s">
        <v>5</v>
      </c>
      <c r="G8" s="1" t="s">
        <v>6</v>
      </c>
      <c r="H8" s="1" t="s">
        <v>26</v>
      </c>
      <c r="I8" s="1" t="s">
        <v>27</v>
      </c>
      <c r="J8" s="1" t="s">
        <v>7</v>
      </c>
      <c r="K8" s="1" t="s">
        <v>8</v>
      </c>
      <c r="L8" s="1" t="s">
        <v>31</v>
      </c>
      <c r="M8" s="1" t="s">
        <v>32</v>
      </c>
      <c r="N8" s="3" t="s">
        <v>22</v>
      </c>
      <c r="O8" s="3" t="s">
        <v>23</v>
      </c>
      <c r="P8" s="3"/>
      <c r="Q8" s="3"/>
      <c r="R8" s="3">
        <f t="shared" ref="R8:R51" si="0">R7+2</f>
        <v>4</v>
      </c>
      <c r="S8" s="3"/>
      <c r="T8" s="3">
        <f t="shared" ref="T8:T51" si="1">S8/R8</f>
        <v>0</v>
      </c>
      <c r="U8" s="3"/>
      <c r="V8" s="3"/>
    </row>
    <row r="9" spans="1:22" x14ac:dyDescent="0.25">
      <c r="A9" s="3"/>
      <c r="B9" s="1" t="s">
        <v>36</v>
      </c>
      <c r="D9" s="1" t="s">
        <v>29</v>
      </c>
      <c r="E9" s="1">
        <v>1</v>
      </c>
      <c r="F9" s="1" t="s">
        <v>28</v>
      </c>
      <c r="G9" s="1">
        <v>604</v>
      </c>
      <c r="H9" s="1">
        <v>604</v>
      </c>
      <c r="I9" s="1">
        <v>26398</v>
      </c>
      <c r="J9" s="1">
        <v>26398</v>
      </c>
      <c r="K9" s="1" t="s">
        <v>39</v>
      </c>
      <c r="L9" s="1">
        <v>900</v>
      </c>
      <c r="M9" s="1">
        <v>11780</v>
      </c>
      <c r="N9" s="3" t="s">
        <v>40</v>
      </c>
      <c r="O9" s="3" t="s">
        <v>41</v>
      </c>
      <c r="P9" s="3"/>
      <c r="Q9" s="3"/>
      <c r="R9" s="3">
        <f t="shared" si="0"/>
        <v>6</v>
      </c>
      <c r="S9" s="3"/>
      <c r="T9" s="3">
        <f t="shared" si="1"/>
        <v>0</v>
      </c>
      <c r="U9" s="3"/>
      <c r="V9" s="3"/>
    </row>
    <row r="10" spans="1:22" x14ac:dyDescent="0.25">
      <c r="A10" s="3"/>
      <c r="B10" s="1" t="s">
        <v>30</v>
      </c>
      <c r="D10" s="1" t="s">
        <v>46</v>
      </c>
      <c r="E10" s="1">
        <v>2</v>
      </c>
      <c r="N10" s="3"/>
      <c r="O10" s="3"/>
      <c r="P10" s="3"/>
      <c r="Q10" s="3"/>
      <c r="R10" s="3">
        <f t="shared" si="0"/>
        <v>8</v>
      </c>
      <c r="S10" s="3"/>
      <c r="T10" s="3">
        <f t="shared" si="1"/>
        <v>0</v>
      </c>
      <c r="U10" s="3"/>
      <c r="V10" s="3"/>
    </row>
    <row r="11" spans="1:22" x14ac:dyDescent="0.25">
      <c r="A11" s="3"/>
      <c r="B11" s="2" t="s">
        <v>13</v>
      </c>
      <c r="D11" s="1" t="s">
        <v>47</v>
      </c>
      <c r="E11" s="1">
        <v>3</v>
      </c>
      <c r="N11" s="3"/>
      <c r="O11" s="3"/>
      <c r="P11" s="3"/>
      <c r="Q11" s="3"/>
      <c r="R11" s="3">
        <f t="shared" si="0"/>
        <v>10</v>
      </c>
      <c r="S11" s="3"/>
      <c r="T11" s="3">
        <f t="shared" si="1"/>
        <v>0</v>
      </c>
      <c r="U11" s="3"/>
      <c r="V11" s="3"/>
    </row>
    <row r="12" spans="1:22" x14ac:dyDescent="0.25">
      <c r="A12" s="3"/>
      <c r="B12" s="2" t="s">
        <v>15</v>
      </c>
      <c r="D12" s="1" t="s">
        <v>48</v>
      </c>
      <c r="E12" s="1">
        <v>4</v>
      </c>
      <c r="N12" s="3"/>
      <c r="O12" s="3"/>
      <c r="P12" s="3"/>
      <c r="Q12" s="3"/>
      <c r="R12" s="3">
        <f t="shared" si="0"/>
        <v>12</v>
      </c>
      <c r="S12" s="3"/>
      <c r="T12" s="3">
        <f t="shared" si="1"/>
        <v>0</v>
      </c>
      <c r="U12" s="3"/>
      <c r="V12" s="3"/>
    </row>
    <row r="13" spans="1:22" x14ac:dyDescent="0.25">
      <c r="A13" s="3"/>
      <c r="B13" s="1" t="s">
        <v>37</v>
      </c>
      <c r="D13" s="1" t="s">
        <v>49</v>
      </c>
      <c r="E13" s="1">
        <v>5</v>
      </c>
      <c r="N13" s="3"/>
      <c r="O13" s="3"/>
      <c r="P13" s="3"/>
      <c r="Q13" s="3"/>
      <c r="R13" s="3">
        <f t="shared" si="0"/>
        <v>14</v>
      </c>
      <c r="S13" s="3"/>
      <c r="T13" s="3">
        <f t="shared" si="1"/>
        <v>0</v>
      </c>
      <c r="U13" s="3"/>
      <c r="V13" s="3"/>
    </row>
    <row r="14" spans="1:22" x14ac:dyDescent="0.25">
      <c r="A14" s="3"/>
      <c r="B14" s="1" t="s">
        <v>35</v>
      </c>
      <c r="N14" s="3"/>
      <c r="O14" s="3"/>
      <c r="P14" s="3"/>
      <c r="Q14" s="3"/>
      <c r="R14" s="3">
        <f t="shared" si="0"/>
        <v>16</v>
      </c>
      <c r="S14" s="3"/>
      <c r="T14" s="3">
        <f t="shared" si="1"/>
        <v>0</v>
      </c>
      <c r="U14" s="3"/>
      <c r="V14" s="3"/>
    </row>
    <row r="15" spans="1:22" x14ac:dyDescent="0.25">
      <c r="A15" s="3"/>
      <c r="B15" s="2" t="s">
        <v>33</v>
      </c>
      <c r="C15" s="3"/>
      <c r="D15" s="1" t="s">
        <v>4</v>
      </c>
      <c r="N15" s="3"/>
      <c r="O15" s="3"/>
      <c r="P15" s="3"/>
      <c r="Q15" s="3"/>
      <c r="R15" s="3">
        <f t="shared" si="0"/>
        <v>18</v>
      </c>
      <c r="S15" s="3"/>
      <c r="T15" s="3">
        <f t="shared" si="1"/>
        <v>0</v>
      </c>
      <c r="U15" s="3"/>
      <c r="V15" s="3"/>
    </row>
    <row r="16" spans="1:22" x14ac:dyDescent="0.25">
      <c r="A16" s="3"/>
      <c r="B16" s="2" t="s">
        <v>42</v>
      </c>
      <c r="D16" s="1" t="s">
        <v>50</v>
      </c>
      <c r="E16" s="1">
        <v>1</v>
      </c>
      <c r="N16" s="3"/>
      <c r="O16" s="3"/>
      <c r="P16" s="3"/>
      <c r="Q16" s="3"/>
      <c r="R16" s="3">
        <f t="shared" si="0"/>
        <v>20</v>
      </c>
      <c r="S16" s="3"/>
      <c r="T16" s="3">
        <f t="shared" si="1"/>
        <v>0</v>
      </c>
      <c r="U16" s="3"/>
      <c r="V16" s="3"/>
    </row>
    <row r="17" spans="1:22" x14ac:dyDescent="0.25">
      <c r="A17" s="3"/>
      <c r="B17" s="2" t="s">
        <v>16</v>
      </c>
      <c r="D17" s="1" t="s">
        <v>51</v>
      </c>
      <c r="E17" s="1">
        <v>2</v>
      </c>
      <c r="N17" s="3"/>
      <c r="O17" s="3"/>
      <c r="P17" s="3"/>
      <c r="Q17" s="3"/>
      <c r="R17" s="3">
        <f t="shared" si="0"/>
        <v>22</v>
      </c>
      <c r="S17" s="3"/>
      <c r="T17" s="3">
        <f t="shared" si="1"/>
        <v>0</v>
      </c>
      <c r="U17" s="3"/>
      <c r="V17" s="3"/>
    </row>
    <row r="18" spans="1:22" x14ac:dyDescent="0.25">
      <c r="D18" s="1" t="s">
        <v>52</v>
      </c>
      <c r="E18" s="1">
        <v>3</v>
      </c>
      <c r="R18" s="3">
        <f t="shared" si="0"/>
        <v>24</v>
      </c>
      <c r="T18" s="3">
        <f t="shared" si="1"/>
        <v>0</v>
      </c>
    </row>
    <row r="19" spans="1:22" x14ac:dyDescent="0.25">
      <c r="D19" s="1" t="s">
        <v>53</v>
      </c>
      <c r="E19" s="1">
        <v>4</v>
      </c>
      <c r="R19" s="3">
        <f t="shared" si="0"/>
        <v>26</v>
      </c>
      <c r="T19" s="3">
        <f t="shared" si="1"/>
        <v>0</v>
      </c>
    </row>
    <row r="20" spans="1:22" x14ac:dyDescent="0.25">
      <c r="D20" s="1" t="s">
        <v>54</v>
      </c>
      <c r="E20" s="1">
        <v>5</v>
      </c>
      <c r="R20" s="3">
        <f t="shared" si="0"/>
        <v>28</v>
      </c>
      <c r="T20" s="3">
        <f t="shared" si="1"/>
        <v>0</v>
      </c>
    </row>
    <row r="21" spans="1:22" x14ac:dyDescent="0.25">
      <c r="R21" s="3">
        <f t="shared" si="0"/>
        <v>30</v>
      </c>
      <c r="T21" s="3">
        <f t="shared" si="1"/>
        <v>0</v>
      </c>
    </row>
    <row r="22" spans="1:22" x14ac:dyDescent="0.25">
      <c r="D22" s="1" t="s">
        <v>9</v>
      </c>
      <c r="R22" s="3">
        <f t="shared" si="0"/>
        <v>32</v>
      </c>
      <c r="T22" s="3">
        <f t="shared" si="1"/>
        <v>0</v>
      </c>
    </row>
    <row r="23" spans="1:22" x14ac:dyDescent="0.25">
      <c r="D23" s="1" t="s">
        <v>55</v>
      </c>
      <c r="E23" s="1">
        <v>1</v>
      </c>
      <c r="R23" s="3">
        <f t="shared" si="0"/>
        <v>34</v>
      </c>
      <c r="T23" s="3">
        <f t="shared" si="1"/>
        <v>0</v>
      </c>
    </row>
    <row r="24" spans="1:22" x14ac:dyDescent="0.25">
      <c r="D24" s="1" t="s">
        <v>56</v>
      </c>
      <c r="E24" s="1">
        <v>2</v>
      </c>
      <c r="R24" s="3">
        <f t="shared" si="0"/>
        <v>36</v>
      </c>
      <c r="T24" s="3">
        <f t="shared" si="1"/>
        <v>0</v>
      </c>
    </row>
    <row r="25" spans="1:22" x14ac:dyDescent="0.25">
      <c r="D25" s="1" t="s">
        <v>57</v>
      </c>
      <c r="E25" s="1">
        <v>3</v>
      </c>
      <c r="R25" s="3">
        <f t="shared" si="0"/>
        <v>38</v>
      </c>
      <c r="T25" s="3">
        <f t="shared" si="1"/>
        <v>0</v>
      </c>
    </row>
    <row r="26" spans="1:22" x14ac:dyDescent="0.25">
      <c r="D26" s="1" t="s">
        <v>58</v>
      </c>
      <c r="E26" s="1">
        <v>4</v>
      </c>
      <c r="R26" s="3">
        <f t="shared" si="0"/>
        <v>40</v>
      </c>
      <c r="T26" s="3">
        <f t="shared" si="1"/>
        <v>0</v>
      </c>
    </row>
    <row r="27" spans="1:22" x14ac:dyDescent="0.25">
      <c r="D27" s="1" t="s">
        <v>59</v>
      </c>
      <c r="E27" s="1">
        <v>5</v>
      </c>
      <c r="R27" s="3">
        <f t="shared" si="0"/>
        <v>42</v>
      </c>
      <c r="T27" s="3">
        <f t="shared" si="1"/>
        <v>0</v>
      </c>
    </row>
    <row r="28" spans="1:22" x14ac:dyDescent="0.25">
      <c r="R28" s="3">
        <f t="shared" si="0"/>
        <v>44</v>
      </c>
      <c r="T28" s="3">
        <f t="shared" si="1"/>
        <v>0</v>
      </c>
    </row>
    <row r="29" spans="1:22" x14ac:dyDescent="0.25">
      <c r="B29" s="2" t="s">
        <v>24</v>
      </c>
      <c r="R29" s="3">
        <f t="shared" si="0"/>
        <v>46</v>
      </c>
      <c r="T29" s="3">
        <f t="shared" si="1"/>
        <v>0</v>
      </c>
    </row>
    <row r="30" spans="1:22" x14ac:dyDescent="0.25">
      <c r="B30" s="2"/>
      <c r="D30" s="1" t="s">
        <v>0</v>
      </c>
      <c r="M30" s="3"/>
      <c r="R30" s="3">
        <f t="shared" si="0"/>
        <v>48</v>
      </c>
      <c r="T30" s="3">
        <f t="shared" si="1"/>
        <v>0</v>
      </c>
    </row>
    <row r="31" spans="1:22" x14ac:dyDescent="0.25">
      <c r="B31" s="2"/>
      <c r="D31" s="1" t="s">
        <v>2</v>
      </c>
      <c r="N31" s="2" t="s">
        <v>45</v>
      </c>
      <c r="R31" s="3">
        <f t="shared" si="0"/>
        <v>50</v>
      </c>
      <c r="T31" s="3">
        <f t="shared" si="1"/>
        <v>0</v>
      </c>
    </row>
    <row r="32" spans="1:22" x14ac:dyDescent="0.25">
      <c r="B32" s="2"/>
      <c r="D32" s="1" t="s">
        <v>3</v>
      </c>
      <c r="E32" s="1" t="s">
        <v>21</v>
      </c>
      <c r="F32" s="1" t="s">
        <v>5</v>
      </c>
      <c r="G32" s="1" t="s">
        <v>6</v>
      </c>
      <c r="H32" s="1" t="s">
        <v>7</v>
      </c>
      <c r="I32" s="1" t="s">
        <v>14</v>
      </c>
      <c r="J32" s="1" t="s">
        <v>8</v>
      </c>
      <c r="K32" s="1" t="s">
        <v>34</v>
      </c>
      <c r="L32" s="1" t="s">
        <v>22</v>
      </c>
      <c r="M32" s="1" t="s">
        <v>23</v>
      </c>
      <c r="N32" s="1" t="s">
        <v>43</v>
      </c>
      <c r="O32" s="1" t="s">
        <v>44</v>
      </c>
      <c r="R32" s="3">
        <f t="shared" si="0"/>
        <v>52</v>
      </c>
      <c r="T32" s="3">
        <f t="shared" si="1"/>
        <v>0</v>
      </c>
    </row>
    <row r="33" spans="2:20" x14ac:dyDescent="0.25">
      <c r="B33" s="2"/>
      <c r="E33" s="1">
        <v>1</v>
      </c>
      <c r="F33" s="1">
        <v>2.2210000000000001</v>
      </c>
      <c r="H33" s="1">
        <v>11.5</v>
      </c>
      <c r="I33" s="1">
        <f>(I9-H9)*$H$5</f>
        <v>860.66066066066082</v>
      </c>
      <c r="K33" s="1">
        <f>(M9-L9)*$H$5</f>
        <v>363.02969636302976</v>
      </c>
      <c r="N33" s="10">
        <f>H33/I33</f>
        <v>1.336182833217027E-2</v>
      </c>
      <c r="O33" s="10">
        <f>H33/K33</f>
        <v>3.1677849264705876E-2</v>
      </c>
      <c r="R33" s="3">
        <f t="shared" si="0"/>
        <v>54</v>
      </c>
      <c r="T33" s="3">
        <f t="shared" si="1"/>
        <v>0</v>
      </c>
    </row>
    <row r="34" spans="2:20" x14ac:dyDescent="0.25">
      <c r="B34" s="2"/>
      <c r="E34" s="1">
        <v>2</v>
      </c>
      <c r="I34" s="1">
        <f t="shared" ref="I34:K34" si="2">I10*$H$5</f>
        <v>0</v>
      </c>
      <c r="K34" s="1">
        <f t="shared" si="2"/>
        <v>0</v>
      </c>
      <c r="R34" s="3">
        <f t="shared" si="0"/>
        <v>56</v>
      </c>
      <c r="T34" s="3">
        <f t="shared" si="1"/>
        <v>0</v>
      </c>
    </row>
    <row r="35" spans="2:20" x14ac:dyDescent="0.25">
      <c r="B35" s="2"/>
      <c r="E35" s="1">
        <v>3</v>
      </c>
      <c r="I35" s="1">
        <f t="shared" ref="I35:K35" si="3">I11*$H$5</f>
        <v>0</v>
      </c>
      <c r="K35" s="1">
        <f t="shared" si="3"/>
        <v>0</v>
      </c>
      <c r="R35" s="3">
        <f t="shared" si="0"/>
        <v>58</v>
      </c>
      <c r="T35" s="3">
        <f t="shared" si="1"/>
        <v>0</v>
      </c>
    </row>
    <row r="36" spans="2:20" x14ac:dyDescent="0.25">
      <c r="B36" s="2"/>
      <c r="E36" s="1">
        <v>4</v>
      </c>
      <c r="I36" s="1">
        <f t="shared" ref="I36:K36" si="4">I12*$H$5</f>
        <v>0</v>
      </c>
      <c r="K36" s="1">
        <f t="shared" si="4"/>
        <v>0</v>
      </c>
      <c r="R36" s="3">
        <f t="shared" si="0"/>
        <v>60</v>
      </c>
      <c r="T36" s="3">
        <f t="shared" si="1"/>
        <v>0</v>
      </c>
    </row>
    <row r="37" spans="2:20" x14ac:dyDescent="0.25">
      <c r="B37" s="2"/>
      <c r="E37" s="1">
        <v>5</v>
      </c>
      <c r="I37" s="1">
        <f t="shared" ref="I37:K37" si="5">I13*$H$5</f>
        <v>0</v>
      </c>
      <c r="K37" s="1">
        <f t="shared" si="5"/>
        <v>0</v>
      </c>
      <c r="R37" s="3">
        <f t="shared" si="0"/>
        <v>62</v>
      </c>
      <c r="T37" s="3">
        <f t="shared" si="1"/>
        <v>0</v>
      </c>
    </row>
    <row r="38" spans="2:20" x14ac:dyDescent="0.25">
      <c r="B38" s="2"/>
      <c r="R38" s="3">
        <f t="shared" si="0"/>
        <v>64</v>
      </c>
      <c r="T38" s="3">
        <f t="shared" si="1"/>
        <v>0</v>
      </c>
    </row>
    <row r="39" spans="2:20" x14ac:dyDescent="0.25">
      <c r="B39" s="2"/>
      <c r="D39" s="1" t="s">
        <v>4</v>
      </c>
      <c r="R39" s="3">
        <f t="shared" si="0"/>
        <v>66</v>
      </c>
      <c r="T39" s="3">
        <f t="shared" si="1"/>
        <v>0</v>
      </c>
    </row>
    <row r="40" spans="2:20" x14ac:dyDescent="0.25">
      <c r="B40" s="2"/>
      <c r="E40" s="1">
        <v>1</v>
      </c>
      <c r="I40" s="1">
        <f t="shared" ref="I40:K40" si="6">I16*$H$5</f>
        <v>0</v>
      </c>
      <c r="K40" s="1">
        <f t="shared" si="6"/>
        <v>0</v>
      </c>
      <c r="R40" s="3">
        <f t="shared" si="0"/>
        <v>68</v>
      </c>
      <c r="T40" s="3">
        <f t="shared" si="1"/>
        <v>0</v>
      </c>
    </row>
    <row r="41" spans="2:20" x14ac:dyDescent="0.25">
      <c r="B41" s="2"/>
      <c r="E41" s="1">
        <v>2</v>
      </c>
      <c r="I41" s="1">
        <f t="shared" ref="I41:K41" si="7">I17*$H$5</f>
        <v>0</v>
      </c>
      <c r="K41" s="1">
        <f t="shared" si="7"/>
        <v>0</v>
      </c>
      <c r="R41" s="3">
        <f t="shared" si="0"/>
        <v>70</v>
      </c>
      <c r="T41" s="3">
        <f t="shared" si="1"/>
        <v>0</v>
      </c>
    </row>
    <row r="42" spans="2:20" x14ac:dyDescent="0.25">
      <c r="B42" s="2"/>
      <c r="E42" s="1">
        <v>3</v>
      </c>
      <c r="I42" s="1">
        <f t="shared" ref="I42:K42" si="8">I18*$H$5</f>
        <v>0</v>
      </c>
      <c r="K42" s="1">
        <f t="shared" si="8"/>
        <v>0</v>
      </c>
      <c r="R42" s="3">
        <f t="shared" si="0"/>
        <v>72</v>
      </c>
      <c r="T42" s="3">
        <f t="shared" si="1"/>
        <v>0</v>
      </c>
    </row>
    <row r="43" spans="2:20" x14ac:dyDescent="0.25">
      <c r="B43" s="2"/>
      <c r="E43" s="1">
        <v>4</v>
      </c>
      <c r="I43" s="1">
        <f t="shared" ref="I43:K43" si="9">I19*$H$5</f>
        <v>0</v>
      </c>
      <c r="K43" s="1">
        <f t="shared" si="9"/>
        <v>0</v>
      </c>
      <c r="R43" s="3">
        <f t="shared" si="0"/>
        <v>74</v>
      </c>
      <c r="T43" s="3">
        <f t="shared" si="1"/>
        <v>0</v>
      </c>
    </row>
    <row r="44" spans="2:20" x14ac:dyDescent="0.25">
      <c r="B44" s="2"/>
      <c r="E44" s="1">
        <v>5</v>
      </c>
      <c r="I44" s="1">
        <f t="shared" ref="I44:K44" si="10">I20*$H$5</f>
        <v>0</v>
      </c>
      <c r="K44" s="1">
        <f t="shared" si="10"/>
        <v>0</v>
      </c>
      <c r="R44" s="3">
        <f t="shared" si="0"/>
        <v>76</v>
      </c>
      <c r="T44" s="3">
        <f t="shared" si="1"/>
        <v>0</v>
      </c>
    </row>
    <row r="45" spans="2:20" x14ac:dyDescent="0.25">
      <c r="B45" s="2"/>
      <c r="R45" s="3">
        <f t="shared" si="0"/>
        <v>78</v>
      </c>
      <c r="T45" s="3">
        <f t="shared" si="1"/>
        <v>0</v>
      </c>
    </row>
    <row r="46" spans="2:20" x14ac:dyDescent="0.25">
      <c r="B46" s="2"/>
      <c r="D46" s="1" t="s">
        <v>9</v>
      </c>
      <c r="R46" s="3">
        <f t="shared" si="0"/>
        <v>80</v>
      </c>
      <c r="T46" s="3">
        <f t="shared" si="1"/>
        <v>0</v>
      </c>
    </row>
    <row r="47" spans="2:20" x14ac:dyDescent="0.25">
      <c r="E47" s="1">
        <v>1</v>
      </c>
      <c r="I47" s="1">
        <f t="shared" ref="I47:K47" si="11">I23*$H$5</f>
        <v>0</v>
      </c>
      <c r="K47" s="1">
        <f t="shared" si="11"/>
        <v>0</v>
      </c>
      <c r="R47" s="3">
        <f t="shared" si="0"/>
        <v>82</v>
      </c>
      <c r="T47" s="3">
        <f t="shared" si="1"/>
        <v>0</v>
      </c>
    </row>
    <row r="48" spans="2:20" x14ac:dyDescent="0.25">
      <c r="E48" s="1">
        <v>2</v>
      </c>
      <c r="I48" s="1">
        <f t="shared" ref="I48:K48" si="12">I24*$H$5</f>
        <v>0</v>
      </c>
      <c r="K48" s="1">
        <f t="shared" si="12"/>
        <v>0</v>
      </c>
      <c r="R48" s="3">
        <f t="shared" si="0"/>
        <v>84</v>
      </c>
      <c r="T48" s="3">
        <f t="shared" si="1"/>
        <v>0</v>
      </c>
    </row>
    <row r="49" spans="5:20" x14ac:dyDescent="0.25">
      <c r="E49" s="1">
        <v>3</v>
      </c>
      <c r="I49" s="1">
        <f t="shared" ref="I49:K49" si="13">I25*$H$5</f>
        <v>0</v>
      </c>
      <c r="K49" s="1">
        <f t="shared" si="13"/>
        <v>0</v>
      </c>
      <c r="R49" s="3">
        <f t="shared" si="0"/>
        <v>86</v>
      </c>
      <c r="T49" s="3">
        <f t="shared" si="1"/>
        <v>0</v>
      </c>
    </row>
    <row r="50" spans="5:20" x14ac:dyDescent="0.25">
      <c r="E50" s="1">
        <v>4</v>
      </c>
      <c r="I50" s="1">
        <f t="shared" ref="I50:K50" si="14">I26*$H$5</f>
        <v>0</v>
      </c>
      <c r="K50" s="1">
        <f t="shared" si="14"/>
        <v>0</v>
      </c>
      <c r="R50" s="3">
        <f t="shared" si="0"/>
        <v>88</v>
      </c>
      <c r="T50" s="3">
        <f t="shared" si="1"/>
        <v>0</v>
      </c>
    </row>
    <row r="51" spans="5:20" x14ac:dyDescent="0.25">
      <c r="E51" s="1">
        <v>5</v>
      </c>
      <c r="I51" s="1">
        <f t="shared" ref="I51:K51" si="15">I27*$H$5</f>
        <v>0</v>
      </c>
      <c r="K51" s="1">
        <f t="shared" si="15"/>
        <v>0</v>
      </c>
      <c r="R51" s="3">
        <f t="shared" si="0"/>
        <v>90</v>
      </c>
      <c r="T51" s="3">
        <f t="shared" si="1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3ADE1-ADC3-4187-9E85-B552F19CF945}">
  <dimension ref="A1:AI235"/>
  <sheetViews>
    <sheetView tabSelected="1" topLeftCell="A103" zoomScale="70" zoomScaleNormal="70" workbookViewId="0">
      <selection activeCell="O148" sqref="O148 O157 O166"/>
    </sheetView>
  </sheetViews>
  <sheetFormatPr defaultRowHeight="15" x14ac:dyDescent="0.25"/>
  <cols>
    <col min="2" max="2" width="12.5703125" customWidth="1"/>
    <col min="3" max="3" width="12.42578125" customWidth="1"/>
    <col min="4" max="4" width="10.5703125" customWidth="1"/>
    <col min="5" max="5" width="11.28515625" customWidth="1"/>
    <col min="6" max="6" width="10.140625" customWidth="1"/>
    <col min="7" max="7" width="8.5703125" customWidth="1"/>
    <col min="8" max="8" width="12" bestFit="1" customWidth="1"/>
    <col min="9" max="9" width="9.5703125" customWidth="1"/>
    <col min="10" max="10" width="11.28515625" customWidth="1"/>
    <col min="11" max="11" width="10" customWidth="1"/>
    <col min="12" max="12" width="10.5703125" customWidth="1"/>
    <col min="13" max="14" width="12" bestFit="1" customWidth="1"/>
    <col min="15" max="15" width="12.140625" bestFit="1" customWidth="1"/>
    <col min="17" max="17" width="12.140625" bestFit="1" customWidth="1"/>
    <col min="21" max="21" width="11" bestFit="1" customWidth="1"/>
    <col min="22" max="22" width="13.5703125" bestFit="1" customWidth="1"/>
    <col min="23" max="23" width="14.85546875" bestFit="1" customWidth="1"/>
    <col min="24" max="24" width="14.7109375" customWidth="1"/>
    <col min="25" max="25" width="15.28515625" bestFit="1" customWidth="1"/>
    <col min="26" max="26" width="12" bestFit="1" customWidth="1"/>
    <col min="27" max="27" width="12.28515625" bestFit="1" customWidth="1"/>
    <col min="29" max="29" width="9.7109375" bestFit="1" customWidth="1"/>
    <col min="30" max="30" width="12.28515625" bestFit="1" customWidth="1"/>
  </cols>
  <sheetData>
    <row r="1" spans="1:24" x14ac:dyDescent="0.25">
      <c r="A1" t="s">
        <v>126</v>
      </c>
    </row>
    <row r="2" spans="1:24" x14ac:dyDescent="0.25">
      <c r="C2" t="s">
        <v>70</v>
      </c>
      <c r="H2" t="s">
        <v>69</v>
      </c>
      <c r="N2" t="s">
        <v>68</v>
      </c>
    </row>
    <row r="3" spans="1:24" x14ac:dyDescent="0.25">
      <c r="B3" s="16"/>
      <c r="C3" s="11" t="s">
        <v>73</v>
      </c>
      <c r="D3" s="12" t="s">
        <v>73</v>
      </c>
      <c r="E3" s="12"/>
      <c r="F3" s="12" t="s">
        <v>75</v>
      </c>
      <c r="G3" s="13"/>
      <c r="H3" s="11" t="s">
        <v>63</v>
      </c>
      <c r="I3" s="12" t="s">
        <v>63</v>
      </c>
      <c r="J3" s="12"/>
      <c r="K3" s="12" t="s">
        <v>74</v>
      </c>
      <c r="L3" s="13"/>
      <c r="N3" s="22">
        <f>1/29.97</f>
        <v>3.3366700033366704E-2</v>
      </c>
    </row>
    <row r="4" spans="1:24" x14ac:dyDescent="0.25">
      <c r="A4" t="s">
        <v>64</v>
      </c>
      <c r="B4" s="17" t="s">
        <v>60</v>
      </c>
      <c r="C4" s="14" t="s">
        <v>61</v>
      </c>
      <c r="D4" s="15" t="s">
        <v>62</v>
      </c>
      <c r="E4" s="15" t="s">
        <v>66</v>
      </c>
      <c r="F4" s="23" t="s">
        <v>65</v>
      </c>
      <c r="G4" s="21" t="s">
        <v>67</v>
      </c>
      <c r="H4" s="14" t="s">
        <v>61</v>
      </c>
      <c r="I4" s="15" t="s">
        <v>62</v>
      </c>
      <c r="J4" s="15" t="s">
        <v>66</v>
      </c>
      <c r="K4" s="23" t="s">
        <v>65</v>
      </c>
      <c r="L4" s="21" t="s">
        <v>67</v>
      </c>
      <c r="N4" t="s">
        <v>78</v>
      </c>
      <c r="P4" t="s">
        <v>79</v>
      </c>
    </row>
    <row r="5" spans="1:24" x14ac:dyDescent="0.25">
      <c r="A5">
        <v>6.5</v>
      </c>
      <c r="B5">
        <v>1</v>
      </c>
      <c r="C5">
        <v>307</v>
      </c>
      <c r="D5">
        <v>307</v>
      </c>
      <c r="E5">
        <v>307</v>
      </c>
      <c r="F5">
        <v>7281</v>
      </c>
      <c r="G5">
        <f>7345-F5</f>
        <v>64</v>
      </c>
      <c r="H5">
        <v>911</v>
      </c>
      <c r="I5">
        <v>911</v>
      </c>
      <c r="J5">
        <v>911</v>
      </c>
      <c r="K5">
        <v>9732</v>
      </c>
      <c r="L5">
        <f>10121-K5</f>
        <v>389</v>
      </c>
      <c r="N5">
        <f>(F5-E5)*$N$3</f>
        <v>232.6993660326994</v>
      </c>
      <c r="O5" s="24">
        <f>(G5*$N$3)/(N5)</f>
        <v>9.1769429308861481E-3</v>
      </c>
      <c r="P5">
        <f>(K5-J5)*$N$3</f>
        <v>294.32766099432769</v>
      </c>
      <c r="Q5" s="24">
        <f>(L5*$N$3)/(P5)</f>
        <v>4.409930846842762E-2</v>
      </c>
      <c r="U5">
        <v>7.24</v>
      </c>
      <c r="V5">
        <v>6.5</v>
      </c>
      <c r="W5">
        <f>V5^2</f>
        <v>42.25</v>
      </c>
      <c r="X5">
        <f>U5/W5</f>
        <v>0.17136094674556213</v>
      </c>
    </row>
    <row r="6" spans="1:24" x14ac:dyDescent="0.25">
      <c r="A6">
        <v>6.5</v>
      </c>
      <c r="B6">
        <v>2</v>
      </c>
      <c r="C6">
        <v>1805</v>
      </c>
      <c r="D6">
        <v>8604</v>
      </c>
      <c r="E6">
        <v>1805</v>
      </c>
      <c r="F6">
        <v>9448</v>
      </c>
      <c r="G6">
        <f>9495-F6</f>
        <v>47</v>
      </c>
      <c r="H6">
        <v>1065</v>
      </c>
      <c r="J6">
        <v>1065</v>
      </c>
      <c r="K6">
        <v>11839</v>
      </c>
      <c r="L6">
        <f>12098-K6</f>
        <v>259</v>
      </c>
      <c r="N6">
        <f>(F6-E6)*$N$3</f>
        <v>255.02168835502172</v>
      </c>
      <c r="O6" s="24">
        <f>(G6*$N$3)/(N6)</f>
        <v>6.149417767892189E-3</v>
      </c>
      <c r="P6">
        <f>(K6-J6)*$N$3</f>
        <v>359.49282615949289</v>
      </c>
      <c r="Q6" s="24">
        <f>(L6*$N$3)/(P6)</f>
        <v>2.4039354000371264E-2</v>
      </c>
      <c r="U6">
        <v>11.78</v>
      </c>
      <c r="V6">
        <v>8</v>
      </c>
      <c r="W6">
        <f t="shared" ref="W6:W7" si="0">V6^2</f>
        <v>64</v>
      </c>
      <c r="X6">
        <f t="shared" ref="X6:X7" si="1">U6/W6</f>
        <v>0.18406249999999999</v>
      </c>
    </row>
    <row r="7" spans="1:24" x14ac:dyDescent="0.25">
      <c r="A7">
        <v>6.5</v>
      </c>
      <c r="B7">
        <v>3</v>
      </c>
      <c r="C7">
        <v>1211</v>
      </c>
      <c r="D7">
        <v>14301</v>
      </c>
      <c r="E7">
        <v>1211</v>
      </c>
      <c r="F7">
        <v>6275</v>
      </c>
      <c r="G7">
        <f>6464-F7</f>
        <v>189</v>
      </c>
      <c r="H7">
        <v>608</v>
      </c>
      <c r="I7">
        <v>13186</v>
      </c>
      <c r="J7">
        <v>608</v>
      </c>
      <c r="K7">
        <v>10180</v>
      </c>
      <c r="L7">
        <f>10432-K7</f>
        <v>252</v>
      </c>
      <c r="N7">
        <f>(F7-E7)*$N$3</f>
        <v>168.96896896896899</v>
      </c>
      <c r="O7" s="24">
        <f>(G7*$N$3)/(N7)</f>
        <v>3.7322274881516584E-2</v>
      </c>
      <c r="P7">
        <f>(K7-J7)*$N$3</f>
        <v>319.3860527193861</v>
      </c>
      <c r="Q7" s="24">
        <f>(L7*$N$3)/(P7)</f>
        <v>2.6326786460509819E-2</v>
      </c>
      <c r="U7">
        <v>18.079999999999998</v>
      </c>
      <c r="V7">
        <v>9.5</v>
      </c>
      <c r="W7">
        <f t="shared" si="0"/>
        <v>90.25</v>
      </c>
      <c r="X7">
        <f t="shared" si="1"/>
        <v>0.20033240997229915</v>
      </c>
    </row>
    <row r="8" spans="1:24" x14ac:dyDescent="0.25">
      <c r="A8">
        <v>6.5</v>
      </c>
      <c r="B8">
        <v>4</v>
      </c>
      <c r="C8">
        <v>453</v>
      </c>
      <c r="D8">
        <v>453</v>
      </c>
      <c r="E8">
        <v>453</v>
      </c>
      <c r="F8">
        <v>9214</v>
      </c>
      <c r="G8">
        <f>9409-F8</f>
        <v>195</v>
      </c>
      <c r="H8">
        <v>822</v>
      </c>
      <c r="I8">
        <v>822</v>
      </c>
      <c r="J8">
        <v>822</v>
      </c>
      <c r="K8">
        <v>9367</v>
      </c>
      <c r="L8">
        <f>9562-K8</f>
        <v>195</v>
      </c>
      <c r="N8">
        <f>(F8-E8)*$N$3</f>
        <v>292.32565899232571</v>
      </c>
      <c r="O8" s="24">
        <f>(G8*$N$3)/(N8)</f>
        <v>2.2257733135486818E-2</v>
      </c>
      <c r="P8">
        <f>(K8-J8)*$N$3</f>
        <v>285.11845178511851</v>
      </c>
      <c r="Q8" s="24">
        <f>(L8*$N$3)/(P8)</f>
        <v>2.2820362785254535E-2</v>
      </c>
    </row>
    <row r="9" spans="1:24" x14ac:dyDescent="0.25">
      <c r="A9">
        <v>6.5</v>
      </c>
      <c r="B9">
        <v>5</v>
      </c>
      <c r="C9">
        <v>909</v>
      </c>
      <c r="D9">
        <v>909</v>
      </c>
      <c r="E9">
        <v>909</v>
      </c>
      <c r="F9">
        <v>6685</v>
      </c>
      <c r="G9">
        <f>6750-F9</f>
        <v>65</v>
      </c>
      <c r="H9">
        <v>588</v>
      </c>
      <c r="I9">
        <v>588</v>
      </c>
      <c r="J9">
        <v>588</v>
      </c>
      <c r="K9">
        <v>11557</v>
      </c>
      <c r="L9">
        <f>11752-K9</f>
        <v>195</v>
      </c>
      <c r="N9">
        <f>(F9-E9)*$N$3</f>
        <v>192.72605939272609</v>
      </c>
      <c r="O9" s="24">
        <f>(G9*$N$3)/(N9)</f>
        <v>1.1253462603878116E-2</v>
      </c>
      <c r="P9">
        <f>(K9-J9)*$N$3</f>
        <v>365.99933266599936</v>
      </c>
      <c r="Q9" s="24">
        <f>(L9*$N$3)/(P9)</f>
        <v>1.7777372595496402E-2</v>
      </c>
      <c r="U9">
        <v>11.78</v>
      </c>
      <c r="V9">
        <v>266</v>
      </c>
      <c r="W9">
        <f>U9/V9</f>
        <v>4.4285714285714282E-2</v>
      </c>
    </row>
    <row r="10" spans="1:24" x14ac:dyDescent="0.25">
      <c r="E10">
        <v>1211</v>
      </c>
      <c r="F10">
        <v>6275</v>
      </c>
      <c r="G10">
        <f>6464-F10</f>
        <v>189</v>
      </c>
      <c r="J10">
        <v>608</v>
      </c>
      <c r="K10">
        <v>10180</v>
      </c>
      <c r="L10">
        <f>10432-K10</f>
        <v>252</v>
      </c>
      <c r="M10" t="s">
        <v>80</v>
      </c>
      <c r="N10">
        <f>_xlfn.STDEV.S(N5:N9)</f>
        <v>49.03660078236264</v>
      </c>
      <c r="P10">
        <f>_xlfn.STDEV.P(P5:P9)</f>
        <v>32.964998711260371</v>
      </c>
      <c r="U10">
        <v>29.6</v>
      </c>
      <c r="V10">
        <v>669</v>
      </c>
      <c r="W10">
        <f>U10/V10</f>
        <v>4.424514200298954E-2</v>
      </c>
    </row>
    <row r="11" spans="1:24" x14ac:dyDescent="0.25">
      <c r="M11" t="s">
        <v>81</v>
      </c>
      <c r="N11" s="24">
        <f>N10/AVERAGE(N5:N9)</f>
        <v>0.21474471410477061</v>
      </c>
      <c r="O11" s="24"/>
      <c r="P11" s="24">
        <f>P10/AVERAGE(P5:P9)</f>
        <v>0.10147295776344706</v>
      </c>
    </row>
    <row r="13" spans="1:24" x14ac:dyDescent="0.25">
      <c r="A13" s="18">
        <v>8</v>
      </c>
      <c r="B13">
        <v>1</v>
      </c>
      <c r="C13">
        <v>1201</v>
      </c>
      <c r="D13">
        <v>1201</v>
      </c>
      <c r="E13">
        <v>1201</v>
      </c>
      <c r="F13">
        <v>9854</v>
      </c>
      <c r="G13">
        <f>9921-F13</f>
        <v>67</v>
      </c>
      <c r="H13">
        <v>313</v>
      </c>
      <c r="I13">
        <v>313</v>
      </c>
      <c r="J13">
        <v>313</v>
      </c>
      <c r="K13">
        <v>11721</v>
      </c>
      <c r="L13">
        <f>11981-K13</f>
        <v>260</v>
      </c>
      <c r="N13">
        <f>(F13-E13)*$N$3</f>
        <v>288.72205538872208</v>
      </c>
      <c r="O13" s="24">
        <f>(G13*$N$3)/(N13)</f>
        <v>7.742979313532879E-3</v>
      </c>
      <c r="P13">
        <f>(K13-J13)*$N$3</f>
        <v>380.64731398064737</v>
      </c>
      <c r="Q13" s="24">
        <f>(L13*$N$3)/(P13)</f>
        <v>2.279102384291725E-2</v>
      </c>
    </row>
    <row r="14" spans="1:24" x14ac:dyDescent="0.25">
      <c r="A14" s="18">
        <v>8</v>
      </c>
      <c r="B14">
        <v>2</v>
      </c>
      <c r="C14">
        <v>301</v>
      </c>
      <c r="D14">
        <v>301</v>
      </c>
      <c r="E14">
        <v>301</v>
      </c>
      <c r="F14">
        <v>9967</v>
      </c>
      <c r="G14">
        <f>10161-F14</f>
        <v>194</v>
      </c>
      <c r="H14">
        <v>899</v>
      </c>
      <c r="I14">
        <v>899</v>
      </c>
      <c r="J14">
        <v>899</v>
      </c>
      <c r="K14">
        <v>11357</v>
      </c>
      <c r="L14">
        <f>11747-K14</f>
        <v>390</v>
      </c>
      <c r="N14">
        <f>(F14-E14)*$N$3</f>
        <v>322.52252252252259</v>
      </c>
      <c r="O14" s="24">
        <f>(G14*$N$3)/(N14)</f>
        <v>2.0070349679288224E-2</v>
      </c>
      <c r="P14">
        <f>(K14-J14)*$N$3</f>
        <v>348.94894894894901</v>
      </c>
      <c r="Q14" s="24">
        <f>(L14*$N$3)/(P14)</f>
        <v>3.7292025243832475E-2</v>
      </c>
    </row>
    <row r="15" spans="1:24" x14ac:dyDescent="0.25">
      <c r="A15" s="18">
        <v>8</v>
      </c>
      <c r="B15">
        <v>3</v>
      </c>
      <c r="C15">
        <v>1056</v>
      </c>
      <c r="D15">
        <v>1056</v>
      </c>
      <c r="E15">
        <v>1056</v>
      </c>
      <c r="F15">
        <v>9857</v>
      </c>
      <c r="G15">
        <f>9923-F15</f>
        <v>66</v>
      </c>
      <c r="H15">
        <v>455</v>
      </c>
      <c r="I15">
        <v>455</v>
      </c>
      <c r="J15">
        <v>455</v>
      </c>
      <c r="K15">
        <v>10839</v>
      </c>
      <c r="L15">
        <f>11288-K15</f>
        <v>449</v>
      </c>
      <c r="N15">
        <f>(F15-E15)*$N$3</f>
        <v>293.66032699366036</v>
      </c>
      <c r="O15" s="24">
        <f>(G15*$N$3)/(N15)</f>
        <v>7.4991478241108961E-3</v>
      </c>
      <c r="P15">
        <f>(K15-J15)*$N$3</f>
        <v>346.47981314647984</v>
      </c>
      <c r="Q15" s="24">
        <f>(L15*$N$3)/(P15)</f>
        <v>4.3239599383667178E-2</v>
      </c>
    </row>
    <row r="16" spans="1:24" x14ac:dyDescent="0.25">
      <c r="A16" s="18">
        <v>8</v>
      </c>
      <c r="B16">
        <v>4</v>
      </c>
      <c r="C16">
        <v>910</v>
      </c>
      <c r="D16">
        <v>910</v>
      </c>
      <c r="E16">
        <v>910</v>
      </c>
      <c r="F16">
        <v>7919</v>
      </c>
      <c r="G16">
        <f>7984-F16</f>
        <v>65</v>
      </c>
      <c r="H16">
        <v>753</v>
      </c>
      <c r="I16">
        <v>753</v>
      </c>
      <c r="J16">
        <v>754</v>
      </c>
      <c r="K16">
        <v>10025</v>
      </c>
      <c r="L16">
        <f>10220-K16</f>
        <v>195</v>
      </c>
      <c r="N16">
        <f>(F16-E16)*$N$3</f>
        <v>233.86720053386722</v>
      </c>
      <c r="O16" s="24">
        <f>(G16*$N$3)/(N16)</f>
        <v>9.2737908403481249E-3</v>
      </c>
      <c r="P16">
        <f>(K16-J16)*$N$3</f>
        <v>309.34267600934271</v>
      </c>
      <c r="Q16" s="24">
        <f>(L16*$N$3)/(P16)</f>
        <v>2.1033329737892355E-2</v>
      </c>
    </row>
    <row r="17" spans="1:26" x14ac:dyDescent="0.25">
      <c r="A17" s="18">
        <v>8</v>
      </c>
      <c r="B17">
        <v>5</v>
      </c>
      <c r="C17">
        <v>2203</v>
      </c>
      <c r="D17">
        <v>2203</v>
      </c>
      <c r="E17">
        <v>2203</v>
      </c>
      <c r="F17">
        <v>9214</v>
      </c>
      <c r="G17">
        <f>9475-F17</f>
        <v>261</v>
      </c>
      <c r="H17">
        <v>744</v>
      </c>
      <c r="I17">
        <v>744</v>
      </c>
      <c r="J17">
        <v>744</v>
      </c>
      <c r="K17">
        <v>12211</v>
      </c>
      <c r="L17">
        <f>12601-K17</f>
        <v>390</v>
      </c>
      <c r="N17">
        <f>(F17-E17)*$N$3</f>
        <v>233.93393393393396</v>
      </c>
      <c r="O17" s="24">
        <f>(G17*$N$3)/(N17)</f>
        <v>3.7227214377406934E-2</v>
      </c>
      <c r="P17">
        <f>(K17-J17)*$N$3</f>
        <v>382.61594928261599</v>
      </c>
      <c r="Q17" s="24">
        <f>(L17*$N$3)/(P17)</f>
        <v>3.4010639225603913E-2</v>
      </c>
    </row>
    <row r="18" spans="1:26" x14ac:dyDescent="0.25">
      <c r="M18" t="s">
        <v>80</v>
      </c>
      <c r="N18">
        <f>_xlfn.STDEV.S(N13:N17)</f>
        <v>39.281577353439069</v>
      </c>
      <c r="P18">
        <f>_xlfn.STDEV.P(P13:P17)</f>
        <v>26.849664165589147</v>
      </c>
    </row>
    <row r="19" spans="1:26" x14ac:dyDescent="0.25">
      <c r="M19" t="s">
        <v>81</v>
      </c>
      <c r="N19" s="24">
        <f>N18/AVERAGE(N13:N17)</f>
        <v>0.14308080618407495</v>
      </c>
      <c r="P19" s="24">
        <f>P18/AVERAGE(P13:P17)</f>
        <v>7.593081783070757E-2</v>
      </c>
      <c r="S19">
        <v>6</v>
      </c>
      <c r="T19" t="s">
        <v>93</v>
      </c>
      <c r="U19">
        <v>5.2999999999999999E-2</v>
      </c>
      <c r="V19">
        <v>106.334</v>
      </c>
      <c r="W19">
        <v>61.832999999999998</v>
      </c>
      <c r="X19">
        <v>140.79599999999999</v>
      </c>
      <c r="Y19">
        <v>-89.82</v>
      </c>
      <c r="Z19">
        <v>1.968</v>
      </c>
    </row>
    <row r="20" spans="1:26" x14ac:dyDescent="0.25">
      <c r="S20">
        <v>7</v>
      </c>
      <c r="T20" t="s">
        <v>94</v>
      </c>
      <c r="U20">
        <v>3.1E-2</v>
      </c>
      <c r="V20">
        <v>54.307000000000002</v>
      </c>
      <c r="W20">
        <v>20.608000000000001</v>
      </c>
      <c r="X20">
        <v>71.983000000000004</v>
      </c>
      <c r="Y20">
        <v>0.88500000000000001</v>
      </c>
      <c r="Z20">
        <v>0.104</v>
      </c>
    </row>
    <row r="21" spans="1:26" x14ac:dyDescent="0.25">
      <c r="A21" s="18">
        <v>9.5</v>
      </c>
      <c r="B21">
        <v>1</v>
      </c>
      <c r="C21">
        <v>604</v>
      </c>
      <c r="D21" t="s">
        <v>71</v>
      </c>
      <c r="E21">
        <v>604</v>
      </c>
      <c r="F21">
        <v>14695</v>
      </c>
      <c r="G21">
        <f>14767-F21</f>
        <v>72</v>
      </c>
      <c r="H21">
        <v>899</v>
      </c>
      <c r="I21">
        <v>0</v>
      </c>
      <c r="J21">
        <v>899</v>
      </c>
      <c r="K21">
        <v>6997</v>
      </c>
      <c r="L21">
        <f>7052-K21</f>
        <v>55</v>
      </c>
      <c r="N21">
        <f>(F21-E21)*$N$3</f>
        <v>470.17017017017025</v>
      </c>
      <c r="O21" s="24">
        <f>(G21*$N$3)/(N21)</f>
        <v>5.109644453906749E-3</v>
      </c>
      <c r="P21">
        <f>(K21-J21)*$N$3</f>
        <v>203.47013680347015</v>
      </c>
      <c r="Q21" s="24">
        <f>(L21*$N$3)/(P21)</f>
        <v>9.0193506067563142E-3</v>
      </c>
    </row>
    <row r="22" spans="1:26" x14ac:dyDescent="0.25">
      <c r="A22" s="18">
        <v>9.5</v>
      </c>
      <c r="B22">
        <v>2</v>
      </c>
      <c r="C22">
        <v>456</v>
      </c>
      <c r="E22">
        <v>456</v>
      </c>
      <c r="F22">
        <v>28384</v>
      </c>
      <c r="G22">
        <f>28594-F22</f>
        <v>210</v>
      </c>
      <c r="H22">
        <v>515</v>
      </c>
      <c r="I22">
        <v>33165</v>
      </c>
      <c r="J22">
        <v>515</v>
      </c>
      <c r="K22">
        <v>6796</v>
      </c>
      <c r="L22">
        <f>6993-K22</f>
        <v>197</v>
      </c>
      <c r="N22">
        <f>(F22-E22)*$N$3</f>
        <v>931.8651985318653</v>
      </c>
      <c r="O22" s="24">
        <f>(G22*$N$3)/(N22)</f>
        <v>7.5193354339730739E-3</v>
      </c>
      <c r="P22">
        <f>(K22-J22)*$N$3</f>
        <v>209.57624290957628</v>
      </c>
      <c r="Q22" s="24">
        <f>(L22*$N$3)/(P22)</f>
        <v>3.1364432415220501E-2</v>
      </c>
    </row>
    <row r="23" spans="1:26" x14ac:dyDescent="0.25">
      <c r="A23" s="18">
        <v>9.5</v>
      </c>
      <c r="B23">
        <v>3</v>
      </c>
      <c r="C23">
        <v>291</v>
      </c>
      <c r="D23">
        <v>291</v>
      </c>
      <c r="E23">
        <v>291</v>
      </c>
      <c r="F23">
        <v>22917</v>
      </c>
      <c r="G23">
        <f>23126-F23</f>
        <v>209</v>
      </c>
      <c r="H23">
        <v>605</v>
      </c>
      <c r="I23">
        <v>605</v>
      </c>
      <c r="J23">
        <v>605</v>
      </c>
      <c r="K23">
        <v>6820</v>
      </c>
      <c r="L23">
        <f>7029-K23</f>
        <v>209</v>
      </c>
      <c r="N23">
        <f>(F23-E23)*$N$3</f>
        <v>754.95495495495504</v>
      </c>
      <c r="O23" s="24">
        <f>(G23*$N$3)/(N23)</f>
        <v>9.2371607884734371E-3</v>
      </c>
      <c r="P23">
        <f>(K23-J23)*$N$3</f>
        <v>207.37404070737406</v>
      </c>
      <c r="Q23" s="24">
        <f>(L23*$N$3)/(P23)</f>
        <v>3.3628318584070796E-2</v>
      </c>
    </row>
    <row r="24" spans="1:26" x14ac:dyDescent="0.25">
      <c r="A24" s="18">
        <v>9.5</v>
      </c>
      <c r="B24">
        <v>4</v>
      </c>
      <c r="C24">
        <v>288</v>
      </c>
      <c r="D24">
        <v>288</v>
      </c>
      <c r="E24">
        <v>288</v>
      </c>
      <c r="F24">
        <v>23048</v>
      </c>
      <c r="G24">
        <f>23303-F24</f>
        <v>255</v>
      </c>
      <c r="H24">
        <v>320</v>
      </c>
      <c r="I24" t="s">
        <v>72</v>
      </c>
      <c r="J24">
        <v>320</v>
      </c>
      <c r="K24">
        <v>7140</v>
      </c>
      <c r="L24">
        <f>7252-K24</f>
        <v>112</v>
      </c>
      <c r="N24">
        <f>(F24-E24)*$N$3</f>
        <v>759.42609275942618</v>
      </c>
      <c r="O24" s="24">
        <f>(G24*$N$3)/(N24)</f>
        <v>1.1203866432337433E-2</v>
      </c>
      <c r="P24">
        <f>(K24-J24)*$N$3</f>
        <v>227.56089422756094</v>
      </c>
      <c r="Q24" s="24">
        <f>(L24*$N$3)/(P24)</f>
        <v>1.6422287390029325E-2</v>
      </c>
      <c r="S24" t="s">
        <v>162</v>
      </c>
    </row>
    <row r="25" spans="1:26" x14ac:dyDescent="0.25">
      <c r="A25" s="18">
        <v>9.5</v>
      </c>
      <c r="B25">
        <v>5</v>
      </c>
      <c r="C25">
        <v>1196</v>
      </c>
      <c r="D25">
        <v>1196</v>
      </c>
      <c r="E25">
        <v>1196</v>
      </c>
      <c r="F25">
        <v>28823</v>
      </c>
      <c r="G25">
        <f>29114-F25</f>
        <v>291</v>
      </c>
      <c r="H25">
        <v>319</v>
      </c>
      <c r="I25">
        <v>6688</v>
      </c>
      <c r="J25">
        <v>319</v>
      </c>
      <c r="K25">
        <v>6688</v>
      </c>
      <c r="L25">
        <f>6880-K25</f>
        <v>192</v>
      </c>
      <c r="N25">
        <f>(F25-E25)*$N$3</f>
        <v>921.82182182182191</v>
      </c>
      <c r="O25" s="24">
        <f>(G25*$N$3)/(N25)</f>
        <v>1.0533174068845696E-2</v>
      </c>
      <c r="P25">
        <f>(K25-J25)*$N$3</f>
        <v>212.51251251251253</v>
      </c>
      <c r="Q25" s="24">
        <f>(L25*$N$3)/(P25)</f>
        <v>3.0146019783325487E-2</v>
      </c>
      <c r="T25" t="s">
        <v>163</v>
      </c>
      <c r="U25" t="s">
        <v>161</v>
      </c>
    </row>
    <row r="26" spans="1:26" x14ac:dyDescent="0.25">
      <c r="M26" t="s">
        <v>80</v>
      </c>
      <c r="N26">
        <f>_xlfn.STDEV.S(N21:N25)</f>
        <v>186.72079960440547</v>
      </c>
      <c r="P26">
        <f>_xlfn.STDEV.P(P21:P25)</f>
        <v>8.2751192033209851</v>
      </c>
      <c r="S26" t="s">
        <v>110</v>
      </c>
      <c r="T26">
        <v>1.4359999999999999</v>
      </c>
      <c r="U26">
        <v>1.968</v>
      </c>
      <c r="V26">
        <f>U26-T26</f>
        <v>0.53200000000000003</v>
      </c>
    </row>
    <row r="27" spans="1:26" x14ac:dyDescent="0.25">
      <c r="M27" t="s">
        <v>81</v>
      </c>
      <c r="N27" s="24">
        <f>N26/AVERAGE(N21:N25)</f>
        <v>0.24323763666388623</v>
      </c>
      <c r="P27" s="24">
        <f>P26/AVERAGE(P21:P25)</f>
        <v>3.9015404858498234E-2</v>
      </c>
      <c r="S27" t="s">
        <v>94</v>
      </c>
      <c r="T27">
        <v>0.17699999999999999</v>
      </c>
      <c r="U27">
        <v>0.104</v>
      </c>
    </row>
    <row r="28" spans="1:26" x14ac:dyDescent="0.25">
      <c r="C28" t="s">
        <v>76</v>
      </c>
    </row>
    <row r="30" spans="1:26" x14ac:dyDescent="0.25">
      <c r="A30" t="s">
        <v>221</v>
      </c>
    </row>
    <row r="31" spans="1:26" x14ac:dyDescent="0.25">
      <c r="C31" t="s">
        <v>70</v>
      </c>
    </row>
    <row r="32" spans="1:26" x14ac:dyDescent="0.25">
      <c r="C32" t="s">
        <v>61</v>
      </c>
      <c r="K32" t="s">
        <v>227</v>
      </c>
    </row>
    <row r="33" spans="1:26" x14ac:dyDescent="0.25">
      <c r="A33" t="s">
        <v>64</v>
      </c>
      <c r="B33" t="s">
        <v>60</v>
      </c>
      <c r="C33" t="s">
        <v>129</v>
      </c>
      <c r="D33" t="s">
        <v>128</v>
      </c>
      <c r="E33" t="s">
        <v>130</v>
      </c>
      <c r="F33" t="s">
        <v>132</v>
      </c>
      <c r="G33" t="s">
        <v>131</v>
      </c>
      <c r="H33" t="s">
        <v>10</v>
      </c>
      <c r="I33" t="s">
        <v>222</v>
      </c>
      <c r="K33" t="s">
        <v>224</v>
      </c>
      <c r="L33" t="s">
        <v>225</v>
      </c>
      <c r="M33" t="s">
        <v>226</v>
      </c>
      <c r="N33" t="s">
        <v>223</v>
      </c>
      <c r="P33" t="s">
        <v>228</v>
      </c>
      <c r="Q33" t="s">
        <v>230</v>
      </c>
      <c r="R33" t="s">
        <v>122</v>
      </c>
    </row>
    <row r="34" spans="1:26" x14ac:dyDescent="0.25">
      <c r="A34">
        <v>6.5</v>
      </c>
      <c r="B34">
        <v>3</v>
      </c>
      <c r="C34">
        <v>1210</v>
      </c>
      <c r="D34">
        <v>1297</v>
      </c>
      <c r="E34">
        <f>30/2</f>
        <v>15</v>
      </c>
      <c r="F34">
        <f>D34-C34</f>
        <v>87</v>
      </c>
      <c r="G34" s="24">
        <f>E34/(F34)</f>
        <v>0.17241379310344829</v>
      </c>
      <c r="H34">
        <f>F34*$N$3</f>
        <v>2.9029029029029032</v>
      </c>
      <c r="I34" s="36">
        <f>E34*$N$3</f>
        <v>0.50050050050050054</v>
      </c>
      <c r="K34">
        <v>-7.1840000000000002</v>
      </c>
      <c r="L34">
        <v>-5.3810000000000002</v>
      </c>
      <c r="M34">
        <f>L34-K34</f>
        <v>1.8029999999999999</v>
      </c>
      <c r="P34" s="36">
        <f>M34/H34</f>
        <v>0.62110241379310338</v>
      </c>
      <c r="Q34" s="36">
        <f>E34*$N$3</f>
        <v>0.50050050050050054</v>
      </c>
      <c r="R34">
        <f>Q34/P34</f>
        <v>0.80582604315433115</v>
      </c>
    </row>
    <row r="35" spans="1:26" x14ac:dyDescent="0.25">
      <c r="A35">
        <v>8</v>
      </c>
      <c r="B35">
        <v>3</v>
      </c>
      <c r="C35">
        <v>1056</v>
      </c>
      <c r="D35">
        <v>1112</v>
      </c>
      <c r="E35">
        <f t="shared" ref="E35:E36" si="2">30/2</f>
        <v>15</v>
      </c>
      <c r="F35">
        <f t="shared" ref="F35:F36" si="3">D35-C35</f>
        <v>56</v>
      </c>
      <c r="G35" s="24">
        <f t="shared" ref="G35:G36" si="4">E35/(F35)</f>
        <v>0.26785714285714285</v>
      </c>
      <c r="H35">
        <f>F35*$N$3</f>
        <v>1.8685352018685355</v>
      </c>
      <c r="I35" s="36">
        <f>E35*$N$3</f>
        <v>0.50050050050050054</v>
      </c>
      <c r="K35">
        <v>-7.726</v>
      </c>
      <c r="L35">
        <v>-5.5910000000000002</v>
      </c>
      <c r="M35">
        <f t="shared" ref="M35:M36" si="5">L35-K35</f>
        <v>2.1349999999999998</v>
      </c>
      <c r="P35" s="36">
        <f>M35/H35</f>
        <v>1.1426062499999996</v>
      </c>
      <c r="Q35" s="36">
        <f>E35*$N$3</f>
        <v>0.50050050050050054</v>
      </c>
      <c r="R35">
        <f t="shared" ref="R35:R43" si="6">Q35/P35</f>
        <v>0.43803410011147825</v>
      </c>
    </row>
    <row r="36" spans="1:26" x14ac:dyDescent="0.25">
      <c r="A36">
        <v>9.5</v>
      </c>
      <c r="B36">
        <v>3</v>
      </c>
      <c r="C36">
        <v>290</v>
      </c>
      <c r="D36">
        <v>354</v>
      </c>
      <c r="E36">
        <f t="shared" si="2"/>
        <v>15</v>
      </c>
      <c r="F36">
        <f t="shared" si="3"/>
        <v>64</v>
      </c>
      <c r="G36" s="24">
        <f t="shared" si="4"/>
        <v>0.234375</v>
      </c>
      <c r="H36">
        <f>F36*$N$3</f>
        <v>2.1354688021354691</v>
      </c>
      <c r="I36" s="36">
        <f>E36*$N$3</f>
        <v>0.50050050050050054</v>
      </c>
      <c r="K36">
        <v>-7.9390000000000001</v>
      </c>
      <c r="L36">
        <v>-5.83</v>
      </c>
      <c r="M36">
        <f t="shared" si="5"/>
        <v>2.109</v>
      </c>
      <c r="P36" s="36">
        <f>M36/H36</f>
        <v>0.98760515624999989</v>
      </c>
      <c r="Q36" s="36">
        <f>E36*$N$3</f>
        <v>0.50050050050050054</v>
      </c>
      <c r="R36">
        <f t="shared" si="6"/>
        <v>0.50678198400758967</v>
      </c>
    </row>
    <row r="37" spans="1:26" x14ac:dyDescent="0.25">
      <c r="G37" s="24"/>
      <c r="I37" s="36"/>
      <c r="N37" s="36"/>
      <c r="P37" s="36"/>
    </row>
    <row r="38" spans="1:26" x14ac:dyDescent="0.25">
      <c r="G38" s="24"/>
      <c r="I38" s="36"/>
      <c r="N38" s="36"/>
      <c r="P38" s="36"/>
    </row>
    <row r="39" spans="1:26" x14ac:dyDescent="0.25">
      <c r="A39" t="s">
        <v>229</v>
      </c>
      <c r="F39" s="37"/>
      <c r="G39" s="40"/>
      <c r="H39" s="37"/>
      <c r="I39" s="37"/>
      <c r="K39" s="24"/>
      <c r="S39" s="24"/>
      <c r="V39" s="36"/>
      <c r="Z39" s="36"/>
    </row>
    <row r="40" spans="1:26" x14ac:dyDescent="0.25">
      <c r="A40" t="s">
        <v>64</v>
      </c>
      <c r="B40" t="s">
        <v>60</v>
      </c>
      <c r="C40" t="s">
        <v>129</v>
      </c>
      <c r="D40" t="s">
        <v>128</v>
      </c>
      <c r="E40" t="s">
        <v>130</v>
      </c>
      <c r="F40" t="s">
        <v>132</v>
      </c>
      <c r="G40" t="s">
        <v>131</v>
      </c>
      <c r="H40" t="s">
        <v>235</v>
      </c>
      <c r="I40" t="s">
        <v>222</v>
      </c>
      <c r="K40" t="s">
        <v>224</v>
      </c>
      <c r="L40" t="s">
        <v>225</v>
      </c>
      <c r="M40" t="s">
        <v>236</v>
      </c>
      <c r="N40" t="s">
        <v>223</v>
      </c>
      <c r="P40" t="s">
        <v>237</v>
      </c>
      <c r="Q40" t="s">
        <v>238</v>
      </c>
      <c r="S40" s="40"/>
      <c r="U40" s="37"/>
      <c r="V40" s="37"/>
      <c r="W40" s="24"/>
      <c r="Z40" s="36"/>
    </row>
    <row r="41" spans="1:26" x14ac:dyDescent="0.25">
      <c r="A41">
        <v>6.5</v>
      </c>
      <c r="B41">
        <v>3</v>
      </c>
      <c r="C41">
        <v>1210</v>
      </c>
      <c r="D41">
        <f>C41+60</f>
        <v>1270</v>
      </c>
      <c r="E41">
        <v>0.5</v>
      </c>
      <c r="F41">
        <f>D41-C41</f>
        <v>60</v>
      </c>
      <c r="G41" s="24">
        <f>E41/(F41)</f>
        <v>8.3333333333333332E-3</v>
      </c>
      <c r="H41" s="36">
        <f>F41*$N$3</f>
        <v>2.0020020020020022</v>
      </c>
      <c r="I41" s="36">
        <f>E41*$N$3</f>
        <v>1.6683350016683352E-2</v>
      </c>
      <c r="J41" s="24"/>
      <c r="K41">
        <v>-7.1840000000000002</v>
      </c>
      <c r="L41">
        <v>-5.6609999999999996</v>
      </c>
      <c r="M41">
        <f>L41-K41</f>
        <v>1.5230000000000006</v>
      </c>
      <c r="N41" s="36">
        <f>SQRT(2*(0.09^2))</f>
        <v>0.12727922061357855</v>
      </c>
      <c r="O41" s="24"/>
      <c r="P41" s="25">
        <f>M41*0.001/H41</f>
        <v>7.6073850000000023E-4</v>
      </c>
      <c r="Q41" s="25">
        <f>P41*SQRT(((I41/H41)^2)+((N41/M41)^2))</f>
        <v>6.3891260370747547E-5</v>
      </c>
      <c r="R41" s="24">
        <f t="shared" si="6"/>
        <v>8.398583793346534E-2</v>
      </c>
      <c r="S41" s="24"/>
      <c r="U41" s="37"/>
      <c r="V41" s="24"/>
      <c r="Z41" s="36"/>
    </row>
    <row r="42" spans="1:26" x14ac:dyDescent="0.25">
      <c r="A42">
        <v>8</v>
      </c>
      <c r="B42">
        <v>3</v>
      </c>
      <c r="C42">
        <v>1056</v>
      </c>
      <c r="D42">
        <f t="shared" ref="D42:D43" si="7">C42+60</f>
        <v>1116</v>
      </c>
      <c r="E42">
        <v>0.5</v>
      </c>
      <c r="F42">
        <f t="shared" ref="F42:F43" si="8">D42-C42</f>
        <v>60</v>
      </c>
      <c r="G42" s="24">
        <f t="shared" ref="G42:G43" si="9">E42/(F42)</f>
        <v>8.3333333333333332E-3</v>
      </c>
      <c r="H42" s="36">
        <f>F42*$N$3</f>
        <v>2.0020020020020022</v>
      </c>
      <c r="I42" s="36">
        <f>E42*$N$3</f>
        <v>1.6683350016683352E-2</v>
      </c>
      <c r="K42">
        <v>-7.726</v>
      </c>
      <c r="L42">
        <v>-5.5019999999999998</v>
      </c>
      <c r="M42">
        <f t="shared" ref="M42:M43" si="10">L42-K42</f>
        <v>2.2240000000000002</v>
      </c>
      <c r="N42" s="36">
        <f t="shared" ref="N42:N81" si="11">SQRT(2*(0.09^2))</f>
        <v>0.12727922061357855</v>
      </c>
      <c r="P42" s="25">
        <f t="shared" ref="P42:P43" si="12">M42*0.001/H42</f>
        <v>1.110888E-3</v>
      </c>
      <c r="Q42" s="25">
        <f t="shared" ref="Q42:Q43" si="13">P42*SQRT(((I42/H42)^2)+((N42/M42)^2))</f>
        <v>6.4246427953311143E-5</v>
      </c>
      <c r="R42" s="24">
        <f t="shared" si="6"/>
        <v>5.7833398104319374E-2</v>
      </c>
      <c r="S42" s="24"/>
      <c r="V42" s="36"/>
      <c r="Z42" s="36"/>
    </row>
    <row r="43" spans="1:26" x14ac:dyDescent="0.25">
      <c r="A43">
        <v>9.5</v>
      </c>
      <c r="B43">
        <v>3</v>
      </c>
      <c r="C43">
        <v>290</v>
      </c>
      <c r="D43">
        <f t="shared" si="7"/>
        <v>350</v>
      </c>
      <c r="E43">
        <v>0.5</v>
      </c>
      <c r="F43">
        <f t="shared" si="8"/>
        <v>60</v>
      </c>
      <c r="G43" s="24">
        <f t="shared" si="9"/>
        <v>8.3333333333333332E-3</v>
      </c>
      <c r="H43" s="36">
        <f>F43*$N$3</f>
        <v>2.0020020020020022</v>
      </c>
      <c r="I43" s="36">
        <f>E43*$N$3</f>
        <v>1.6683350016683352E-2</v>
      </c>
      <c r="K43">
        <v>-7.9390000000000001</v>
      </c>
      <c r="L43">
        <v>-5.9050000000000002</v>
      </c>
      <c r="M43">
        <f t="shared" si="10"/>
        <v>2.0339999999999998</v>
      </c>
      <c r="N43" s="36">
        <f t="shared" si="11"/>
        <v>0.12727922061357855</v>
      </c>
      <c r="P43" s="25">
        <f t="shared" si="12"/>
        <v>1.0159829999999998E-3</v>
      </c>
      <c r="Q43" s="25">
        <f t="shared" si="13"/>
        <v>6.4137244215632037E-5</v>
      </c>
      <c r="R43" s="24">
        <f t="shared" si="6"/>
        <v>6.3128265153680765E-2</v>
      </c>
      <c r="S43" s="24"/>
      <c r="V43" s="36"/>
      <c r="Z43" s="36"/>
    </row>
    <row r="44" spans="1:26" x14ac:dyDescent="0.25">
      <c r="A44" t="s">
        <v>232</v>
      </c>
      <c r="G44" s="24"/>
      <c r="I44" s="36"/>
      <c r="M44" s="36"/>
      <c r="N44" s="36"/>
      <c r="Z44" s="36"/>
    </row>
    <row r="45" spans="1:26" x14ac:dyDescent="0.25">
      <c r="A45" s="20" t="s">
        <v>234</v>
      </c>
      <c r="B45" s="20" t="s">
        <v>60</v>
      </c>
      <c r="C45" s="20" t="s">
        <v>244</v>
      </c>
      <c r="D45" s="20" t="s">
        <v>245</v>
      </c>
      <c r="E45" s="20" t="s">
        <v>246</v>
      </c>
      <c r="F45" s="20" t="s">
        <v>247</v>
      </c>
      <c r="G45" s="20" t="s">
        <v>81</v>
      </c>
      <c r="H45" s="20" t="s">
        <v>235</v>
      </c>
      <c r="I45" s="20" t="s">
        <v>248</v>
      </c>
      <c r="J45" s="20"/>
      <c r="K45" s="20" t="s">
        <v>249</v>
      </c>
      <c r="L45" s="20" t="s">
        <v>250</v>
      </c>
      <c r="M45" s="20" t="s">
        <v>251</v>
      </c>
      <c r="N45" s="20" t="s">
        <v>252</v>
      </c>
      <c r="O45" s="20"/>
      <c r="P45" s="20" t="s">
        <v>237</v>
      </c>
      <c r="Q45" s="20" t="s">
        <v>253</v>
      </c>
      <c r="R45" s="20"/>
      <c r="T45" s="24" t="s">
        <v>240</v>
      </c>
      <c r="W45" s="36"/>
    </row>
    <row r="46" spans="1:26" x14ac:dyDescent="0.25">
      <c r="A46" s="20" t="s">
        <v>256</v>
      </c>
      <c r="B46" s="20">
        <v>0</v>
      </c>
      <c r="C46" s="20">
        <v>1210</v>
      </c>
      <c r="D46" s="20">
        <v>1220</v>
      </c>
      <c r="E46" s="20">
        <v>0.5</v>
      </c>
      <c r="F46" s="20">
        <f t="shared" ref="F46" si="14">D46-C46</f>
        <v>10</v>
      </c>
      <c r="G46" s="70">
        <f t="shared" ref="G46" si="15">E46/(F46)</f>
        <v>0.05</v>
      </c>
      <c r="H46" s="59">
        <f>F46*$N$3</f>
        <v>0.33366700033366703</v>
      </c>
      <c r="I46" s="59">
        <f>E46*$N$3</f>
        <v>1.6683350016683352E-2</v>
      </c>
      <c r="J46" s="70"/>
      <c r="K46" s="20">
        <v>-7.1840000000000002</v>
      </c>
      <c r="L46" s="20">
        <v>-7.1609999999999996</v>
      </c>
      <c r="M46" s="20">
        <f t="shared" ref="M46" si="16">L46-K46</f>
        <v>2.3000000000000576E-2</v>
      </c>
      <c r="N46" s="59">
        <v>0.12727922061357855</v>
      </c>
      <c r="O46" s="70"/>
      <c r="P46" s="71">
        <f>M46*0.001/H46</f>
        <v>6.8931000000001716E-5</v>
      </c>
      <c r="Q46" s="71">
        <f>M46/H46^2</f>
        <v>0.20658620700000513</v>
      </c>
      <c r="R46" s="59">
        <f>Q46*1900*M46*0.001</f>
        <v>9.0278172459004515E-3</v>
      </c>
      <c r="S46" s="25">
        <f>0.5*P46^2*1900</f>
        <v>4.5139086229502247E-6</v>
      </c>
      <c r="T46" t="s">
        <v>241</v>
      </c>
      <c r="U46" t="s">
        <v>242</v>
      </c>
      <c r="V46" t="s">
        <v>243</v>
      </c>
      <c r="X46" t="s">
        <v>11</v>
      </c>
    </row>
    <row r="47" spans="1:26" x14ac:dyDescent="0.25">
      <c r="A47" s="20"/>
      <c r="B47" s="19">
        <v>1</v>
      </c>
      <c r="C47" s="19">
        <v>1210</v>
      </c>
      <c r="D47" s="20">
        <v>1225</v>
      </c>
      <c r="E47" s="20">
        <v>0.5</v>
      </c>
      <c r="F47" s="20">
        <f>D47-C47</f>
        <v>15</v>
      </c>
      <c r="G47" s="70">
        <f>E47/(F47)</f>
        <v>3.3333333333333333E-2</v>
      </c>
      <c r="H47" s="59">
        <f>F47*$N$3</f>
        <v>0.50050050050050054</v>
      </c>
      <c r="I47" s="59">
        <f>E47*$N$3</f>
        <v>1.6683350016683352E-2</v>
      </c>
      <c r="J47" s="20"/>
      <c r="K47" s="20">
        <v>-7.1840000000000002</v>
      </c>
      <c r="L47" s="19">
        <v>-6.9029999999999996</v>
      </c>
      <c r="M47" s="20">
        <f t="shared" ref="M47:M60" si="17">L47-K47</f>
        <v>0.28100000000000058</v>
      </c>
      <c r="N47" s="59">
        <f t="shared" si="11"/>
        <v>0.12727922061357855</v>
      </c>
      <c r="O47" s="70"/>
      <c r="P47" s="71">
        <f t="shared" ref="P47" si="18">M47*0.001/H47</f>
        <v>5.6143800000000113E-4</v>
      </c>
      <c r="Q47" s="71">
        <f t="shared" ref="Q47" si="19">M47/H47^2</f>
        <v>1.1217531240000023</v>
      </c>
      <c r="R47" s="59">
        <f t="shared" ref="R47:R61" si="20">Q47*1900*M47*0.001</f>
        <v>0.59890399290360252</v>
      </c>
      <c r="S47" s="25">
        <f t="shared" ref="S47:S61" si="21">0.5*P47^2*1900</f>
        <v>2.9945199645180123E-4</v>
      </c>
      <c r="T47" t="s">
        <v>3</v>
      </c>
      <c r="U47">
        <v>-8</v>
      </c>
      <c r="V47">
        <v>0.94</v>
      </c>
      <c r="X47" s="22">
        <v>1.0159829999999998E-3</v>
      </c>
    </row>
    <row r="48" spans="1:26" x14ac:dyDescent="0.25">
      <c r="A48" s="20"/>
      <c r="B48" s="20">
        <v>2</v>
      </c>
      <c r="C48" s="19">
        <v>1210</v>
      </c>
      <c r="D48" s="20">
        <f>D46+10</f>
        <v>1230</v>
      </c>
      <c r="E48" s="20">
        <v>0.5</v>
      </c>
      <c r="F48" s="20">
        <f>D48-C48</f>
        <v>20</v>
      </c>
      <c r="G48" s="70">
        <f>E48/(F48)</f>
        <v>2.5000000000000001E-2</v>
      </c>
      <c r="H48" s="59">
        <f>F48*$N$3</f>
        <v>0.66733400066733406</v>
      </c>
      <c r="I48" s="59">
        <f>E48*$N$3</f>
        <v>1.6683350016683352E-2</v>
      </c>
      <c r="J48" s="20"/>
      <c r="K48" s="20">
        <v>-7.1840000000000002</v>
      </c>
      <c r="L48" s="20">
        <v>-6.7089999999999996</v>
      </c>
      <c r="M48" s="20">
        <f t="shared" si="17"/>
        <v>0.47500000000000053</v>
      </c>
      <c r="N48" s="59">
        <f t="shared" si="11"/>
        <v>0.12727922061357855</v>
      </c>
      <c r="O48" s="70"/>
      <c r="P48" s="71">
        <f t="shared" ref="P48:P52" si="22">M48*0.001/H48</f>
        <v>7.1178750000000079E-4</v>
      </c>
      <c r="Q48" s="71">
        <f t="shared" ref="Q48:Q52" si="23">M48/H48^2</f>
        <v>1.0666135687500009</v>
      </c>
      <c r="R48" s="59">
        <f t="shared" si="20"/>
        <v>0.9626187457968769</v>
      </c>
      <c r="S48" s="25">
        <f t="shared" si="21"/>
        <v>4.813093728984386E-4</v>
      </c>
      <c r="T48">
        <v>8</v>
      </c>
      <c r="U48">
        <v>-7.5</v>
      </c>
      <c r="V48" s="37">
        <v>0.78397670480965853</v>
      </c>
      <c r="X48" s="22">
        <v>1.110888E-3</v>
      </c>
    </row>
    <row r="49" spans="1:24" x14ac:dyDescent="0.25">
      <c r="A49" s="20"/>
      <c r="B49" s="20">
        <v>3</v>
      </c>
      <c r="C49" s="19">
        <v>1210</v>
      </c>
      <c r="D49" s="20">
        <f t="shared" ref="D49:D52" si="24">D48+10</f>
        <v>1240</v>
      </c>
      <c r="E49" s="20">
        <v>0.5</v>
      </c>
      <c r="F49" s="20">
        <f t="shared" ref="F49:F61" si="25">D49-C49</f>
        <v>30</v>
      </c>
      <c r="G49" s="70">
        <f t="shared" ref="G49:G51" si="26">E49/(F49)</f>
        <v>1.6666666666666666E-2</v>
      </c>
      <c r="H49" s="59">
        <f t="shared" ref="H49:H51" si="27">F49*$N$3</f>
        <v>1.0010010010010011</v>
      </c>
      <c r="I49" s="59">
        <f t="shared" ref="I49:I51" si="28">E49*$N$3</f>
        <v>1.6683350016683352E-2</v>
      </c>
      <c r="J49" s="20"/>
      <c r="K49" s="20">
        <v>-7.1840000000000002</v>
      </c>
      <c r="L49" s="20">
        <v>-6.2880000000000003</v>
      </c>
      <c r="M49" s="20">
        <f t="shared" si="17"/>
        <v>0.89599999999999991</v>
      </c>
      <c r="N49" s="59">
        <f t="shared" si="11"/>
        <v>0.12727922061357855</v>
      </c>
      <c r="O49" s="70"/>
      <c r="P49" s="71">
        <f t="shared" si="22"/>
        <v>8.9510399999999976E-4</v>
      </c>
      <c r="Q49" s="71">
        <f t="shared" si="23"/>
        <v>0.89420889599999986</v>
      </c>
      <c r="R49" s="59">
        <f t="shared" si="20"/>
        <v>1.5223012245503997</v>
      </c>
      <c r="S49" s="25">
        <f t="shared" si="21"/>
        <v>7.6115061227519966E-4</v>
      </c>
      <c r="T49">
        <v>6.5</v>
      </c>
      <c r="U49">
        <v>-7</v>
      </c>
      <c r="V49" s="37">
        <v>0.62127076900579559</v>
      </c>
      <c r="X49" s="22">
        <v>7.6073850000000023E-4</v>
      </c>
    </row>
    <row r="50" spans="1:24" x14ac:dyDescent="0.25">
      <c r="A50" s="20"/>
      <c r="B50" s="19">
        <v>4</v>
      </c>
      <c r="C50" s="19">
        <v>1210</v>
      </c>
      <c r="D50" s="20">
        <f t="shared" si="24"/>
        <v>1250</v>
      </c>
      <c r="E50" s="20">
        <v>0.5</v>
      </c>
      <c r="F50" s="20">
        <f t="shared" si="25"/>
        <v>40</v>
      </c>
      <c r="G50" s="70">
        <f t="shared" si="26"/>
        <v>1.2500000000000001E-2</v>
      </c>
      <c r="H50" s="59">
        <f t="shared" si="27"/>
        <v>1.3346680013346681</v>
      </c>
      <c r="I50" s="59">
        <f t="shared" si="28"/>
        <v>1.6683350016683352E-2</v>
      </c>
      <c r="J50" s="20"/>
      <c r="K50" s="20">
        <v>-7.1840000000000002</v>
      </c>
      <c r="L50" s="20">
        <v>-5.9329999999999998</v>
      </c>
      <c r="M50" s="20">
        <f t="shared" si="17"/>
        <v>1.2510000000000003</v>
      </c>
      <c r="N50" s="59">
        <f t="shared" si="11"/>
        <v>0.12727922061357855</v>
      </c>
      <c r="O50" s="70"/>
      <c r="P50" s="71">
        <f t="shared" si="22"/>
        <v>9.3731175000000017E-4</v>
      </c>
      <c r="Q50" s="71">
        <f t="shared" si="23"/>
        <v>0.70228082868750008</v>
      </c>
      <c r="R50" s="59">
        <f t="shared" si="20"/>
        <v>1.6692513017073196</v>
      </c>
      <c r="S50" s="25">
        <f t="shared" si="21"/>
        <v>8.3462565085365968E-4</v>
      </c>
    </row>
    <row r="51" spans="1:24" x14ac:dyDescent="0.25">
      <c r="A51" s="20"/>
      <c r="B51" s="20">
        <v>5</v>
      </c>
      <c r="C51" s="19">
        <v>1210</v>
      </c>
      <c r="D51" s="20">
        <f t="shared" si="24"/>
        <v>1260</v>
      </c>
      <c r="E51" s="20">
        <v>0.5</v>
      </c>
      <c r="F51" s="20">
        <f t="shared" si="25"/>
        <v>50</v>
      </c>
      <c r="G51" s="70">
        <f t="shared" si="26"/>
        <v>0.01</v>
      </c>
      <c r="H51" s="59">
        <f t="shared" si="27"/>
        <v>1.6683350016683351</v>
      </c>
      <c r="I51" s="59">
        <f t="shared" si="28"/>
        <v>1.6683350016683352E-2</v>
      </c>
      <c r="J51" s="20"/>
      <c r="K51" s="20">
        <v>-7.1840000000000002</v>
      </c>
      <c r="L51" s="20">
        <v>-5.7439999999999998</v>
      </c>
      <c r="M51" s="20">
        <f t="shared" si="17"/>
        <v>1.4400000000000004</v>
      </c>
      <c r="N51" s="59">
        <f t="shared" si="11"/>
        <v>0.12727922061357855</v>
      </c>
      <c r="O51" s="70"/>
      <c r="P51" s="71">
        <f t="shared" si="22"/>
        <v>8.6313600000000024E-4</v>
      </c>
      <c r="Q51" s="71">
        <f t="shared" si="23"/>
        <v>0.51736371840000006</v>
      </c>
      <c r="R51" s="59">
        <f t="shared" si="20"/>
        <v>1.4155071335424008</v>
      </c>
      <c r="S51" s="25">
        <f t="shared" si="21"/>
        <v>7.0775356677120038E-4</v>
      </c>
    </row>
    <row r="52" spans="1:24" x14ac:dyDescent="0.25">
      <c r="A52" s="20"/>
      <c r="B52" s="20">
        <v>6</v>
      </c>
      <c r="C52" s="19">
        <v>1210</v>
      </c>
      <c r="D52" s="20">
        <f t="shared" si="24"/>
        <v>1270</v>
      </c>
      <c r="E52" s="20">
        <v>0.5</v>
      </c>
      <c r="F52" s="20">
        <f t="shared" si="25"/>
        <v>60</v>
      </c>
      <c r="G52" s="70">
        <f t="shared" ref="G52:G61" si="29">E52/(F52)</f>
        <v>8.3333333333333332E-3</v>
      </c>
      <c r="H52" s="59">
        <f t="shared" ref="H52:H61" si="30">F52*$N$3</f>
        <v>2.0020020020020022</v>
      </c>
      <c r="I52" s="59">
        <f t="shared" ref="I52:I61" si="31">E52*$N$3</f>
        <v>1.6683350016683352E-2</v>
      </c>
      <c r="J52" s="20"/>
      <c r="K52" s="20">
        <v>-7.1840000000000002</v>
      </c>
      <c r="L52" s="20">
        <v>-5.6479999999999997</v>
      </c>
      <c r="M52" s="20">
        <f t="shared" si="17"/>
        <v>1.5360000000000005</v>
      </c>
      <c r="N52" s="59">
        <f t="shared" si="11"/>
        <v>0.12727922061357855</v>
      </c>
      <c r="O52" s="70"/>
      <c r="P52" s="71">
        <f t="shared" si="22"/>
        <v>7.6723200000000018E-4</v>
      </c>
      <c r="Q52" s="71">
        <f t="shared" si="23"/>
        <v>0.38323238400000009</v>
      </c>
      <c r="R52" s="59">
        <f t="shared" si="20"/>
        <v>1.1184253894656007</v>
      </c>
      <c r="S52" s="25">
        <f t="shared" si="21"/>
        <v>5.5921269473280027E-4</v>
      </c>
      <c r="T52" s="25"/>
      <c r="U52" s="25"/>
    </row>
    <row r="53" spans="1:24" x14ac:dyDescent="0.25">
      <c r="A53" s="20"/>
      <c r="B53" s="19">
        <v>7</v>
      </c>
      <c r="C53" s="19">
        <v>1210</v>
      </c>
      <c r="D53" s="20">
        <f>D52+10</f>
        <v>1280</v>
      </c>
      <c r="E53" s="20">
        <v>0.5</v>
      </c>
      <c r="F53" s="20">
        <f t="shared" si="25"/>
        <v>70</v>
      </c>
      <c r="G53" s="70">
        <f t="shared" si="29"/>
        <v>7.1428571428571426E-3</v>
      </c>
      <c r="H53" s="59">
        <f t="shared" si="30"/>
        <v>2.3356690023356692</v>
      </c>
      <c r="I53" s="59">
        <f t="shared" si="31"/>
        <v>1.6683350016683352E-2</v>
      </c>
      <c r="J53" s="20"/>
      <c r="K53" s="20">
        <v>-7.1840000000000002</v>
      </c>
      <c r="L53" s="20">
        <v>-5.524</v>
      </c>
      <c r="M53" s="20">
        <f t="shared" si="17"/>
        <v>1.6600000000000001</v>
      </c>
      <c r="N53" s="59">
        <f t="shared" si="11"/>
        <v>0.12727922061357855</v>
      </c>
      <c r="O53" s="70"/>
      <c r="P53" s="71">
        <f t="shared" ref="P53:P61" si="32">M53*0.001/H53</f>
        <v>7.1071714285714292E-4</v>
      </c>
      <c r="Q53" s="71">
        <f t="shared" ref="Q53:Q61" si="33">M53/H53^2</f>
        <v>0.30428846816326527</v>
      </c>
      <c r="R53" s="59">
        <f t="shared" si="20"/>
        <v>0.95972582858693878</v>
      </c>
      <c r="S53" s="25">
        <f t="shared" si="21"/>
        <v>4.798629142934695E-4</v>
      </c>
      <c r="T53" s="25"/>
      <c r="U53" s="25"/>
    </row>
    <row r="54" spans="1:24" x14ac:dyDescent="0.25">
      <c r="A54" s="20"/>
      <c r="B54" s="20">
        <v>8</v>
      </c>
      <c r="C54" s="19">
        <v>1210</v>
      </c>
      <c r="D54" s="20">
        <f>D53+20</f>
        <v>1300</v>
      </c>
      <c r="E54" s="20">
        <v>0.5</v>
      </c>
      <c r="F54" s="20">
        <f t="shared" si="25"/>
        <v>90</v>
      </c>
      <c r="G54" s="70">
        <f t="shared" si="29"/>
        <v>5.5555555555555558E-3</v>
      </c>
      <c r="H54" s="59">
        <f t="shared" si="30"/>
        <v>3.0030030030030033</v>
      </c>
      <c r="I54" s="59">
        <f t="shared" si="31"/>
        <v>1.6683350016683352E-2</v>
      </c>
      <c r="J54" s="20"/>
      <c r="K54" s="20">
        <v>-7.1840000000000002</v>
      </c>
      <c r="L54" s="20">
        <v>-5.4409999999999998</v>
      </c>
      <c r="M54" s="20">
        <f t="shared" si="17"/>
        <v>1.7430000000000003</v>
      </c>
      <c r="N54" s="59">
        <f t="shared" si="11"/>
        <v>0.12727922061357855</v>
      </c>
      <c r="O54" s="70"/>
      <c r="P54" s="71">
        <f t="shared" si="32"/>
        <v>5.804190000000001E-4</v>
      </c>
      <c r="Q54" s="71">
        <f t="shared" si="33"/>
        <v>0.19327952700000001</v>
      </c>
      <c r="R54" s="59">
        <f t="shared" si="20"/>
        <v>0.64008380956590016</v>
      </c>
      <c r="S54" s="25">
        <f t="shared" si="21"/>
        <v>3.2004190478295013E-4</v>
      </c>
      <c r="T54" s="25"/>
      <c r="U54" s="25"/>
    </row>
    <row r="55" spans="1:24" x14ac:dyDescent="0.25">
      <c r="A55" s="20"/>
      <c r="B55" s="20">
        <v>9</v>
      </c>
      <c r="C55" s="19">
        <v>1210</v>
      </c>
      <c r="D55" s="20">
        <f>D54+40</f>
        <v>1340</v>
      </c>
      <c r="E55" s="20">
        <v>0.5</v>
      </c>
      <c r="F55" s="20">
        <f t="shared" si="25"/>
        <v>130</v>
      </c>
      <c r="G55" s="70">
        <f t="shared" si="29"/>
        <v>3.8461538461538464E-3</v>
      </c>
      <c r="H55" s="59">
        <f t="shared" si="30"/>
        <v>4.3376710043376718</v>
      </c>
      <c r="I55" s="59">
        <f t="shared" si="31"/>
        <v>1.6683350016683352E-2</v>
      </c>
      <c r="J55" s="20"/>
      <c r="K55" s="20">
        <v>-7.1840000000000002</v>
      </c>
      <c r="L55" s="20">
        <v>-5.2770000000000001</v>
      </c>
      <c r="M55" s="20">
        <f t="shared" si="17"/>
        <v>1.907</v>
      </c>
      <c r="N55" s="59">
        <f t="shared" si="11"/>
        <v>0.12727922061357855</v>
      </c>
      <c r="O55" s="70"/>
      <c r="P55" s="71">
        <f t="shared" si="32"/>
        <v>4.3963684615384608E-4</v>
      </c>
      <c r="Q55" s="71">
        <f t="shared" si="33"/>
        <v>0.10135320214792895</v>
      </c>
      <c r="R55" s="59">
        <f t="shared" si="20"/>
        <v>0.36723305734259098</v>
      </c>
      <c r="S55" s="25">
        <f t="shared" si="21"/>
        <v>1.8361652867129549E-4</v>
      </c>
    </row>
    <row r="56" spans="1:24" x14ac:dyDescent="0.25">
      <c r="A56" s="20"/>
      <c r="B56" s="19">
        <v>10</v>
      </c>
      <c r="C56" s="19">
        <v>1210</v>
      </c>
      <c r="D56" s="20">
        <f>D55+80</f>
        <v>1420</v>
      </c>
      <c r="E56" s="20">
        <v>0.5</v>
      </c>
      <c r="F56" s="20">
        <f t="shared" si="25"/>
        <v>210</v>
      </c>
      <c r="G56" s="70">
        <f t="shared" si="29"/>
        <v>2.3809523809523812E-3</v>
      </c>
      <c r="H56" s="59">
        <f t="shared" si="30"/>
        <v>7.0070070070070081</v>
      </c>
      <c r="I56" s="59">
        <f t="shared" si="31"/>
        <v>1.6683350016683352E-2</v>
      </c>
      <c r="J56" s="20"/>
      <c r="K56" s="20">
        <v>-7.1840000000000002</v>
      </c>
      <c r="L56" s="20">
        <v>-4.9960000000000004</v>
      </c>
      <c r="M56" s="20">
        <f t="shared" si="17"/>
        <v>2.1879999999999997</v>
      </c>
      <c r="N56" s="59">
        <f t="shared" si="11"/>
        <v>0.12727922061357855</v>
      </c>
      <c r="O56" s="70"/>
      <c r="P56" s="71">
        <f t="shared" si="32"/>
        <v>3.1225885714285706E-4</v>
      </c>
      <c r="Q56" s="71">
        <f t="shared" si="33"/>
        <v>4.4563799755102024E-2</v>
      </c>
      <c r="R56" s="59">
        <f t="shared" si="20"/>
        <v>0.18526062834191012</v>
      </c>
      <c r="S56" s="25">
        <f t="shared" si="21"/>
        <v>9.2630314170955052E-5</v>
      </c>
    </row>
    <row r="57" spans="1:24" x14ac:dyDescent="0.25">
      <c r="A57" s="20"/>
      <c r="B57" s="20">
        <v>11</v>
      </c>
      <c r="C57" s="19">
        <v>1210</v>
      </c>
      <c r="D57" s="20">
        <f>D56+160</f>
        <v>1580</v>
      </c>
      <c r="E57" s="20">
        <v>0.5</v>
      </c>
      <c r="F57" s="20">
        <f t="shared" si="25"/>
        <v>370</v>
      </c>
      <c r="G57" s="70">
        <f t="shared" si="29"/>
        <v>1.3513513513513514E-3</v>
      </c>
      <c r="H57" s="59">
        <f t="shared" si="30"/>
        <v>12.345679012345681</v>
      </c>
      <c r="I57" s="59">
        <f t="shared" si="31"/>
        <v>1.6683350016683352E-2</v>
      </c>
      <c r="J57" s="20"/>
      <c r="K57" s="20">
        <v>-7.1840000000000002</v>
      </c>
      <c r="L57" s="20">
        <v>-4.577</v>
      </c>
      <c r="M57" s="20">
        <f t="shared" si="17"/>
        <v>2.6070000000000002</v>
      </c>
      <c r="N57" s="59">
        <f t="shared" si="11"/>
        <v>0.12727922061357855</v>
      </c>
      <c r="O57" s="70"/>
      <c r="P57" s="71">
        <f t="shared" si="32"/>
        <v>2.1116700000000001E-4</v>
      </c>
      <c r="Q57" s="71">
        <f t="shared" si="33"/>
        <v>1.7104526999999998E-2</v>
      </c>
      <c r="R57" s="59">
        <f t="shared" si="20"/>
        <v>8.4723853589100007E-2</v>
      </c>
      <c r="S57" s="25">
        <f t="shared" si="21"/>
        <v>4.2361926794550003E-5</v>
      </c>
    </row>
    <row r="58" spans="1:24" x14ac:dyDescent="0.25">
      <c r="A58" s="20"/>
      <c r="B58" s="20">
        <v>12</v>
      </c>
      <c r="C58" s="19">
        <v>1210</v>
      </c>
      <c r="D58" s="20">
        <f>D57+320</f>
        <v>1900</v>
      </c>
      <c r="E58" s="20">
        <v>0.5</v>
      </c>
      <c r="F58" s="20">
        <f t="shared" si="25"/>
        <v>690</v>
      </c>
      <c r="G58" s="70">
        <f t="shared" si="29"/>
        <v>7.246376811594203E-4</v>
      </c>
      <c r="H58" s="59">
        <f t="shared" si="30"/>
        <v>23.023023023023026</v>
      </c>
      <c r="I58" s="59">
        <f t="shared" si="31"/>
        <v>1.6683350016683352E-2</v>
      </c>
      <c r="J58" s="20"/>
      <c r="K58" s="20">
        <v>-7.1840000000000002</v>
      </c>
      <c r="L58" s="20">
        <v>-3.98</v>
      </c>
      <c r="M58" s="20">
        <f t="shared" si="17"/>
        <v>3.2040000000000002</v>
      </c>
      <c r="N58" s="59">
        <f t="shared" si="11"/>
        <v>0.12727922061357855</v>
      </c>
      <c r="O58" s="70"/>
      <c r="P58" s="71">
        <f t="shared" si="32"/>
        <v>1.3916504347826085E-4</v>
      </c>
      <c r="Q58" s="71">
        <f t="shared" si="33"/>
        <v>6.0446034102079379E-3</v>
      </c>
      <c r="R58" s="59">
        <f t="shared" si="20"/>
        <v>3.6797127719981844E-2</v>
      </c>
      <c r="S58" s="25">
        <f t="shared" si="21"/>
        <v>1.8398563859990921E-5</v>
      </c>
    </row>
    <row r="59" spans="1:24" x14ac:dyDescent="0.25">
      <c r="A59" s="20"/>
      <c r="B59" s="19">
        <v>13</v>
      </c>
      <c r="C59" s="19">
        <v>1210</v>
      </c>
      <c r="D59" s="20">
        <f>D58+640</f>
        <v>2540</v>
      </c>
      <c r="E59" s="20">
        <v>0.5</v>
      </c>
      <c r="F59" s="20">
        <f t="shared" si="25"/>
        <v>1330</v>
      </c>
      <c r="G59" s="70">
        <f t="shared" si="29"/>
        <v>3.7593984962406017E-4</v>
      </c>
      <c r="H59" s="59">
        <f t="shared" si="30"/>
        <v>44.377711044377719</v>
      </c>
      <c r="I59" s="59">
        <f t="shared" si="31"/>
        <v>1.6683350016683352E-2</v>
      </c>
      <c r="J59" s="20"/>
      <c r="K59" s="20">
        <v>-7.1840000000000002</v>
      </c>
      <c r="L59" s="20">
        <v>-3.0030000000000001</v>
      </c>
      <c r="M59" s="20">
        <f t="shared" si="17"/>
        <v>4.181</v>
      </c>
      <c r="N59" s="59">
        <f t="shared" si="11"/>
        <v>0.12727922061357855</v>
      </c>
      <c r="O59" s="70"/>
      <c r="P59" s="71">
        <f t="shared" si="32"/>
        <v>9.4213962406015017E-5</v>
      </c>
      <c r="Q59" s="71">
        <f t="shared" si="33"/>
        <v>2.1230018445926838E-3</v>
      </c>
      <c r="R59" s="59">
        <f t="shared" si="20"/>
        <v>1.6864914353259819E-2</v>
      </c>
      <c r="S59" s="25">
        <f t="shared" si="21"/>
        <v>8.4324571766299103E-6</v>
      </c>
    </row>
    <row r="60" spans="1:24" x14ac:dyDescent="0.25">
      <c r="A60" s="20"/>
      <c r="B60" s="20">
        <v>14</v>
      </c>
      <c r="C60" s="19">
        <v>1210</v>
      </c>
      <c r="D60" s="20">
        <f>D59+640</f>
        <v>3180</v>
      </c>
      <c r="E60" s="20">
        <v>0.5</v>
      </c>
      <c r="F60" s="20">
        <f t="shared" si="25"/>
        <v>1970</v>
      </c>
      <c r="G60" s="70">
        <f t="shared" si="29"/>
        <v>2.5380710659898478E-4</v>
      </c>
      <c r="H60" s="59">
        <f t="shared" si="30"/>
        <v>65.732399065732409</v>
      </c>
      <c r="I60" s="59">
        <f t="shared" si="31"/>
        <v>1.6683350016683352E-2</v>
      </c>
      <c r="J60" s="20"/>
      <c r="K60" s="20">
        <v>-7.1840000000000002</v>
      </c>
      <c r="L60" s="20">
        <v>-2.36</v>
      </c>
      <c r="M60" s="20">
        <f t="shared" si="17"/>
        <v>4.8239999999999998</v>
      </c>
      <c r="N60" s="59">
        <f t="shared" si="11"/>
        <v>0.12727922061357855</v>
      </c>
      <c r="O60" s="70"/>
      <c r="P60" s="71">
        <f t="shared" si="32"/>
        <v>7.338846700507614E-5</v>
      </c>
      <c r="Q60" s="71">
        <f t="shared" si="33"/>
        <v>1.1164732772295082E-3</v>
      </c>
      <c r="R60" s="59">
        <f t="shared" si="20"/>
        <v>1.023314746977478E-2</v>
      </c>
      <c r="S60" s="25">
        <f t="shared" si="21"/>
        <v>5.1165737348873916E-6</v>
      </c>
    </row>
    <row r="61" spans="1:24" x14ac:dyDescent="0.25">
      <c r="A61" s="20" t="s">
        <v>254</v>
      </c>
      <c r="B61" s="19">
        <v>15</v>
      </c>
      <c r="C61" s="19">
        <v>1210</v>
      </c>
      <c r="D61" s="20">
        <v>7281</v>
      </c>
      <c r="E61" s="20">
        <v>0.5</v>
      </c>
      <c r="F61" s="20">
        <f t="shared" si="25"/>
        <v>6071</v>
      </c>
      <c r="G61" s="70">
        <f t="shared" si="29"/>
        <v>8.2358754735628391E-5</v>
      </c>
      <c r="H61" s="59">
        <f t="shared" si="30"/>
        <v>202.56923590256926</v>
      </c>
      <c r="I61" s="59">
        <f t="shared" si="31"/>
        <v>1.6683350016683352E-2</v>
      </c>
      <c r="J61" s="20"/>
      <c r="K61" s="20">
        <v>-7.1840000000000002</v>
      </c>
      <c r="L61" s="20">
        <v>5.6000000000000001E-2</v>
      </c>
      <c r="M61" s="20">
        <f t="shared" ref="M61" si="34">L61-K61</f>
        <v>7.24</v>
      </c>
      <c r="N61" s="59">
        <f t="shared" si="11"/>
        <v>0.12727922061357855</v>
      </c>
      <c r="O61" s="70"/>
      <c r="P61" s="71">
        <f t="shared" si="32"/>
        <v>3.5740866414099821E-5</v>
      </c>
      <c r="Q61" s="71">
        <f t="shared" si="33"/>
        <v>1.7643778066720004E-4</v>
      </c>
      <c r="R61" s="59">
        <f t="shared" si="20"/>
        <v>2.4270781108580034E-3</v>
      </c>
      <c r="S61" s="25">
        <f t="shared" si="21"/>
        <v>1.2135390554290023E-6</v>
      </c>
    </row>
    <row r="62" spans="1:24" x14ac:dyDescent="0.25">
      <c r="A62" s="20"/>
      <c r="B62" s="20"/>
      <c r="C62" s="20"/>
      <c r="D62" s="20"/>
      <c r="E62" s="20"/>
      <c r="F62" s="20"/>
      <c r="G62" s="20"/>
      <c r="H62" s="20"/>
      <c r="I62" s="77"/>
      <c r="J62" s="20"/>
      <c r="K62" s="20"/>
      <c r="L62" s="20"/>
      <c r="M62" s="20"/>
      <c r="N62" s="59"/>
      <c r="O62" s="59"/>
      <c r="P62" s="71"/>
      <c r="Q62" s="71"/>
      <c r="R62" s="20"/>
      <c r="S62" s="25"/>
    </row>
    <row r="63" spans="1:24" x14ac:dyDescent="0.25">
      <c r="A63" s="20"/>
      <c r="B63" s="20"/>
      <c r="C63" s="20"/>
      <c r="D63" s="20"/>
      <c r="E63" s="20"/>
      <c r="F63" s="20"/>
      <c r="G63" s="20"/>
      <c r="H63" s="20"/>
      <c r="I63" s="76"/>
      <c r="J63" s="20"/>
      <c r="K63" s="20"/>
      <c r="L63" s="20"/>
      <c r="M63" s="20"/>
      <c r="N63" s="20"/>
      <c r="O63" s="20"/>
      <c r="P63" s="20"/>
      <c r="Q63" s="20"/>
      <c r="R63" s="20"/>
    </row>
    <row r="64" spans="1:24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</row>
    <row r="65" spans="1:35" x14ac:dyDescent="0.25">
      <c r="A65" s="20" t="s">
        <v>233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</row>
    <row r="66" spans="1:35" x14ac:dyDescent="0.25">
      <c r="A66" s="20" t="s">
        <v>256</v>
      </c>
      <c r="B66" s="20">
        <v>0</v>
      </c>
      <c r="C66" s="20">
        <v>1056</v>
      </c>
      <c r="D66" s="20">
        <v>1066</v>
      </c>
      <c r="E66" s="20">
        <v>0.5</v>
      </c>
      <c r="F66" s="20">
        <f t="shared" ref="F66:F67" si="35">D66-C66</f>
        <v>10</v>
      </c>
      <c r="G66" s="70">
        <f t="shared" ref="G66:G67" si="36">E66/(F66)</f>
        <v>0.05</v>
      </c>
      <c r="H66" s="59">
        <f>F66*$N$3</f>
        <v>0.33366700033366703</v>
      </c>
      <c r="I66" s="59">
        <f>E66*$N$3</f>
        <v>1.6683350016683352E-2</v>
      </c>
      <c r="J66" s="20"/>
      <c r="K66" s="20">
        <v>-7.7309999999999999</v>
      </c>
      <c r="L66" s="20">
        <v>-7.6050000000000004</v>
      </c>
      <c r="M66" s="20">
        <f t="shared" ref="M66" si="37">L66-K66</f>
        <v>0.12599999999999945</v>
      </c>
      <c r="N66" s="59">
        <v>0.12727922061357855</v>
      </c>
      <c r="O66" s="59"/>
      <c r="P66" s="71">
        <f>M66*0.001/H66</f>
        <v>3.7762199999999836E-4</v>
      </c>
      <c r="Q66" s="71">
        <f t="shared" ref="Q66:Q72" si="38">M66/H66^2</f>
        <v>1.1317331339999948</v>
      </c>
      <c r="R66" s="59">
        <f>Q66*1900*M66*0.001</f>
        <v>0.27093691227959754</v>
      </c>
    </row>
    <row r="67" spans="1:35" x14ac:dyDescent="0.25">
      <c r="A67" s="20"/>
      <c r="B67" s="20">
        <v>1</v>
      </c>
      <c r="C67" s="20">
        <v>1056</v>
      </c>
      <c r="D67" s="20">
        <v>1071</v>
      </c>
      <c r="E67" s="20">
        <v>0.5</v>
      </c>
      <c r="F67" s="20">
        <f t="shared" si="35"/>
        <v>15</v>
      </c>
      <c r="G67" s="70">
        <f t="shared" si="36"/>
        <v>3.3333333333333333E-2</v>
      </c>
      <c r="H67" s="59">
        <f t="shared" ref="H67" si="39">F67*$N$3</f>
        <v>0.50050050050050054</v>
      </c>
      <c r="I67" s="59">
        <f t="shared" ref="I67" si="40">E67*$N$3</f>
        <v>1.6683350016683352E-2</v>
      </c>
      <c r="J67" s="59"/>
      <c r="K67" s="20">
        <v>-7.7309999999999999</v>
      </c>
      <c r="L67" s="20">
        <v>-6.9880000000000004</v>
      </c>
      <c r="M67" s="20">
        <f t="shared" ref="M67:M72" si="41">L67-K67</f>
        <v>0.74299999999999944</v>
      </c>
      <c r="N67" s="59">
        <f t="shared" si="11"/>
        <v>0.12727922061357855</v>
      </c>
      <c r="O67" s="59"/>
      <c r="P67" s="71">
        <f t="shared" ref="P67" si="42">M67*0.001/H67</f>
        <v>1.4845139999999986E-3</v>
      </c>
      <c r="Q67" s="71">
        <f t="shared" si="38"/>
        <v>2.9660589719999977</v>
      </c>
      <c r="R67" s="59">
        <f t="shared" ref="R67:R81" si="43">Q67*1900*M67*0.001</f>
        <v>4.187185450772394</v>
      </c>
    </row>
    <row r="68" spans="1:35" x14ac:dyDescent="0.25">
      <c r="A68" s="20"/>
      <c r="B68" s="20">
        <v>2</v>
      </c>
      <c r="C68" s="20">
        <v>1056</v>
      </c>
      <c r="D68" s="20">
        <f>D66+10</f>
        <v>1076</v>
      </c>
      <c r="E68" s="20">
        <v>0.5</v>
      </c>
      <c r="F68" s="20">
        <f t="shared" ref="F68:F81" si="44">D68-C68</f>
        <v>20</v>
      </c>
      <c r="G68" s="70">
        <f t="shared" ref="G68:G72" si="45">E68/(F68)</f>
        <v>2.5000000000000001E-2</v>
      </c>
      <c r="H68" s="59">
        <f t="shared" ref="H68:H72" si="46">F68*$N$3</f>
        <v>0.66733400066733406</v>
      </c>
      <c r="I68" s="59">
        <f t="shared" ref="I68:I72" si="47">E68*$N$3</f>
        <v>1.6683350016683352E-2</v>
      </c>
      <c r="J68" s="59"/>
      <c r="K68" s="20">
        <v>-7.7309999999999999</v>
      </c>
      <c r="L68" s="20">
        <v>-6.6550000000000002</v>
      </c>
      <c r="M68" s="20">
        <f t="shared" si="41"/>
        <v>1.0759999999999996</v>
      </c>
      <c r="N68" s="59">
        <f t="shared" si="11"/>
        <v>0.12727922061357855</v>
      </c>
      <c r="O68" s="59"/>
      <c r="P68" s="71">
        <f t="shared" ref="P68:P72" si="48">M68*0.001/H68</f>
        <v>1.6123859999999995E-3</v>
      </c>
      <c r="Q68" s="71">
        <f t="shared" si="38"/>
        <v>2.4161604209999989</v>
      </c>
      <c r="R68" s="59">
        <f t="shared" si="43"/>
        <v>4.9395983646923964</v>
      </c>
    </row>
    <row r="69" spans="1:35" x14ac:dyDescent="0.25">
      <c r="A69" s="20"/>
      <c r="B69" s="20">
        <v>3</v>
      </c>
      <c r="C69" s="20">
        <v>1056</v>
      </c>
      <c r="D69" s="20">
        <f t="shared" ref="D69:D72" si="49">D68+10</f>
        <v>1086</v>
      </c>
      <c r="E69" s="20">
        <v>0.5</v>
      </c>
      <c r="F69" s="20">
        <f t="shared" si="44"/>
        <v>30</v>
      </c>
      <c r="G69" s="70">
        <f t="shared" si="45"/>
        <v>1.6666666666666666E-2</v>
      </c>
      <c r="H69" s="59">
        <f t="shared" si="46"/>
        <v>1.0010010010010011</v>
      </c>
      <c r="I69" s="59">
        <f t="shared" si="47"/>
        <v>1.6683350016683352E-2</v>
      </c>
      <c r="J69" s="59"/>
      <c r="K69" s="20">
        <v>-7.7309999999999999</v>
      </c>
      <c r="L69" s="20">
        <v>-6.0289999999999999</v>
      </c>
      <c r="M69" s="20">
        <f t="shared" si="41"/>
        <v>1.702</v>
      </c>
      <c r="N69" s="59">
        <f t="shared" si="11"/>
        <v>0.12727922061357855</v>
      </c>
      <c r="O69" s="59"/>
      <c r="P69" s="71">
        <f t="shared" si="48"/>
        <v>1.7002979999999998E-3</v>
      </c>
      <c r="Q69" s="71">
        <f t="shared" si="38"/>
        <v>1.6985977019999998</v>
      </c>
      <c r="R69" s="59">
        <f t="shared" si="43"/>
        <v>5.4929252487275999</v>
      </c>
      <c r="T69">
        <v>7.24</v>
      </c>
      <c r="U69">
        <v>228</v>
      </c>
      <c r="V69">
        <f>T69/U69</f>
        <v>3.1754385964912285E-2</v>
      </c>
      <c r="W69" s="74">
        <f>AVERAGE(P46:P61)</f>
        <v>4.6260296471608138E-4</v>
      </c>
      <c r="X69">
        <f>V69/W69</f>
        <v>68.642850104519468</v>
      </c>
      <c r="Z69" s="25"/>
    </row>
    <row r="70" spans="1:35" x14ac:dyDescent="0.25">
      <c r="A70" s="20"/>
      <c r="B70" s="20">
        <v>4</v>
      </c>
      <c r="C70" s="20">
        <v>1056</v>
      </c>
      <c r="D70" s="20">
        <f t="shared" si="49"/>
        <v>1096</v>
      </c>
      <c r="E70" s="20">
        <v>0.5</v>
      </c>
      <c r="F70" s="20">
        <f t="shared" si="44"/>
        <v>40</v>
      </c>
      <c r="G70" s="70">
        <f t="shared" si="45"/>
        <v>1.2500000000000001E-2</v>
      </c>
      <c r="H70" s="59">
        <f t="shared" si="46"/>
        <v>1.3346680013346681</v>
      </c>
      <c r="I70" s="59">
        <f t="shared" si="47"/>
        <v>1.6683350016683352E-2</v>
      </c>
      <c r="J70" s="59"/>
      <c r="K70" s="20">
        <v>-7.7309999999999999</v>
      </c>
      <c r="L70" s="20">
        <v>-5.8140000000000001</v>
      </c>
      <c r="M70" s="20">
        <f t="shared" si="41"/>
        <v>1.9169999999999998</v>
      </c>
      <c r="N70" s="59">
        <f t="shared" si="11"/>
        <v>0.12727922061357855</v>
      </c>
      <c r="O70" s="59"/>
      <c r="P70" s="71">
        <f t="shared" si="48"/>
        <v>1.4363122499999998E-3</v>
      </c>
      <c r="Q70" s="71">
        <f t="shared" si="38"/>
        <v>1.0761569533124997</v>
      </c>
      <c r="R70" s="59">
        <f t="shared" si="43"/>
        <v>3.9196864710501171</v>
      </c>
      <c r="T70">
        <v>11.78</v>
      </c>
      <c r="U70">
        <v>266</v>
      </c>
      <c r="V70">
        <f t="shared" ref="V70:V71" si="50">T70/U70</f>
        <v>4.4285714285714282E-2</v>
      </c>
      <c r="W70" s="74">
        <f>AVERAGE(P66:P81)</f>
        <v>8.0944034460459109E-4</v>
      </c>
      <c r="X70">
        <f t="shared" ref="X70:X71" si="51">V70/W70</f>
        <v>54.711523314726428</v>
      </c>
      <c r="Z70" s="25"/>
    </row>
    <row r="71" spans="1:35" x14ac:dyDescent="0.25">
      <c r="A71" s="20"/>
      <c r="B71" s="20">
        <v>5</v>
      </c>
      <c r="C71" s="20">
        <v>1056</v>
      </c>
      <c r="D71" s="20">
        <f t="shared" si="49"/>
        <v>1106</v>
      </c>
      <c r="E71" s="20">
        <v>0.5</v>
      </c>
      <c r="F71" s="20">
        <f t="shared" si="44"/>
        <v>50</v>
      </c>
      <c r="G71" s="70">
        <f t="shared" si="45"/>
        <v>0.01</v>
      </c>
      <c r="H71" s="59">
        <f t="shared" si="46"/>
        <v>1.6683350016683351</v>
      </c>
      <c r="I71" s="59">
        <f t="shared" si="47"/>
        <v>1.6683350016683352E-2</v>
      </c>
      <c r="J71" s="69"/>
      <c r="K71" s="20">
        <v>-7.7309999999999999</v>
      </c>
      <c r="L71" s="20">
        <v>-5.5</v>
      </c>
      <c r="M71" s="20">
        <f t="shared" si="41"/>
        <v>2.2309999999999999</v>
      </c>
      <c r="N71" s="59">
        <f t="shared" si="11"/>
        <v>0.12727922061357855</v>
      </c>
      <c r="O71" s="20"/>
      <c r="P71" s="71">
        <f t="shared" si="48"/>
        <v>1.3372613999999999E-3</v>
      </c>
      <c r="Q71" s="71">
        <f t="shared" si="38"/>
        <v>0.80155448315999989</v>
      </c>
      <c r="R71" s="59">
        <f t="shared" si="43"/>
        <v>3.3977092986669231</v>
      </c>
      <c r="T71">
        <v>18.079999999999998</v>
      </c>
      <c r="U71">
        <v>767</v>
      </c>
      <c r="V71">
        <f t="shared" si="50"/>
        <v>2.3572359843546282E-2</v>
      </c>
      <c r="W71" s="25">
        <f>AVERAGE(P90:P105)</f>
        <v>7.0950142805578642E-4</v>
      </c>
      <c r="X71">
        <f t="shared" si="51"/>
        <v>33.223837065614539</v>
      </c>
      <c r="Z71" s="25"/>
    </row>
    <row r="72" spans="1:35" x14ac:dyDescent="0.25">
      <c r="A72" s="20"/>
      <c r="B72" s="20">
        <v>6</v>
      </c>
      <c r="C72" s="20">
        <v>1056</v>
      </c>
      <c r="D72" s="20">
        <f t="shared" si="49"/>
        <v>1116</v>
      </c>
      <c r="E72" s="20">
        <v>0.5</v>
      </c>
      <c r="F72" s="20">
        <f t="shared" si="44"/>
        <v>60</v>
      </c>
      <c r="G72" s="70">
        <f t="shared" si="45"/>
        <v>8.3333333333333332E-3</v>
      </c>
      <c r="H72" s="59">
        <f t="shared" si="46"/>
        <v>2.0020020020020022</v>
      </c>
      <c r="I72" s="59">
        <f t="shared" si="47"/>
        <v>1.6683350016683352E-2</v>
      </c>
      <c r="J72" s="70"/>
      <c r="K72" s="20">
        <v>-7.7309999999999999</v>
      </c>
      <c r="L72" s="20">
        <v>-5.3070000000000004</v>
      </c>
      <c r="M72" s="20">
        <f t="shared" si="41"/>
        <v>2.4239999999999995</v>
      </c>
      <c r="N72" s="59">
        <f t="shared" si="11"/>
        <v>0.12727922061357855</v>
      </c>
      <c r="O72" s="20"/>
      <c r="P72" s="71">
        <f t="shared" si="48"/>
        <v>1.2107879999999998E-3</v>
      </c>
      <c r="Q72" s="71">
        <f t="shared" si="38"/>
        <v>0.60478860599999984</v>
      </c>
      <c r="R72" s="59">
        <f t="shared" si="43"/>
        <v>2.7854144037935988</v>
      </c>
    </row>
    <row r="73" spans="1:35" x14ac:dyDescent="0.25">
      <c r="A73" s="20"/>
      <c r="B73" s="20">
        <v>7</v>
      </c>
      <c r="C73" s="20">
        <v>1056</v>
      </c>
      <c r="D73" s="20">
        <f>D72+10</f>
        <v>1126</v>
      </c>
      <c r="E73" s="20">
        <v>0.5</v>
      </c>
      <c r="F73" s="20">
        <f t="shared" si="44"/>
        <v>70</v>
      </c>
      <c r="G73" s="70">
        <f t="shared" ref="G73:G81" si="52">E73/(F73)</f>
        <v>7.1428571428571426E-3</v>
      </c>
      <c r="H73" s="59">
        <f t="shared" ref="H73:H81" si="53">F73*$N$3</f>
        <v>2.3356690023356692</v>
      </c>
      <c r="I73" s="59">
        <f t="shared" ref="I73:I81" si="54">E73*$N$3</f>
        <v>1.6683350016683352E-2</v>
      </c>
      <c r="J73" s="20"/>
      <c r="K73" s="20">
        <v>-7.7309999999999999</v>
      </c>
      <c r="L73" s="20">
        <v>-5.43</v>
      </c>
      <c r="M73" s="20">
        <f t="shared" ref="M73:M81" si="55">L73-K73</f>
        <v>2.3010000000000002</v>
      </c>
      <c r="N73" s="59">
        <f t="shared" si="11"/>
        <v>0.12727922061357855</v>
      </c>
      <c r="O73" s="20"/>
      <c r="P73" s="71">
        <f t="shared" ref="P73:P81" si="56">M73*0.001/H73</f>
        <v>9.8515671428571418E-4</v>
      </c>
      <c r="Q73" s="71">
        <f t="shared" ref="Q73:Q81" si="57">M73/H73^2</f>
        <v>0.42178781038775509</v>
      </c>
      <c r="R73" s="59">
        <f t="shared" si="43"/>
        <v>1.8440141282342268</v>
      </c>
      <c r="U73">
        <v>1</v>
      </c>
      <c r="V73">
        <v>2</v>
      </c>
      <c r="W73">
        <v>3</v>
      </c>
      <c r="X73">
        <v>4</v>
      </c>
      <c r="Y73">
        <v>5</v>
      </c>
      <c r="Z73">
        <v>6</v>
      </c>
      <c r="AA73">
        <v>7</v>
      </c>
      <c r="AB73">
        <v>8</v>
      </c>
      <c r="AC73">
        <v>9</v>
      </c>
      <c r="AD73">
        <v>10</v>
      </c>
      <c r="AE73">
        <v>11</v>
      </c>
      <c r="AF73">
        <v>12</v>
      </c>
      <c r="AG73">
        <v>13</v>
      </c>
      <c r="AH73">
        <v>14</v>
      </c>
      <c r="AI73">
        <v>15</v>
      </c>
    </row>
    <row r="74" spans="1:35" x14ac:dyDescent="0.25">
      <c r="A74" s="20"/>
      <c r="B74" s="20">
        <v>8</v>
      </c>
      <c r="C74" s="20">
        <v>1056</v>
      </c>
      <c r="D74" s="20">
        <f>D73+20</f>
        <v>1146</v>
      </c>
      <c r="E74" s="20">
        <v>0.5</v>
      </c>
      <c r="F74" s="20">
        <f t="shared" si="44"/>
        <v>90</v>
      </c>
      <c r="G74" s="70">
        <f t="shared" si="52"/>
        <v>5.5555555555555558E-3</v>
      </c>
      <c r="H74" s="59">
        <f t="shared" si="53"/>
        <v>3.0030030030030033</v>
      </c>
      <c r="I74" s="59">
        <f t="shared" si="54"/>
        <v>1.6683350016683352E-2</v>
      </c>
      <c r="J74" s="20"/>
      <c r="K74" s="20">
        <v>-7.7309999999999999</v>
      </c>
      <c r="L74" s="20">
        <v>-5.3920000000000003</v>
      </c>
      <c r="M74" s="20">
        <f t="shared" si="55"/>
        <v>2.3389999999999995</v>
      </c>
      <c r="N74" s="59">
        <f t="shared" si="11"/>
        <v>0.12727922061357855</v>
      </c>
      <c r="O74" s="20"/>
      <c r="P74" s="71">
        <f t="shared" si="56"/>
        <v>7.7888699999999981E-4</v>
      </c>
      <c r="Q74" s="71">
        <f t="shared" si="57"/>
        <v>0.2593693709999999</v>
      </c>
      <c r="R74" s="59">
        <f t="shared" si="43"/>
        <v>1.1526634216610994</v>
      </c>
      <c r="U74" t="s">
        <v>258</v>
      </c>
      <c r="Z74" t="s">
        <v>261</v>
      </c>
      <c r="AE74" t="s">
        <v>262</v>
      </c>
    </row>
    <row r="75" spans="1:35" x14ac:dyDescent="0.25">
      <c r="A75" s="20"/>
      <c r="B75" s="20">
        <v>9</v>
      </c>
      <c r="C75" s="20">
        <v>1056</v>
      </c>
      <c r="D75" s="20">
        <f>D74+40</f>
        <v>1186</v>
      </c>
      <c r="E75" s="20">
        <v>0.5</v>
      </c>
      <c r="F75" s="20">
        <f t="shared" si="44"/>
        <v>130</v>
      </c>
      <c r="G75" s="70">
        <f t="shared" si="52"/>
        <v>3.8461538461538464E-3</v>
      </c>
      <c r="H75" s="59">
        <f t="shared" si="53"/>
        <v>4.3376710043376718</v>
      </c>
      <c r="I75" s="59">
        <f t="shared" si="54"/>
        <v>1.6683350016683352E-2</v>
      </c>
      <c r="J75" s="20"/>
      <c r="K75" s="20">
        <v>-7.7309999999999999</v>
      </c>
      <c r="L75" s="20">
        <v>-5.0199999999999996</v>
      </c>
      <c r="M75" s="20">
        <f t="shared" si="55"/>
        <v>2.7110000000000003</v>
      </c>
      <c r="N75" s="59">
        <f t="shared" si="11"/>
        <v>0.12727922061357855</v>
      </c>
      <c r="O75" s="20"/>
      <c r="P75" s="71">
        <f t="shared" si="56"/>
        <v>6.249897692307692E-4</v>
      </c>
      <c r="Q75" s="71">
        <f t="shared" si="57"/>
        <v>0.1440841798757396</v>
      </c>
      <c r="R75" s="59">
        <f t="shared" si="43"/>
        <v>0.74216320212194731</v>
      </c>
      <c r="U75" t="s">
        <v>259</v>
      </c>
      <c r="V75" t="s">
        <v>263</v>
      </c>
      <c r="W75" t="s">
        <v>260</v>
      </c>
      <c r="X75" t="s">
        <v>237</v>
      </c>
      <c r="Y75" t="s">
        <v>239</v>
      </c>
      <c r="Z75" t="s">
        <v>259</v>
      </c>
      <c r="AA75" t="s">
        <v>263</v>
      </c>
      <c r="AB75" t="s">
        <v>260</v>
      </c>
      <c r="AC75" t="s">
        <v>237</v>
      </c>
      <c r="AD75" t="s">
        <v>239</v>
      </c>
      <c r="AE75" t="s">
        <v>259</v>
      </c>
      <c r="AF75" t="s">
        <v>263</v>
      </c>
      <c r="AG75" t="s">
        <v>260</v>
      </c>
      <c r="AH75" t="s">
        <v>237</v>
      </c>
      <c r="AI75" t="s">
        <v>239</v>
      </c>
    </row>
    <row r="76" spans="1:35" x14ac:dyDescent="0.25">
      <c r="A76" s="20"/>
      <c r="B76" s="20">
        <v>10</v>
      </c>
      <c r="C76" s="20">
        <v>1056</v>
      </c>
      <c r="D76" s="20">
        <f>D75+80</f>
        <v>1266</v>
      </c>
      <c r="E76" s="20">
        <v>0.5</v>
      </c>
      <c r="F76" s="20">
        <f t="shared" si="44"/>
        <v>210</v>
      </c>
      <c r="G76" s="70">
        <f t="shared" si="52"/>
        <v>2.3809523809523812E-3</v>
      </c>
      <c r="H76" s="59">
        <f t="shared" si="53"/>
        <v>7.0070070070070081</v>
      </c>
      <c r="I76" s="59">
        <f t="shared" si="54"/>
        <v>1.6683350016683352E-2</v>
      </c>
      <c r="J76" s="20"/>
      <c r="K76" s="20">
        <v>-7.7309999999999999</v>
      </c>
      <c r="L76" s="20">
        <v>-4.5940000000000003</v>
      </c>
      <c r="M76" s="20">
        <f t="shared" si="55"/>
        <v>3.1369999999999996</v>
      </c>
      <c r="N76" s="59">
        <f t="shared" si="11"/>
        <v>0.12727922061357855</v>
      </c>
      <c r="O76" s="20"/>
      <c r="P76" s="71">
        <f t="shared" si="56"/>
        <v>4.4769471428571418E-4</v>
      </c>
      <c r="Q76" s="71">
        <f t="shared" si="57"/>
        <v>6.3892431367346916E-2</v>
      </c>
      <c r="R76" s="59">
        <f t="shared" si="43"/>
        <v>0.38081805867879781</v>
      </c>
      <c r="U76" s="72">
        <v>0.33366700033366703</v>
      </c>
      <c r="V76" s="72">
        <v>-7.1609999999999996</v>
      </c>
      <c r="W76" s="72">
        <v>2.3000000000000576E-2</v>
      </c>
      <c r="X76" s="72">
        <v>6.8931000000001716E-5</v>
      </c>
      <c r="Y76" s="72">
        <v>0.20658620700000513</v>
      </c>
      <c r="Z76" s="75">
        <v>0.33366700033366703</v>
      </c>
      <c r="AA76" s="72">
        <v>-7.6050000000000004</v>
      </c>
      <c r="AB76">
        <v>0.12599999999999945</v>
      </c>
      <c r="AC76" s="72">
        <v>3.7762199999999836E-4</v>
      </c>
      <c r="AD76" s="72">
        <v>1.1317331339999948</v>
      </c>
      <c r="AE76">
        <v>0.33366700033366703</v>
      </c>
      <c r="AF76">
        <v>-7.73</v>
      </c>
      <c r="AG76">
        <v>0.20899999999999963</v>
      </c>
      <c r="AH76">
        <v>6.2637299999999886E-4</v>
      </c>
      <c r="AI76">
        <v>1.8772398809999964</v>
      </c>
    </row>
    <row r="77" spans="1:35" x14ac:dyDescent="0.25">
      <c r="A77" s="20"/>
      <c r="B77" s="20">
        <v>11</v>
      </c>
      <c r="C77" s="20">
        <v>1056</v>
      </c>
      <c r="D77" s="20">
        <f>D76+160</f>
        <v>1426</v>
      </c>
      <c r="E77" s="20">
        <v>0.5</v>
      </c>
      <c r="F77" s="20">
        <f t="shared" si="44"/>
        <v>370</v>
      </c>
      <c r="G77" s="70">
        <f t="shared" si="52"/>
        <v>1.3513513513513514E-3</v>
      </c>
      <c r="H77" s="59">
        <f t="shared" si="53"/>
        <v>12.345679012345681</v>
      </c>
      <c r="I77" s="59">
        <f t="shared" si="54"/>
        <v>1.6683350016683352E-2</v>
      </c>
      <c r="J77" s="20"/>
      <c r="K77" s="20">
        <v>-7.7309999999999999</v>
      </c>
      <c r="L77" s="20">
        <v>-3.5179999999999998</v>
      </c>
      <c r="M77" s="20">
        <f t="shared" si="55"/>
        <v>4.2130000000000001</v>
      </c>
      <c r="N77" s="59">
        <f t="shared" si="11"/>
        <v>0.12727922061357855</v>
      </c>
      <c r="O77" s="20"/>
      <c r="P77" s="71">
        <f t="shared" si="56"/>
        <v>3.4125300000000002E-4</v>
      </c>
      <c r="Q77" s="71">
        <f t="shared" si="57"/>
        <v>2.7641492999999996E-2</v>
      </c>
      <c r="R77" s="59">
        <f t="shared" si="43"/>
        <v>0.22126185901709999</v>
      </c>
      <c r="U77" s="72">
        <v>0.50050050050050054</v>
      </c>
      <c r="V77" s="72">
        <v>-6.9029999999999996</v>
      </c>
      <c r="W77" s="72">
        <v>0.28100000000000058</v>
      </c>
      <c r="X77" s="72">
        <v>5.6143800000000113E-4</v>
      </c>
      <c r="Y77" s="72">
        <v>1.1217531240000023</v>
      </c>
      <c r="Z77" s="75">
        <v>0.50050050050050054</v>
      </c>
      <c r="AA77" s="72">
        <v>-6.9880000000000004</v>
      </c>
      <c r="AB77">
        <v>0.74299999999999944</v>
      </c>
      <c r="AC77" s="72">
        <v>1.4845139999999986E-3</v>
      </c>
      <c r="AD77" s="72">
        <v>2.9660589719999977</v>
      </c>
      <c r="AE77">
        <v>0.50050050050050054</v>
      </c>
      <c r="AF77">
        <v>-7.5220000000000002</v>
      </c>
      <c r="AG77">
        <v>0.41699999999999982</v>
      </c>
      <c r="AH77">
        <v>8.3316599999999955E-4</v>
      </c>
      <c r="AI77">
        <v>1.6646656679999992</v>
      </c>
    </row>
    <row r="78" spans="1:35" x14ac:dyDescent="0.25">
      <c r="A78" s="20"/>
      <c r="B78" s="20">
        <v>12</v>
      </c>
      <c r="C78" s="20">
        <v>1056</v>
      </c>
      <c r="D78" s="20">
        <f>D77+320</f>
        <v>1746</v>
      </c>
      <c r="E78" s="20">
        <v>0.5</v>
      </c>
      <c r="F78" s="20">
        <f t="shared" si="44"/>
        <v>690</v>
      </c>
      <c r="G78" s="70">
        <f t="shared" si="52"/>
        <v>7.246376811594203E-4</v>
      </c>
      <c r="H78" s="59">
        <f t="shared" si="53"/>
        <v>23.023023023023026</v>
      </c>
      <c r="I78" s="59">
        <f t="shared" si="54"/>
        <v>1.6683350016683352E-2</v>
      </c>
      <c r="J78" s="20"/>
      <c r="K78" s="20">
        <v>-7.7309999999999999</v>
      </c>
      <c r="L78" s="20">
        <v>-1.867</v>
      </c>
      <c r="M78" s="20">
        <f t="shared" si="55"/>
        <v>5.8639999999999999</v>
      </c>
      <c r="N78" s="59">
        <f t="shared" si="11"/>
        <v>0.12727922061357855</v>
      </c>
      <c r="O78" s="20"/>
      <c r="P78" s="71">
        <f t="shared" si="56"/>
        <v>2.5470156521739131E-4</v>
      </c>
      <c r="Q78" s="71">
        <f t="shared" si="57"/>
        <v>1.1062907115311906E-2</v>
      </c>
      <c r="R78" s="59">
        <f t="shared" si="43"/>
        <v>0.12325848591595914</v>
      </c>
      <c r="U78" s="72">
        <v>0.66733400066733406</v>
      </c>
      <c r="V78" s="72">
        <v>-6.7089999999999996</v>
      </c>
      <c r="W78" s="72">
        <v>0.47500000000000053</v>
      </c>
      <c r="X78" s="72">
        <v>7.1178750000000079E-4</v>
      </c>
      <c r="Y78" s="72">
        <v>1.0666135687500009</v>
      </c>
      <c r="Z78" s="75">
        <v>0.66733400066733406</v>
      </c>
      <c r="AA78" s="72">
        <v>-6.6550000000000002</v>
      </c>
      <c r="AB78">
        <v>1.0759999999999996</v>
      </c>
      <c r="AC78" s="72">
        <v>1.6123859999999995E-3</v>
      </c>
      <c r="AD78" s="72">
        <v>2.4161604209999989</v>
      </c>
      <c r="AE78">
        <v>0.66733400066733406</v>
      </c>
      <c r="AF78">
        <v>-7.16</v>
      </c>
      <c r="AG78">
        <v>0.77899999999999991</v>
      </c>
      <c r="AH78">
        <v>1.1673314999999999E-3</v>
      </c>
      <c r="AI78">
        <v>1.7492462527499995</v>
      </c>
    </row>
    <row r="79" spans="1:35" x14ac:dyDescent="0.25">
      <c r="A79" s="20"/>
      <c r="B79" s="20">
        <v>13</v>
      </c>
      <c r="C79" s="20">
        <v>1056</v>
      </c>
      <c r="D79" s="20">
        <f>D78+640</f>
        <v>2386</v>
      </c>
      <c r="E79" s="20">
        <v>0.5</v>
      </c>
      <c r="F79" s="20">
        <f t="shared" si="44"/>
        <v>1330</v>
      </c>
      <c r="G79" s="70">
        <f t="shared" si="52"/>
        <v>3.7593984962406017E-4</v>
      </c>
      <c r="H79" s="59">
        <f t="shared" si="53"/>
        <v>44.377711044377719</v>
      </c>
      <c r="I79" s="59">
        <f t="shared" si="54"/>
        <v>1.6683350016683352E-2</v>
      </c>
      <c r="J79" s="20"/>
      <c r="K79" s="20">
        <v>-7.7309999999999999</v>
      </c>
      <c r="L79" s="20">
        <v>0.20100000000000001</v>
      </c>
      <c r="M79" s="20">
        <f t="shared" si="55"/>
        <v>7.9319999999999995</v>
      </c>
      <c r="N79" s="59">
        <f t="shared" si="11"/>
        <v>0.12727922061357855</v>
      </c>
      <c r="O79" s="20"/>
      <c r="P79" s="71">
        <f t="shared" si="56"/>
        <v>1.787383759398496E-4</v>
      </c>
      <c r="Q79" s="71">
        <f t="shared" si="57"/>
        <v>4.0276609976821736E-3</v>
      </c>
      <c r="R79" s="59">
        <f t="shared" si="43"/>
        <v>6.0700073363868498E-2</v>
      </c>
      <c r="U79" s="72">
        <v>1.0010010010010011</v>
      </c>
      <c r="V79" s="72">
        <v>-6.2880000000000003</v>
      </c>
      <c r="W79" s="72">
        <v>0.89599999999999991</v>
      </c>
      <c r="X79" s="72">
        <v>8.9510399999999976E-4</v>
      </c>
      <c r="Y79" s="72">
        <v>0.89420889599999986</v>
      </c>
      <c r="Z79" s="75">
        <v>1.0010010010010011</v>
      </c>
      <c r="AA79" s="72">
        <v>-6.0289999999999999</v>
      </c>
      <c r="AB79">
        <v>1.702</v>
      </c>
      <c r="AC79" s="72">
        <v>1.7002979999999998E-3</v>
      </c>
      <c r="AD79" s="72">
        <v>1.6985977019999998</v>
      </c>
      <c r="AE79">
        <v>1.0010010010010011</v>
      </c>
      <c r="AF79">
        <v>-6.8070000000000004</v>
      </c>
      <c r="AG79">
        <v>1.1319999999999997</v>
      </c>
      <c r="AH79">
        <v>1.1308679999999997E-3</v>
      </c>
      <c r="AI79">
        <v>1.1297371319999996</v>
      </c>
    </row>
    <row r="80" spans="1:35" x14ac:dyDescent="0.25">
      <c r="A80" s="20"/>
      <c r="B80" s="20">
        <v>14</v>
      </c>
      <c r="C80" s="19">
        <v>1056</v>
      </c>
      <c r="D80" s="20">
        <f>D79+640</f>
        <v>3026</v>
      </c>
      <c r="E80" s="20">
        <v>0.5</v>
      </c>
      <c r="F80" s="20">
        <f t="shared" si="44"/>
        <v>1970</v>
      </c>
      <c r="G80" s="70">
        <f t="shared" si="52"/>
        <v>2.5380710659898478E-4</v>
      </c>
      <c r="H80" s="59">
        <f t="shared" si="53"/>
        <v>65.732399065732409</v>
      </c>
      <c r="I80" s="59">
        <f t="shared" si="54"/>
        <v>1.6683350016683352E-2</v>
      </c>
      <c r="J80" s="20"/>
      <c r="K80" s="20">
        <v>-7.7309999999999999</v>
      </c>
      <c r="L80" s="20">
        <v>1.492</v>
      </c>
      <c r="M80" s="20">
        <f t="shared" si="55"/>
        <v>9.222999999999999</v>
      </c>
      <c r="N80" s="59">
        <f t="shared" si="11"/>
        <v>0.12727922061357855</v>
      </c>
      <c r="O80" s="20"/>
      <c r="P80" s="71">
        <f t="shared" si="56"/>
        <v>1.4031132487309639E-4</v>
      </c>
      <c r="Q80" s="71">
        <f t="shared" si="57"/>
        <v>2.1345839626632991E-3</v>
      </c>
      <c r="R80" s="59">
        <f t="shared" si="43"/>
        <v>3.7405808986522855E-2</v>
      </c>
      <c r="U80" s="72">
        <v>1.3346680013346681</v>
      </c>
      <c r="V80" s="72">
        <v>-5.9329999999999998</v>
      </c>
      <c r="W80" s="72">
        <v>1.2510000000000003</v>
      </c>
      <c r="X80" s="72">
        <v>9.3731175000000017E-4</v>
      </c>
      <c r="Y80" s="72">
        <v>0.70228082868750008</v>
      </c>
      <c r="Z80" s="75">
        <v>1.3346680013346681</v>
      </c>
      <c r="AA80" s="72">
        <v>-5.8140000000000001</v>
      </c>
      <c r="AB80">
        <v>1.9169999999999998</v>
      </c>
      <c r="AC80" s="72">
        <v>1.4363122499999998E-3</v>
      </c>
      <c r="AD80" s="72">
        <v>1.0761569533124997</v>
      </c>
      <c r="AE80">
        <v>1.3346680013346681</v>
      </c>
      <c r="AF80">
        <v>-6.468</v>
      </c>
      <c r="AG80">
        <v>1.4710000000000001</v>
      </c>
      <c r="AH80">
        <v>1.1021467500000001E-3</v>
      </c>
      <c r="AI80">
        <v>0.82578345243749995</v>
      </c>
    </row>
    <row r="81" spans="1:35" x14ac:dyDescent="0.25">
      <c r="A81" s="20" t="s">
        <v>257</v>
      </c>
      <c r="B81" s="20">
        <v>15</v>
      </c>
      <c r="C81" s="20">
        <v>1056</v>
      </c>
      <c r="D81" s="20">
        <v>9857</v>
      </c>
      <c r="E81" s="20">
        <v>0.5</v>
      </c>
      <c r="F81" s="20">
        <f t="shared" si="44"/>
        <v>8801</v>
      </c>
      <c r="G81" s="70">
        <f t="shared" si="52"/>
        <v>5.6811725940234061E-5</v>
      </c>
      <c r="H81" s="59">
        <f t="shared" si="53"/>
        <v>293.66032699366036</v>
      </c>
      <c r="I81" s="59">
        <f t="shared" si="54"/>
        <v>1.6683350016683352E-2</v>
      </c>
      <c r="J81" s="20"/>
      <c r="K81" s="20">
        <v>-7.7309999999999999</v>
      </c>
      <c r="L81" s="19">
        <v>4.0540000000000003</v>
      </c>
      <c r="M81" s="20">
        <f t="shared" si="55"/>
        <v>11.785</v>
      </c>
      <c r="N81" s="59">
        <f t="shared" si="11"/>
        <v>0.12727922061357855</v>
      </c>
      <c r="O81" s="20"/>
      <c r="P81" s="71">
        <f t="shared" si="56"/>
        <v>4.0131399840927165E-5</v>
      </c>
      <c r="Q81" s="71">
        <f t="shared" si="57"/>
        <v>1.3665924931628075E-4</v>
      </c>
      <c r="R81" s="59">
        <f t="shared" si="43"/>
        <v>3.0600055810655006E-3</v>
      </c>
      <c r="U81" s="72">
        <v>1.6683350016683351</v>
      </c>
      <c r="V81" s="72">
        <v>-5.7439999999999998</v>
      </c>
      <c r="W81" s="72">
        <v>1.4400000000000004</v>
      </c>
      <c r="X81" s="72">
        <v>8.6313600000000024E-4</v>
      </c>
      <c r="Y81" s="72">
        <v>0.51736371840000006</v>
      </c>
      <c r="Z81" s="75">
        <v>1.6683350016683351</v>
      </c>
      <c r="AA81" s="72">
        <v>-5.5</v>
      </c>
      <c r="AB81">
        <v>2.2309999999999999</v>
      </c>
      <c r="AC81" s="72">
        <v>1.3372613999999999E-3</v>
      </c>
      <c r="AD81" s="72">
        <v>0.80155448315999989</v>
      </c>
      <c r="AE81">
        <v>1.6683350016683351</v>
      </c>
      <c r="AF81">
        <v>-6.133</v>
      </c>
      <c r="AG81">
        <v>1.806</v>
      </c>
      <c r="AH81">
        <v>1.0825163999999999E-3</v>
      </c>
      <c r="AI81">
        <v>0.64886033015999989</v>
      </c>
    </row>
    <row r="82" spans="1:35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U82" s="72">
        <v>2.0020020020020022</v>
      </c>
      <c r="V82" s="72">
        <v>-5.6479999999999997</v>
      </c>
      <c r="W82" s="72">
        <v>1.5360000000000005</v>
      </c>
      <c r="X82" s="72">
        <v>7.6723200000000018E-4</v>
      </c>
      <c r="Y82" s="72">
        <v>0.38323238400000009</v>
      </c>
      <c r="Z82" s="75">
        <v>2.0020020020020022</v>
      </c>
      <c r="AA82" s="72">
        <v>-5.3070000000000004</v>
      </c>
      <c r="AB82">
        <v>2.4239999999999995</v>
      </c>
      <c r="AC82" s="72">
        <v>1.2107879999999998E-3</v>
      </c>
      <c r="AD82" s="72">
        <v>0.60478860599999984</v>
      </c>
      <c r="AE82">
        <v>2.0020020020020022</v>
      </c>
      <c r="AF82">
        <v>-5.8540000000000001</v>
      </c>
      <c r="AG82">
        <v>2.085</v>
      </c>
      <c r="AH82">
        <v>1.0414574999999999E-3</v>
      </c>
      <c r="AI82">
        <v>0.52020802124999999</v>
      </c>
    </row>
    <row r="83" spans="1:35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U83" s="72">
        <v>2.3356690023356692</v>
      </c>
      <c r="V83" s="72">
        <v>-5.524</v>
      </c>
      <c r="W83" s="72">
        <v>1.6600000000000001</v>
      </c>
      <c r="X83" s="72">
        <v>7.1071714285714292E-4</v>
      </c>
      <c r="Y83" s="72">
        <v>0.30428846816326527</v>
      </c>
      <c r="Z83" s="75">
        <v>2.3356690023356692</v>
      </c>
      <c r="AA83" s="72">
        <v>-5.43</v>
      </c>
      <c r="AB83">
        <v>2.3010000000000002</v>
      </c>
      <c r="AC83" s="72">
        <v>9.8515671428571418E-4</v>
      </c>
      <c r="AD83" s="72">
        <v>0.42178781038775509</v>
      </c>
      <c r="AE83">
        <v>2.3356690023356692</v>
      </c>
      <c r="AF83">
        <v>-5.6529999999999996</v>
      </c>
      <c r="AG83">
        <v>2.2860000000000005</v>
      </c>
      <c r="AH83">
        <v>9.7873457142857155E-4</v>
      </c>
      <c r="AI83">
        <v>0.41903821579591838</v>
      </c>
    </row>
    <row r="84" spans="1:35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U84" s="72">
        <v>3.0030030030030033</v>
      </c>
      <c r="V84" s="72">
        <v>-5.4409999999999998</v>
      </c>
      <c r="W84" s="72">
        <v>1.7430000000000003</v>
      </c>
      <c r="X84" s="72">
        <v>5.804190000000001E-4</v>
      </c>
      <c r="Y84" s="72">
        <v>0.19327952700000001</v>
      </c>
      <c r="Z84" s="75">
        <v>3.0030030030030033</v>
      </c>
      <c r="AA84" s="72">
        <v>-5.3920000000000003</v>
      </c>
      <c r="AB84">
        <v>2.3389999999999995</v>
      </c>
      <c r="AC84" s="72">
        <v>7.7888699999999981E-4</v>
      </c>
      <c r="AD84" s="72">
        <v>0.2593693709999999</v>
      </c>
      <c r="AE84">
        <v>3.0030030030030033</v>
      </c>
      <c r="AF84">
        <v>-5.4119999999999999</v>
      </c>
      <c r="AG84">
        <v>2.5270000000000001</v>
      </c>
      <c r="AH84">
        <v>8.4149099999999998E-4</v>
      </c>
      <c r="AI84">
        <v>0.28021650300000001</v>
      </c>
    </row>
    <row r="85" spans="1:35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U85" s="72">
        <v>4.3376710043376718</v>
      </c>
      <c r="V85" s="72">
        <v>-5.2770000000000001</v>
      </c>
      <c r="W85" s="72">
        <v>1.907</v>
      </c>
      <c r="X85" s="72">
        <v>4.3963684615384608E-4</v>
      </c>
      <c r="Y85" s="72">
        <v>0.10135320214792895</v>
      </c>
      <c r="Z85" s="75">
        <v>4.3376710043376718</v>
      </c>
      <c r="AA85" s="72">
        <v>-5.0199999999999996</v>
      </c>
      <c r="AB85">
        <v>2.7110000000000003</v>
      </c>
      <c r="AC85" s="72">
        <v>6.249897692307692E-4</v>
      </c>
      <c r="AD85" s="72">
        <v>0.1440841798757396</v>
      </c>
      <c r="AE85">
        <v>4.3376710043376718</v>
      </c>
      <c r="AF85">
        <v>-4.8890000000000002</v>
      </c>
      <c r="AG85">
        <v>3.05</v>
      </c>
      <c r="AH85">
        <v>7.0314230769230753E-4</v>
      </c>
      <c r="AI85">
        <v>0.16210134585798811</v>
      </c>
    </row>
    <row r="86" spans="1:35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U86" s="72">
        <v>7.0070070070070081</v>
      </c>
      <c r="V86" s="72">
        <v>-4.9960000000000004</v>
      </c>
      <c r="W86" s="72">
        <v>2.1879999999999997</v>
      </c>
      <c r="X86" s="72">
        <v>3.1225885714285706E-4</v>
      </c>
      <c r="Y86" s="72">
        <v>4.4563799755102024E-2</v>
      </c>
      <c r="Z86" s="75">
        <v>7.0070070070070081</v>
      </c>
      <c r="AA86" s="72">
        <v>-4.5940000000000003</v>
      </c>
      <c r="AB86">
        <v>3.1369999999999996</v>
      </c>
      <c r="AC86" s="72">
        <v>4.4769471428571418E-4</v>
      </c>
      <c r="AD86" s="72">
        <v>6.3892431367346916E-2</v>
      </c>
      <c r="AE86">
        <v>7.0070070070070081</v>
      </c>
      <c r="AF86">
        <v>-3.9540000000000002</v>
      </c>
      <c r="AG86">
        <v>3.9849999999999999</v>
      </c>
      <c r="AH86">
        <v>5.6871642857142849E-4</v>
      </c>
      <c r="AI86">
        <v>8.1163958877550998E-2</v>
      </c>
    </row>
    <row r="87" spans="1:35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U87" s="72">
        <v>12.345679012345681</v>
      </c>
      <c r="V87" s="72">
        <v>-4.577</v>
      </c>
      <c r="W87" s="72">
        <v>2.6070000000000002</v>
      </c>
      <c r="X87" s="72">
        <v>2.1116700000000001E-4</v>
      </c>
      <c r="Y87" s="72">
        <v>1.7104526999999998E-2</v>
      </c>
      <c r="Z87" s="75">
        <v>12.345679012345681</v>
      </c>
      <c r="AA87" s="72">
        <v>-3.5179999999999998</v>
      </c>
      <c r="AB87">
        <v>4.2130000000000001</v>
      </c>
      <c r="AC87" s="72">
        <v>3.4125300000000002E-4</v>
      </c>
      <c r="AD87" s="72">
        <v>2.7641492999999996E-2</v>
      </c>
      <c r="AE87">
        <v>12.345679012345681</v>
      </c>
      <c r="AF87">
        <v>-2.35</v>
      </c>
      <c r="AG87">
        <v>5.5890000000000004</v>
      </c>
      <c r="AH87">
        <v>4.5270899999999998E-4</v>
      </c>
      <c r="AI87">
        <v>3.6669428999999996E-2</v>
      </c>
    </row>
    <row r="88" spans="1:35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U88" s="72">
        <v>23.023023023023026</v>
      </c>
      <c r="V88" s="72">
        <v>-3.98</v>
      </c>
      <c r="W88" s="72">
        <v>3.2040000000000002</v>
      </c>
      <c r="X88" s="72">
        <v>1.3916504347826085E-4</v>
      </c>
      <c r="Y88" s="72">
        <v>6.0446034102079379E-3</v>
      </c>
      <c r="Z88" s="75">
        <v>23.023023023023026</v>
      </c>
      <c r="AA88" s="72">
        <v>-1.867</v>
      </c>
      <c r="AB88">
        <v>5.8639999999999999</v>
      </c>
      <c r="AC88" s="72">
        <v>2.5470156521739131E-4</v>
      </c>
      <c r="AD88" s="72">
        <v>1.1062907115311906E-2</v>
      </c>
      <c r="AE88">
        <v>23.023023023023026</v>
      </c>
      <c r="AF88">
        <v>0</v>
      </c>
      <c r="AG88">
        <v>7.9390000000000001</v>
      </c>
      <c r="AH88">
        <v>3.4482873913043474E-4</v>
      </c>
      <c r="AI88">
        <v>1.4977561321361054E-2</v>
      </c>
    </row>
    <row r="89" spans="1:35" x14ac:dyDescent="0.25">
      <c r="A89" s="20" t="s">
        <v>231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U89" s="72">
        <v>44.377711044377719</v>
      </c>
      <c r="V89" s="72">
        <v>-3.0030000000000001</v>
      </c>
      <c r="W89" s="72">
        <v>4.181</v>
      </c>
      <c r="X89" s="72">
        <v>9.4213962406015017E-5</v>
      </c>
      <c r="Y89" s="72">
        <v>2.1230018445926838E-3</v>
      </c>
      <c r="Z89" s="75">
        <v>44.377711044377719</v>
      </c>
      <c r="AA89" s="72">
        <v>0.20100000000000001</v>
      </c>
      <c r="AB89">
        <v>7.9319999999999995</v>
      </c>
      <c r="AC89" s="72">
        <v>1.787383759398496E-4</v>
      </c>
      <c r="AD89" s="72">
        <v>4.0276609976821736E-3</v>
      </c>
      <c r="AE89">
        <v>44.377711044377719</v>
      </c>
      <c r="AF89">
        <v>3.4420000000000002</v>
      </c>
      <c r="AG89">
        <v>11.381</v>
      </c>
      <c r="AH89">
        <v>2.5645757142857137E-4</v>
      </c>
      <c r="AI89">
        <v>5.7789724930182576E-3</v>
      </c>
    </row>
    <row r="90" spans="1:35" x14ac:dyDescent="0.25">
      <c r="A90" s="20" t="s">
        <v>255</v>
      </c>
      <c r="B90" s="20">
        <v>0</v>
      </c>
      <c r="C90" s="20">
        <v>290</v>
      </c>
      <c r="D90" s="20">
        <v>300</v>
      </c>
      <c r="E90" s="20">
        <v>0.5</v>
      </c>
      <c r="F90" s="20">
        <f t="shared" ref="F90:F91" si="58">D90-C90</f>
        <v>10</v>
      </c>
      <c r="G90" s="70">
        <f t="shared" ref="G90" si="59">E90/(F90)</f>
        <v>0.05</v>
      </c>
      <c r="H90" s="59">
        <f>F90*$N$3</f>
        <v>0.33366700033366703</v>
      </c>
      <c r="I90" s="59">
        <f>E90*$N$3</f>
        <v>1.6683350016683352E-2</v>
      </c>
      <c r="J90" s="20"/>
      <c r="K90" s="20">
        <v>-7.9390000000000001</v>
      </c>
      <c r="L90">
        <v>-7.73</v>
      </c>
      <c r="M90" s="20">
        <f t="shared" ref="M90" si="60">L90-K90</f>
        <v>0.20899999999999963</v>
      </c>
      <c r="N90" s="59">
        <v>0.12727922061357855</v>
      </c>
      <c r="O90" s="20"/>
      <c r="P90" s="71">
        <f>M90*0.001/H90</f>
        <v>6.2637299999999886E-4</v>
      </c>
      <c r="Q90" s="71">
        <f>M90/H90^2</f>
        <v>1.8772398809999964</v>
      </c>
      <c r="R90" s="59">
        <f>Q90*1900*M90*0.001</f>
        <v>0.74545195674509734</v>
      </c>
      <c r="U90" s="72">
        <v>65.732399065732409</v>
      </c>
      <c r="V90" s="72">
        <v>-2.36</v>
      </c>
      <c r="W90" s="72">
        <v>4.8239999999999998</v>
      </c>
      <c r="X90" s="72">
        <v>7.338846700507614E-5</v>
      </c>
      <c r="Y90" s="72">
        <v>1.1164732772295082E-3</v>
      </c>
      <c r="Z90" s="75">
        <v>65.732399065732409</v>
      </c>
      <c r="AA90" s="72">
        <v>1.492</v>
      </c>
      <c r="AB90">
        <v>9.222999999999999</v>
      </c>
      <c r="AC90" s="72">
        <v>1.4031132487309639E-4</v>
      </c>
      <c r="AD90" s="72">
        <v>2.1345839626632991E-3</v>
      </c>
      <c r="AE90">
        <v>65.732399065732409</v>
      </c>
      <c r="AF90">
        <v>5.085</v>
      </c>
      <c r="AG90">
        <v>13.024000000000001</v>
      </c>
      <c r="AH90">
        <v>1.9813669035532994E-4</v>
      </c>
      <c r="AI90">
        <v>3.0142926954057044E-3</v>
      </c>
    </row>
    <row r="91" spans="1:35" x14ac:dyDescent="0.25">
      <c r="A91" s="20"/>
      <c r="B91" s="20">
        <v>1</v>
      </c>
      <c r="C91" s="20">
        <v>290</v>
      </c>
      <c r="D91" s="20">
        <v>305</v>
      </c>
      <c r="E91" s="20">
        <v>0.5</v>
      </c>
      <c r="F91" s="20">
        <f t="shared" si="58"/>
        <v>15</v>
      </c>
      <c r="G91" s="70">
        <f t="shared" ref="G91" si="61">E91/(F91)</f>
        <v>3.3333333333333333E-2</v>
      </c>
      <c r="H91" s="59">
        <f>F91*$N$3</f>
        <v>0.50050050050050054</v>
      </c>
      <c r="I91" s="59">
        <f>E91*$N$3</f>
        <v>1.6683350016683352E-2</v>
      </c>
      <c r="J91" s="20"/>
      <c r="K91" s="20">
        <v>-7.9390000000000001</v>
      </c>
      <c r="L91" s="59">
        <v>-7.5220000000000002</v>
      </c>
      <c r="M91" s="20">
        <f t="shared" ref="M91" si="62">L91-K91</f>
        <v>0.41699999999999982</v>
      </c>
      <c r="N91" s="59">
        <v>1.12727922061358</v>
      </c>
      <c r="O91" s="20"/>
      <c r="P91" s="71">
        <f>M91*0.001/H91</f>
        <v>8.3316599999999955E-4</v>
      </c>
      <c r="Q91" s="71">
        <f>M91/H91^2</f>
        <v>1.6646656679999992</v>
      </c>
      <c r="R91" s="59">
        <f t="shared" ref="R91:R105" si="63">Q91*1900*M91*0.001</f>
        <v>1.3189146087563988</v>
      </c>
      <c r="U91" s="72">
        <v>202.56923590256926</v>
      </c>
      <c r="V91" s="72">
        <v>5.6000000000000001E-2</v>
      </c>
      <c r="W91" s="72">
        <v>7.24</v>
      </c>
      <c r="X91" s="72">
        <v>3.5740866414099821E-5</v>
      </c>
      <c r="Y91" s="72">
        <v>1.7643778066720004E-4</v>
      </c>
      <c r="Z91" s="75">
        <v>293.66032699366036</v>
      </c>
      <c r="AA91" s="72">
        <v>4.0540000000000003</v>
      </c>
      <c r="AB91">
        <v>11.785</v>
      </c>
      <c r="AC91" s="72">
        <v>4.0131399840927165E-5</v>
      </c>
      <c r="AD91" s="72">
        <v>1.3665924931628075E-4</v>
      </c>
      <c r="AE91">
        <v>754.98832165498845</v>
      </c>
      <c r="AF91">
        <v>10.141</v>
      </c>
      <c r="AG91">
        <v>18.079999999999998</v>
      </c>
      <c r="AH91">
        <v>2.3947390285941568E-5</v>
      </c>
      <c r="AI91">
        <v>3.1718888357699587E-5</v>
      </c>
    </row>
    <row r="92" spans="1:35" x14ac:dyDescent="0.25">
      <c r="A92" s="20"/>
      <c r="B92" s="20">
        <v>2</v>
      </c>
      <c r="C92" s="20">
        <v>290</v>
      </c>
      <c r="D92" s="20">
        <f>D90+10</f>
        <v>310</v>
      </c>
      <c r="E92" s="20">
        <v>0.5</v>
      </c>
      <c r="F92" s="20">
        <f t="shared" ref="F92:F95" si="64">D92-C92</f>
        <v>20</v>
      </c>
      <c r="G92" s="70">
        <f t="shared" ref="G92:G95" si="65">E92/(F92)</f>
        <v>2.5000000000000001E-2</v>
      </c>
      <c r="H92" s="59">
        <f t="shared" ref="H92:H95" si="66">F92*$N$3</f>
        <v>0.66733400066733406</v>
      </c>
      <c r="I92" s="59">
        <f t="shared" ref="I92:I95" si="67">E92*$N$3</f>
        <v>1.6683350016683352E-2</v>
      </c>
      <c r="J92" s="20"/>
      <c r="K92" s="20">
        <v>-7.9390000000000001</v>
      </c>
      <c r="L92" s="59">
        <v>-7.16</v>
      </c>
      <c r="M92" s="20">
        <f>L92-K92</f>
        <v>0.77899999999999991</v>
      </c>
      <c r="N92" s="59">
        <f t="shared" ref="N92:N105" si="68">SQRT(2*(0.09^2))</f>
        <v>0.12727922061357855</v>
      </c>
      <c r="O92" s="20"/>
      <c r="P92" s="71">
        <f t="shared" ref="P92:P94" si="69">M92*0.001/H92</f>
        <v>1.1673314999999999E-3</v>
      </c>
      <c r="Q92" s="71">
        <f>M92/H92^2</f>
        <v>1.7492462527499995</v>
      </c>
      <c r="R92" s="59">
        <f t="shared" si="63"/>
        <v>2.589059378695274</v>
      </c>
    </row>
    <row r="93" spans="1:35" x14ac:dyDescent="0.25">
      <c r="A93" s="20"/>
      <c r="B93" s="20">
        <v>3</v>
      </c>
      <c r="C93" s="20">
        <v>290</v>
      </c>
      <c r="D93" s="20">
        <f t="shared" ref="D93:D96" si="70">D92+10</f>
        <v>320</v>
      </c>
      <c r="E93" s="20">
        <v>0.5</v>
      </c>
      <c r="F93" s="20">
        <f t="shared" si="64"/>
        <v>30</v>
      </c>
      <c r="G93" s="70">
        <f t="shared" si="65"/>
        <v>1.6666666666666666E-2</v>
      </c>
      <c r="H93" s="59">
        <f t="shared" si="66"/>
        <v>1.0010010010010011</v>
      </c>
      <c r="I93" s="59">
        <f t="shared" si="67"/>
        <v>1.6683350016683352E-2</v>
      </c>
      <c r="J93" s="20"/>
      <c r="K93" s="20">
        <v>-7.9390000000000001</v>
      </c>
      <c r="L93" s="59">
        <v>-6.8070000000000004</v>
      </c>
      <c r="M93" s="20">
        <f>L93-K93</f>
        <v>1.1319999999999997</v>
      </c>
      <c r="N93" s="59">
        <f t="shared" si="68"/>
        <v>0.12727922061357855</v>
      </c>
      <c r="O93" s="20"/>
      <c r="P93" s="71">
        <f t="shared" si="69"/>
        <v>1.1308679999999997E-3</v>
      </c>
      <c r="Q93" s="71">
        <f>M93/H93^2</f>
        <v>1.1297371319999996</v>
      </c>
      <c r="R93" s="59">
        <f t="shared" si="63"/>
        <v>2.4298386235055984</v>
      </c>
    </row>
    <row r="94" spans="1:35" x14ac:dyDescent="0.25">
      <c r="A94" s="20"/>
      <c r="B94" s="20">
        <v>4</v>
      </c>
      <c r="C94" s="20">
        <v>290</v>
      </c>
      <c r="D94" s="20">
        <f t="shared" si="70"/>
        <v>330</v>
      </c>
      <c r="E94" s="20">
        <v>0.5</v>
      </c>
      <c r="F94" s="20">
        <f t="shared" si="64"/>
        <v>40</v>
      </c>
      <c r="G94" s="70">
        <f t="shared" si="65"/>
        <v>1.2500000000000001E-2</v>
      </c>
      <c r="H94" s="59">
        <f t="shared" si="66"/>
        <v>1.3346680013346681</v>
      </c>
      <c r="I94" s="59">
        <f t="shared" si="67"/>
        <v>1.6683350016683352E-2</v>
      </c>
      <c r="J94" s="20"/>
      <c r="K94" s="20">
        <v>-7.9390000000000001</v>
      </c>
      <c r="L94" s="59">
        <v>-6.468</v>
      </c>
      <c r="M94" s="20">
        <f>L94-K94</f>
        <v>1.4710000000000001</v>
      </c>
      <c r="N94" s="59">
        <f t="shared" si="68"/>
        <v>0.12727922061357855</v>
      </c>
      <c r="O94" s="20"/>
      <c r="P94" s="71">
        <f t="shared" si="69"/>
        <v>1.1021467500000001E-3</v>
      </c>
      <c r="Q94" s="71">
        <f>M94/H94^2</f>
        <v>0.82578345243749995</v>
      </c>
      <c r="R94" s="59">
        <f t="shared" si="63"/>
        <v>2.307982171217569</v>
      </c>
      <c r="V94" s="20"/>
      <c r="X94" t="s">
        <v>265</v>
      </c>
      <c r="Y94" t="s">
        <v>264</v>
      </c>
    </row>
    <row r="95" spans="1:35" x14ac:dyDescent="0.25">
      <c r="A95" s="20"/>
      <c r="B95" s="20">
        <v>5</v>
      </c>
      <c r="C95" s="20">
        <v>290</v>
      </c>
      <c r="D95" s="20">
        <f t="shared" si="70"/>
        <v>340</v>
      </c>
      <c r="E95" s="20">
        <v>0.5</v>
      </c>
      <c r="F95" s="20">
        <f t="shared" si="64"/>
        <v>50</v>
      </c>
      <c r="G95" s="70">
        <f t="shared" si="65"/>
        <v>0.01</v>
      </c>
      <c r="H95" s="59">
        <f t="shared" si="66"/>
        <v>1.6683350016683351</v>
      </c>
      <c r="I95" s="59">
        <f t="shared" si="67"/>
        <v>1.6683350016683352E-2</v>
      </c>
      <c r="J95" s="20"/>
      <c r="K95" s="20">
        <v>-7.9390000000000001</v>
      </c>
      <c r="L95" s="59">
        <v>-6.133</v>
      </c>
      <c r="M95" s="20">
        <f>L95-K95</f>
        <v>1.806</v>
      </c>
      <c r="N95" s="59">
        <f t="shared" si="68"/>
        <v>0.12727922061357855</v>
      </c>
      <c r="O95" s="20"/>
      <c r="P95" s="71">
        <f t="shared" ref="P95" si="71">M95*0.001/H95</f>
        <v>1.0825163999999999E-3</v>
      </c>
      <c r="Q95" s="71">
        <f t="shared" ref="Q95" si="72">M95/H95^2</f>
        <v>0.64886033015999989</v>
      </c>
      <c r="R95" s="59">
        <f t="shared" si="63"/>
        <v>2.2264993369110235</v>
      </c>
      <c r="T95" s="74"/>
      <c r="V95" s="74">
        <v>6.5</v>
      </c>
      <c r="W95" s="78">
        <v>6.8931000000001716E-5</v>
      </c>
      <c r="X95" s="37">
        <f>W95*1000</f>
        <v>6.8931000000001713E-2</v>
      </c>
      <c r="Y95" s="18">
        <f>X95*1000</f>
        <v>68.931000000001717</v>
      </c>
    </row>
    <row r="96" spans="1:35" x14ac:dyDescent="0.25">
      <c r="A96" s="20"/>
      <c r="B96" s="20">
        <v>6</v>
      </c>
      <c r="C96" s="20">
        <v>290</v>
      </c>
      <c r="D96" s="20">
        <f t="shared" si="70"/>
        <v>350</v>
      </c>
      <c r="E96" s="20">
        <v>0.5</v>
      </c>
      <c r="F96" s="20">
        <f t="shared" ref="F96:F97" si="73">D96-C96</f>
        <v>60</v>
      </c>
      <c r="G96" s="70">
        <f t="shared" ref="G96:G97" si="74">E96/(F96)</f>
        <v>8.3333333333333332E-3</v>
      </c>
      <c r="H96" s="59">
        <f t="shared" ref="H96:H97" si="75">F96*$N$3</f>
        <v>2.0020020020020022</v>
      </c>
      <c r="I96" s="59">
        <f t="shared" ref="I96:I97" si="76">E96*$N$3</f>
        <v>1.6683350016683352E-2</v>
      </c>
      <c r="J96" s="20"/>
      <c r="K96" s="20">
        <v>-7.9390000000000001</v>
      </c>
      <c r="L96" s="59">
        <v>-5.8540000000000001</v>
      </c>
      <c r="M96" s="20">
        <f t="shared" ref="M96:M104" si="77">L96-K96</f>
        <v>2.085</v>
      </c>
      <c r="N96" s="59">
        <f t="shared" si="68"/>
        <v>0.12727922061357855</v>
      </c>
      <c r="O96" s="20"/>
      <c r="P96" s="71">
        <f t="shared" ref="P96:P104" si="78">M96*0.001/H96</f>
        <v>1.0414574999999999E-3</v>
      </c>
      <c r="Q96" s="71">
        <f t="shared" ref="Q96:Q104" si="79">M96/H96^2</f>
        <v>0.52020802124999999</v>
      </c>
      <c r="R96" s="59">
        <f t="shared" si="63"/>
        <v>2.0608040761818747</v>
      </c>
      <c r="V96">
        <v>8</v>
      </c>
      <c r="W96" s="78">
        <v>3.7762199999999836E-4</v>
      </c>
      <c r="X96" s="37">
        <f t="shared" ref="X96:Y97" si="80">W96*1000</f>
        <v>0.37762199999999835</v>
      </c>
      <c r="Y96" s="18">
        <f t="shared" si="80"/>
        <v>377.62199999999837</v>
      </c>
    </row>
    <row r="97" spans="1:25" x14ac:dyDescent="0.25">
      <c r="A97" s="20"/>
      <c r="B97" s="20">
        <v>7</v>
      </c>
      <c r="C97" s="19">
        <v>290</v>
      </c>
      <c r="D97" s="20">
        <f>D96+10</f>
        <v>360</v>
      </c>
      <c r="E97" s="20">
        <v>0.5</v>
      </c>
      <c r="F97" s="20">
        <f t="shared" si="73"/>
        <v>70</v>
      </c>
      <c r="G97" s="70">
        <f t="shared" si="74"/>
        <v>7.1428571428571426E-3</v>
      </c>
      <c r="H97" s="59">
        <f t="shared" si="75"/>
        <v>2.3356690023356692</v>
      </c>
      <c r="I97" s="59">
        <f t="shared" si="76"/>
        <v>1.6683350016683352E-2</v>
      </c>
      <c r="J97" s="20"/>
      <c r="K97" s="20">
        <v>-7.9390000000000001</v>
      </c>
      <c r="L97" s="20">
        <v>-5.6529999999999996</v>
      </c>
      <c r="M97" s="20">
        <f t="shared" si="77"/>
        <v>2.2860000000000005</v>
      </c>
      <c r="N97" s="59">
        <f t="shared" si="68"/>
        <v>0.12727922061357855</v>
      </c>
      <c r="O97" s="20"/>
      <c r="P97" s="71">
        <f t="shared" si="78"/>
        <v>9.7873457142857155E-4</v>
      </c>
      <c r="Q97" s="71">
        <f t="shared" si="79"/>
        <v>0.41903821579591838</v>
      </c>
      <c r="R97" s="59">
        <f t="shared" si="63"/>
        <v>1.8200505864879923</v>
      </c>
      <c r="V97">
        <v>9.5</v>
      </c>
      <c r="W97" s="78">
        <v>6.2637299999999886E-4</v>
      </c>
      <c r="X97" s="37">
        <f t="shared" si="80"/>
        <v>0.62637299999999885</v>
      </c>
      <c r="Y97" s="18">
        <f t="shared" si="80"/>
        <v>626.3729999999988</v>
      </c>
    </row>
    <row r="98" spans="1:25" x14ac:dyDescent="0.25">
      <c r="A98" s="20"/>
      <c r="B98" s="20">
        <v>8</v>
      </c>
      <c r="C98" s="20">
        <v>290</v>
      </c>
      <c r="D98" s="20">
        <f>D97+20</f>
        <v>380</v>
      </c>
      <c r="E98" s="20">
        <v>0.5</v>
      </c>
      <c r="F98" s="20">
        <f t="shared" ref="F98:F105" si="81">D98-C98</f>
        <v>90</v>
      </c>
      <c r="G98" s="70">
        <f t="shared" ref="G98:G105" si="82">E98/(F98)</f>
        <v>5.5555555555555558E-3</v>
      </c>
      <c r="H98" s="59">
        <f t="shared" ref="H98:H105" si="83">F98*$N$3</f>
        <v>3.0030030030030033</v>
      </c>
      <c r="I98" s="59">
        <f t="shared" ref="I98:I105" si="84">E98*$N$3</f>
        <v>1.6683350016683352E-2</v>
      </c>
      <c r="J98" s="20"/>
      <c r="K98" s="20">
        <v>-7.9390000000000001</v>
      </c>
      <c r="L98" s="20">
        <v>-5.4119999999999999</v>
      </c>
      <c r="M98" s="20">
        <f t="shared" si="77"/>
        <v>2.5270000000000001</v>
      </c>
      <c r="N98" s="59">
        <f t="shared" si="68"/>
        <v>0.12727922061357855</v>
      </c>
      <c r="O98" s="20"/>
      <c r="P98" s="71">
        <f t="shared" si="78"/>
        <v>8.4149099999999998E-4</v>
      </c>
      <c r="Q98" s="71">
        <f t="shared" si="79"/>
        <v>0.28021650300000001</v>
      </c>
      <c r="R98" s="59">
        <f t="shared" si="63"/>
        <v>1.3454034958539003</v>
      </c>
      <c r="T98" s="25"/>
    </row>
    <row r="99" spans="1:25" x14ac:dyDescent="0.25">
      <c r="A99" s="20"/>
      <c r="B99" s="20">
        <v>9</v>
      </c>
      <c r="C99" s="20">
        <v>290</v>
      </c>
      <c r="D99" s="20">
        <f>D98+40</f>
        <v>420</v>
      </c>
      <c r="E99" s="20">
        <v>0.5</v>
      </c>
      <c r="F99" s="20">
        <f t="shared" si="81"/>
        <v>130</v>
      </c>
      <c r="G99" s="70">
        <f t="shared" si="82"/>
        <v>3.8461538461538464E-3</v>
      </c>
      <c r="H99" s="59">
        <f t="shared" si="83"/>
        <v>4.3376710043376718</v>
      </c>
      <c r="I99" s="59">
        <f t="shared" si="84"/>
        <v>1.6683350016683352E-2</v>
      </c>
      <c r="J99" s="20"/>
      <c r="K99" s="20">
        <v>-7.9390000000000001</v>
      </c>
      <c r="L99" s="20">
        <v>-4.8890000000000002</v>
      </c>
      <c r="M99" s="20">
        <f t="shared" si="77"/>
        <v>3.05</v>
      </c>
      <c r="N99" s="59">
        <f t="shared" si="68"/>
        <v>0.12727922061357855</v>
      </c>
      <c r="O99" s="20"/>
      <c r="P99" s="71">
        <f t="shared" si="78"/>
        <v>7.0314230769230753E-4</v>
      </c>
      <c r="Q99" s="71">
        <f t="shared" si="79"/>
        <v>0.16210134585798811</v>
      </c>
      <c r="R99" s="59">
        <f t="shared" si="63"/>
        <v>0.93937729924704094</v>
      </c>
    </row>
    <row r="100" spans="1:25" x14ac:dyDescent="0.25">
      <c r="A100" s="20"/>
      <c r="B100" s="20">
        <v>10</v>
      </c>
      <c r="C100" s="20">
        <v>290</v>
      </c>
      <c r="D100" s="20">
        <f>D99+80</f>
        <v>500</v>
      </c>
      <c r="E100" s="20">
        <v>0.5</v>
      </c>
      <c r="F100" s="20">
        <f t="shared" si="81"/>
        <v>210</v>
      </c>
      <c r="G100" s="70">
        <f t="shared" si="82"/>
        <v>2.3809523809523812E-3</v>
      </c>
      <c r="H100" s="59">
        <f t="shared" si="83"/>
        <v>7.0070070070070081</v>
      </c>
      <c r="I100" s="59">
        <f t="shared" si="84"/>
        <v>1.6683350016683352E-2</v>
      </c>
      <c r="J100" s="20"/>
      <c r="K100" s="20">
        <v>-7.9390000000000001</v>
      </c>
      <c r="L100" s="20">
        <v>-3.9540000000000002</v>
      </c>
      <c r="M100" s="20">
        <f t="shared" si="77"/>
        <v>3.9849999999999999</v>
      </c>
      <c r="N100" s="59">
        <f t="shared" si="68"/>
        <v>0.12727922061357855</v>
      </c>
      <c r="O100" s="20"/>
      <c r="P100" s="71">
        <f t="shared" si="78"/>
        <v>5.6871642857142849E-4</v>
      </c>
      <c r="Q100" s="71">
        <f t="shared" si="79"/>
        <v>8.1163958877550998E-2</v>
      </c>
      <c r="R100" s="59">
        <f t="shared" si="63"/>
        <v>0.61453291464137738</v>
      </c>
    </row>
    <row r="101" spans="1:25" x14ac:dyDescent="0.25">
      <c r="A101" s="20"/>
      <c r="B101" s="20">
        <v>11</v>
      </c>
      <c r="C101" s="20">
        <v>290</v>
      </c>
      <c r="D101" s="20">
        <f>D100+160</f>
        <v>660</v>
      </c>
      <c r="E101" s="20">
        <v>0.5</v>
      </c>
      <c r="F101" s="20">
        <f t="shared" si="81"/>
        <v>370</v>
      </c>
      <c r="G101" s="70">
        <f t="shared" si="82"/>
        <v>1.3513513513513514E-3</v>
      </c>
      <c r="H101" s="59">
        <f t="shared" si="83"/>
        <v>12.345679012345681</v>
      </c>
      <c r="I101" s="59">
        <f t="shared" si="84"/>
        <v>1.6683350016683352E-2</v>
      </c>
      <c r="J101" s="20"/>
      <c r="K101" s="20">
        <v>-7.9390000000000001</v>
      </c>
      <c r="L101" s="20">
        <v>-2.35</v>
      </c>
      <c r="M101" s="20">
        <f t="shared" si="77"/>
        <v>5.5890000000000004</v>
      </c>
      <c r="N101" s="59">
        <f t="shared" si="68"/>
        <v>0.12727922061357855</v>
      </c>
      <c r="O101" s="20"/>
      <c r="P101" s="71">
        <f t="shared" si="78"/>
        <v>4.5270899999999998E-4</v>
      </c>
      <c r="Q101" s="71">
        <f t="shared" si="79"/>
        <v>3.6669428999999996E-2</v>
      </c>
      <c r="R101" s="59">
        <f t="shared" si="63"/>
        <v>0.38939633349390002</v>
      </c>
      <c r="W101" s="22"/>
    </row>
    <row r="102" spans="1:25" x14ac:dyDescent="0.25">
      <c r="A102" s="20"/>
      <c r="B102" s="20">
        <v>12</v>
      </c>
      <c r="C102" s="20">
        <v>290</v>
      </c>
      <c r="D102" s="20">
        <f>D101+320</f>
        <v>980</v>
      </c>
      <c r="E102" s="20">
        <v>0.5</v>
      </c>
      <c r="F102" s="20">
        <f t="shared" si="81"/>
        <v>690</v>
      </c>
      <c r="G102" s="70">
        <f t="shared" si="82"/>
        <v>7.246376811594203E-4</v>
      </c>
      <c r="H102" s="59">
        <f t="shared" si="83"/>
        <v>23.023023023023026</v>
      </c>
      <c r="I102" s="59">
        <f t="shared" si="84"/>
        <v>1.6683350016683352E-2</v>
      </c>
      <c r="J102" s="20"/>
      <c r="K102" s="20">
        <v>-7.9390000000000001</v>
      </c>
      <c r="L102" s="20">
        <v>0</v>
      </c>
      <c r="M102" s="20">
        <f t="shared" si="77"/>
        <v>7.9390000000000001</v>
      </c>
      <c r="N102" s="59">
        <f t="shared" si="68"/>
        <v>0.12727922061357855</v>
      </c>
      <c r="O102" s="20"/>
      <c r="P102" s="71">
        <f t="shared" si="78"/>
        <v>3.4482873913043474E-4</v>
      </c>
      <c r="Q102" s="71">
        <f t="shared" si="79"/>
        <v>1.4977561321361054E-2</v>
      </c>
      <c r="R102" s="59">
        <f t="shared" si="63"/>
        <v>0.22592303272754227</v>
      </c>
    </row>
    <row r="103" spans="1:25" x14ac:dyDescent="0.25">
      <c r="A103" s="20"/>
      <c r="B103" s="20">
        <v>13</v>
      </c>
      <c r="C103" s="20">
        <v>290</v>
      </c>
      <c r="D103" s="20">
        <f>D102+640</f>
        <v>1620</v>
      </c>
      <c r="E103" s="20">
        <v>0.5</v>
      </c>
      <c r="F103" s="20">
        <f t="shared" si="81"/>
        <v>1330</v>
      </c>
      <c r="G103" s="70">
        <f t="shared" si="82"/>
        <v>3.7593984962406017E-4</v>
      </c>
      <c r="H103" s="59">
        <f t="shared" si="83"/>
        <v>44.377711044377719</v>
      </c>
      <c r="I103" s="59">
        <f t="shared" si="84"/>
        <v>1.6683350016683352E-2</v>
      </c>
      <c r="J103" s="20"/>
      <c r="K103" s="20">
        <v>-7.9390000000000001</v>
      </c>
      <c r="L103" s="20">
        <v>3.4420000000000002</v>
      </c>
      <c r="M103" s="20">
        <f t="shared" si="77"/>
        <v>11.381</v>
      </c>
      <c r="N103" s="59">
        <f t="shared" si="68"/>
        <v>0.12727922061357855</v>
      </c>
      <c r="O103" s="20"/>
      <c r="P103" s="71">
        <f t="shared" si="78"/>
        <v>2.5645757142857137E-4</v>
      </c>
      <c r="Q103" s="71">
        <f t="shared" si="79"/>
        <v>5.7789724930182576E-3</v>
      </c>
      <c r="R103" s="59">
        <f t="shared" si="63"/>
        <v>0.12496392329177751</v>
      </c>
    </row>
    <row r="104" spans="1:25" x14ac:dyDescent="0.25">
      <c r="A104" s="20"/>
      <c r="B104" s="20">
        <v>14</v>
      </c>
      <c r="C104" s="20">
        <v>290</v>
      </c>
      <c r="D104" s="20">
        <f>D103+640</f>
        <v>2260</v>
      </c>
      <c r="E104" s="20">
        <v>0.5</v>
      </c>
      <c r="F104" s="20">
        <f t="shared" si="81"/>
        <v>1970</v>
      </c>
      <c r="G104" s="70">
        <f t="shared" si="82"/>
        <v>2.5380710659898478E-4</v>
      </c>
      <c r="H104" s="59">
        <f t="shared" si="83"/>
        <v>65.732399065732409</v>
      </c>
      <c r="I104" s="59">
        <f t="shared" si="84"/>
        <v>1.6683350016683352E-2</v>
      </c>
      <c r="J104" s="20"/>
      <c r="K104" s="20">
        <v>-7.9390000000000001</v>
      </c>
      <c r="L104" s="20">
        <v>5.085</v>
      </c>
      <c r="M104" s="20">
        <f t="shared" si="77"/>
        <v>13.024000000000001</v>
      </c>
      <c r="N104" s="59">
        <f t="shared" si="68"/>
        <v>0.12727922061357855</v>
      </c>
      <c r="O104" s="20"/>
      <c r="P104" s="71">
        <f t="shared" si="78"/>
        <v>1.9813669035532994E-4</v>
      </c>
      <c r="Q104" s="71">
        <f t="shared" si="79"/>
        <v>3.0142926954057044E-3</v>
      </c>
      <c r="R104" s="59">
        <f t="shared" si="63"/>
        <v>7.4590481323431407E-2</v>
      </c>
    </row>
    <row r="105" spans="1:25" x14ac:dyDescent="0.25">
      <c r="A105" s="20" t="s">
        <v>254</v>
      </c>
      <c r="B105" s="20">
        <v>15</v>
      </c>
      <c r="C105" s="20">
        <v>290</v>
      </c>
      <c r="D105" s="20">
        <v>22917</v>
      </c>
      <c r="E105" s="20">
        <v>0.5</v>
      </c>
      <c r="F105" s="20">
        <f t="shared" si="81"/>
        <v>22627</v>
      </c>
      <c r="G105" s="70">
        <f t="shared" si="82"/>
        <v>2.2097494144164052E-5</v>
      </c>
      <c r="H105" s="59">
        <f t="shared" si="83"/>
        <v>754.98832165498845</v>
      </c>
      <c r="I105" s="59">
        <f t="shared" si="84"/>
        <v>1.6683350016683352E-2</v>
      </c>
      <c r="J105" s="20"/>
      <c r="K105" s="20">
        <v>-7.9390000000000001</v>
      </c>
      <c r="L105" s="20">
        <f>10.141</f>
        <v>10.141</v>
      </c>
      <c r="M105" s="20">
        <f>L105-K105</f>
        <v>18.079999999999998</v>
      </c>
      <c r="N105" s="59">
        <f t="shared" si="68"/>
        <v>0.12727922061357855</v>
      </c>
      <c r="O105" s="20"/>
      <c r="P105" s="71">
        <f>M105*0.001/H105</f>
        <v>2.3947390285941568E-5</v>
      </c>
      <c r="Q105" s="71">
        <f>M105/H105^2</f>
        <v>3.1718888357699587E-5</v>
      </c>
      <c r="R105" s="59">
        <f t="shared" si="63"/>
        <v>1.0896072528636959E-3</v>
      </c>
    </row>
    <row r="107" spans="1:25" x14ac:dyDescent="0.25">
      <c r="P107" s="25"/>
      <c r="Q107" s="25"/>
    </row>
    <row r="110" spans="1:25" x14ac:dyDescent="0.25">
      <c r="A110" t="s">
        <v>127</v>
      </c>
    </row>
    <row r="111" spans="1:25" x14ac:dyDescent="0.25">
      <c r="C111" t="s">
        <v>70</v>
      </c>
      <c r="S111" t="s">
        <v>160</v>
      </c>
    </row>
    <row r="112" spans="1:25" x14ac:dyDescent="0.25">
      <c r="C112" t="s">
        <v>61</v>
      </c>
      <c r="S112" t="s">
        <v>180</v>
      </c>
    </row>
    <row r="113" spans="1:29" x14ac:dyDescent="0.25">
      <c r="A113" t="s">
        <v>64</v>
      </c>
      <c r="B113" t="s">
        <v>60</v>
      </c>
      <c r="C113" t="s">
        <v>129</v>
      </c>
      <c r="D113" t="s">
        <v>128</v>
      </c>
      <c r="E113" t="s">
        <v>130</v>
      </c>
      <c r="F113" t="s">
        <v>132</v>
      </c>
      <c r="G113" t="s">
        <v>131</v>
      </c>
      <c r="I113" t="s">
        <v>137</v>
      </c>
      <c r="N113" t="s">
        <v>78</v>
      </c>
      <c r="T113" t="s">
        <v>99</v>
      </c>
      <c r="U113" t="s">
        <v>100</v>
      </c>
      <c r="V113" t="s">
        <v>98</v>
      </c>
    </row>
    <row r="114" spans="1:29" x14ac:dyDescent="0.25">
      <c r="A114">
        <v>6.5</v>
      </c>
      <c r="B114">
        <v>1</v>
      </c>
      <c r="C114">
        <v>307</v>
      </c>
      <c r="D114">
        <v>6641</v>
      </c>
      <c r="E114">
        <f>7637-D114</f>
        <v>996</v>
      </c>
      <c r="F114">
        <f>D114-C114</f>
        <v>6334</v>
      </c>
      <c r="G114" s="24">
        <f>E114/(F114)</f>
        <v>0.157246605620461</v>
      </c>
      <c r="I114">
        <f>F114*$N$3</f>
        <v>211.34467801134471</v>
      </c>
      <c r="J114" s="36">
        <f>E114*$N$3</f>
        <v>33.233233233233236</v>
      </c>
      <c r="N114" s="36">
        <f>(D114-C114)*$N$3</f>
        <v>211.34467801134471</v>
      </c>
      <c r="O114" s="36">
        <f>E114*$N$3</f>
        <v>33.233233233233236</v>
      </c>
      <c r="S114" t="s">
        <v>156</v>
      </c>
      <c r="T114">
        <v>-1.389998476034939E-2</v>
      </c>
      <c r="U114">
        <v>0.89989679608823703</v>
      </c>
      <c r="V114">
        <v>14.515883038818</v>
      </c>
    </row>
    <row r="115" spans="1:29" x14ac:dyDescent="0.25">
      <c r="A115">
        <v>6.5</v>
      </c>
      <c r="B115">
        <v>2</v>
      </c>
      <c r="C115">
        <v>1805</v>
      </c>
      <c r="D115">
        <v>6336</v>
      </c>
      <c r="E115">
        <f>6440-D115</f>
        <v>104</v>
      </c>
      <c r="F115">
        <f t="shared" ref="F115:F118" si="85">D115-C115</f>
        <v>4531</v>
      </c>
      <c r="G115" s="24">
        <f t="shared" ref="G115:G118" si="86">E115/(F115)</f>
        <v>2.295299050982123E-2</v>
      </c>
      <c r="I115">
        <f t="shared" ref="I115:I134" si="87">F115*$N$3</f>
        <v>151.18451785118452</v>
      </c>
      <c r="J115" s="36">
        <f t="shared" ref="J115:J118" si="88">E115*$N$3</f>
        <v>3.4701368034701372</v>
      </c>
      <c r="N115" s="36">
        <f t="shared" ref="N115:N118" si="89">(D115-C115)*$N$3</f>
        <v>151.18451785118452</v>
      </c>
      <c r="O115" s="36">
        <f t="shared" ref="O115:O118" si="90">E115*$N$3</f>
        <v>3.4701368034701372</v>
      </c>
      <c r="S115" t="s">
        <v>157</v>
      </c>
      <c r="T115">
        <v>-2.091094250947912E-2</v>
      </c>
      <c r="U115">
        <v>1.2983697920693853</v>
      </c>
      <c r="V115">
        <v>7.9754609563842784</v>
      </c>
    </row>
    <row r="116" spans="1:29" x14ac:dyDescent="0.25">
      <c r="A116">
        <v>6.5</v>
      </c>
      <c r="B116">
        <v>3</v>
      </c>
      <c r="C116">
        <v>1211</v>
      </c>
      <c r="D116">
        <v>5394</v>
      </c>
      <c r="E116">
        <f>6342-D116</f>
        <v>948</v>
      </c>
      <c r="F116">
        <f t="shared" si="85"/>
        <v>4183</v>
      </c>
      <c r="G116" s="24">
        <f t="shared" si="86"/>
        <v>0.22663160411188144</v>
      </c>
      <c r="I116">
        <f t="shared" si="87"/>
        <v>139.57290623957292</v>
      </c>
      <c r="J116" s="36">
        <f t="shared" si="88"/>
        <v>31.631631631631635</v>
      </c>
      <c r="N116" s="36">
        <f t="shared" si="89"/>
        <v>139.57290623957292</v>
      </c>
      <c r="O116" s="36">
        <f t="shared" si="90"/>
        <v>31.631631631631635</v>
      </c>
    </row>
    <row r="117" spans="1:29" x14ac:dyDescent="0.25">
      <c r="A117">
        <v>6.5</v>
      </c>
      <c r="B117">
        <v>4</v>
      </c>
      <c r="C117">
        <v>453</v>
      </c>
      <c r="D117">
        <v>7852</v>
      </c>
      <c r="E117">
        <f>9014-D117</f>
        <v>1162</v>
      </c>
      <c r="F117">
        <f t="shared" si="85"/>
        <v>7399</v>
      </c>
      <c r="G117" s="24">
        <f t="shared" si="86"/>
        <v>0.15704824976348156</v>
      </c>
      <c r="I117">
        <f t="shared" si="87"/>
        <v>246.88021354688024</v>
      </c>
      <c r="J117" s="36">
        <f t="shared" si="88"/>
        <v>38.772105438772108</v>
      </c>
      <c r="N117" s="36">
        <f t="shared" si="89"/>
        <v>246.88021354688024</v>
      </c>
      <c r="O117" s="36">
        <f t="shared" si="90"/>
        <v>38.772105438772108</v>
      </c>
      <c r="T117" t="s">
        <v>99</v>
      </c>
      <c r="U117" t="s">
        <v>100</v>
      </c>
      <c r="V117" t="s">
        <v>98</v>
      </c>
    </row>
    <row r="118" spans="1:29" x14ac:dyDescent="0.25">
      <c r="A118">
        <v>6.5</v>
      </c>
      <c r="B118">
        <v>5</v>
      </c>
      <c r="C118">
        <v>909</v>
      </c>
      <c r="D118">
        <v>5682</v>
      </c>
      <c r="E118">
        <f>6728-D118</f>
        <v>1046</v>
      </c>
      <c r="F118">
        <f t="shared" si="85"/>
        <v>4773</v>
      </c>
      <c r="G118" s="24">
        <f t="shared" si="86"/>
        <v>0.2191493819400796</v>
      </c>
      <c r="I118">
        <f t="shared" si="87"/>
        <v>159.25925925925927</v>
      </c>
      <c r="J118" s="36">
        <f t="shared" si="88"/>
        <v>34.901568234901575</v>
      </c>
      <c r="N118" s="36">
        <f t="shared" si="89"/>
        <v>159.25925925925927</v>
      </c>
      <c r="O118" s="36">
        <f t="shared" si="90"/>
        <v>34.901568234901575</v>
      </c>
      <c r="S118" t="s">
        <v>156</v>
      </c>
      <c r="T118">
        <v>-1.4914141614841576E-2</v>
      </c>
      <c r="U118">
        <v>1.0469994939154017</v>
      </c>
      <c r="V118">
        <v>10.521348048105278</v>
      </c>
    </row>
    <row r="119" spans="1:29" x14ac:dyDescent="0.25">
      <c r="E119" t="s">
        <v>110</v>
      </c>
      <c r="F119" s="37">
        <f>AVERAGE(F114:F118)</f>
        <v>5444</v>
      </c>
      <c r="G119" s="40"/>
      <c r="I119" s="37">
        <f>AVERAGE(I114:I118)</f>
        <v>181.64831498164833</v>
      </c>
      <c r="J119" s="37">
        <f>AVERAGE(J114:J118)</f>
        <v>28.401735068401742</v>
      </c>
      <c r="K119" s="24">
        <f>J119/I119</f>
        <v>0.15635562086700958</v>
      </c>
      <c r="M119" t="s">
        <v>80</v>
      </c>
      <c r="N119">
        <f>_xlfn.STDEV.S(N114:N118)</f>
        <v>45.652840383089107</v>
      </c>
      <c r="S119" t="s">
        <v>159</v>
      </c>
      <c r="T119">
        <v>-2.0091009768473077E-2</v>
      </c>
      <c r="U119">
        <v>1.278384028902815</v>
      </c>
      <c r="V119">
        <v>8.3624073064005771</v>
      </c>
    </row>
    <row r="120" spans="1:29" x14ac:dyDescent="0.25">
      <c r="E120" t="s">
        <v>143</v>
      </c>
      <c r="F120" s="37">
        <f>_xlfn.STDEV.S(F114:F118)</f>
        <v>1368.2156262811793</v>
      </c>
      <c r="G120" s="24">
        <f>F120/F119</f>
        <v>0.25132542731101754</v>
      </c>
      <c r="I120" s="37">
        <f>_xlfn.STDEV.S(I114:I118)</f>
        <v>45.652840383089107</v>
      </c>
      <c r="J120" s="24">
        <f>I120/I119</f>
        <v>0.2513254273110177</v>
      </c>
      <c r="M120" t="s">
        <v>81</v>
      </c>
      <c r="N120">
        <v>0.24300001750332495</v>
      </c>
    </row>
    <row r="121" spans="1:29" x14ac:dyDescent="0.25">
      <c r="G121" s="24"/>
      <c r="J121" s="36"/>
      <c r="T121" t="s">
        <v>99</v>
      </c>
      <c r="U121" t="s">
        <v>100</v>
      </c>
      <c r="V121" t="s">
        <v>98</v>
      </c>
    </row>
    <row r="122" spans="1:29" x14ac:dyDescent="0.25">
      <c r="A122">
        <v>8</v>
      </c>
      <c r="B122">
        <v>1</v>
      </c>
      <c r="C122">
        <v>1201</v>
      </c>
      <c r="D122">
        <v>1862</v>
      </c>
      <c r="E122">
        <f>1980-D122</f>
        <v>118</v>
      </c>
      <c r="F122">
        <f t="shared" ref="F122:F134" si="91">D122-C122</f>
        <v>661</v>
      </c>
      <c r="G122" s="24">
        <f t="shared" ref="G122:G134" si="92">E122/(F122)</f>
        <v>0.17851739788199697</v>
      </c>
      <c r="I122">
        <f t="shared" si="87"/>
        <v>22.05538872205539</v>
      </c>
      <c r="J122" s="36">
        <f>E122*$N$3</f>
        <v>3.9372706039372711</v>
      </c>
      <c r="N122" s="36">
        <f>(D122-C122)*$N$3</f>
        <v>22.05538872205539</v>
      </c>
      <c r="O122" s="36">
        <f>E122*$N$3</f>
        <v>3.9372706039372711</v>
      </c>
      <c r="S122" t="s">
        <v>156</v>
      </c>
      <c r="T122">
        <v>-8.7074003918710223E-3</v>
      </c>
      <c r="U122">
        <v>0.60860031963488526</v>
      </c>
      <c r="V122">
        <v>18.763377774187781</v>
      </c>
      <c r="X122" s="22"/>
    </row>
    <row r="123" spans="1:29" x14ac:dyDescent="0.25">
      <c r="A123">
        <v>8</v>
      </c>
      <c r="B123">
        <v>2</v>
      </c>
      <c r="C123">
        <v>301</v>
      </c>
      <c r="D123">
        <v>1136</v>
      </c>
      <c r="E123">
        <f>1236-D123</f>
        <v>100</v>
      </c>
      <c r="F123">
        <f t="shared" si="91"/>
        <v>835</v>
      </c>
      <c r="G123" s="24">
        <f t="shared" si="92"/>
        <v>0.11976047904191617</v>
      </c>
      <c r="I123">
        <f t="shared" si="87"/>
        <v>27.861194527861198</v>
      </c>
      <c r="J123" s="36">
        <f t="shared" ref="J123:J126" si="93">E123*$N$3</f>
        <v>3.3366700033366703</v>
      </c>
      <c r="N123" s="36">
        <f t="shared" ref="N123:N126" si="94">(D123-C123)*$N$3</f>
        <v>27.861194527861198</v>
      </c>
      <c r="O123" s="36">
        <f t="shared" ref="O123:O126" si="95">E123*$N$3</f>
        <v>3.3366700033366703</v>
      </c>
      <c r="S123" t="s">
        <v>158</v>
      </c>
      <c r="T123">
        <v>-1.0758886951427666E-2</v>
      </c>
      <c r="U123">
        <v>0.70232383434808954</v>
      </c>
      <c r="V123">
        <v>7.0072229645518274</v>
      </c>
      <c r="X123" s="22"/>
    </row>
    <row r="124" spans="1:29" x14ac:dyDescent="0.25">
      <c r="A124">
        <v>8</v>
      </c>
      <c r="B124">
        <v>3</v>
      </c>
      <c r="C124">
        <v>1056</v>
      </c>
      <c r="D124">
        <v>1831</v>
      </c>
      <c r="E124">
        <f>1902-D124</f>
        <v>71</v>
      </c>
      <c r="F124">
        <f t="shared" si="91"/>
        <v>775</v>
      </c>
      <c r="G124" s="24">
        <f t="shared" si="92"/>
        <v>9.1612903225806452E-2</v>
      </c>
      <c r="I124">
        <f t="shared" si="87"/>
        <v>25.859192525859196</v>
      </c>
      <c r="J124" s="36">
        <f t="shared" si="93"/>
        <v>2.369035702369036</v>
      </c>
      <c r="N124" s="36">
        <f t="shared" si="94"/>
        <v>25.859192525859196</v>
      </c>
      <c r="O124" s="36">
        <f t="shared" si="95"/>
        <v>2.369035702369036</v>
      </c>
    </row>
    <row r="125" spans="1:29" x14ac:dyDescent="0.25">
      <c r="A125">
        <v>8</v>
      </c>
      <c r="B125">
        <v>4</v>
      </c>
      <c r="C125">
        <v>910</v>
      </c>
      <c r="D125">
        <v>1891</v>
      </c>
      <c r="E125">
        <f>2005-D125</f>
        <v>114</v>
      </c>
      <c r="F125">
        <f t="shared" si="91"/>
        <v>981</v>
      </c>
      <c r="G125" s="24">
        <f t="shared" si="92"/>
        <v>0.11620795107033639</v>
      </c>
      <c r="I125">
        <f t="shared" si="87"/>
        <v>32.732732732732735</v>
      </c>
      <c r="J125" s="36">
        <f t="shared" si="93"/>
        <v>3.8038038038038042</v>
      </c>
      <c r="N125" s="36">
        <f t="shared" si="94"/>
        <v>32.732732732732735</v>
      </c>
      <c r="O125" s="36">
        <f t="shared" si="95"/>
        <v>3.8038038038038042</v>
      </c>
    </row>
    <row r="126" spans="1:29" x14ac:dyDescent="0.25">
      <c r="A126">
        <v>8</v>
      </c>
      <c r="B126">
        <v>5</v>
      </c>
      <c r="C126">
        <v>2203</v>
      </c>
      <c r="D126">
        <v>3210</v>
      </c>
      <c r="E126">
        <f>3315-D126</f>
        <v>105</v>
      </c>
      <c r="F126">
        <f t="shared" si="91"/>
        <v>1007</v>
      </c>
      <c r="G126" s="24">
        <f t="shared" si="92"/>
        <v>0.10427010923535253</v>
      </c>
      <c r="I126">
        <f t="shared" si="87"/>
        <v>33.600266933600274</v>
      </c>
      <c r="J126" s="36">
        <f t="shared" si="93"/>
        <v>3.503503503503504</v>
      </c>
      <c r="N126" s="36">
        <f t="shared" si="94"/>
        <v>33.600266933600274</v>
      </c>
      <c r="O126" s="36">
        <f t="shared" si="95"/>
        <v>3.503503503503504</v>
      </c>
      <c r="S126" t="s">
        <v>181</v>
      </c>
      <c r="AC126" s="73"/>
    </row>
    <row r="127" spans="1:29" x14ac:dyDescent="0.25">
      <c r="E127" t="s">
        <v>110</v>
      </c>
      <c r="F127" s="37">
        <f>AVERAGE(F122:F126)</f>
        <v>851.8</v>
      </c>
      <c r="G127" s="40"/>
      <c r="I127" s="37">
        <f>AVERAGE(I122:I126)</f>
        <v>28.421755088421758</v>
      </c>
      <c r="J127" s="37">
        <f>AVERAGE(J122:J126)</f>
        <v>3.3900567233900576</v>
      </c>
      <c r="K127" s="24">
        <f>J127/I127</f>
        <v>0.11927682554590281</v>
      </c>
      <c r="M127" t="s">
        <v>80</v>
      </c>
      <c r="N127">
        <f>_xlfn.STDEV.S(N122:N126)</f>
        <v>4.8169774994364465</v>
      </c>
    </row>
    <row r="128" spans="1:29" x14ac:dyDescent="0.25">
      <c r="E128" t="s">
        <v>143</v>
      </c>
      <c r="F128" s="37">
        <f>_xlfn.STDEV.S(F122:F126)</f>
        <v>144.36481565810956</v>
      </c>
      <c r="G128" s="24">
        <f>F128/F127</f>
        <v>0.16948205641947589</v>
      </c>
      <c r="I128" s="37">
        <f>_xlfn.STDEV.S(I122:I126)</f>
        <v>4.8169774994364465</v>
      </c>
      <c r="J128" s="24"/>
      <c r="M128" t="s">
        <v>81</v>
      </c>
      <c r="N128">
        <v>0.24300001750332495</v>
      </c>
      <c r="T128" s="24"/>
      <c r="U128" s="24"/>
      <c r="V128" s="24"/>
    </row>
    <row r="129" spans="1:28" x14ac:dyDescent="0.25">
      <c r="G129" s="24"/>
      <c r="J129" s="36"/>
    </row>
    <row r="130" spans="1:28" x14ac:dyDescent="0.25">
      <c r="A130">
        <v>9.5</v>
      </c>
      <c r="B130">
        <v>1</v>
      </c>
      <c r="C130">
        <v>604</v>
      </c>
      <c r="D130">
        <v>1026</v>
      </c>
      <c r="E130">
        <f>1045-D130</f>
        <v>19</v>
      </c>
      <c r="F130">
        <f t="shared" si="91"/>
        <v>422</v>
      </c>
      <c r="G130" s="24">
        <f t="shared" si="92"/>
        <v>4.5023696682464455E-2</v>
      </c>
      <c r="I130">
        <f t="shared" si="87"/>
        <v>14.080747414080749</v>
      </c>
      <c r="J130" s="36">
        <f>E130*$N$3</f>
        <v>0.63396730063396733</v>
      </c>
      <c r="N130" s="36">
        <f>(D130-C130)*$N$3</f>
        <v>14.080747414080749</v>
      </c>
      <c r="O130" s="36">
        <f>E130*$N$3</f>
        <v>0.63396730063396733</v>
      </c>
    </row>
    <row r="131" spans="1:28" x14ac:dyDescent="0.25">
      <c r="A131">
        <v>9.5</v>
      </c>
      <c r="B131">
        <v>2</v>
      </c>
      <c r="C131">
        <v>456</v>
      </c>
      <c r="D131">
        <v>1117</v>
      </c>
      <c r="E131">
        <f>D131-1105</f>
        <v>12</v>
      </c>
      <c r="F131">
        <f t="shared" si="91"/>
        <v>661</v>
      </c>
      <c r="G131" s="24">
        <f t="shared" si="92"/>
        <v>1.8154311649016642E-2</v>
      </c>
      <c r="I131">
        <f t="shared" si="87"/>
        <v>22.05538872205539</v>
      </c>
      <c r="J131" s="36">
        <f t="shared" ref="J131:J134" si="96">E131*$N$3</f>
        <v>0.40040040040040048</v>
      </c>
      <c r="N131" s="36">
        <f t="shared" ref="N131:N134" si="97">(D131-C131)*$N$3</f>
        <v>22.05538872205539</v>
      </c>
      <c r="O131" s="36">
        <f t="shared" ref="O131:O134" si="98">E131*$N$3</f>
        <v>0.40040040040040048</v>
      </c>
    </row>
    <row r="132" spans="1:28" x14ac:dyDescent="0.25">
      <c r="A132">
        <v>9.5</v>
      </c>
      <c r="B132">
        <v>3</v>
      </c>
      <c r="C132">
        <v>291</v>
      </c>
      <c r="D132">
        <v>772</v>
      </c>
      <c r="E132">
        <f>D132-756</f>
        <v>16</v>
      </c>
      <c r="F132">
        <f t="shared" si="91"/>
        <v>481</v>
      </c>
      <c r="G132" s="24">
        <f t="shared" si="92"/>
        <v>3.3264033264033266E-2</v>
      </c>
      <c r="I132">
        <f t="shared" si="87"/>
        <v>16.049382716049386</v>
      </c>
      <c r="J132" s="36">
        <f t="shared" si="96"/>
        <v>0.53386720053386727</v>
      </c>
      <c r="N132" s="36">
        <f t="shared" si="97"/>
        <v>16.049382716049386</v>
      </c>
      <c r="O132" s="36">
        <f t="shared" si="98"/>
        <v>0.53386720053386727</v>
      </c>
    </row>
    <row r="133" spans="1:28" x14ac:dyDescent="0.25">
      <c r="A133">
        <v>9.5</v>
      </c>
      <c r="B133">
        <v>4</v>
      </c>
      <c r="C133">
        <v>288</v>
      </c>
      <c r="D133">
        <v>759</v>
      </c>
      <c r="E133">
        <f>D133-736</f>
        <v>23</v>
      </c>
      <c r="F133">
        <f t="shared" si="91"/>
        <v>471</v>
      </c>
      <c r="G133" s="24">
        <f t="shared" si="92"/>
        <v>4.8832271762208071E-2</v>
      </c>
      <c r="I133">
        <f t="shared" si="87"/>
        <v>15.715715715715717</v>
      </c>
      <c r="J133" s="36">
        <f t="shared" si="96"/>
        <v>0.76743410076743424</v>
      </c>
      <c r="N133" s="36">
        <f t="shared" si="97"/>
        <v>15.715715715715717</v>
      </c>
      <c r="O133" s="36">
        <f t="shared" si="98"/>
        <v>0.76743410076743424</v>
      </c>
    </row>
    <row r="134" spans="1:28" x14ac:dyDescent="0.25">
      <c r="A134">
        <v>9.5</v>
      </c>
      <c r="B134">
        <v>5</v>
      </c>
      <c r="C134">
        <v>1196</v>
      </c>
      <c r="D134">
        <v>1562</v>
      </c>
      <c r="E134">
        <f>D134-1541</f>
        <v>21</v>
      </c>
      <c r="F134">
        <f t="shared" si="91"/>
        <v>366</v>
      </c>
      <c r="G134" s="24">
        <f t="shared" si="92"/>
        <v>5.737704918032787E-2</v>
      </c>
      <c r="I134">
        <f t="shared" si="87"/>
        <v>12.212212212212213</v>
      </c>
      <c r="J134" s="36">
        <f t="shared" si="96"/>
        <v>0.70070070070070078</v>
      </c>
      <c r="N134" s="36">
        <f t="shared" si="97"/>
        <v>12.212212212212213</v>
      </c>
      <c r="O134" s="36">
        <f t="shared" si="98"/>
        <v>0.70070070070070078</v>
      </c>
    </row>
    <row r="135" spans="1:28" x14ac:dyDescent="0.25">
      <c r="E135" t="s">
        <v>110</v>
      </c>
      <c r="F135" s="37">
        <f>AVERAGE(F130:F134)</f>
        <v>480.2</v>
      </c>
      <c r="G135" s="40"/>
      <c r="I135" s="37">
        <f>AVERAGE(I130:I134)</f>
        <v>16.022689356022688</v>
      </c>
      <c r="J135" s="37">
        <f>AVERAGE(J130:J134)</f>
        <v>0.60727394060727402</v>
      </c>
      <c r="K135" s="24">
        <f>J135/I135</f>
        <v>3.7900874635568522E-2</v>
      </c>
      <c r="M135" t="s">
        <v>80</v>
      </c>
      <c r="N135">
        <f>_xlfn.STDEV.S(N130:N134)</f>
        <v>3.7006513467773363</v>
      </c>
    </row>
    <row r="136" spans="1:28" x14ac:dyDescent="0.25">
      <c r="E136" t="s">
        <v>143</v>
      </c>
      <c r="F136" s="37">
        <f>_xlfn.STDEV.S(F130:F134)</f>
        <v>110.90852086291662</v>
      </c>
      <c r="G136" s="24">
        <f>F136/F135</f>
        <v>0.23096318380449107</v>
      </c>
      <c r="I136" s="37">
        <f>_xlfn.STDEV.S(I130:I134)</f>
        <v>3.7006513467773363</v>
      </c>
      <c r="J136" s="24"/>
      <c r="M136" t="s">
        <v>81</v>
      </c>
      <c r="N136">
        <v>0.24300001750332495</v>
      </c>
      <c r="AB136" t="s">
        <v>122</v>
      </c>
    </row>
    <row r="137" spans="1:28" x14ac:dyDescent="0.25">
      <c r="C137" t="s">
        <v>76</v>
      </c>
      <c r="AB137" s="39">
        <f>AA143/Z143</f>
        <v>1.7346848096835569E-2</v>
      </c>
    </row>
    <row r="138" spans="1:28" x14ac:dyDescent="0.25">
      <c r="V138" s="20"/>
      <c r="W138" s="20"/>
      <c r="X138" s="20"/>
      <c r="AB138" s="39">
        <f>AA144/Z144</f>
        <v>1.6835242420698424E-2</v>
      </c>
    </row>
    <row r="139" spans="1:28" x14ac:dyDescent="0.25">
      <c r="V139" s="20"/>
      <c r="W139" s="59"/>
      <c r="X139" s="20"/>
      <c r="AB139" s="24">
        <f>AA145/Z145</f>
        <v>9.7667924458734075E-3</v>
      </c>
    </row>
    <row r="140" spans="1:28" x14ac:dyDescent="0.25">
      <c r="V140" s="20"/>
      <c r="W140" s="20"/>
      <c r="X140" s="20"/>
    </row>
    <row r="141" spans="1:28" x14ac:dyDescent="0.25">
      <c r="B141" s="20"/>
      <c r="C141" t="s">
        <v>91</v>
      </c>
      <c r="D141" t="s">
        <v>92</v>
      </c>
      <c r="E141" s="20" t="s">
        <v>113</v>
      </c>
      <c r="F141" s="19" t="s">
        <v>101</v>
      </c>
      <c r="G141" s="20" t="s">
        <v>84</v>
      </c>
      <c r="H141" s="19" t="s">
        <v>101</v>
      </c>
      <c r="I141" s="46" t="s">
        <v>138</v>
      </c>
      <c r="J141" s="47" t="s">
        <v>101</v>
      </c>
      <c r="K141" s="20" t="s">
        <v>120</v>
      </c>
      <c r="L141" s="19" t="s">
        <v>94</v>
      </c>
      <c r="M141" s="19" t="s">
        <v>121</v>
      </c>
      <c r="N141" s="19" t="s">
        <v>94</v>
      </c>
      <c r="O141" s="46" t="s">
        <v>109</v>
      </c>
      <c r="P141" s="55" t="s">
        <v>101</v>
      </c>
      <c r="Q141" s="19" t="s">
        <v>112</v>
      </c>
      <c r="R141" s="19" t="s">
        <v>101</v>
      </c>
      <c r="S141" s="19" t="s">
        <v>111</v>
      </c>
      <c r="U141" t="s">
        <v>133</v>
      </c>
    </row>
    <row r="142" spans="1:28" x14ac:dyDescent="0.25">
      <c r="A142" t="s">
        <v>64</v>
      </c>
      <c r="B142" s="20" t="s">
        <v>60</v>
      </c>
      <c r="C142" t="s">
        <v>90</v>
      </c>
      <c r="E142" t="s">
        <v>86</v>
      </c>
      <c r="G142" t="s">
        <v>87</v>
      </c>
      <c r="I142" s="48"/>
      <c r="J142" s="49"/>
      <c r="K142" t="s">
        <v>88</v>
      </c>
      <c r="M142" t="s">
        <v>89</v>
      </c>
      <c r="N142" s="19"/>
      <c r="O142" s="48"/>
      <c r="P142" s="49"/>
      <c r="V142" t="s">
        <v>140</v>
      </c>
      <c r="W142" t="s">
        <v>101</v>
      </c>
      <c r="X142" t="s">
        <v>141</v>
      </c>
      <c r="Y142" t="s">
        <v>101</v>
      </c>
      <c r="Z142" t="s">
        <v>139</v>
      </c>
      <c r="AA142" t="s">
        <v>142</v>
      </c>
    </row>
    <row r="143" spans="1:28" x14ac:dyDescent="0.25">
      <c r="A143">
        <v>6.5</v>
      </c>
      <c r="B143">
        <v>1</v>
      </c>
      <c r="C143" s="36">
        <v>39</v>
      </c>
      <c r="D143" s="36">
        <f>C143/1.9</f>
        <v>20.526315789473685</v>
      </c>
      <c r="E143" s="36">
        <v>-7.9770000000000003</v>
      </c>
      <c r="F143" s="36">
        <f>E143*(((0/C143)^2)+((0.01/1.9)^2))^0.5</f>
        <v>-4.1984210526315797E-2</v>
      </c>
      <c r="G143" s="36">
        <v>-0.85993999999999993</v>
      </c>
      <c r="H143" s="36">
        <f>G143*(((0/E143)^2)+((0.01/1.9)^2))^0.5</f>
        <v>-4.5260000000000005E-3</v>
      </c>
      <c r="I143" s="50">
        <f>G143-E143</f>
        <v>7.1170600000000004</v>
      </c>
      <c r="J143" s="51">
        <f>(((F143)^2)+((H143)^2))^0.5</f>
        <v>4.2227462740709466E-2</v>
      </c>
      <c r="K143" s="36">
        <v>0.44130774562706065</v>
      </c>
      <c r="L143" s="36">
        <v>6.9323229198751095</v>
      </c>
      <c r="M143" s="36">
        <v>0.50700000000000145</v>
      </c>
      <c r="N143" s="36">
        <v>1.3271038803127976E-2</v>
      </c>
      <c r="O143" s="50">
        <v>232.6993660326994</v>
      </c>
      <c r="P143" s="56">
        <f>G5*$N$3</f>
        <v>2.1354688021354691</v>
      </c>
      <c r="Q143" s="25">
        <f>(I143*0.001)/O143</f>
        <v>3.0584784657298538E-5</v>
      </c>
      <c r="R143" s="25">
        <f>Q143*(((J143*0.001/I143*0.001)^2)+((P143/O143)^2))^0.5</f>
        <v>2.8067482335352965E-7</v>
      </c>
      <c r="S143" s="36">
        <f>(K143)/O143</f>
        <v>1.8964716283973338E-3</v>
      </c>
      <c r="U143">
        <v>6.5</v>
      </c>
      <c r="V143" s="36">
        <v>228.34834834834837</v>
      </c>
      <c r="W143" s="36">
        <v>3.7370704037370706</v>
      </c>
      <c r="X143" s="58">
        <f>I148*0.001</f>
        <v>7.2410119999999998E-3</v>
      </c>
      <c r="Y143" s="58">
        <f>J148*0.001</f>
        <v>4.1645866331102679E-5</v>
      </c>
      <c r="Z143" s="25">
        <f>X143/V143</f>
        <v>3.1710376065228823E-5</v>
      </c>
      <c r="AA143" s="25">
        <f>Z143*(((Y143/X143)^2)+((W143/V143)^2))^0.5</f>
        <v>5.500750766970548E-7</v>
      </c>
    </row>
    <row r="144" spans="1:28" x14ac:dyDescent="0.25">
      <c r="A144">
        <v>6.5</v>
      </c>
      <c r="B144">
        <v>2</v>
      </c>
      <c r="C144" s="36">
        <v>43.5</v>
      </c>
      <c r="D144" s="36">
        <f>C144/1.9</f>
        <v>22.894736842105264</v>
      </c>
      <c r="E144" s="36">
        <v>-7.8730000000000002</v>
      </c>
      <c r="F144" s="36">
        <f t="shared" ref="F144:F147" si="99">E144*(((0/C144)^2)+((0.01/1.9)^2))^0.5</f>
        <v>-4.1436842105263168E-2</v>
      </c>
      <c r="G144" s="36">
        <v>-0.59499999999999997</v>
      </c>
      <c r="H144" s="36">
        <f t="shared" ref="H144:H147" si="100">G144*(((0/E144)^2)+((0.01/1.9)^2))^0.5</f>
        <v>-3.1315789473684214E-3</v>
      </c>
      <c r="I144" s="50">
        <f t="shared" ref="I144:I165" si="101">G144-E144</f>
        <v>7.2780000000000005</v>
      </c>
      <c r="J144" s="51">
        <f t="shared" ref="J144:J165" si="102">(((F144)^2)+((H144)^2))^0.5</f>
        <v>4.1555007765131165E-2</v>
      </c>
      <c r="K144" s="36">
        <v>0.5095371993385065</v>
      </c>
      <c r="L144" s="36">
        <v>7.2122823362839004</v>
      </c>
      <c r="M144" s="36">
        <v>0.43199999999999861</v>
      </c>
      <c r="N144" s="36">
        <v>1.1307867382546846E-2</v>
      </c>
      <c r="O144" s="50">
        <v>255.02168835502172</v>
      </c>
      <c r="P144" s="56">
        <f>G6*$N$3</f>
        <v>1.5682349015682351</v>
      </c>
      <c r="Q144" s="25">
        <f t="shared" ref="Q144:Q147" si="103">(I144*0.001)/O144</f>
        <v>2.8538749182258274E-5</v>
      </c>
      <c r="R144" s="25">
        <f t="shared" ref="R144:R147" si="104">Q144*(((J144*0.001/I144*0.001)^2)+((P144/O144)^2))^0.5</f>
        <v>1.7549669129487336E-7</v>
      </c>
      <c r="S144" s="36">
        <f t="shared" ref="S144:S147" si="105">(K144)/O144</f>
        <v>1.9980151595152475E-3</v>
      </c>
      <c r="U144">
        <v>8</v>
      </c>
      <c r="V144" s="36">
        <v>266.17951284617959</v>
      </c>
      <c r="W144" s="36">
        <v>4.357691024357691</v>
      </c>
      <c r="X144" s="58">
        <f>I157*0.001</f>
        <v>1.1774560000000002E-2</v>
      </c>
      <c r="Y144" s="58">
        <f>J157*0.001</f>
        <v>4.6218111522968754E-5</v>
      </c>
      <c r="Z144" s="25">
        <f t="shared" ref="Z144:Z145" si="106">X144/V144</f>
        <v>4.4235410434477392E-5</v>
      </c>
      <c r="AA144" s="25">
        <f t="shared" ref="AA144:AA145" si="107">Z144*(((Y144/X144)^2)+((W144/V144)^2))^0.5</f>
        <v>7.4471385824351956E-7</v>
      </c>
      <c r="AB144" t="s">
        <v>122</v>
      </c>
    </row>
    <row r="145" spans="1:30" x14ac:dyDescent="0.25">
      <c r="A145">
        <v>6.5</v>
      </c>
      <c r="B145">
        <v>3</v>
      </c>
      <c r="C145" s="36">
        <v>44</v>
      </c>
      <c r="D145" s="36">
        <f t="shared" ref="D145:D156" si="108">C145/1.9</f>
        <v>23.157894736842106</v>
      </c>
      <c r="E145" s="36">
        <v>-7.8079999999999998</v>
      </c>
      <c r="F145" s="36">
        <f t="shared" si="99"/>
        <v>-4.1094736842105267E-2</v>
      </c>
      <c r="G145" s="36">
        <v>-0.83399999999999996</v>
      </c>
      <c r="H145" s="36">
        <f t="shared" si="100"/>
        <v>-4.3894736842105264E-3</v>
      </c>
      <c r="I145" s="50">
        <f t="shared" si="101"/>
        <v>6.9740000000000002</v>
      </c>
      <c r="J145" s="51">
        <f t="shared" si="102"/>
        <v>4.1328499553531586E-2</v>
      </c>
      <c r="K145" s="36">
        <v>0.45947310217320592</v>
      </c>
      <c r="L145" s="36">
        <v>6.9424064741086049</v>
      </c>
      <c r="M145" s="36">
        <v>0.45200000000000173</v>
      </c>
      <c r="N145" s="36">
        <v>2.0682724507691427E-2</v>
      </c>
      <c r="O145" s="50">
        <v>168.96896896896899</v>
      </c>
      <c r="P145" s="56">
        <f>G7*$N$3</f>
        <v>6.3063063063063067</v>
      </c>
      <c r="Q145" s="25">
        <f t="shared" si="103"/>
        <v>4.127385071090047E-5</v>
      </c>
      <c r="R145" s="25">
        <f t="shared" si="104"/>
        <v>1.5404340016509254E-6</v>
      </c>
      <c r="S145" s="36">
        <f t="shared" si="105"/>
        <v>2.7192750537383451E-3</v>
      </c>
      <c r="U145">
        <v>9.5</v>
      </c>
      <c r="V145" s="36">
        <v>767.43410076743419</v>
      </c>
      <c r="W145" s="36">
        <v>6.9202535869202553</v>
      </c>
      <c r="X145" s="58">
        <f>I166*0.001</f>
        <v>1.8081679999999999E-2</v>
      </c>
      <c r="Y145" s="58">
        <f>J166*0.001</f>
        <v>6.7840980822043797E-5</v>
      </c>
      <c r="Z145" s="25">
        <f t="shared" si="106"/>
        <v>2.3561215199999995E-5</v>
      </c>
      <c r="AA145" s="25">
        <f t="shared" si="107"/>
        <v>2.3011749863095765E-7</v>
      </c>
      <c r="AB145" s="24">
        <f>AA151/Z151</f>
        <v>0.15956986838297321</v>
      </c>
    </row>
    <row r="146" spans="1:30" x14ac:dyDescent="0.25">
      <c r="A146">
        <v>6.5</v>
      </c>
      <c r="B146">
        <v>4</v>
      </c>
      <c r="C146" s="36">
        <v>36.71</v>
      </c>
      <c r="D146" s="36">
        <f t="shared" si="108"/>
        <v>19.321052631578947</v>
      </c>
      <c r="E146" s="36">
        <v>-7.8280000000000003</v>
      </c>
      <c r="F146" s="36">
        <f t="shared" si="99"/>
        <v>-4.1200000000000007E-2</v>
      </c>
      <c r="G146" s="36">
        <v>-0.59399999999999997</v>
      </c>
      <c r="H146" s="36">
        <f t="shared" si="100"/>
        <v>-3.1263157894736845E-3</v>
      </c>
      <c r="I146" s="50">
        <f t="shared" si="101"/>
        <v>7.234</v>
      </c>
      <c r="J146" s="51">
        <f t="shared" si="102"/>
        <v>4.1318444433636574E-2</v>
      </c>
      <c r="K146" s="36">
        <v>0.48979239672919306</v>
      </c>
      <c r="L146" s="36">
        <v>7.9383985150323797</v>
      </c>
      <c r="M146" s="36">
        <v>0.48400000000000176</v>
      </c>
      <c r="N146" s="36">
        <v>1.2668999567483127E-2</v>
      </c>
      <c r="O146" s="50">
        <v>292.32565899232571</v>
      </c>
      <c r="P146" s="56">
        <f>G8*$N$3</f>
        <v>6.5065065065065077</v>
      </c>
      <c r="Q146" s="25">
        <f t="shared" si="103"/>
        <v>2.4746373701632231E-5</v>
      </c>
      <c r="R146" s="25">
        <f t="shared" si="104"/>
        <v>5.5079818192197742E-7</v>
      </c>
      <c r="S146" s="36">
        <f t="shared" si="105"/>
        <v>1.6755025830354883E-3</v>
      </c>
      <c r="AB146" s="24">
        <f>AA152/Z152</f>
        <v>0.12346021153132328</v>
      </c>
    </row>
    <row r="147" spans="1:30" x14ac:dyDescent="0.25">
      <c r="A147">
        <v>6.5</v>
      </c>
      <c r="B147">
        <v>5</v>
      </c>
      <c r="C147" s="36">
        <v>36.700000000000003</v>
      </c>
      <c r="D147" s="36">
        <f t="shared" si="108"/>
        <v>19.315789473684212</v>
      </c>
      <c r="E147" s="36">
        <v>-7.9349999999999996</v>
      </c>
      <c r="F147" s="36">
        <f t="shared" si="99"/>
        <v>-4.1763157894736849E-2</v>
      </c>
      <c r="G147" s="36">
        <v>-0.33300000000000002</v>
      </c>
      <c r="H147" s="36">
        <f t="shared" si="100"/>
        <v>-1.7526315789473687E-3</v>
      </c>
      <c r="I147" s="50">
        <f t="shared" si="101"/>
        <v>7.6019999999999994</v>
      </c>
      <c r="J147" s="51">
        <f t="shared" si="102"/>
        <v>4.1799917162504571E-2</v>
      </c>
      <c r="K147" s="36">
        <v>0.52578711838334158</v>
      </c>
      <c r="L147" s="36">
        <v>7.609706633803393</v>
      </c>
      <c r="M147" s="36">
        <v>0.45700000000000074</v>
      </c>
      <c r="N147" s="36">
        <v>1.1962257856073921E-2</v>
      </c>
      <c r="O147" s="50">
        <v>192.72605939272609</v>
      </c>
      <c r="P147" s="56">
        <f>G9*$N$3</f>
        <v>2.1688355021688359</v>
      </c>
      <c r="Q147" s="25">
        <f t="shared" si="103"/>
        <v>3.9444587950138496E-5</v>
      </c>
      <c r="R147" s="25">
        <f t="shared" si="104"/>
        <v>4.4388819542231793E-7</v>
      </c>
      <c r="S147" s="36">
        <f t="shared" si="105"/>
        <v>2.7281578839938965E-3</v>
      </c>
      <c r="AB147" s="24">
        <f>AA153/Z153</f>
        <v>4.9517057840631366E-2</v>
      </c>
    </row>
    <row r="148" spans="1:30" x14ac:dyDescent="0.25">
      <c r="B148" s="11" t="s">
        <v>110</v>
      </c>
      <c r="C148" s="32"/>
      <c r="D148" s="32"/>
      <c r="E148" s="32">
        <f>AVERAGE(E143:E147)</f>
        <v>-7.8841999999999999</v>
      </c>
      <c r="F148" s="32">
        <f t="shared" ref="F148:H148" si="109">AVERAGE(F143:F147)</f>
        <v>-4.1495789473684222E-2</v>
      </c>
      <c r="G148" s="32">
        <f t="shared" si="109"/>
        <v>-0.64318799999999998</v>
      </c>
      <c r="H148" s="32">
        <f t="shared" si="109"/>
        <v>-3.3852000000000005E-3</v>
      </c>
      <c r="I148" s="52">
        <f t="shared" ref="I148:Q148" si="110">AVERAGE(I143:I147)</f>
        <v>7.2410119999999996</v>
      </c>
      <c r="J148" s="33">
        <f t="shared" si="110"/>
        <v>4.1645866331102677E-2</v>
      </c>
      <c r="K148" s="32">
        <f t="shared" si="110"/>
        <v>0.48517951245026153</v>
      </c>
      <c r="L148" s="32">
        <f t="shared" si="110"/>
        <v>7.3270233758206773</v>
      </c>
      <c r="M148" s="32">
        <f t="shared" si="110"/>
        <v>0.46640000000000087</v>
      </c>
      <c r="N148" s="32">
        <f t="shared" si="110"/>
        <v>1.3978577623384661E-2</v>
      </c>
      <c r="O148" s="52">
        <f t="shared" si="110"/>
        <v>228.34834834834837</v>
      </c>
      <c r="P148" s="33">
        <f t="shared" si="110"/>
        <v>3.7370704037370706</v>
      </c>
      <c r="Q148" s="61">
        <f t="shared" si="110"/>
        <v>3.2917669240445603E-5</v>
      </c>
      <c r="R148" s="32"/>
      <c r="S148" s="33">
        <f>AVERAGE(S144:S147)</f>
        <v>2.2802376700707446E-3</v>
      </c>
      <c r="U148" s="22"/>
      <c r="V148" s="22"/>
    </row>
    <row r="149" spans="1:30" x14ac:dyDescent="0.25">
      <c r="B149" s="30" t="s">
        <v>94</v>
      </c>
      <c r="C149" s="34"/>
      <c r="D149" s="34"/>
      <c r="E149" s="34">
        <f>_xlfn.STDEV.S(E143:E147)</f>
        <v>7.1208847764866981E-2</v>
      </c>
      <c r="F149" s="34"/>
      <c r="G149" s="34">
        <f t="shared" ref="G149:I149" si="111">_xlfn.STDEV.S(G143:G147)</f>
        <v>0.21467928805546208</v>
      </c>
      <c r="H149" s="42"/>
      <c r="I149" s="53">
        <f t="shared" si="111"/>
        <v>0.23366061011646755</v>
      </c>
      <c r="J149" s="35"/>
      <c r="K149" s="34">
        <f>_xlfn.STDEV.S(K143:K147)</f>
        <v>3.4817756694876724E-2</v>
      </c>
      <c r="L149" s="34"/>
      <c r="M149" s="34">
        <f>_xlfn.STDEV.S(M143:M147)</f>
        <v>2.9313819266688072E-2</v>
      </c>
      <c r="N149" s="34"/>
      <c r="O149" s="53">
        <f>_xlfn.STDEV.S(O143:O147)</f>
        <v>49.03660078236264</v>
      </c>
      <c r="P149" s="35"/>
      <c r="Q149" s="60">
        <f>_xlfn.STDEV.S(Q143:Q147)</f>
        <v>7.138168510672473E-6</v>
      </c>
      <c r="R149" s="34"/>
      <c r="S149" s="35">
        <f>_xlfn.STDEV.S(S144:S147)</f>
        <v>5.2875338084165495E-4</v>
      </c>
      <c r="U149" s="22" t="s">
        <v>134</v>
      </c>
      <c r="V149" s="22"/>
    </row>
    <row r="150" spans="1:30" x14ac:dyDescent="0.25">
      <c r="B150" s="14" t="s">
        <v>122</v>
      </c>
      <c r="C150" s="43"/>
      <c r="D150" s="43"/>
      <c r="E150" s="28">
        <f>E149/E148</f>
        <v>-9.0318418818481246E-3</v>
      </c>
      <c r="F150" s="28"/>
      <c r="G150" s="28">
        <f t="shared" ref="G150" si="112">G149/G148</f>
        <v>-0.33377377696017663</v>
      </c>
      <c r="H150" s="28"/>
      <c r="I150" s="54"/>
      <c r="J150" s="29"/>
      <c r="K150" s="28">
        <f>K149/K148</f>
        <v>7.1762627648969596E-2</v>
      </c>
      <c r="L150" s="28"/>
      <c r="M150" s="28">
        <f>M149/M148</f>
        <v>6.2851241995471735E-2</v>
      </c>
      <c r="N150" s="28"/>
      <c r="O150" s="54">
        <f>O149/O148</f>
        <v>0.21474471410477061</v>
      </c>
      <c r="P150" s="29"/>
      <c r="Q150" s="28">
        <f>Q149/Q148</f>
        <v>0.21684914744516232</v>
      </c>
      <c r="R150" s="28"/>
      <c r="S150" s="29">
        <f>S149/S148</f>
        <v>0.23188520555633585</v>
      </c>
      <c r="V150" t="s">
        <v>140</v>
      </c>
      <c r="W150" t="s">
        <v>101</v>
      </c>
      <c r="X150" t="s">
        <v>141</v>
      </c>
      <c r="Y150" t="s">
        <v>101</v>
      </c>
      <c r="Z150" t="s">
        <v>139</v>
      </c>
      <c r="AA150" t="s">
        <v>142</v>
      </c>
      <c r="AB150" t="s">
        <v>122</v>
      </c>
    </row>
    <row r="151" spans="1:30" x14ac:dyDescent="0.25">
      <c r="C151" s="36"/>
      <c r="D151" s="36"/>
      <c r="E151" s="36"/>
      <c r="F151" s="36"/>
      <c r="G151" s="36"/>
      <c r="H151" s="36"/>
      <c r="I151" s="50"/>
      <c r="J151" s="51">
        <f t="shared" si="102"/>
        <v>0</v>
      </c>
      <c r="K151" s="36"/>
      <c r="L151" s="36"/>
      <c r="M151" s="36"/>
      <c r="N151" s="36"/>
      <c r="O151" s="50"/>
      <c r="P151" s="56"/>
      <c r="Q151" s="41"/>
      <c r="R151" s="36"/>
      <c r="S151" s="41"/>
      <c r="U151">
        <v>6.5</v>
      </c>
      <c r="V151" s="36">
        <v>181.64831498164833</v>
      </c>
      <c r="W151" s="36">
        <v>28.401735068401742</v>
      </c>
      <c r="X151" s="25">
        <f>V165*0.001</f>
        <v>7.3013333333333333E-3</v>
      </c>
      <c r="Y151" s="25">
        <f>W165*0.001</f>
        <v>2.3266666666666667E-4</v>
      </c>
      <c r="Z151" s="25">
        <f>X151/V151</f>
        <v>4.0194886113152094E-5</v>
      </c>
      <c r="AA151" s="25">
        <f>Z151*(((Y151/X151)^2)+((W151/V151)^2))^0.5</f>
        <v>6.4138926867442773E-6</v>
      </c>
      <c r="AB151" s="24" t="e">
        <f>AA157/Z157</f>
        <v>#DIV/0!</v>
      </c>
    </row>
    <row r="152" spans="1:30" x14ac:dyDescent="0.25">
      <c r="A152" s="18">
        <v>8</v>
      </c>
      <c r="B152">
        <v>1</v>
      </c>
      <c r="C152" s="36">
        <v>38.4</v>
      </c>
      <c r="D152" s="36">
        <f t="shared" si="108"/>
        <v>20.210526315789473</v>
      </c>
      <c r="E152" s="36">
        <v>-7.9769999999999994</v>
      </c>
      <c r="F152" s="36">
        <f>E152*(((0/C152)^2)+((0.01/1.9)^2))^0.5</f>
        <v>-4.1984210526315791E-2</v>
      </c>
      <c r="G152" s="36">
        <v>4.5301999999999998</v>
      </c>
      <c r="H152" s="36">
        <f>G152*(((0/E152)^2)+((0.01/1.9)^2))^0.5</f>
        <v>2.3843157894736844E-2</v>
      </c>
      <c r="I152" s="50">
        <f t="shared" si="101"/>
        <v>12.507199999999999</v>
      </c>
      <c r="J152" s="51">
        <f t="shared" si="102"/>
        <v>4.8282192492795493E-2</v>
      </c>
      <c r="K152" s="36">
        <v>0.54824941596742249</v>
      </c>
      <c r="L152" s="36">
        <v>8.101442292411738</v>
      </c>
      <c r="M152" s="36">
        <v>0.6180000000000021</v>
      </c>
      <c r="N152" s="36">
        <v>3.1858781819967284E-2</v>
      </c>
      <c r="O152" s="50">
        <v>246.91358024691363</v>
      </c>
      <c r="P152" s="56">
        <f>G13*$N$3</f>
        <v>2.2355689022355691</v>
      </c>
      <c r="Q152" s="25">
        <f>(I152*0.001)/O152</f>
        <v>5.0654159999999991E-5</v>
      </c>
      <c r="R152" s="25">
        <f>Q152*(((J152*0.001/I152*0.001)^2)+((P152/O152)^2))^0.5</f>
        <v>4.5862550270274434E-7</v>
      </c>
      <c r="S152" s="36">
        <f t="shared" ref="S152" si="113">(K152)/O152</f>
        <v>2.2204101346680609E-3</v>
      </c>
      <c r="U152">
        <v>8</v>
      </c>
      <c r="V152" s="36">
        <v>28.421755088421758</v>
      </c>
      <c r="W152" s="36">
        <v>3.3900567233900576</v>
      </c>
      <c r="X152" s="25">
        <f>V165*0.001</f>
        <v>7.3013333333333333E-3</v>
      </c>
      <c r="Y152" s="25">
        <f>W165*0.001</f>
        <v>2.3266666666666667E-4</v>
      </c>
      <c r="Z152" s="25">
        <f t="shared" ref="Z152:Z153" si="114">X152/V152</f>
        <v>2.5689241606010796E-4</v>
      </c>
      <c r="AA152" s="25">
        <f t="shared" ref="AA152:AA153" si="115">Z152*(((Y152/X152)^2)+((W152/V152)^2))^0.5</f>
        <v>3.1715992027573637E-5</v>
      </c>
      <c r="AB152" s="24" t="e">
        <f>AA158/Z158</f>
        <v>#DIV/0!</v>
      </c>
    </row>
    <row r="153" spans="1:30" x14ac:dyDescent="0.25">
      <c r="A153" s="18">
        <v>8</v>
      </c>
      <c r="B153">
        <v>2</v>
      </c>
      <c r="C153" s="36">
        <v>39.130000000000003</v>
      </c>
      <c r="D153" s="36">
        <f t="shared" si="108"/>
        <v>20.594736842105267</v>
      </c>
      <c r="E153" s="36">
        <v>-7.8717999999999986</v>
      </c>
      <c r="F153" s="36">
        <f t="shared" ref="F153:F156" si="116">E153*(((0/C153)^2)+((0.01/1.9)^2))^0.5</f>
        <v>-4.1430526315789473E-2</v>
      </c>
      <c r="G153" s="36">
        <v>4.0444000000000004</v>
      </c>
      <c r="H153" s="36">
        <f t="shared" ref="H153:H156" si="117">G153*(((0/E153)^2)+((0.01/1.9)^2))^0.5</f>
        <v>2.1286315789473688E-2</v>
      </c>
      <c r="I153" s="50">
        <f t="shared" si="101"/>
        <v>11.9162</v>
      </c>
      <c r="J153" s="51">
        <f t="shared" si="102"/>
        <v>4.6578919595590892E-2</v>
      </c>
      <c r="K153" s="36">
        <v>0.66708470208907045</v>
      </c>
      <c r="L153" s="36"/>
      <c r="M153" s="36">
        <v>0.63899999999999935</v>
      </c>
      <c r="N153" s="36"/>
      <c r="O153" s="50">
        <v>322.52252252252259</v>
      </c>
      <c r="P153" s="56">
        <f>G14*$N$3</f>
        <v>6.4731398064731405</v>
      </c>
      <c r="Q153" s="25">
        <f t="shared" ref="Q153:Q156" si="118">(I153*0.001)/O153</f>
        <v>3.6946877094972059E-5</v>
      </c>
      <c r="R153" s="25">
        <f t="shared" ref="R153:R156" si="119">Q153*(((J153*0.001/I153*0.001)^2)+((P153/O153)^2))^0.5</f>
        <v>7.4153674285378803E-7</v>
      </c>
      <c r="S153" s="36">
        <f t="shared" ref="S153:S156" si="120">(K153)/O153</f>
        <v>2.0683352494940449E-3</v>
      </c>
      <c r="U153">
        <v>9.5</v>
      </c>
      <c r="V153" s="36">
        <v>16.022689356022688</v>
      </c>
      <c r="W153" s="36">
        <v>0.60727394060727402</v>
      </c>
      <c r="X153" s="25">
        <f>V165*0.001</f>
        <v>7.3013333333333333E-3</v>
      </c>
      <c r="Y153" s="25">
        <f>W165*0.001</f>
        <v>2.3266666666666667E-4</v>
      </c>
      <c r="Z153" s="25">
        <f t="shared" si="114"/>
        <v>4.5568713036234904E-4</v>
      </c>
      <c r="AA153" s="25">
        <f t="shared" si="115"/>
        <v>2.2564285991383762E-5</v>
      </c>
      <c r="AB153" s="24" t="e">
        <f>AA159/Z159</f>
        <v>#DIV/0!</v>
      </c>
      <c r="AD153" s="25"/>
    </row>
    <row r="154" spans="1:30" x14ac:dyDescent="0.25">
      <c r="A154" s="18">
        <v>8</v>
      </c>
      <c r="B154">
        <v>3</v>
      </c>
      <c r="C154" s="36">
        <v>31.15</v>
      </c>
      <c r="D154" s="36">
        <f t="shared" si="108"/>
        <v>16.394736842105264</v>
      </c>
      <c r="E154" s="36">
        <v>-7.7349999999999994</v>
      </c>
      <c r="F154" s="36">
        <f t="shared" si="116"/>
        <v>-4.0710526315789475E-2</v>
      </c>
      <c r="G154" s="36">
        <v>4.0505999999999993</v>
      </c>
      <c r="H154" s="36">
        <f t="shared" si="117"/>
        <v>2.1318947368421052E-2</v>
      </c>
      <c r="I154" s="50">
        <f t="shared" si="101"/>
        <v>11.785599999999999</v>
      </c>
      <c r="J154" s="51">
        <f t="shared" si="102"/>
        <v>4.5954808995426082E-2</v>
      </c>
      <c r="K154" s="36">
        <v>0.59827882479907402</v>
      </c>
      <c r="L154" s="36"/>
      <c r="M154" s="36">
        <v>0.60899999999999466</v>
      </c>
      <c r="N154" s="36"/>
      <c r="O154" s="50">
        <v>293.66032699366036</v>
      </c>
      <c r="P154" s="56">
        <f>G15*$N$3</f>
        <v>2.2022022022022023</v>
      </c>
      <c r="Q154" s="25">
        <f t="shared" si="118"/>
        <v>4.0133443017838875E-5</v>
      </c>
      <c r="R154" s="25">
        <f t="shared" si="119"/>
        <v>3.0096662188134572E-7</v>
      </c>
      <c r="S154" s="36">
        <f t="shared" si="120"/>
        <v>2.0373158026619981E-3</v>
      </c>
      <c r="X154" s="24"/>
    </row>
    <row r="155" spans="1:30" x14ac:dyDescent="0.25">
      <c r="A155" s="18">
        <v>8</v>
      </c>
      <c r="B155">
        <v>4</v>
      </c>
      <c r="C155" s="36">
        <v>37.83</v>
      </c>
      <c r="D155" s="36">
        <f t="shared" si="108"/>
        <v>19.910526315789475</v>
      </c>
      <c r="E155" s="36">
        <v>-7.7986000000000004</v>
      </c>
      <c r="F155" s="36">
        <f t="shared" si="116"/>
        <v>-4.1045263157894744E-2</v>
      </c>
      <c r="G155" s="36">
        <v>3.6581999999999999</v>
      </c>
      <c r="H155" s="36">
        <f t="shared" si="117"/>
        <v>1.9253684210526319E-2</v>
      </c>
      <c r="I155" s="50">
        <f t="shared" si="101"/>
        <v>11.456800000000001</v>
      </c>
      <c r="J155" s="51">
        <f t="shared" si="102"/>
        <v>4.5336717827600868E-2</v>
      </c>
      <c r="K155" s="36">
        <v>0.57237002676662696</v>
      </c>
      <c r="L155" s="36"/>
      <c r="M155" s="36">
        <v>0.60200000000000031</v>
      </c>
      <c r="N155" s="36"/>
      <c r="O155" s="50">
        <v>233.86720053386722</v>
      </c>
      <c r="P155" s="56">
        <f>G16*$N$3</f>
        <v>2.1688355021688359</v>
      </c>
      <c r="Q155" s="25">
        <f t="shared" si="118"/>
        <v>4.8988485661292628E-5</v>
      </c>
      <c r="R155" s="25">
        <f t="shared" si="119"/>
        <v>4.5430896960826232E-7</v>
      </c>
      <c r="S155" s="36">
        <f t="shared" si="120"/>
        <v>2.4474147099722938E-3</v>
      </c>
      <c r="U155" s="22" t="s">
        <v>220</v>
      </c>
      <c r="V155" s="22"/>
    </row>
    <row r="156" spans="1:30" x14ac:dyDescent="0.25">
      <c r="A156" s="18">
        <v>8</v>
      </c>
      <c r="B156">
        <v>5</v>
      </c>
      <c r="C156" s="36">
        <v>37.700000000000003</v>
      </c>
      <c r="D156" s="36">
        <f t="shared" si="108"/>
        <v>19.842105263157897</v>
      </c>
      <c r="E156" s="36">
        <v>-7.8509999999999991</v>
      </c>
      <c r="F156" s="36">
        <f t="shared" si="116"/>
        <v>-4.1321052631578946E-2</v>
      </c>
      <c r="G156" s="36">
        <v>3.3560000000000003</v>
      </c>
      <c r="H156" s="36">
        <f t="shared" si="117"/>
        <v>1.7663157894736846E-2</v>
      </c>
      <c r="I156" s="50">
        <f t="shared" si="101"/>
        <v>11.206999999999999</v>
      </c>
      <c r="J156" s="51">
        <f t="shared" si="102"/>
        <v>4.4937918703430425E-2</v>
      </c>
      <c r="K156" s="36">
        <v>0.69097338220123561</v>
      </c>
      <c r="L156" s="36"/>
      <c r="M156" s="36">
        <v>0.57199999999999918</v>
      </c>
      <c r="N156" s="36"/>
      <c r="O156" s="50">
        <v>233.93393393393396</v>
      </c>
      <c r="P156" s="56">
        <f>G17*$N$3</f>
        <v>8.7087087087087092</v>
      </c>
      <c r="Q156" s="25">
        <f t="shared" si="118"/>
        <v>4.7906688061617453E-5</v>
      </c>
      <c r="R156" s="25">
        <f t="shared" si="119"/>
        <v>1.7834325465814047E-6</v>
      </c>
      <c r="S156" s="36">
        <f t="shared" si="120"/>
        <v>2.9537116337998901E-3</v>
      </c>
      <c r="V156" t="s">
        <v>140</v>
      </c>
      <c r="W156" t="s">
        <v>101</v>
      </c>
      <c r="X156" t="s">
        <v>141</v>
      </c>
      <c r="Y156" t="s">
        <v>101</v>
      </c>
      <c r="Z156" t="s">
        <v>139</v>
      </c>
      <c r="AA156" t="s">
        <v>142</v>
      </c>
    </row>
    <row r="157" spans="1:30" x14ac:dyDescent="0.25">
      <c r="B157" s="11" t="s">
        <v>110</v>
      </c>
      <c r="C157" s="32"/>
      <c r="D157" s="32"/>
      <c r="E157" s="32">
        <f>AVERAGE(E152:E156)</f>
        <v>-7.8466799999999992</v>
      </c>
      <c r="F157" s="32">
        <f t="shared" ref="F157:H157" si="121">AVERAGE(F152:F156)</f>
        <v>-4.129831578947369E-2</v>
      </c>
      <c r="G157" s="32">
        <f t="shared" si="121"/>
        <v>3.9278800000000005</v>
      </c>
      <c r="H157" s="32">
        <f t="shared" si="121"/>
        <v>2.0673052631578953E-2</v>
      </c>
      <c r="I157" s="52">
        <f t="shared" ref="I157" si="122">AVERAGE(I152:I156)</f>
        <v>11.774560000000001</v>
      </c>
      <c r="J157" s="33">
        <f t="shared" ref="J157" si="123">AVERAGE(J152:J156)</f>
        <v>4.6218111522968751E-2</v>
      </c>
      <c r="K157" s="32">
        <f>AVERAGE(K152:K156)</f>
        <v>0.61539127036468588</v>
      </c>
      <c r="L157" s="32"/>
      <c r="M157" s="32">
        <f>AVERAGE(M152:M156)</f>
        <v>0.6079999999999991</v>
      </c>
      <c r="N157" s="32"/>
      <c r="O157" s="52">
        <f>AVERAGE(O152:O156)</f>
        <v>266.17951284617959</v>
      </c>
      <c r="P157" s="33">
        <f>AVERAGE(P152:P156)</f>
        <v>4.357691024357691</v>
      </c>
      <c r="Q157" s="61">
        <f>AVERAGE(Q152:Q156)</f>
        <v>4.49259307671442E-5</v>
      </c>
      <c r="R157" s="32"/>
      <c r="S157" s="33">
        <f>AVERAGE(S153:S156)</f>
        <v>2.3766943489820567E-3</v>
      </c>
      <c r="U157">
        <v>6.5</v>
      </c>
      <c r="V157" s="36">
        <v>181.64831498164833</v>
      </c>
      <c r="W157" s="36">
        <v>28.401735068401742</v>
      </c>
      <c r="X157" s="25">
        <f>V170*0.001</f>
        <v>0</v>
      </c>
      <c r="Y157" s="25">
        <f>W170*0.001</f>
        <v>0</v>
      </c>
      <c r="Z157" s="25">
        <f>X157/V157</f>
        <v>0</v>
      </c>
      <c r="AA157" s="25" t="e">
        <f>Z157*(((Y157/X157)^2)+((W157/V157)^2))^0.5</f>
        <v>#DIV/0!</v>
      </c>
    </row>
    <row r="158" spans="1:30" x14ac:dyDescent="0.25">
      <c r="B158" s="30" t="s">
        <v>94</v>
      </c>
      <c r="C158" s="34"/>
      <c r="D158" s="34"/>
      <c r="E158" s="34">
        <f>_xlfn.STDEV.S(E152:E156)</f>
        <v>9.0023730204874114E-2</v>
      </c>
      <c r="F158" s="34"/>
      <c r="G158" s="34">
        <f t="shared" ref="G158" si="124">_xlfn.STDEV.S(G152:G156)</f>
        <v>0.44474726755765187</v>
      </c>
      <c r="H158" s="34"/>
      <c r="I158" s="53">
        <f t="shared" ref="I158" si="125">_xlfn.STDEV.S(I152:I156)</f>
        <v>0.4949850785629803</v>
      </c>
      <c r="J158" s="35"/>
      <c r="K158" s="34">
        <f>_xlfn.STDEV.S(K152:K156)</f>
        <v>6.1311822512014738E-2</v>
      </c>
      <c r="L158" s="34"/>
      <c r="M158" s="34">
        <f>_xlfn.STDEV.S(M152:M156)</f>
        <v>2.4464259645450372E-2</v>
      </c>
      <c r="N158" s="34"/>
      <c r="O158" s="53">
        <f>_xlfn.STDEV.S(O152:O156)</f>
        <v>39.952374556684724</v>
      </c>
      <c r="P158" s="35"/>
      <c r="Q158" s="60">
        <f>_xlfn.STDEV.S(Q152:Q156)</f>
        <v>6.0173730313009892E-6</v>
      </c>
      <c r="R158" s="34"/>
      <c r="S158" s="35">
        <f>_xlfn.STDEV.S(S153:S156)</f>
        <v>4.274784393691717E-4</v>
      </c>
      <c r="U158">
        <v>8</v>
      </c>
      <c r="V158" s="36">
        <v>28.421755088421758</v>
      </c>
      <c r="W158" s="36">
        <v>3.3900567233900576</v>
      </c>
      <c r="X158" s="25">
        <f>V170*0.001</f>
        <v>0</v>
      </c>
      <c r="Y158" s="25">
        <f>W170*0.001</f>
        <v>0</v>
      </c>
      <c r="Z158" s="25">
        <f t="shared" ref="Z158:Z159" si="126">X158/V158</f>
        <v>0</v>
      </c>
      <c r="AA158" s="25" t="e">
        <f t="shared" ref="AA158:AA159" si="127">Z158*(((Y158/X158)^2)+((W158/V158)^2))^0.5</f>
        <v>#DIV/0!</v>
      </c>
    </row>
    <row r="159" spans="1:30" x14ac:dyDescent="0.25">
      <c r="B159" s="14" t="s">
        <v>122</v>
      </c>
      <c r="C159" s="43"/>
      <c r="D159" s="43"/>
      <c r="E159" s="28">
        <f>E158/E157</f>
        <v>-1.1472843317794803E-2</v>
      </c>
      <c r="F159" s="28"/>
      <c r="G159" s="28">
        <f t="shared" ref="G159" si="128">G158/G157</f>
        <v>0.1132283235632585</v>
      </c>
      <c r="H159" s="28"/>
      <c r="I159" s="54"/>
      <c r="J159" s="29"/>
      <c r="K159" s="28">
        <f t="shared" ref="K159" si="129">K158/K157</f>
        <v>9.9630634142211433E-2</v>
      </c>
      <c r="L159" s="28"/>
      <c r="M159" s="28">
        <f t="shared" ref="M159" si="130">M158/M157</f>
        <v>4.0237269153701329E-2</v>
      </c>
      <c r="N159" s="28"/>
      <c r="O159" s="54">
        <f t="shared" ref="O159" si="131">O158/O157</f>
        <v>0.15009560326219581</v>
      </c>
      <c r="P159" s="29"/>
      <c r="Q159" s="28">
        <f t="shared" ref="Q159" si="132">Q158/Q157</f>
        <v>0.13393986342741931</v>
      </c>
      <c r="R159" s="28"/>
      <c r="S159" s="29">
        <f t="shared" ref="S159" si="133">S158/S157</f>
        <v>0.17986260604030199</v>
      </c>
      <c r="U159">
        <v>9.5</v>
      </c>
      <c r="V159" s="36">
        <v>16.022689356022688</v>
      </c>
      <c r="W159" s="36">
        <v>0.60727394060727402</v>
      </c>
      <c r="X159" s="25">
        <f>V170*0.001</f>
        <v>0</v>
      </c>
      <c r="Y159" s="25">
        <f>W170*0.001</f>
        <v>0</v>
      </c>
      <c r="Z159" s="25">
        <f t="shared" si="126"/>
        <v>0</v>
      </c>
      <c r="AA159" s="25" t="e">
        <f t="shared" si="127"/>
        <v>#DIV/0!</v>
      </c>
    </row>
    <row r="160" spans="1:30" x14ac:dyDescent="0.25">
      <c r="C160" s="36"/>
      <c r="D160" s="36"/>
      <c r="E160" s="36"/>
      <c r="F160" s="36"/>
      <c r="G160" s="36"/>
      <c r="H160" s="36"/>
      <c r="I160" s="50"/>
      <c r="J160" s="51"/>
      <c r="K160" s="36"/>
      <c r="L160" s="36"/>
      <c r="M160" s="36"/>
      <c r="N160" s="36"/>
      <c r="O160" s="50"/>
      <c r="P160" s="56"/>
      <c r="Q160" s="36"/>
      <c r="R160" s="36"/>
      <c r="S160" s="36"/>
    </row>
    <row r="161" spans="1:27" x14ac:dyDescent="0.25">
      <c r="A161" s="18">
        <v>9.5</v>
      </c>
      <c r="B161">
        <v>1</v>
      </c>
      <c r="C161" s="36">
        <v>47</v>
      </c>
      <c r="D161" s="36">
        <f>C161/1.9</f>
        <v>24.736842105263158</v>
      </c>
      <c r="E161" s="36">
        <v>-10.060400000000001</v>
      </c>
      <c r="F161" s="36">
        <f>E161*(((0/C161)^2)+((0.01/1.9)^2))^0.5</f>
        <v>-5.2949473684210539E-2</v>
      </c>
      <c r="G161" s="36">
        <v>9.542600000000002</v>
      </c>
      <c r="H161" s="36">
        <f>G161*(((0/E161)^2)+((0.01/1.9)^2))^0.5</f>
        <v>5.0224210526315809E-2</v>
      </c>
      <c r="I161" s="50">
        <f t="shared" si="101"/>
        <v>19.603000000000002</v>
      </c>
      <c r="J161" s="51">
        <f t="shared" si="102"/>
        <v>7.2980258196491718E-2</v>
      </c>
      <c r="K161" s="36">
        <v>0.66384645116235674</v>
      </c>
      <c r="L161" s="36">
        <v>8.7523836591678084</v>
      </c>
      <c r="M161" s="36">
        <v>0.70700000000000074</v>
      </c>
      <c r="N161" s="36">
        <v>3.6446858813457626E-2</v>
      </c>
      <c r="O161" s="50">
        <v>470.17017017017025</v>
      </c>
      <c r="P161" s="56">
        <f>G21*$N$3</f>
        <v>2.4024024024024029</v>
      </c>
      <c r="Q161" s="25">
        <f>(I161*0.001)/O161</f>
        <v>4.1693414945710024E-5</v>
      </c>
      <c r="R161" s="25">
        <f>Q161*(((J161*0.001/I161*0.001)^2)+((P161/O161)^2))^0.5</f>
        <v>2.1303852644183653E-7</v>
      </c>
      <c r="S161" s="36">
        <f>(K161)/O161</f>
        <v>1.4119280492041607E-3</v>
      </c>
      <c r="U161" t="s">
        <v>135</v>
      </c>
    </row>
    <row r="162" spans="1:27" x14ac:dyDescent="0.25">
      <c r="A162" s="18">
        <v>9.5</v>
      </c>
      <c r="B162">
        <v>2</v>
      </c>
      <c r="C162" s="36">
        <v>43.6</v>
      </c>
      <c r="D162" s="36">
        <f>C162/1.9</f>
        <v>22.947368421052634</v>
      </c>
      <c r="E162" s="36">
        <v>-10.0648</v>
      </c>
      <c r="F162" s="36">
        <f t="shared" ref="F162:F165" si="134">E162*(((0/C162)^2)+((0.01/1.9)^2))^0.5</f>
        <v>-5.2972631578947375E-2</v>
      </c>
      <c r="G162" s="36">
        <v>7.4878</v>
      </c>
      <c r="H162" s="36">
        <f t="shared" ref="H162:H165" si="135">G162*(((0/E162)^2)+((0.01/1.9)^2))^0.5</f>
        <v>3.9409473684210529E-2</v>
      </c>
      <c r="I162" s="50">
        <f t="shared" si="101"/>
        <v>17.552599999999998</v>
      </c>
      <c r="J162" s="51">
        <f t="shared" si="102"/>
        <v>6.6024285777775554E-2</v>
      </c>
      <c r="K162" s="36">
        <v>0.44453909997493474</v>
      </c>
      <c r="L162" s="36">
        <v>4.7330435025630404</v>
      </c>
      <c r="M162" s="36">
        <v>0.66400000000000503</v>
      </c>
      <c r="N162" s="36">
        <v>3.0728112289813012E-2</v>
      </c>
      <c r="O162" s="50">
        <v>930.79746413079761</v>
      </c>
      <c r="P162" s="56">
        <f>G22*$N$3</f>
        <v>7.0070070070070081</v>
      </c>
      <c r="Q162" s="25">
        <f t="shared" ref="Q162:Q165" si="136">(I162*0.001)/O162</f>
        <v>1.8857593275021503E-5</v>
      </c>
      <c r="R162" s="25">
        <f t="shared" ref="R162:R165" si="137">Q162*(((J162*0.001/I162*0.001)^2)+((P162/O162)^2))^0.5</f>
        <v>1.419592266903861E-7</v>
      </c>
      <c r="S162" s="36">
        <f t="shared" ref="S162:S165" si="138">(K162)/O162</f>
        <v>4.7758950481247464E-4</v>
      </c>
      <c r="U162">
        <v>6.5</v>
      </c>
      <c r="V162">
        <v>7.125</v>
      </c>
      <c r="W162">
        <v>0.23899999999999999</v>
      </c>
    </row>
    <row r="163" spans="1:27" x14ac:dyDescent="0.25">
      <c r="A163" s="18">
        <v>9.5</v>
      </c>
      <c r="B163">
        <v>3</v>
      </c>
      <c r="C163" s="36">
        <v>43.25</v>
      </c>
      <c r="D163" s="36">
        <f>C163/1.9</f>
        <v>22.763157894736842</v>
      </c>
      <c r="E163" s="36">
        <v>-10.0044</v>
      </c>
      <c r="F163" s="36">
        <f t="shared" si="134"/>
        <v>-5.2654736842105275E-2</v>
      </c>
      <c r="G163" s="36">
        <v>8.2385999999999999</v>
      </c>
      <c r="H163" s="36">
        <f t="shared" si="135"/>
        <v>4.3361052631578953E-2</v>
      </c>
      <c r="I163" s="50">
        <f t="shared" si="101"/>
        <v>18.243000000000002</v>
      </c>
      <c r="J163" s="51">
        <f t="shared" si="102"/>
        <v>6.8210719078675014E-2</v>
      </c>
      <c r="K163" s="36">
        <v>0.70397000013627298</v>
      </c>
      <c r="L163" s="36">
        <v>5.7943702734399105</v>
      </c>
      <c r="M163" s="36">
        <v>0.69100000000000295</v>
      </c>
      <c r="N163" s="36">
        <v>3.1618943882333599E-2</v>
      </c>
      <c r="O163" s="50">
        <v>754.95495495495504</v>
      </c>
      <c r="P163" s="56">
        <f>G23*$N$3</f>
        <v>6.9736403069736408</v>
      </c>
      <c r="Q163" s="25">
        <f t="shared" si="136"/>
        <v>2.4164355608591887E-5</v>
      </c>
      <c r="R163" s="25">
        <f t="shared" si="137"/>
        <v>2.2321003810643147E-7</v>
      </c>
      <c r="S163" s="36">
        <f t="shared" si="138"/>
        <v>9.324662292974498E-4</v>
      </c>
      <c r="U163">
        <v>8</v>
      </c>
      <c r="V163">
        <v>6.9950000000000001</v>
      </c>
      <c r="W163">
        <v>0.26100000000000001</v>
      </c>
    </row>
    <row r="164" spans="1:27" x14ac:dyDescent="0.25">
      <c r="A164" s="18">
        <v>9.5</v>
      </c>
      <c r="B164">
        <v>4</v>
      </c>
      <c r="C164" s="36">
        <v>34</v>
      </c>
      <c r="D164" s="36">
        <f>C164/1.9</f>
        <v>17.894736842105264</v>
      </c>
      <c r="E164" s="36">
        <v>-10.028</v>
      </c>
      <c r="F164" s="36">
        <f t="shared" si="134"/>
        <v>-5.2778947368421064E-2</v>
      </c>
      <c r="G164" s="36">
        <v>6.5274000000000001</v>
      </c>
      <c r="H164" s="36">
        <f t="shared" si="135"/>
        <v>3.4354736842105271E-2</v>
      </c>
      <c r="I164" s="50">
        <f t="shared" si="101"/>
        <v>16.555399999999999</v>
      </c>
      <c r="J164" s="51">
        <f t="shared" si="102"/>
        <v>6.297511594914984E-2</v>
      </c>
      <c r="K164" s="36">
        <v>0.70412136618251253</v>
      </c>
      <c r="L164" s="36">
        <v>4.4143368512261585</v>
      </c>
      <c r="M164" s="36">
        <v>0.65800000000000125</v>
      </c>
      <c r="N164" s="36">
        <v>0.65800000000000125</v>
      </c>
      <c r="O164" s="50">
        <v>759.42609275942618</v>
      </c>
      <c r="P164" s="56">
        <f>G24*$N$3</f>
        <v>8.508508508508509</v>
      </c>
      <c r="Q164" s="25">
        <f t="shared" si="136"/>
        <v>2.1799883040421786E-5</v>
      </c>
      <c r="R164" s="25">
        <f t="shared" si="137"/>
        <v>2.4424297782547783E-7</v>
      </c>
      <c r="S164" s="36">
        <f t="shared" si="138"/>
        <v>9.2717563024999556E-4</v>
      </c>
      <c r="U164">
        <v>9.5</v>
      </c>
      <c r="V164">
        <v>7.7839999999999998</v>
      </c>
      <c r="W164">
        <v>0.19800000000000001</v>
      </c>
    </row>
    <row r="165" spans="1:27" x14ac:dyDescent="0.25">
      <c r="A165" s="18">
        <v>9.5</v>
      </c>
      <c r="B165">
        <v>5</v>
      </c>
      <c r="C165" s="36">
        <v>34.200000000000003</v>
      </c>
      <c r="D165" s="36">
        <f>C165/1.9</f>
        <v>18.000000000000004</v>
      </c>
      <c r="E165" s="36">
        <v>-10.1388</v>
      </c>
      <c r="F165" s="36">
        <f t="shared" si="134"/>
        <v>-5.3362105263157898E-2</v>
      </c>
      <c r="G165" s="36">
        <v>8.3155999999999999</v>
      </c>
      <c r="H165" s="36">
        <f t="shared" si="135"/>
        <v>4.3766315789473688E-2</v>
      </c>
      <c r="I165" s="50">
        <f t="shared" si="101"/>
        <v>18.4544</v>
      </c>
      <c r="J165" s="51">
        <f t="shared" si="102"/>
        <v>6.9014525108126903E-2</v>
      </c>
      <c r="K165" s="36">
        <v>0.77739668855936372</v>
      </c>
      <c r="L165" s="36">
        <v>5.8753542229115299</v>
      </c>
      <c r="M165" s="36">
        <v>0.80399999999999849</v>
      </c>
      <c r="N165" s="36">
        <v>4.4018580329404686E-2</v>
      </c>
      <c r="O165" s="50">
        <v>921.82182182182191</v>
      </c>
      <c r="P165" s="56">
        <f>G25*$N$3</f>
        <v>9.7097097097097116</v>
      </c>
      <c r="Q165" s="25">
        <f t="shared" si="136"/>
        <v>2.0019487023563902E-5</v>
      </c>
      <c r="R165" s="25">
        <f t="shared" si="137"/>
        <v>2.108687415882095E-7</v>
      </c>
      <c r="S165" s="36">
        <f t="shared" si="138"/>
        <v>8.4332641097926411E-4</v>
      </c>
      <c r="U165" t="s">
        <v>136</v>
      </c>
      <c r="V165" s="36">
        <f>AVERAGE(V162:V164)</f>
        <v>7.301333333333333</v>
      </c>
      <c r="W165" s="36">
        <f>AVERAGE(W162:W164)</f>
        <v>0.23266666666666666</v>
      </c>
    </row>
    <row r="166" spans="1:27" x14ac:dyDescent="0.25">
      <c r="B166" s="30" t="s">
        <v>110</v>
      </c>
      <c r="C166" s="31"/>
      <c r="D166" s="31"/>
      <c r="E166" s="34">
        <f>AVERAGE(E161:E165)</f>
        <v>-10.059280000000001</v>
      </c>
      <c r="F166" s="34">
        <f>AVERAGE(F161:F165)</f>
        <v>-5.2943578947368432E-2</v>
      </c>
      <c r="G166" s="34">
        <f t="shared" ref="G166:H166" si="139">AVERAGE(G161:G165)</f>
        <v>8.0223999999999993</v>
      </c>
      <c r="H166" s="34">
        <f t="shared" si="139"/>
        <v>4.2223157894736844E-2</v>
      </c>
      <c r="I166" s="53">
        <f t="shared" ref="I166" si="140">AVERAGE(I161:I165)</f>
        <v>18.081679999999999</v>
      </c>
      <c r="J166" s="35">
        <f t="shared" ref="J166" si="141">AVERAGE(J161:J165)</f>
        <v>6.7840980822043789E-2</v>
      </c>
      <c r="K166" s="34">
        <f t="shared" ref="K166:Q166" si="142">AVERAGE(K161:K165)</f>
        <v>0.65877472120308822</v>
      </c>
      <c r="L166" s="34">
        <f t="shared" si="142"/>
        <v>5.9138977018616892</v>
      </c>
      <c r="M166" s="34">
        <f t="shared" si="142"/>
        <v>0.70480000000000165</v>
      </c>
      <c r="N166" s="34">
        <f t="shared" si="142"/>
        <v>0.16016249906300203</v>
      </c>
      <c r="O166" s="53">
        <f t="shared" si="142"/>
        <v>767.43410076743419</v>
      </c>
      <c r="P166" s="35">
        <f t="shared" si="142"/>
        <v>6.9202535869202553</v>
      </c>
      <c r="Q166" s="60">
        <f t="shared" si="142"/>
        <v>2.5306946778661822E-5</v>
      </c>
      <c r="R166" s="34"/>
      <c r="S166" s="35">
        <f>AVERAGE(S162:S165)</f>
        <v>7.9513944383479611E-4</v>
      </c>
      <c r="U166" t="s">
        <v>94</v>
      </c>
      <c r="V166" s="36">
        <f>_xlfn.STDEV.S(V162:V164)</f>
        <v>0.42302521595447856</v>
      </c>
    </row>
    <row r="167" spans="1:27" x14ac:dyDescent="0.25">
      <c r="B167" s="30" t="s">
        <v>94</v>
      </c>
      <c r="C167" s="31"/>
      <c r="D167" s="31"/>
      <c r="E167" s="34">
        <f>_xlfn.STDEV.S(E161:E165)</f>
        <v>5.0856189397161626E-2</v>
      </c>
      <c r="F167" s="34"/>
      <c r="G167" s="34">
        <f t="shared" ref="G167" si="143">_xlfn.STDEV.S(G161:G165)</f>
        <v>1.1140622603786774</v>
      </c>
      <c r="H167" s="34"/>
      <c r="I167" s="53">
        <f t="shared" ref="I167" si="144">_xlfn.STDEV.S(I161:I165)</f>
        <v>1.1279201177388418</v>
      </c>
      <c r="J167" s="35"/>
      <c r="K167" s="34">
        <f>_xlfn.STDEV.S(K161:K165)</f>
        <v>0.12658270659533616</v>
      </c>
      <c r="L167" s="34"/>
      <c r="M167" s="34">
        <f>_xlfn.STDEV.S(M161:M165)</f>
        <v>5.8929619038305125E-2</v>
      </c>
      <c r="N167" s="34"/>
      <c r="O167" s="53">
        <f>_xlfn.STDEV.S(O161:O165)</f>
        <v>186.48649991913496</v>
      </c>
      <c r="P167" s="35"/>
      <c r="Q167" s="60">
        <f>_xlfn.STDEV.S(Q161:Q165)</f>
        <v>9.376469763620818E-6</v>
      </c>
      <c r="R167" s="34"/>
      <c r="S167" s="35">
        <f>_xlfn.STDEV.S(S162:S165)</f>
        <v>2.156015987141075E-4</v>
      </c>
      <c r="V167" s="24">
        <f>V166/V165</f>
        <v>5.7938077422545461E-2</v>
      </c>
      <c r="AA167" s="25"/>
    </row>
    <row r="168" spans="1:27" x14ac:dyDescent="0.25">
      <c r="B168" s="14" t="s">
        <v>122</v>
      </c>
      <c r="C168" s="15"/>
      <c r="D168" s="15"/>
      <c r="E168" s="44">
        <f>E167/E166</f>
        <v>-5.055649052135105E-3</v>
      </c>
      <c r="F168" s="44"/>
      <c r="G168" s="44">
        <f t="shared" ref="G168" si="145">G167/G166</f>
        <v>0.13886894948876613</v>
      </c>
      <c r="H168" s="44"/>
      <c r="I168" s="54"/>
      <c r="J168" s="45"/>
      <c r="K168" s="44">
        <f t="shared" ref="K168" si="146">K167/K166</f>
        <v>0.19214870049076005</v>
      </c>
      <c r="L168" s="44"/>
      <c r="M168" s="44">
        <f t="shared" ref="M168" si="147">M167/M166</f>
        <v>8.3611831779660875E-2</v>
      </c>
      <c r="N168" s="44"/>
      <c r="O168" s="57">
        <f t="shared" ref="O168" si="148">O167/O166</f>
        <v>0.24300001750332495</v>
      </c>
      <c r="P168" s="45"/>
      <c r="Q168" s="44">
        <f t="shared" ref="Q168" si="149">Q167/Q166</f>
        <v>0.37050971994483428</v>
      </c>
      <c r="R168" s="44"/>
      <c r="S168" s="45">
        <f t="shared" ref="S168" si="150">S167/S166</f>
        <v>0.27114941962167638</v>
      </c>
    </row>
    <row r="170" spans="1:27" x14ac:dyDescent="0.25">
      <c r="A170" t="s">
        <v>124</v>
      </c>
      <c r="G170" s="24"/>
      <c r="K170" s="24"/>
      <c r="O170" s="24"/>
      <c r="S170" s="24"/>
    </row>
    <row r="171" spans="1:27" x14ac:dyDescent="0.25">
      <c r="A171" t="s">
        <v>125</v>
      </c>
    </row>
    <row r="176" spans="1:27" x14ac:dyDescent="0.25">
      <c r="I176" s="25"/>
    </row>
    <row r="177" spans="2:26" x14ac:dyDescent="0.25">
      <c r="B177" t="s">
        <v>154</v>
      </c>
    </row>
    <row r="178" spans="2:26" x14ac:dyDescent="0.25">
      <c r="B178" t="s">
        <v>64</v>
      </c>
      <c r="C178" t="s">
        <v>149</v>
      </c>
      <c r="D178" t="s">
        <v>139</v>
      </c>
      <c r="E178" t="s">
        <v>142</v>
      </c>
      <c r="F178" t="s">
        <v>145</v>
      </c>
      <c r="G178" t="s">
        <v>101</v>
      </c>
      <c r="H178" t="s">
        <v>144</v>
      </c>
      <c r="I178" t="s">
        <v>146</v>
      </c>
      <c r="J178" t="s">
        <v>147</v>
      </c>
      <c r="K178" t="s">
        <v>101</v>
      </c>
      <c r="L178" t="s">
        <v>122</v>
      </c>
      <c r="M178" t="s">
        <v>148</v>
      </c>
      <c r="N178" t="s">
        <v>101</v>
      </c>
      <c r="P178" t="s">
        <v>150</v>
      </c>
      <c r="Q178" t="s">
        <v>94</v>
      </c>
      <c r="R178" t="s">
        <v>122</v>
      </c>
      <c r="U178" t="s">
        <v>151</v>
      </c>
      <c r="V178" t="s">
        <v>101</v>
      </c>
      <c r="W178" t="s">
        <v>148</v>
      </c>
      <c r="X178" t="s">
        <v>94</v>
      </c>
      <c r="Y178" t="s">
        <v>150</v>
      </c>
      <c r="Z178" t="s">
        <v>94</v>
      </c>
    </row>
    <row r="179" spans="2:26" x14ac:dyDescent="0.25">
      <c r="B179">
        <v>6.5</v>
      </c>
      <c r="C179" s="25">
        <f>8*0.000276*1900</f>
        <v>4.1951999999999998</v>
      </c>
      <c r="D179">
        <v>3.1710376065228823E-5</v>
      </c>
      <c r="E179">
        <v>5.500750766970548E-7</v>
      </c>
      <c r="F179" s="25">
        <v>7.2410119999999998E-3</v>
      </c>
      <c r="G179" s="25">
        <v>4.1645866331102679E-5</v>
      </c>
      <c r="H179" s="25">
        <f>(0.0005)^2</f>
        <v>2.4999999999999999E-7</v>
      </c>
      <c r="I179" s="25">
        <f>H179*(2*(0.01*0.001)/0.0005)</f>
        <v>1E-8</v>
      </c>
      <c r="J179" s="37">
        <f>C179*D179/H179</f>
        <v>532.12547867539183</v>
      </c>
      <c r="K179" s="37">
        <f>J179*(((E179/D179)^2)+((G179/F179)^2)+((I179/H179)^2))^0.5</f>
        <v>23.401373342103415</v>
      </c>
      <c r="L179" s="24">
        <f>K179/J179</f>
        <v>4.3977171324996379E-2</v>
      </c>
      <c r="M179" s="25">
        <f>1900*D179*(PI()*H179)</f>
        <v>4.7320015132318925E-8</v>
      </c>
      <c r="N179" s="25">
        <f>M179*(((E179/D179)^2)+((I179/H179)^2))^0.5</f>
        <v>2.0631272299310487E-9</v>
      </c>
      <c r="O179" s="24"/>
      <c r="P179" s="37">
        <f>M179*1000000000</f>
        <v>47.320015132318929</v>
      </c>
      <c r="Q179" s="37">
        <f>N179*1000000000</f>
        <v>2.0631272299310486</v>
      </c>
      <c r="R179" s="24">
        <f t="shared" ref="R179:R181" si="151">Q179/P179</f>
        <v>4.3599462598691366E-2</v>
      </c>
      <c r="T179" s="25"/>
      <c r="U179" s="37">
        <f>1900*F179*9.81</f>
        <v>134.965222668</v>
      </c>
      <c r="V179" s="25">
        <f>U179*(G179/F179)</f>
        <v>0.77623730254542289</v>
      </c>
      <c r="W179" s="25">
        <f>(U179)*(PI()*(0.0005)^4)/(8*0.000276)</f>
        <v>1.2001974411908386E-8</v>
      </c>
      <c r="X179" s="25">
        <f>M179*(((E179/D179)^2)+((4*(0.00001/0.0005))^2))^0.5</f>
        <v>3.8735741068260007E-9</v>
      </c>
      <c r="Y179" s="37">
        <f>W179*1000000000</f>
        <v>12.001974411908385</v>
      </c>
    </row>
    <row r="180" spans="2:26" x14ac:dyDescent="0.25">
      <c r="B180">
        <v>8</v>
      </c>
      <c r="C180" s="25">
        <f t="shared" ref="C180:C181" si="152">8*0.000276*1900</f>
        <v>4.1951999999999998</v>
      </c>
      <c r="D180">
        <v>4.4235410434477392E-5</v>
      </c>
      <c r="E180">
        <v>7.4471385824351956E-7</v>
      </c>
      <c r="F180" s="25">
        <v>1.1774560000000002E-2</v>
      </c>
      <c r="G180" s="25">
        <v>4.6218111522968754E-5</v>
      </c>
      <c r="H180" s="25">
        <f t="shared" ref="H180:H181" si="153">(0.0005)^2</f>
        <v>2.4999999999999999E-7</v>
      </c>
      <c r="I180" s="25">
        <f t="shared" ref="I180:I181" si="154">H180*(2*(0.01*0.001)/0.0005)</f>
        <v>1E-8</v>
      </c>
      <c r="J180" s="37">
        <f t="shared" ref="J180:J181" si="155">C180*D180/H180</f>
        <v>742.30557541887822</v>
      </c>
      <c r="K180" s="37">
        <f t="shared" ref="K180:K181" si="156">J180*(((E180/D180)^2)+((G180/F180)^2)+((I180/H180)^2))^0.5</f>
        <v>32.346411452487409</v>
      </c>
      <c r="L180" s="24">
        <f t="shared" ref="L180:L187" si="157">K180/J180</f>
        <v>4.3575600835591921E-2</v>
      </c>
      <c r="M180" s="25">
        <f t="shared" ref="M180:M181" si="158">1900*D180*(PI()*H180)</f>
        <v>6.6010579213504636E-8</v>
      </c>
      <c r="N180" s="25">
        <f t="shared" ref="N180:N181" si="159">M180*(((E180/D180)^2)+((I180/H180)^2))^0.5</f>
        <v>2.8647567643999714E-9</v>
      </c>
      <c r="O180" s="24"/>
      <c r="P180" s="37">
        <f t="shared" ref="P180:Q181" si="160">M180*1000000000</f>
        <v>66.010579213504641</v>
      </c>
      <c r="Q180" s="37">
        <f t="shared" si="160"/>
        <v>2.8647567643999712</v>
      </c>
      <c r="R180" s="24">
        <f t="shared" si="151"/>
        <v>4.3398449135466616E-2</v>
      </c>
      <c r="T180" s="25"/>
      <c r="U180" s="37">
        <f t="shared" ref="U180:U181" si="161">1900*F180*9.81</f>
        <v>219.46602384000005</v>
      </c>
      <c r="V180" s="25">
        <f t="shared" ref="V180:V181" si="162">U180*(G180/F180)</f>
        <v>0.86145938067661465</v>
      </c>
      <c r="W180" s="25">
        <f t="shared" ref="W180:W181" si="163">(U180)*(PI()*(0.0005)^4)/(8*0.000276)</f>
        <v>1.9516328357345634E-8</v>
      </c>
      <c r="X180" s="25">
        <f>W180*((G180/F180)^2)^0.5</f>
        <v>7.6606500840683473E-11</v>
      </c>
      <c r="Y180" s="37">
        <f>W180*1000000000</f>
        <v>19.516328357345635</v>
      </c>
    </row>
    <row r="181" spans="2:26" x14ac:dyDescent="0.25">
      <c r="B181">
        <v>9.5</v>
      </c>
      <c r="C181" s="25">
        <f t="shared" si="152"/>
        <v>4.1951999999999998</v>
      </c>
      <c r="D181">
        <v>2.3561215199999995E-5</v>
      </c>
      <c r="E181">
        <v>2.3011749863095765E-7</v>
      </c>
      <c r="F181" s="25">
        <v>1.8081679999999999E-2</v>
      </c>
      <c r="G181" s="25">
        <v>6.7840980822043797E-5</v>
      </c>
      <c r="H181" s="25">
        <f t="shared" si="153"/>
        <v>2.4999999999999999E-7</v>
      </c>
      <c r="I181" s="25">
        <f t="shared" si="154"/>
        <v>1E-8</v>
      </c>
      <c r="J181" s="37">
        <f t="shared" si="155"/>
        <v>395.37604002815993</v>
      </c>
      <c r="K181" s="37">
        <f t="shared" si="156"/>
        <v>16.347100165874345</v>
      </c>
      <c r="L181" s="24">
        <f t="shared" si="157"/>
        <v>4.1345702599252229E-2</v>
      </c>
      <c r="M181" s="25">
        <f t="shared" si="158"/>
        <v>3.5159376776434867E-8</v>
      </c>
      <c r="N181" s="25">
        <f t="shared" si="159"/>
        <v>1.4476914416222631E-9</v>
      </c>
      <c r="O181" s="24"/>
      <c r="P181" s="37">
        <f t="shared" si="160"/>
        <v>35.159376776434868</v>
      </c>
      <c r="Q181" s="37">
        <f t="shared" si="160"/>
        <v>1.447691441622263</v>
      </c>
      <c r="R181" s="24">
        <f t="shared" si="151"/>
        <v>4.1175116692983023E-2</v>
      </c>
      <c r="T181" s="25"/>
      <c r="U181" s="37">
        <f t="shared" si="161"/>
        <v>337.02443351999995</v>
      </c>
      <c r="V181" s="25">
        <f t="shared" si="162"/>
        <v>1.2644880415420741</v>
      </c>
      <c r="W181" s="25">
        <f t="shared" si="163"/>
        <v>2.9970377163346169E-8</v>
      </c>
      <c r="X181" s="25">
        <f>W181*((G181/F181)^2)^0.5</f>
        <v>1.1244639781082216E-10</v>
      </c>
      <c r="Y181" s="37">
        <f>W181*1000000000</f>
        <v>29.970377163346168</v>
      </c>
    </row>
    <row r="182" spans="2:26" x14ac:dyDescent="0.25">
      <c r="L182" s="24"/>
      <c r="R182" s="24"/>
    </row>
    <row r="183" spans="2:26" x14ac:dyDescent="0.25">
      <c r="B183" t="s">
        <v>155</v>
      </c>
      <c r="L183" s="24"/>
      <c r="R183" s="24"/>
    </row>
    <row r="184" spans="2:26" x14ac:dyDescent="0.25">
      <c r="B184" t="s">
        <v>64</v>
      </c>
      <c r="C184" t="s">
        <v>149</v>
      </c>
      <c r="D184" t="s">
        <v>139</v>
      </c>
      <c r="E184" t="s">
        <v>94</v>
      </c>
      <c r="F184" t="s">
        <v>145</v>
      </c>
      <c r="G184" t="s">
        <v>94</v>
      </c>
      <c r="H184" t="s">
        <v>144</v>
      </c>
      <c r="I184" t="s">
        <v>94</v>
      </c>
      <c r="J184" t="s">
        <v>147</v>
      </c>
      <c r="K184" t="s">
        <v>94</v>
      </c>
      <c r="L184" s="24"/>
      <c r="M184" t="s">
        <v>148</v>
      </c>
      <c r="N184" t="s">
        <v>94</v>
      </c>
      <c r="P184" t="s">
        <v>150</v>
      </c>
      <c r="Q184" t="s">
        <v>94</v>
      </c>
      <c r="R184" s="24" t="s">
        <v>122</v>
      </c>
      <c r="U184" t="s">
        <v>151</v>
      </c>
      <c r="V184" t="s">
        <v>148</v>
      </c>
      <c r="Y184" t="s">
        <v>150</v>
      </c>
      <c r="Z184" t="s">
        <v>94</v>
      </c>
    </row>
    <row r="185" spans="2:26" x14ac:dyDescent="0.25">
      <c r="B185">
        <v>6.5</v>
      </c>
      <c r="C185" s="25">
        <f>8*0.000276*1900</f>
        <v>4.1951999999999998</v>
      </c>
      <c r="D185">
        <v>3.2917669240445603E-5</v>
      </c>
      <c r="E185">
        <v>7.138168510672473E-6</v>
      </c>
      <c r="F185" s="25">
        <f>7.241012*0.001</f>
        <v>7.2410119999999998E-3</v>
      </c>
      <c r="G185" s="25">
        <f>0.001*0.233660610116468</f>
        <v>2.3366061011646799E-4</v>
      </c>
      <c r="H185" s="25">
        <f t="shared" ref="H185:H187" si="164">(0.0005)^2</f>
        <v>2.4999999999999999E-7</v>
      </c>
      <c r="I185" s="25">
        <f>H185*(2*(0.01*0.001)/0.0005)</f>
        <v>1E-8</v>
      </c>
      <c r="J185" s="37">
        <f>C185*D185/H185</f>
        <v>552.38482399006966</v>
      </c>
      <c r="K185" s="37">
        <f>J185*(((E185/D185)^2)+((G185/F185)^2)+((I185/H185)^2))^0.5</f>
        <v>123.10233167846577</v>
      </c>
      <c r="L185" s="24">
        <f t="shared" si="157"/>
        <v>0.22285610743114626</v>
      </c>
      <c r="M185" s="25">
        <f>1900*D185*(PI()*H185)</f>
        <v>4.9121606233064234E-8</v>
      </c>
      <c r="N185" s="25">
        <f>M185*(((E185/D185)^2)+((I185/H185)^2))^0.5</f>
        <v>1.0831682050845623E-8</v>
      </c>
      <c r="O185" s="24"/>
      <c r="P185" s="37">
        <f>M185*1000000000</f>
        <v>49.121606233064234</v>
      </c>
      <c r="Q185" s="37">
        <f>N185*1000000000</f>
        <v>10.831682050845624</v>
      </c>
      <c r="R185" s="24">
        <f>Q185/P185</f>
        <v>0.22050748909661494</v>
      </c>
      <c r="U185" s="37">
        <f>1900*F185*9.81</f>
        <v>134.965222668</v>
      </c>
      <c r="V185" s="25">
        <f>U185*(PI()*(0.0005)^4)/(8*0.000276)</f>
        <v>1.2001974411908386E-8</v>
      </c>
      <c r="W185" s="25">
        <f>V185*((G185/F185)^2)^0.5</f>
        <v>3.8729236516784534E-10</v>
      </c>
      <c r="Y185" s="37">
        <f>V185*1000000000</f>
        <v>12.001974411908385</v>
      </c>
    </row>
    <row r="186" spans="2:26" x14ac:dyDescent="0.25">
      <c r="B186">
        <v>8</v>
      </c>
      <c r="C186" s="25">
        <f t="shared" ref="C186:C187" si="165">8*0.000276*1900</f>
        <v>4.1951999999999998</v>
      </c>
      <c r="D186">
        <v>4.49259307671442E-5</v>
      </c>
      <c r="E186">
        <v>6.0173730313009892E-6</v>
      </c>
      <c r="F186" s="25">
        <f>0.001*11.77456</f>
        <v>1.177456E-2</v>
      </c>
      <c r="G186" s="25">
        <f>0.001*0.49498507856298</f>
        <v>4.9498507856297999E-4</v>
      </c>
      <c r="H186" s="25">
        <f t="shared" si="164"/>
        <v>2.4999999999999999E-7</v>
      </c>
      <c r="I186" s="25">
        <f t="shared" ref="I186:I187" si="166">H186*(2*(0.01*0.001)/0.0005)</f>
        <v>1E-8</v>
      </c>
      <c r="J186" s="37">
        <f t="shared" ref="J186:J187" si="167">C186*D186/H186</f>
        <v>753.89305901729347</v>
      </c>
      <c r="K186" s="37">
        <f t="shared" ref="K186:K187" si="168">J186*(((E186/D186)^2)+((G186/F186)^2)+((I186/H186)^2))^0.5</f>
        <v>110.04546845480803</v>
      </c>
      <c r="L186" s="24">
        <f t="shared" si="157"/>
        <v>0.14596960024841363</v>
      </c>
      <c r="M186" s="25">
        <f t="shared" ref="M186:M187" si="169">1900*D186*(PI()*H186)</f>
        <v>6.7041012675528338E-8</v>
      </c>
      <c r="N186" s="25">
        <f t="shared" ref="N186:N187" si="170">M186*(((E186/D186)^2)+((I186/H186)^2))^0.5</f>
        <v>9.3713377382934928E-9</v>
      </c>
      <c r="O186" s="24"/>
      <c r="P186" s="37">
        <f t="shared" ref="P186:P187" si="171">M186*1000000000</f>
        <v>67.041012675528336</v>
      </c>
      <c r="Q186" s="37">
        <f t="shared" ref="Q186:Q187" si="172">N186*1000000000</f>
        <v>9.3713377382934926</v>
      </c>
      <c r="R186" s="24">
        <f t="shared" ref="R186:R193" si="173">Q186/P186</f>
        <v>0.13978514590240174</v>
      </c>
      <c r="U186" s="37">
        <f t="shared" ref="U186:U187" si="174">1900*F186*9.81</f>
        <v>219.46602383999999</v>
      </c>
      <c r="V186" s="25">
        <f t="shared" ref="V186:V187" si="175">U186*(PI()*(0.0005)^4)/(8*0.000276)</f>
        <v>1.9516328357345631E-8</v>
      </c>
      <c r="W186" s="25">
        <f t="shared" ref="W186:W187" si="176">V186*((G186/F186)^2)^0.5</f>
        <v>8.2043756414011569E-10</v>
      </c>
      <c r="Y186" s="37">
        <f t="shared" ref="Y186:Y187" si="177">V186*1000000000</f>
        <v>19.516328357345632</v>
      </c>
    </row>
    <row r="187" spans="2:26" x14ac:dyDescent="0.25">
      <c r="B187">
        <v>9.5</v>
      </c>
      <c r="C187" s="25">
        <f t="shared" si="165"/>
        <v>4.1951999999999998</v>
      </c>
      <c r="D187">
        <v>2.5306946778661822E-5</v>
      </c>
      <c r="E187">
        <v>9.376469763620818E-6</v>
      </c>
      <c r="F187" s="25">
        <f>0.001*18.08168</f>
        <v>1.8081679999999999E-2</v>
      </c>
      <c r="G187" s="25">
        <f>0.001*1.12792011773884</f>
        <v>1.1279201177388401E-3</v>
      </c>
      <c r="H187" s="25">
        <f t="shared" si="164"/>
        <v>2.4999999999999999E-7</v>
      </c>
      <c r="I187" s="25">
        <f t="shared" si="166"/>
        <v>1E-8</v>
      </c>
      <c r="J187" s="37">
        <f t="shared" si="167"/>
        <v>424.67081250336832</v>
      </c>
      <c r="K187" s="37">
        <f t="shared" si="168"/>
        <v>160.4607372035311</v>
      </c>
      <c r="L187" s="24">
        <f t="shared" si="157"/>
        <v>0.37784734076175386</v>
      </c>
      <c r="M187" s="25">
        <f t="shared" si="169"/>
        <v>3.7764456090200135E-8</v>
      </c>
      <c r="N187" s="25">
        <f t="shared" si="170"/>
        <v>1.4073402377060467E-8</v>
      </c>
      <c r="O187" s="24"/>
      <c r="P187" s="37">
        <f t="shared" si="171"/>
        <v>37.764456090200134</v>
      </c>
      <c r="Q187" s="37">
        <f t="shared" si="172"/>
        <v>14.073402377060468</v>
      </c>
      <c r="R187" s="24">
        <f t="shared" si="173"/>
        <v>0.37266265250706238</v>
      </c>
      <c r="U187" s="37">
        <f t="shared" si="174"/>
        <v>337.02443351999995</v>
      </c>
      <c r="V187" s="25">
        <f t="shared" si="175"/>
        <v>2.9970377163346169E-8</v>
      </c>
      <c r="W187" s="25">
        <f t="shared" si="176"/>
        <v>1.869527131259864E-9</v>
      </c>
      <c r="Y187" s="37">
        <f t="shared" si="177"/>
        <v>29.970377163346168</v>
      </c>
    </row>
    <row r="188" spans="2:26" x14ac:dyDescent="0.25">
      <c r="R188" s="24"/>
    </row>
    <row r="189" spans="2:26" x14ac:dyDescent="0.25">
      <c r="B189" s="22" t="s">
        <v>134</v>
      </c>
      <c r="R189" s="24"/>
    </row>
    <row r="190" spans="2:26" x14ac:dyDescent="0.25">
      <c r="B190" t="s">
        <v>64</v>
      </c>
      <c r="C190" t="s">
        <v>149</v>
      </c>
      <c r="D190" t="s">
        <v>139</v>
      </c>
      <c r="E190" t="s">
        <v>142</v>
      </c>
      <c r="F190" t="s">
        <v>145</v>
      </c>
      <c r="G190" t="s">
        <v>101</v>
      </c>
      <c r="H190" t="s">
        <v>144</v>
      </c>
      <c r="I190" t="s">
        <v>146</v>
      </c>
      <c r="J190" t="s">
        <v>147</v>
      </c>
      <c r="K190" t="s">
        <v>101</v>
      </c>
      <c r="M190" t="s">
        <v>148</v>
      </c>
      <c r="N190" t="s">
        <v>101</v>
      </c>
      <c r="P190" t="s">
        <v>150</v>
      </c>
      <c r="Q190" t="s">
        <v>101</v>
      </c>
      <c r="R190" s="24"/>
    </row>
    <row r="191" spans="2:26" x14ac:dyDescent="0.25">
      <c r="B191">
        <v>6.5</v>
      </c>
      <c r="C191" s="25">
        <f>8*0.000276*1900</f>
        <v>4.1951999999999998</v>
      </c>
      <c r="D191" s="25">
        <v>4.0194886113152094E-5</v>
      </c>
      <c r="E191">
        <v>6.4138926867442773E-6</v>
      </c>
      <c r="F191" s="25">
        <v>7.2410119999999998E-3</v>
      </c>
      <c r="G191" s="25">
        <v>2.3266666666666667E-4</v>
      </c>
      <c r="H191" s="25">
        <f t="shared" ref="H191:H193" si="178">(0.0005)^2</f>
        <v>2.4999999999999999E-7</v>
      </c>
      <c r="I191" s="25">
        <v>3.1415926535897931E-8</v>
      </c>
      <c r="J191" s="37">
        <f>(C191*F191*D191/H191)+(1900*9.81*(F179-F191))+(1900*9.81*F191)</f>
        <v>139.84930224135911</v>
      </c>
      <c r="K191" s="36">
        <f>(((J191*(((E191/D191)^2)+((G191/F191)^2)+((I191/H191)^2))^0.5))^2+(G191)^2+(G191)^2)^0.5</f>
        <v>28.758118200319167</v>
      </c>
      <c r="M191" s="25">
        <f>1900*D191*(PI()*H191)</f>
        <v>5.998108048935457E-8</v>
      </c>
      <c r="N191" s="25">
        <f>M191*(((E191/D191)^2)+((I191/H191)^2))^0.5</f>
        <v>1.2182792376428768E-8</v>
      </c>
      <c r="O191" s="24"/>
      <c r="P191" s="37">
        <f>M191*1000000000</f>
        <v>59.981080489354568</v>
      </c>
      <c r="Q191" s="37">
        <f>N191*1000000000</f>
        <v>12.182792376428768</v>
      </c>
      <c r="R191" s="24">
        <f t="shared" si="173"/>
        <v>0.20311058548855199</v>
      </c>
      <c r="U191" s="37">
        <f>1900*0.00730133333333333*9.81</f>
        <v>136.08955199999994</v>
      </c>
    </row>
    <row r="192" spans="2:26" x14ac:dyDescent="0.25">
      <c r="B192">
        <v>8</v>
      </c>
      <c r="C192" s="25">
        <f t="shared" ref="C192:C193" si="179">8*0.000276*1900</f>
        <v>4.1951999999999998</v>
      </c>
      <c r="D192" s="25">
        <v>2.5689241606010796E-4</v>
      </c>
      <c r="E192">
        <v>3.1715992027573637E-5</v>
      </c>
      <c r="F192" s="25">
        <v>7.2410119999999998E-3</v>
      </c>
      <c r="G192" s="25">
        <v>2.3266666666666667E-4</v>
      </c>
      <c r="H192" s="25">
        <f t="shared" si="178"/>
        <v>2.4999999999999999E-7</v>
      </c>
      <c r="I192" s="25">
        <v>3.1415926535897931E-8</v>
      </c>
      <c r="J192" s="37">
        <f t="shared" ref="J192:J193" si="180">(C192*F192*D192/H192)+(1900*9.81*(F180-F192))+(1900*9.81*F192)</f>
        <v>250.6810146798299</v>
      </c>
      <c r="K192" s="36">
        <f t="shared" ref="K192:K193" si="181">(((J192*(((E192/D192)^2)+((G192/F192)^2)+((I192/H192)^2))^0.5))^2+(G192)^2+(G192)^2)^0.5</f>
        <v>44.88957375849369</v>
      </c>
      <c r="M192" s="25">
        <f t="shared" ref="M192:M193" si="182">1900*D192*(PI()*H192)</f>
        <v>3.8334938035224969E-7</v>
      </c>
      <c r="N192" s="25">
        <f t="shared" ref="N192:N193" si="183">M192*(((E192/D192)^2)+((I192/H192)^2))^0.5</f>
        <v>6.7532399385135945E-8</v>
      </c>
      <c r="O192" s="24"/>
      <c r="P192" s="37">
        <f t="shared" ref="P192:P193" si="184">M192*1000000000</f>
        <v>383.34938035224968</v>
      </c>
      <c r="Q192" s="37">
        <f t="shared" ref="Q192:Q193" si="185">N192*1000000000</f>
        <v>67.532399385135946</v>
      </c>
      <c r="R192" s="24">
        <f t="shared" si="173"/>
        <v>0.17616410211249642</v>
      </c>
      <c r="U192" s="37">
        <f t="shared" ref="U192:U193" si="186">1900*0.00730133333333333*9.81</f>
        <v>136.08955199999994</v>
      </c>
    </row>
    <row r="193" spans="2:26" x14ac:dyDescent="0.25">
      <c r="B193">
        <v>9.5</v>
      </c>
      <c r="C193" s="25">
        <f t="shared" si="179"/>
        <v>4.1951999999999998</v>
      </c>
      <c r="D193" s="25">
        <v>4.5568713036234904E-4</v>
      </c>
      <c r="E193">
        <v>2.2564285991383762E-5</v>
      </c>
      <c r="F193" s="25">
        <v>7.2410119999999998E-3</v>
      </c>
      <c r="G193" s="25">
        <v>2.3266666666666667E-4</v>
      </c>
      <c r="H193" s="25">
        <f t="shared" si="178"/>
        <v>2.4999999999999999E-7</v>
      </c>
      <c r="I193" s="25">
        <v>3.1415926535897931E-8</v>
      </c>
      <c r="J193" s="37">
        <f t="shared" si="180"/>
        <v>392.39496495974811</v>
      </c>
      <c r="K193" s="36">
        <f t="shared" si="181"/>
        <v>54.479003805034658</v>
      </c>
      <c r="M193" s="25">
        <f t="shared" si="182"/>
        <v>6.8000208701384073E-7</v>
      </c>
      <c r="N193" s="25">
        <f t="shared" si="183"/>
        <v>9.1846374465272426E-8</v>
      </c>
      <c r="O193" s="24"/>
      <c r="P193" s="37">
        <f t="shared" si="184"/>
        <v>680.00208701384076</v>
      </c>
      <c r="Q193" s="37">
        <f t="shared" si="185"/>
        <v>91.846374465272433</v>
      </c>
      <c r="R193" s="24">
        <f t="shared" si="173"/>
        <v>0.13506778320138155</v>
      </c>
      <c r="U193" s="37">
        <f t="shared" si="186"/>
        <v>136.08955199999994</v>
      </c>
    </row>
    <row r="195" spans="2:26" x14ac:dyDescent="0.25">
      <c r="B195" s="22"/>
    </row>
    <row r="197" spans="2:26" x14ac:dyDescent="0.25">
      <c r="C197" s="62"/>
      <c r="D197" s="22"/>
      <c r="E197" s="62"/>
      <c r="F197" s="25"/>
      <c r="G197" s="25"/>
      <c r="H197" s="25"/>
      <c r="J197" s="25"/>
      <c r="K197" s="25"/>
      <c r="L197" s="25"/>
      <c r="N197" s="25"/>
      <c r="O197" s="25"/>
      <c r="P197" s="25"/>
      <c r="Q197" s="25"/>
      <c r="R197" s="39"/>
      <c r="S197" s="24"/>
      <c r="U197" s="25"/>
      <c r="V197" s="25"/>
      <c r="X197" s="24"/>
      <c r="Y197" s="24"/>
    </row>
    <row r="198" spans="2:26" x14ac:dyDescent="0.25">
      <c r="C198" s="62"/>
      <c r="E198" s="62"/>
      <c r="F198" s="25"/>
      <c r="G198" s="25"/>
      <c r="H198" s="25"/>
      <c r="J198" s="25"/>
      <c r="K198" s="25"/>
      <c r="L198" s="25"/>
      <c r="N198" s="25"/>
      <c r="O198" s="25"/>
      <c r="P198" s="25"/>
      <c r="Q198" s="25"/>
      <c r="R198" s="39"/>
      <c r="S198" s="24"/>
      <c r="U198" s="25"/>
      <c r="V198" s="25"/>
      <c r="X198" s="24"/>
      <c r="Y198" s="24"/>
    </row>
    <row r="199" spans="2:26" x14ac:dyDescent="0.25">
      <c r="C199" s="62"/>
      <c r="E199" s="62"/>
      <c r="F199" s="25"/>
      <c r="G199" s="25"/>
      <c r="H199" s="25"/>
      <c r="J199" s="25"/>
      <c r="K199" s="25"/>
      <c r="L199" s="25"/>
      <c r="N199" s="25"/>
      <c r="O199" s="25"/>
      <c r="P199" s="25"/>
      <c r="Q199" s="25"/>
      <c r="R199" s="39"/>
      <c r="S199" s="24"/>
      <c r="U199" s="25"/>
      <c r="V199" s="25"/>
      <c r="X199" s="24"/>
      <c r="Y199" s="24"/>
    </row>
    <row r="200" spans="2:26" x14ac:dyDescent="0.25">
      <c r="D200" s="62"/>
      <c r="E200" s="62"/>
      <c r="F200" s="62"/>
      <c r="K200" s="24"/>
      <c r="P200" s="25"/>
    </row>
    <row r="201" spans="2:26" x14ac:dyDescent="0.25">
      <c r="B201" t="s">
        <v>152</v>
      </c>
      <c r="J201" t="s">
        <v>170</v>
      </c>
    </row>
    <row r="202" spans="2:26" x14ac:dyDescent="0.25">
      <c r="B202" t="s">
        <v>64</v>
      </c>
      <c r="C202" t="s">
        <v>169</v>
      </c>
      <c r="D202" t="s">
        <v>101</v>
      </c>
      <c r="E202" t="s">
        <v>168</v>
      </c>
      <c r="F202" t="s">
        <v>167</v>
      </c>
      <c r="G202" t="s">
        <v>164</v>
      </c>
      <c r="H202" t="s">
        <v>101</v>
      </c>
      <c r="J202" t="s">
        <v>165</v>
      </c>
      <c r="K202" t="s">
        <v>101</v>
      </c>
      <c r="L202" t="s">
        <v>94</v>
      </c>
      <c r="M202" t="s">
        <v>166</v>
      </c>
      <c r="N202" t="s">
        <v>101</v>
      </c>
      <c r="O202" t="s">
        <v>164</v>
      </c>
      <c r="P202" t="s">
        <v>101</v>
      </c>
      <c r="Q202" t="s">
        <v>94</v>
      </c>
      <c r="R202" t="s">
        <v>171</v>
      </c>
      <c r="S202" t="s">
        <v>172</v>
      </c>
      <c r="U202" t="s">
        <v>173</v>
      </c>
      <c r="V202" t="s">
        <v>174</v>
      </c>
      <c r="X202" t="s">
        <v>175</v>
      </c>
      <c r="Y202" t="s">
        <v>176</v>
      </c>
    </row>
    <row r="203" spans="2:26" x14ac:dyDescent="0.25">
      <c r="B203">
        <v>6.5</v>
      </c>
      <c r="C203" s="62">
        <v>0.89653000000000005</v>
      </c>
      <c r="D203" s="22">
        <v>6.954999999999989E-3</v>
      </c>
      <c r="E203" s="62">
        <f>8.0184*0.001</f>
        <v>8.0184000000000002E-3</v>
      </c>
      <c r="F203" s="25">
        <f>PI()*((10-2.05)*0.001)^2</f>
        <v>1.9855650968850892E-4</v>
      </c>
      <c r="G203" s="25">
        <f>C203*F203</f>
        <v>1.780118676310389E-4</v>
      </c>
      <c r="H203" s="25">
        <f>G203*((D203/C203)^2+(0/F203)^2)^0.5</f>
        <v>1.3809605248835773E-6</v>
      </c>
      <c r="J203" s="25">
        <f>1900*9.81*F185</f>
        <v>134.965222668</v>
      </c>
      <c r="K203" s="25">
        <f>J203*(G185/F185)</f>
        <v>4.3552001119608468</v>
      </c>
      <c r="L203" s="25">
        <f>J203*(G191/F191)</f>
        <v>4.3366739999999995</v>
      </c>
      <c r="M203">
        <v>1.1058811532970015E-6</v>
      </c>
      <c r="N203" s="25">
        <v>8.2420743415988086E-8</v>
      </c>
      <c r="O203" s="25">
        <f>J203*M203</f>
        <v>1.4925549609907444E-4</v>
      </c>
      <c r="P203" s="25">
        <f>O203*((K203/J203)^2+(N203/M203)^2)^0.5</f>
        <v>1.2121838882301722E-5</v>
      </c>
      <c r="Q203" s="25">
        <f>O203*((L203/J203)^2+(N203/M203)^2)^0.5</f>
        <v>1.2113713165001989E-5</v>
      </c>
      <c r="R203" s="39">
        <f>P203/O203</f>
        <v>8.1215360232063785E-2</v>
      </c>
      <c r="S203" s="24">
        <f>Q203/O203</f>
        <v>8.1160918569866375E-2</v>
      </c>
      <c r="U203" s="25">
        <f>O203+2*Q203</f>
        <v>1.7348292242907841E-4</v>
      </c>
      <c r="V203" s="25">
        <f>O203+3*Q203</f>
        <v>1.8559663559408041E-4</v>
      </c>
      <c r="X203" s="24">
        <f>((G203)/(O203))-1</f>
        <v>0.19266541121458092</v>
      </c>
      <c r="Y203" s="24">
        <f>((G203-H203)/(V203+P203))-1</f>
        <v>-0.10665451180560148</v>
      </c>
    </row>
    <row r="204" spans="2:26" x14ac:dyDescent="0.25">
      <c r="B204">
        <v>8</v>
      </c>
      <c r="C204" s="62">
        <v>1.3697999999999999</v>
      </c>
      <c r="D204">
        <v>9.4499999999999584E-3</v>
      </c>
      <c r="E204" s="62">
        <f>8.0382*0.001</f>
        <v>8.0382000000000006E-3</v>
      </c>
      <c r="F204" s="25">
        <f>PI()*(E204)^2</f>
        <v>2.0298665559728468E-4</v>
      </c>
      <c r="G204" s="25">
        <f>C204*F204</f>
        <v>2.7805112083716056E-4</v>
      </c>
      <c r="H204" s="25">
        <f t="shared" ref="H204:H205" si="187">G204*((D204/C204)^2+(0/F204)^2)^0.5</f>
        <v>1.918223895394332E-6</v>
      </c>
      <c r="J204" s="25">
        <f>1900*9.81*F186</f>
        <v>219.46602383999999</v>
      </c>
      <c r="K204" s="25">
        <f>J204*(G186/F186)</f>
        <v>9.2260268793353841</v>
      </c>
      <c r="L204" s="25">
        <f>J204*(G192/F192)</f>
        <v>7.0518358778358596</v>
      </c>
      <c r="M204">
        <v>1.1058811532970015E-6</v>
      </c>
      <c r="N204" s="25">
        <v>8.2420743415988086E-8</v>
      </c>
      <c r="O204" s="25">
        <f t="shared" ref="O204:O205" si="188">J204*M204</f>
        <v>2.4270333955368642E-4</v>
      </c>
      <c r="P204" s="25">
        <f t="shared" ref="P204:P205" si="189">O204*((K204/J204)^2+(N204/M204)^2)^0.5</f>
        <v>2.0767635705219984E-5</v>
      </c>
      <c r="Q204" s="25">
        <f>O204*((L204/J204)^2+(N204/M204)^2)^0.5</f>
        <v>1.9698025978151373E-5</v>
      </c>
      <c r="R204" s="39">
        <f t="shared" ref="R204:R205" si="190">P204/O204</f>
        <v>8.55679849457784E-2</v>
      </c>
      <c r="S204" s="24">
        <f t="shared" ref="S204:S205" si="191">Q204/O204</f>
        <v>8.1160918569866375E-2</v>
      </c>
      <c r="U204" s="25">
        <f t="shared" ref="U204:U205" si="192">O204+2*Q204</f>
        <v>2.8209939150998915E-4</v>
      </c>
      <c r="V204" s="25">
        <f t="shared" ref="V204:V205" si="193">O204+3*Q204</f>
        <v>3.0179741748814055E-4</v>
      </c>
      <c r="X204" s="24">
        <f t="shared" ref="X204:X205" si="194">((G204)/(O204))-1</f>
        <v>0.14564192379254481</v>
      </c>
      <c r="Y204" s="24">
        <f t="shared" ref="Y204:Y205" si="195">((G204-H204)/(V204+P204))-1</f>
        <v>-0.14394664205536456</v>
      </c>
    </row>
    <row r="205" spans="2:26" x14ac:dyDescent="0.25">
      <c r="B205">
        <v>9.5</v>
      </c>
      <c r="C205" s="62">
        <v>1.9488000000000001</v>
      </c>
      <c r="D205">
        <v>1.2050000000000005E-2</v>
      </c>
      <c r="E205" s="62">
        <f>8.0665*0.001</f>
        <v>8.066499999999999E-3</v>
      </c>
      <c r="F205" s="25">
        <f>PI()*(E205)^2</f>
        <v>2.0441847732127861E-4</v>
      </c>
      <c r="G205" s="25">
        <f>C205*F205</f>
        <v>3.9837072860370774E-4</v>
      </c>
      <c r="H205" s="25">
        <f t="shared" si="187"/>
        <v>2.463242651721408E-6</v>
      </c>
      <c r="J205" s="25">
        <f>1900*9.81*F187</f>
        <v>337.02443352</v>
      </c>
      <c r="K205" s="25">
        <f>J205*(G187/F187)</f>
        <v>21.02330307453424</v>
      </c>
      <c r="L205" s="25">
        <f>J205*(G193/F193)</f>
        <v>10.829197843108117</v>
      </c>
      <c r="M205">
        <v>1.1058811532970015E-6</v>
      </c>
      <c r="N205" s="25">
        <v>8.2420743415988086E-8</v>
      </c>
      <c r="O205" s="25">
        <f t="shared" si="188"/>
        <v>3.7270896923036624E-4</v>
      </c>
      <c r="P205" s="25">
        <f t="shared" si="189"/>
        <v>3.6223406615416293E-5</v>
      </c>
      <c r="Q205" s="25">
        <f>O205*((L205/J205)^2+(N205/M205)^2)^0.5</f>
        <v>3.0249402301964587E-5</v>
      </c>
      <c r="R205" s="39">
        <f t="shared" si="190"/>
        <v>9.7189522136310894E-2</v>
      </c>
      <c r="S205" s="24">
        <f t="shared" si="191"/>
        <v>8.1160918569866375E-2</v>
      </c>
      <c r="U205" s="25">
        <f t="shared" si="192"/>
        <v>4.3320777383429543E-4</v>
      </c>
      <c r="V205" s="25">
        <f t="shared" si="193"/>
        <v>4.6345717613626E-4</v>
      </c>
      <c r="X205" s="24">
        <f t="shared" si="194"/>
        <v>6.8852003820386587E-2</v>
      </c>
      <c r="Y205" s="24">
        <f t="shared" si="195"/>
        <v>-0.20767886602322017</v>
      </c>
      <c r="Z205" s="25"/>
    </row>
    <row r="206" spans="2:26" x14ac:dyDescent="0.25">
      <c r="W206" s="25"/>
      <c r="X206" s="25"/>
      <c r="Z206" s="25"/>
    </row>
    <row r="207" spans="2:26" x14ac:dyDescent="0.25">
      <c r="V207" s="25"/>
      <c r="W207" s="25"/>
      <c r="X207" s="25"/>
      <c r="Z207" s="25"/>
    </row>
    <row r="208" spans="2:26" x14ac:dyDescent="0.25">
      <c r="V208" s="25"/>
      <c r="W208" s="25"/>
    </row>
    <row r="209" spans="1:27" x14ac:dyDescent="0.25">
      <c r="V209" s="63"/>
    </row>
    <row r="210" spans="1:27" x14ac:dyDescent="0.25">
      <c r="V210" s="63"/>
    </row>
    <row r="211" spans="1:27" x14ac:dyDescent="0.25">
      <c r="A211" t="s">
        <v>179</v>
      </c>
      <c r="D211" s="62"/>
      <c r="J211" s="24"/>
      <c r="N211" s="25"/>
      <c r="O211" s="25"/>
      <c r="P211" s="24"/>
      <c r="Q211" s="25"/>
      <c r="T211" s="25"/>
      <c r="U211" s="25"/>
    </row>
    <row r="212" spans="1:27" x14ac:dyDescent="0.25">
      <c r="B212" t="s">
        <v>153</v>
      </c>
      <c r="C212" t="s">
        <v>177</v>
      </c>
      <c r="D212" s="62" t="s">
        <v>178</v>
      </c>
      <c r="E212" s="62"/>
      <c r="F212" s="62"/>
      <c r="J212" s="24"/>
      <c r="N212" s="25"/>
      <c r="O212" s="25"/>
      <c r="P212" s="24"/>
      <c r="Q212" s="25"/>
      <c r="T212" s="25"/>
      <c r="U212" s="25"/>
    </row>
    <row r="213" spans="1:27" x14ac:dyDescent="0.25">
      <c r="A213" t="s">
        <v>62</v>
      </c>
      <c r="B213" s="62">
        <v>0.74056</v>
      </c>
      <c r="C213" s="25">
        <v>1.9875636524675961E-4</v>
      </c>
      <c r="D213" s="25">
        <f>C213*B213</f>
        <v>1.4719101384714031E-4</v>
      </c>
      <c r="H213" s="25"/>
      <c r="I213" s="63"/>
      <c r="J213" s="63"/>
      <c r="K213" s="63"/>
      <c r="M213" s="63"/>
      <c r="N213" s="25"/>
      <c r="O213" s="25"/>
      <c r="P213" s="24"/>
      <c r="Q213" s="25"/>
      <c r="T213" s="25"/>
      <c r="U213" s="25"/>
    </row>
    <row r="214" spans="1:27" x14ac:dyDescent="0.25">
      <c r="B214" s="62">
        <v>1.1349</v>
      </c>
      <c r="C214" s="25">
        <v>1.9988743775071615E-4</v>
      </c>
      <c r="D214" s="25">
        <f t="shared" ref="D214:D219" si="196">C214*B214</f>
        <v>2.2685225310328775E-4</v>
      </c>
      <c r="I214" s="62"/>
      <c r="J214" s="63"/>
      <c r="K214" s="63"/>
      <c r="L214" s="63"/>
      <c r="M214" s="63"/>
      <c r="N214" s="63"/>
      <c r="O214" s="63"/>
      <c r="R214" s="25"/>
      <c r="S214" s="25"/>
      <c r="T214" s="63"/>
    </row>
    <row r="215" spans="1:27" x14ac:dyDescent="0.25">
      <c r="B215" s="62">
        <v>1.6204000000000001</v>
      </c>
      <c r="C215" s="25">
        <v>2.015196058753971E-4</v>
      </c>
      <c r="D215" s="25">
        <f t="shared" si="196"/>
        <v>3.2654236936049345E-4</v>
      </c>
      <c r="F215" s="62"/>
      <c r="G215" s="62"/>
      <c r="H215" s="62"/>
      <c r="I215" s="62"/>
      <c r="J215" s="63"/>
      <c r="K215" s="25"/>
      <c r="M215" s="25"/>
      <c r="N215" s="25"/>
      <c r="O215" s="25"/>
      <c r="T215" s="63"/>
    </row>
    <row r="216" spans="1:27" x14ac:dyDescent="0.25">
      <c r="D216" s="25"/>
      <c r="H216" s="62"/>
      <c r="I216" s="62"/>
      <c r="J216" s="63"/>
      <c r="K216" s="25"/>
      <c r="M216" s="64"/>
      <c r="N216" s="64"/>
      <c r="O216" s="64"/>
      <c r="P216" s="63"/>
      <c r="Q216" s="63"/>
    </row>
    <row r="217" spans="1:27" x14ac:dyDescent="0.25">
      <c r="A217" t="s">
        <v>61</v>
      </c>
      <c r="B217" s="62">
        <v>184.53</v>
      </c>
      <c r="C217">
        <f>PI()*(0.00049)^2</f>
        <v>7.5429639612690933E-7</v>
      </c>
      <c r="D217" s="25">
        <f t="shared" si="196"/>
        <v>1.3919031397729859E-4</v>
      </c>
      <c r="H217" s="62"/>
      <c r="I217" s="63"/>
      <c r="J217" s="25"/>
      <c r="K217" s="25"/>
      <c r="M217" s="63"/>
      <c r="N217" s="63"/>
      <c r="O217" s="63"/>
      <c r="P217" s="62"/>
      <c r="Q217" s="62"/>
      <c r="R217" s="63"/>
      <c r="S217" s="63"/>
    </row>
    <row r="218" spans="1:27" x14ac:dyDescent="0.25">
      <c r="B218" s="62">
        <v>279.52999999999997</v>
      </c>
      <c r="C218">
        <f t="shared" ref="C218:C219" si="197">PI()*(0.00049)^2</f>
        <v>7.5429639612690933E-7</v>
      </c>
      <c r="D218" s="25">
        <f t="shared" si="196"/>
        <v>2.1084847160935495E-4</v>
      </c>
      <c r="H218" s="62"/>
      <c r="I218" s="63"/>
      <c r="J218" s="62"/>
      <c r="K218" s="25"/>
      <c r="M218" s="25"/>
      <c r="N218" s="25"/>
      <c r="O218" s="25"/>
      <c r="P218" s="25"/>
      <c r="Q218" s="25"/>
      <c r="R218" s="63"/>
      <c r="S218" s="63"/>
    </row>
    <row r="219" spans="1:27" x14ac:dyDescent="0.25">
      <c r="B219" s="62">
        <v>394.18</v>
      </c>
      <c r="C219">
        <f t="shared" si="197"/>
        <v>7.5429639612690933E-7</v>
      </c>
      <c r="D219" s="25">
        <f t="shared" si="196"/>
        <v>2.9732855342530512E-4</v>
      </c>
      <c r="G219" s="62"/>
      <c r="I219" s="25"/>
      <c r="J219" s="63"/>
      <c r="K219" s="25"/>
      <c r="M219" s="64"/>
      <c r="N219" s="64"/>
      <c r="O219" s="64"/>
      <c r="P219" s="25"/>
      <c r="Q219" s="25"/>
      <c r="R219" s="63"/>
      <c r="S219" s="25"/>
    </row>
    <row r="220" spans="1:27" x14ac:dyDescent="0.25">
      <c r="I220" s="63"/>
      <c r="J220" s="25"/>
      <c r="K220" s="25"/>
      <c r="M220" s="63"/>
      <c r="N220" s="63"/>
      <c r="O220" s="63"/>
      <c r="P220" s="25"/>
      <c r="R220" s="63"/>
      <c r="S220" s="25"/>
    </row>
    <row r="221" spans="1:27" x14ac:dyDescent="0.25">
      <c r="I221" s="63"/>
      <c r="K221" s="25"/>
      <c r="M221" s="63"/>
      <c r="N221" s="63"/>
      <c r="O221" s="63"/>
      <c r="P221" s="25"/>
    </row>
    <row r="222" spans="1:27" x14ac:dyDescent="0.25">
      <c r="B222" t="s">
        <v>152</v>
      </c>
      <c r="E222" t="s">
        <v>170</v>
      </c>
      <c r="I222" s="63"/>
      <c r="K222" s="25"/>
      <c r="L222" s="62"/>
      <c r="M222" s="25"/>
      <c r="N222" s="25"/>
      <c r="O222" s="25"/>
      <c r="P222" s="62"/>
      <c r="R222" s="63"/>
      <c r="W222" s="25"/>
      <c r="X222" s="25"/>
      <c r="Y222" s="25"/>
      <c r="Z222" s="25"/>
      <c r="AA222" s="24"/>
    </row>
    <row r="223" spans="1:27" ht="75" x14ac:dyDescent="0.25">
      <c r="B223" s="62" t="s">
        <v>182</v>
      </c>
      <c r="C223" t="s">
        <v>101</v>
      </c>
      <c r="E223" t="s">
        <v>165</v>
      </c>
      <c r="F223" t="s">
        <v>101</v>
      </c>
      <c r="G223" t="s">
        <v>94</v>
      </c>
      <c r="H223" t="s">
        <v>166</v>
      </c>
      <c r="I223" t="s">
        <v>101</v>
      </c>
      <c r="J223" t="s">
        <v>164</v>
      </c>
      <c r="K223" t="s">
        <v>101</v>
      </c>
      <c r="L223" t="s">
        <v>94</v>
      </c>
      <c r="O223" s="63" t="s">
        <v>174</v>
      </c>
      <c r="Z223" s="25"/>
    </row>
    <row r="224" spans="1:27" x14ac:dyDescent="0.25">
      <c r="B224" s="63">
        <v>2.0908E-4</v>
      </c>
      <c r="C224" s="25">
        <v>5.4999999999999982E-7</v>
      </c>
      <c r="E224" s="36">
        <v>134.965222668</v>
      </c>
      <c r="F224" s="36">
        <v>0.77623730254542289</v>
      </c>
      <c r="G224" s="36">
        <v>4.3552001119608468</v>
      </c>
      <c r="H224">
        <v>1.1058811532970015E-6</v>
      </c>
      <c r="I224" s="25">
        <v>8.2420743415988086E-8</v>
      </c>
      <c r="J224" s="25">
        <f>E224*H224</f>
        <v>1.4925549609907444E-4</v>
      </c>
      <c r="K224" s="25">
        <f>J224*((F224/E224)^2+(I224/H224)^2)^0.5</f>
        <v>1.1157006897333045E-5</v>
      </c>
      <c r="L224" s="25">
        <f>J224*((G224/E224)^2+(I224/H224)^2)^0.5</f>
        <v>1.2121838882301722E-5</v>
      </c>
      <c r="M224" s="24">
        <f>1-J224/B224</f>
        <v>0.28613212120205456</v>
      </c>
      <c r="O224" s="66">
        <f>J224+3*L224</f>
        <v>1.8562101274597961E-4</v>
      </c>
      <c r="Q224" s="24">
        <f>(B224-(J224+3*L224))/B224</f>
        <v>0.11220101039803132</v>
      </c>
    </row>
    <row r="225" spans="1:26" x14ac:dyDescent="0.25">
      <c r="B225" s="63">
        <v>3.1924999999999998E-4</v>
      </c>
      <c r="C225" s="25">
        <v>7.9000000000002462E-7</v>
      </c>
      <c r="E225" s="36">
        <v>219.46602384000002</v>
      </c>
      <c r="F225" s="36">
        <v>0.86145938067661454</v>
      </c>
      <c r="G225" s="36">
        <v>9.2260268793353841</v>
      </c>
      <c r="H225">
        <v>1.1058811532970015E-6</v>
      </c>
      <c r="I225" s="25">
        <v>8.2420743415988086E-8</v>
      </c>
      <c r="J225" s="25">
        <f t="shared" ref="J225:J226" si="198">E225*H225</f>
        <v>2.4270333955368645E-4</v>
      </c>
      <c r="K225" s="25">
        <f t="shared" ref="K225:K226" si="199">J225*((F225/E225)^2+(I225/H225)^2)^0.5</f>
        <v>1.8113622696213892E-5</v>
      </c>
      <c r="L225" s="25">
        <f>J225*((G225/E225)^2+(I225/H225)^2)^0.5</f>
        <v>2.0767635705219984E-5</v>
      </c>
      <c r="M225" s="24">
        <f t="shared" ref="M225:M226" si="200">1-J225/B225</f>
        <v>0.2397702754778811</v>
      </c>
      <c r="N225" s="65"/>
      <c r="O225" s="66">
        <f t="shared" ref="O225:O226" si="201">J225+3*L225</f>
        <v>3.0500624666934643E-4</v>
      </c>
      <c r="P225" s="65"/>
      <c r="Q225" s="24">
        <f t="shared" ref="Q225:Q226" si="202">(B225-(J225+3*L225))/B225</f>
        <v>4.4616298608155198E-2</v>
      </c>
      <c r="V225" s="25"/>
      <c r="W225" s="25"/>
      <c r="X225" s="25"/>
      <c r="Y225" s="25"/>
      <c r="Z225" s="25"/>
    </row>
    <row r="226" spans="1:26" x14ac:dyDescent="0.25">
      <c r="B226" s="63">
        <v>4.5082999999999999E-4</v>
      </c>
      <c r="C226" s="25">
        <v>3.9999999999998262E-7</v>
      </c>
      <c r="E226" s="36">
        <v>337.02443352</v>
      </c>
      <c r="F226" s="36">
        <v>1.2644880415420743</v>
      </c>
      <c r="G226" s="36">
        <v>21.02330307453424</v>
      </c>
      <c r="H226">
        <v>1.1058811532970015E-6</v>
      </c>
      <c r="I226" s="25">
        <v>8.2420743415988086E-8</v>
      </c>
      <c r="J226" s="25">
        <f t="shared" si="198"/>
        <v>3.7270896923036624E-4</v>
      </c>
      <c r="K226" s="25">
        <f t="shared" si="199"/>
        <v>2.7812980126089922E-5</v>
      </c>
      <c r="L226" s="25">
        <f>J226*((G226/E226)^2+(I226/H226)^2)^0.5</f>
        <v>3.6223406615416293E-5</v>
      </c>
      <c r="M226" s="24">
        <f t="shared" si="200"/>
        <v>0.17328268032214744</v>
      </c>
      <c r="O226" s="66">
        <f t="shared" si="201"/>
        <v>4.8137918907661514E-4</v>
      </c>
      <c r="Q226" s="24">
        <f t="shared" si="202"/>
        <v>-6.7762103401759297E-2</v>
      </c>
      <c r="X226" s="25"/>
      <c r="Y226" s="25"/>
      <c r="Z226" s="25"/>
    </row>
    <row r="227" spans="1:26" x14ac:dyDescent="0.25">
      <c r="E227" s="25"/>
      <c r="F227" s="25"/>
      <c r="G227" s="25"/>
      <c r="Q227" s="25"/>
      <c r="V227" s="24"/>
    </row>
    <row r="228" spans="1:26" x14ac:dyDescent="0.25">
      <c r="I228" s="25"/>
      <c r="J228" s="25"/>
      <c r="K228" s="25"/>
      <c r="O228" s="25"/>
      <c r="P228" s="25"/>
      <c r="Q228" s="25"/>
      <c r="R228" s="25"/>
    </row>
    <row r="229" spans="1:26" x14ac:dyDescent="0.25">
      <c r="A229" t="s">
        <v>183</v>
      </c>
      <c r="J229" t="s">
        <v>170</v>
      </c>
      <c r="M229" t="s">
        <v>185</v>
      </c>
    </row>
    <row r="230" spans="1:26" x14ac:dyDescent="0.25">
      <c r="B230" t="s">
        <v>64</v>
      </c>
      <c r="C230" t="s">
        <v>182</v>
      </c>
      <c r="D230" t="s">
        <v>101</v>
      </c>
      <c r="E230" t="s">
        <v>166</v>
      </c>
      <c r="F230" t="s">
        <v>101</v>
      </c>
      <c r="G230" t="s">
        <v>184</v>
      </c>
      <c r="H230" t="s">
        <v>101</v>
      </c>
      <c r="J230" t="s">
        <v>165</v>
      </c>
      <c r="K230" t="s">
        <v>101</v>
      </c>
      <c r="T230" s="25"/>
      <c r="U230" s="25"/>
    </row>
    <row r="231" spans="1:26" x14ac:dyDescent="0.25">
      <c r="B231">
        <v>6.5</v>
      </c>
      <c r="C231" s="63">
        <v>2.0908E-4</v>
      </c>
      <c r="D231" s="25">
        <v>5.4999999999999982E-7</v>
      </c>
      <c r="E231">
        <v>1.1058811532970015E-6</v>
      </c>
      <c r="F231" s="25">
        <v>8.2420743415988086E-8</v>
      </c>
      <c r="G231" s="25">
        <f>C231/E231</f>
        <v>189.06190721910994</v>
      </c>
      <c r="H231" s="25">
        <f>G231*((D231/C231)^2+(F231/E231)^2)^0.5</f>
        <v>14.099459242851207</v>
      </c>
      <c r="J231" s="25">
        <v>139.84930224135911</v>
      </c>
      <c r="K231" s="25">
        <v>28.758118200319167</v>
      </c>
      <c r="M231" s="24">
        <f>1-(G231/J231)</f>
        <v>-0.35189739375901352</v>
      </c>
    </row>
    <row r="232" spans="1:26" x14ac:dyDescent="0.25">
      <c r="B232">
        <v>8</v>
      </c>
      <c r="C232" s="63">
        <v>3.1924999999999998E-4</v>
      </c>
      <c r="D232" s="25">
        <v>7.9000000000002462E-7</v>
      </c>
      <c r="E232">
        <v>1.1058811532970015E-6</v>
      </c>
      <c r="F232" s="25">
        <v>8.2420743415988086E-8</v>
      </c>
      <c r="G232" s="25">
        <f t="shared" ref="G232:G233" si="203">C232/E232</f>
        <v>288.68382379807178</v>
      </c>
      <c r="H232" s="25">
        <f t="shared" ref="H232:H233" si="204">G232*((D232/C232)^2+(F232/E232)^2)^0.5</f>
        <v>21.527310229520371</v>
      </c>
      <c r="I232" s="24"/>
      <c r="J232" s="25">
        <v>250.6810146798299</v>
      </c>
      <c r="K232" s="25">
        <v>44.88957375849369</v>
      </c>
      <c r="L232" s="25"/>
      <c r="M232" s="24">
        <f t="shared" ref="M232:M233" si="205">1-(G232/J232)</f>
        <v>-0.15159827387318958</v>
      </c>
    </row>
    <row r="233" spans="1:26" x14ac:dyDescent="0.25">
      <c r="B233">
        <v>9.5</v>
      </c>
      <c r="C233" s="63">
        <v>4.5082999999999999E-4</v>
      </c>
      <c r="D233" s="25">
        <v>3.9999999999998262E-7</v>
      </c>
      <c r="E233">
        <v>1.1058811532970015E-6</v>
      </c>
      <c r="F233" s="25">
        <v>8.2420743415988086E-8</v>
      </c>
      <c r="G233" s="25">
        <f t="shared" si="203"/>
        <v>407.6658677615809</v>
      </c>
      <c r="H233" s="25">
        <f t="shared" si="204"/>
        <v>30.385276614311625</v>
      </c>
      <c r="I233" s="24"/>
      <c r="J233" s="25">
        <v>392.39496495974811</v>
      </c>
      <c r="K233" s="25">
        <v>54.479003805034658</v>
      </c>
      <c r="L233" s="25"/>
      <c r="M233" s="24">
        <f t="shared" si="205"/>
        <v>-3.8917173168619312E-2</v>
      </c>
    </row>
    <row r="234" spans="1:26" x14ac:dyDescent="0.25">
      <c r="I234" s="24"/>
      <c r="L234" s="25"/>
    </row>
    <row r="235" spans="1:26" x14ac:dyDescent="0.25">
      <c r="L235" s="25"/>
      <c r="Q235" s="25"/>
      <c r="R235" s="25"/>
      <c r="S235" s="25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EC651-C14D-48EA-ACE4-DBD5D152DC89}">
  <dimension ref="B2:AE84"/>
  <sheetViews>
    <sheetView zoomScale="70" zoomScaleNormal="70" workbookViewId="0">
      <selection activeCell="T7" sqref="T7:W19"/>
    </sheetView>
  </sheetViews>
  <sheetFormatPr defaultRowHeight="15" x14ac:dyDescent="0.25"/>
  <cols>
    <col min="12" max="12" width="12" bestFit="1" customWidth="1"/>
    <col min="13" max="13" width="10.140625" customWidth="1"/>
    <col min="14" max="14" width="12" bestFit="1" customWidth="1"/>
    <col min="15" max="15" width="12.7109375" bestFit="1" customWidth="1"/>
    <col min="16" max="16" width="10.28515625" customWidth="1"/>
    <col min="19" max="19" width="11" bestFit="1" customWidth="1"/>
    <col min="20" max="20" width="12" bestFit="1" customWidth="1"/>
    <col min="23" max="24" width="12" bestFit="1" customWidth="1"/>
    <col min="28" max="28" width="12" bestFit="1" customWidth="1"/>
  </cols>
  <sheetData>
    <row r="2" spans="2:31" x14ac:dyDescent="0.25">
      <c r="B2" t="s">
        <v>114</v>
      </c>
      <c r="K2" t="s">
        <v>115</v>
      </c>
    </row>
    <row r="3" spans="2:31" x14ac:dyDescent="0.25">
      <c r="K3">
        <v>6.5</v>
      </c>
    </row>
    <row r="4" spans="2:31" x14ac:dyDescent="0.25">
      <c r="C4" s="20"/>
      <c r="D4" s="20" t="s">
        <v>83</v>
      </c>
      <c r="E4" s="20" t="s">
        <v>84</v>
      </c>
      <c r="F4" s="20" t="s">
        <v>82</v>
      </c>
      <c r="G4" s="19" t="s">
        <v>85</v>
      </c>
      <c r="H4" s="19" t="s">
        <v>10</v>
      </c>
      <c r="I4" s="20"/>
      <c r="L4">
        <v>1</v>
      </c>
      <c r="P4">
        <v>2</v>
      </c>
      <c r="T4">
        <v>3</v>
      </c>
      <c r="X4">
        <v>4</v>
      </c>
      <c r="AB4">
        <v>5</v>
      </c>
    </row>
    <row r="5" spans="2:31" x14ac:dyDescent="0.25">
      <c r="B5" t="s">
        <v>64</v>
      </c>
      <c r="C5" s="20" t="s">
        <v>60</v>
      </c>
      <c r="D5" t="s">
        <v>86</v>
      </c>
      <c r="E5" t="s">
        <v>87</v>
      </c>
      <c r="F5" t="s">
        <v>88</v>
      </c>
      <c r="G5" t="s">
        <v>89</v>
      </c>
      <c r="H5" s="19"/>
      <c r="I5" s="20"/>
      <c r="L5" t="s">
        <v>104</v>
      </c>
      <c r="N5" t="s">
        <v>105</v>
      </c>
      <c r="P5" t="s">
        <v>104</v>
      </c>
      <c r="R5" t="s">
        <v>105</v>
      </c>
      <c r="T5" t="s">
        <v>104</v>
      </c>
      <c r="V5" t="s">
        <v>105</v>
      </c>
      <c r="X5" t="s">
        <v>104</v>
      </c>
      <c r="Z5" t="s">
        <v>105</v>
      </c>
      <c r="AB5" t="s">
        <v>104</v>
      </c>
      <c r="AD5" t="s">
        <v>105</v>
      </c>
    </row>
    <row r="6" spans="2:31" x14ac:dyDescent="0.25">
      <c r="B6">
        <v>6.5</v>
      </c>
      <c r="C6">
        <v>1</v>
      </c>
      <c r="D6">
        <v>-7.649</v>
      </c>
      <c r="E6">
        <v>-1.7350000000000001</v>
      </c>
      <c r="L6" t="s">
        <v>96</v>
      </c>
      <c r="M6" t="s">
        <v>97</v>
      </c>
      <c r="N6" t="s">
        <v>96</v>
      </c>
      <c r="O6" t="s">
        <v>97</v>
      </c>
      <c r="P6" t="s">
        <v>96</v>
      </c>
      <c r="Q6" t="s">
        <v>97</v>
      </c>
      <c r="R6" t="s">
        <v>96</v>
      </c>
      <c r="S6" t="s">
        <v>97</v>
      </c>
      <c r="T6" t="s">
        <v>96</v>
      </c>
      <c r="U6" t="s">
        <v>97</v>
      </c>
      <c r="V6" t="s">
        <v>96</v>
      </c>
      <c r="W6" t="s">
        <v>97</v>
      </c>
      <c r="X6" t="s">
        <v>96</v>
      </c>
      <c r="Y6" t="s">
        <v>97</v>
      </c>
      <c r="Z6" t="s">
        <v>96</v>
      </c>
      <c r="AA6" t="s">
        <v>97</v>
      </c>
      <c r="AB6" t="s">
        <v>96</v>
      </c>
      <c r="AC6" t="s">
        <v>97</v>
      </c>
      <c r="AD6" t="s">
        <v>96</v>
      </c>
      <c r="AE6" t="s">
        <v>97</v>
      </c>
    </row>
    <row r="7" spans="2:31" x14ac:dyDescent="0.25">
      <c r="D7">
        <v>-7.9089999999999998</v>
      </c>
      <c r="E7">
        <v>-1.966</v>
      </c>
      <c r="K7">
        <v>1</v>
      </c>
      <c r="L7">
        <v>38.543999999999997</v>
      </c>
      <c r="M7">
        <v>27.047000000000001</v>
      </c>
      <c r="N7">
        <v>36.511000000000003</v>
      </c>
      <c r="O7">
        <v>27.545999999999999</v>
      </c>
      <c r="P7">
        <v>33.618000000000002</v>
      </c>
      <c r="Q7">
        <v>25.646999999999998</v>
      </c>
      <c r="R7">
        <v>34.457000000000001</v>
      </c>
      <c r="S7">
        <v>25.722999999999999</v>
      </c>
      <c r="T7">
        <v>37.284999999999997</v>
      </c>
      <c r="U7">
        <v>29.890999999999998</v>
      </c>
      <c r="V7">
        <v>38.409999999999997</v>
      </c>
      <c r="W7">
        <v>29.588000000000001</v>
      </c>
      <c r="X7">
        <v>39.679000000000002</v>
      </c>
      <c r="Y7">
        <v>32.286000000000001</v>
      </c>
      <c r="Z7">
        <v>42.774000000000001</v>
      </c>
      <c r="AA7">
        <v>31.771999999999998</v>
      </c>
      <c r="AB7">
        <v>42.168999999999997</v>
      </c>
      <c r="AC7">
        <v>29</v>
      </c>
      <c r="AD7">
        <v>44.261000000000003</v>
      </c>
      <c r="AE7">
        <v>29.274999999999999</v>
      </c>
    </row>
    <row r="8" spans="2:31" x14ac:dyDescent="0.25">
      <c r="D8">
        <v>-8.202</v>
      </c>
      <c r="E8">
        <v>-2.0070000000000001</v>
      </c>
      <c r="K8">
        <v>2</v>
      </c>
      <c r="L8">
        <v>36.156999999999996</v>
      </c>
      <c r="M8">
        <v>27.306000000000001</v>
      </c>
      <c r="N8">
        <v>35.837000000000003</v>
      </c>
      <c r="O8">
        <v>27.645</v>
      </c>
      <c r="P8">
        <v>32.902999999999999</v>
      </c>
      <c r="Q8">
        <v>25.719000000000001</v>
      </c>
      <c r="R8">
        <v>33.518000000000001</v>
      </c>
      <c r="S8">
        <v>25.919</v>
      </c>
      <c r="T8">
        <v>36.680999999999997</v>
      </c>
      <c r="U8">
        <v>30.009</v>
      </c>
      <c r="V8">
        <v>37.756999999999998</v>
      </c>
      <c r="W8">
        <v>29.652999999999999</v>
      </c>
      <c r="X8">
        <v>38.835000000000001</v>
      </c>
      <c r="Y8">
        <v>32.372</v>
      </c>
      <c r="Z8">
        <v>41.460999999999999</v>
      </c>
      <c r="AA8">
        <v>32.064999999999998</v>
      </c>
      <c r="AB8">
        <v>41.597000000000001</v>
      </c>
      <c r="AC8">
        <v>29.035</v>
      </c>
      <c r="AD8">
        <v>43.183</v>
      </c>
      <c r="AE8">
        <v>29.416</v>
      </c>
    </row>
    <row r="9" spans="2:31" x14ac:dyDescent="0.25">
      <c r="D9">
        <v>-8.1359999999999992</v>
      </c>
      <c r="E9">
        <v>-1.9830000000000001</v>
      </c>
      <c r="K9">
        <v>3</v>
      </c>
      <c r="L9">
        <v>35.393999999999998</v>
      </c>
      <c r="M9">
        <v>27.338999999999999</v>
      </c>
      <c r="N9">
        <v>35.064</v>
      </c>
      <c r="O9">
        <v>27.742999999999999</v>
      </c>
      <c r="P9">
        <v>32.231999999999999</v>
      </c>
      <c r="Q9">
        <v>25.818999999999999</v>
      </c>
      <c r="R9">
        <v>32.600999999999999</v>
      </c>
      <c r="S9">
        <v>26.071999999999999</v>
      </c>
      <c r="T9">
        <v>36.121000000000002</v>
      </c>
      <c r="U9">
        <v>30.111999999999998</v>
      </c>
      <c r="V9">
        <v>36.908999999999999</v>
      </c>
      <c r="W9">
        <v>29.707000000000001</v>
      </c>
      <c r="X9">
        <v>38.094000000000001</v>
      </c>
      <c r="Y9">
        <v>32.406999999999996</v>
      </c>
      <c r="Z9">
        <v>40.08</v>
      </c>
      <c r="AA9">
        <v>32.307000000000002</v>
      </c>
      <c r="AB9">
        <v>41.024000000000001</v>
      </c>
      <c r="AC9">
        <v>29.087</v>
      </c>
      <c r="AD9">
        <v>42.264000000000003</v>
      </c>
      <c r="AE9">
        <v>29.521999999999998</v>
      </c>
    </row>
    <row r="10" spans="2:31" x14ac:dyDescent="0.25">
      <c r="D10">
        <v>-7.99</v>
      </c>
      <c r="E10">
        <v>-1.7509999999999999</v>
      </c>
      <c r="K10">
        <v>4</v>
      </c>
      <c r="L10">
        <v>34.451999999999998</v>
      </c>
      <c r="M10">
        <v>27.42</v>
      </c>
      <c r="N10">
        <v>34.274000000000001</v>
      </c>
      <c r="O10">
        <v>27.841999999999999</v>
      </c>
      <c r="P10">
        <v>31.574999999999999</v>
      </c>
      <c r="Q10">
        <v>25.861000000000001</v>
      </c>
      <c r="R10">
        <v>31.837</v>
      </c>
      <c r="S10">
        <v>26.181000000000001</v>
      </c>
      <c r="T10">
        <v>35.518000000000001</v>
      </c>
      <c r="U10">
        <v>30.186</v>
      </c>
      <c r="V10">
        <v>36.027000000000001</v>
      </c>
      <c r="W10">
        <v>29.805</v>
      </c>
      <c r="X10">
        <v>37.249000000000002</v>
      </c>
      <c r="Y10">
        <v>32.51</v>
      </c>
      <c r="Z10">
        <v>38.871000000000002</v>
      </c>
      <c r="AA10">
        <v>32.548999999999999</v>
      </c>
      <c r="AB10">
        <v>40.191000000000003</v>
      </c>
      <c r="AC10">
        <v>29.138999999999999</v>
      </c>
      <c r="AD10">
        <v>41.46</v>
      </c>
      <c r="AE10">
        <v>29.584</v>
      </c>
    </row>
    <row r="11" spans="2:31" x14ac:dyDescent="0.25">
      <c r="K11">
        <v>5</v>
      </c>
      <c r="L11">
        <v>33.281999999999996</v>
      </c>
      <c r="M11">
        <v>27.518000000000001</v>
      </c>
      <c r="N11">
        <v>33.418999999999997</v>
      </c>
      <c r="O11">
        <v>28.023</v>
      </c>
      <c r="P11">
        <v>30.904</v>
      </c>
      <c r="Q11">
        <v>25.933</v>
      </c>
      <c r="R11">
        <v>30.963000000000001</v>
      </c>
      <c r="S11">
        <v>26.312000000000001</v>
      </c>
      <c r="T11">
        <v>34.854999999999997</v>
      </c>
      <c r="U11">
        <v>30.245000000000001</v>
      </c>
      <c r="V11">
        <v>35.19</v>
      </c>
      <c r="W11">
        <v>29.827000000000002</v>
      </c>
      <c r="X11">
        <v>36.302</v>
      </c>
      <c r="Y11">
        <v>32.579000000000001</v>
      </c>
      <c r="Z11">
        <v>37.506</v>
      </c>
      <c r="AA11">
        <v>32.790999999999997</v>
      </c>
      <c r="AB11">
        <v>39.479999999999997</v>
      </c>
      <c r="AC11">
        <v>29.225999999999999</v>
      </c>
      <c r="AD11">
        <v>40.506</v>
      </c>
      <c r="AE11">
        <v>29.664000000000001</v>
      </c>
    </row>
    <row r="12" spans="2:31" x14ac:dyDescent="0.25">
      <c r="B12">
        <v>6.5</v>
      </c>
      <c r="C12">
        <v>2</v>
      </c>
      <c r="D12">
        <v>-7.4669999999999996</v>
      </c>
      <c r="E12">
        <v>-0.44400000000000001</v>
      </c>
      <c r="K12">
        <v>6</v>
      </c>
      <c r="L12">
        <v>32.161999999999999</v>
      </c>
      <c r="M12">
        <v>27.631</v>
      </c>
      <c r="N12">
        <v>32.58</v>
      </c>
      <c r="O12">
        <v>28.138000000000002</v>
      </c>
      <c r="P12">
        <v>30.132000000000001</v>
      </c>
      <c r="Q12">
        <v>25.99</v>
      </c>
      <c r="R12">
        <v>30.33</v>
      </c>
      <c r="S12">
        <v>26.4</v>
      </c>
      <c r="T12">
        <v>34.143999999999998</v>
      </c>
      <c r="U12">
        <v>30.366</v>
      </c>
      <c r="V12">
        <v>34.124000000000002</v>
      </c>
      <c r="W12">
        <v>29.881</v>
      </c>
      <c r="X12">
        <v>35.457000000000001</v>
      </c>
      <c r="Y12">
        <v>32.664999999999999</v>
      </c>
      <c r="Z12">
        <v>36.158999999999999</v>
      </c>
      <c r="AA12">
        <v>32.945999999999998</v>
      </c>
      <c r="AB12">
        <v>38.820999999999998</v>
      </c>
      <c r="AC12">
        <v>29.242999999999999</v>
      </c>
      <c r="AD12">
        <v>39.737000000000002</v>
      </c>
      <c r="AE12">
        <v>29.734000000000002</v>
      </c>
    </row>
    <row r="13" spans="2:31" x14ac:dyDescent="0.25">
      <c r="D13">
        <v>-7.7590000000000003</v>
      </c>
      <c r="E13">
        <v>-0.61199999999999999</v>
      </c>
      <c r="K13" s="26">
        <v>7</v>
      </c>
      <c r="L13" s="26">
        <v>31.058</v>
      </c>
      <c r="M13" s="26">
        <v>27.68</v>
      </c>
      <c r="N13" s="26">
        <v>31.542999999999999</v>
      </c>
      <c r="O13" s="26">
        <v>28.187000000000001</v>
      </c>
      <c r="P13">
        <v>29.39</v>
      </c>
      <c r="Q13">
        <v>26.033000000000001</v>
      </c>
      <c r="R13" s="26">
        <v>29.696999999999999</v>
      </c>
      <c r="S13" s="26">
        <v>26.465</v>
      </c>
      <c r="T13" s="26">
        <v>33.204999999999998</v>
      </c>
      <c r="U13" s="26">
        <v>30.388000000000002</v>
      </c>
      <c r="V13" s="26">
        <v>33.21</v>
      </c>
      <c r="W13" s="26">
        <v>29.936</v>
      </c>
      <c r="X13" s="26">
        <v>34.698999999999998</v>
      </c>
      <c r="Y13" s="26">
        <v>32.683</v>
      </c>
      <c r="Z13" s="26">
        <v>34.898000000000003</v>
      </c>
      <c r="AA13" s="26">
        <v>33.167000000000002</v>
      </c>
      <c r="AB13" s="26">
        <v>37.554000000000002</v>
      </c>
      <c r="AC13" s="26">
        <v>29.312999999999999</v>
      </c>
      <c r="AD13" s="26">
        <v>38.543999999999997</v>
      </c>
      <c r="AE13" s="26">
        <v>29.77</v>
      </c>
    </row>
    <row r="14" spans="2:31" x14ac:dyDescent="0.25">
      <c r="D14">
        <v>-8.0519999999999996</v>
      </c>
      <c r="E14">
        <v>-0.76400000000000001</v>
      </c>
      <c r="K14">
        <v>8</v>
      </c>
      <c r="L14">
        <v>29.824000000000002</v>
      </c>
      <c r="M14">
        <v>27.646999999999998</v>
      </c>
      <c r="N14">
        <v>30.77</v>
      </c>
      <c r="O14">
        <v>28.155000000000001</v>
      </c>
      <c r="P14">
        <v>28.731999999999999</v>
      </c>
      <c r="Q14">
        <v>25.975999999999999</v>
      </c>
      <c r="R14">
        <v>28.911000000000001</v>
      </c>
      <c r="S14">
        <v>26.4</v>
      </c>
      <c r="T14">
        <v>32.442999999999998</v>
      </c>
      <c r="U14">
        <v>30.366</v>
      </c>
      <c r="V14">
        <v>32.362000000000002</v>
      </c>
      <c r="W14">
        <v>29.925000000000001</v>
      </c>
      <c r="X14">
        <v>33.991999999999997</v>
      </c>
      <c r="Y14">
        <v>32.700000000000003</v>
      </c>
      <c r="Z14">
        <v>33.515999999999998</v>
      </c>
      <c r="AA14">
        <v>32.981000000000002</v>
      </c>
      <c r="AB14">
        <v>36.756</v>
      </c>
      <c r="AC14">
        <v>29.277999999999999</v>
      </c>
      <c r="AD14">
        <v>37.668999999999997</v>
      </c>
      <c r="AE14">
        <v>29.795999999999999</v>
      </c>
    </row>
    <row r="15" spans="2:31" x14ac:dyDescent="0.25">
      <c r="D15">
        <v>-8.1539999999999999</v>
      </c>
      <c r="E15">
        <v>-0.69899999999999995</v>
      </c>
      <c r="K15">
        <v>9</v>
      </c>
      <c r="L15">
        <v>28.978999999999999</v>
      </c>
      <c r="M15">
        <v>27.565999999999999</v>
      </c>
      <c r="N15">
        <v>29.898</v>
      </c>
      <c r="O15">
        <v>28.071999999999999</v>
      </c>
      <c r="P15">
        <v>28.074999999999999</v>
      </c>
      <c r="Q15">
        <v>25.960999999999999</v>
      </c>
      <c r="R15">
        <v>28.146000000000001</v>
      </c>
      <c r="S15">
        <v>26.356000000000002</v>
      </c>
      <c r="T15">
        <v>31.626000000000001</v>
      </c>
      <c r="U15">
        <v>30.332999999999998</v>
      </c>
      <c r="V15">
        <v>31.459</v>
      </c>
      <c r="W15">
        <v>29.902999999999999</v>
      </c>
      <c r="X15">
        <v>33.148000000000003</v>
      </c>
      <c r="Y15">
        <v>32.683</v>
      </c>
      <c r="Z15">
        <v>32.325000000000003</v>
      </c>
      <c r="AA15">
        <v>32.877000000000002</v>
      </c>
      <c r="AB15">
        <v>36.113999999999997</v>
      </c>
      <c r="AC15">
        <v>29.295000000000002</v>
      </c>
      <c r="AD15">
        <v>36.795000000000002</v>
      </c>
      <c r="AE15">
        <v>29.77</v>
      </c>
    </row>
    <row r="16" spans="2:31" x14ac:dyDescent="0.25">
      <c r="D16">
        <v>-7.9349999999999996</v>
      </c>
      <c r="E16">
        <v>-0.45900000000000002</v>
      </c>
      <c r="K16">
        <v>10</v>
      </c>
      <c r="L16">
        <v>27.68</v>
      </c>
      <c r="M16">
        <v>27.452999999999999</v>
      </c>
      <c r="N16">
        <v>29.059000000000001</v>
      </c>
      <c r="O16">
        <v>28.006</v>
      </c>
      <c r="P16">
        <v>27.332999999999998</v>
      </c>
      <c r="Q16">
        <v>25.917999999999999</v>
      </c>
      <c r="R16">
        <v>27.338000000000001</v>
      </c>
      <c r="S16">
        <v>26.181000000000001</v>
      </c>
      <c r="T16">
        <v>30.849</v>
      </c>
      <c r="U16">
        <v>30.26</v>
      </c>
      <c r="V16">
        <v>30.632000000000001</v>
      </c>
      <c r="W16">
        <v>29.838000000000001</v>
      </c>
      <c r="X16">
        <v>32.475999999999999</v>
      </c>
      <c r="Y16">
        <v>32.597000000000001</v>
      </c>
      <c r="Z16">
        <v>31.15</v>
      </c>
      <c r="AA16">
        <v>32.774000000000001</v>
      </c>
      <c r="AB16">
        <v>35.42</v>
      </c>
      <c r="AC16">
        <v>29.242999999999999</v>
      </c>
      <c r="AD16">
        <v>35.884</v>
      </c>
      <c r="AE16">
        <v>29.716999999999999</v>
      </c>
    </row>
    <row r="17" spans="2:31" x14ac:dyDescent="0.25">
      <c r="K17">
        <v>11</v>
      </c>
      <c r="L17">
        <v>26.576000000000001</v>
      </c>
      <c r="M17">
        <v>27.404</v>
      </c>
      <c r="N17">
        <v>28.006</v>
      </c>
      <c r="O17">
        <v>27.890999999999998</v>
      </c>
      <c r="P17">
        <v>26.718</v>
      </c>
      <c r="Q17">
        <v>25.904</v>
      </c>
      <c r="R17">
        <v>26.509</v>
      </c>
      <c r="S17">
        <v>25.984999999999999</v>
      </c>
      <c r="T17">
        <v>29.803000000000001</v>
      </c>
      <c r="U17">
        <v>30.23</v>
      </c>
      <c r="V17">
        <v>29.805</v>
      </c>
      <c r="W17">
        <v>29.773</v>
      </c>
      <c r="X17">
        <v>31.649000000000001</v>
      </c>
      <c r="Y17">
        <v>32.613999999999997</v>
      </c>
      <c r="Z17">
        <v>30.286000000000001</v>
      </c>
      <c r="AA17">
        <v>32.704999999999998</v>
      </c>
      <c r="AB17">
        <v>34.518000000000001</v>
      </c>
      <c r="AC17">
        <v>29.209</v>
      </c>
      <c r="AD17">
        <v>34.859000000000002</v>
      </c>
      <c r="AE17">
        <v>29.637</v>
      </c>
    </row>
    <row r="18" spans="2:31" x14ac:dyDescent="0.25">
      <c r="B18">
        <v>6.5</v>
      </c>
      <c r="C18">
        <v>3</v>
      </c>
      <c r="D18">
        <v>-7.6</v>
      </c>
      <c r="E18">
        <v>-0.93500000000000005</v>
      </c>
      <c r="K18">
        <v>12</v>
      </c>
      <c r="L18">
        <v>25.488</v>
      </c>
      <c r="M18">
        <v>27.370999999999999</v>
      </c>
      <c r="N18">
        <v>26.756</v>
      </c>
      <c r="O18">
        <v>27.776</v>
      </c>
      <c r="P18">
        <v>26.047000000000001</v>
      </c>
      <c r="Q18">
        <v>25.847000000000001</v>
      </c>
      <c r="R18">
        <v>25.765999999999998</v>
      </c>
      <c r="S18">
        <v>25.919</v>
      </c>
      <c r="T18">
        <v>29.184000000000001</v>
      </c>
      <c r="U18">
        <v>30.186</v>
      </c>
      <c r="V18">
        <v>28.99</v>
      </c>
      <c r="W18">
        <v>29.762</v>
      </c>
      <c r="X18">
        <v>30.942</v>
      </c>
      <c r="Y18">
        <v>32.613999999999997</v>
      </c>
      <c r="Z18">
        <v>29.577999999999999</v>
      </c>
      <c r="AA18">
        <v>32.600999999999999</v>
      </c>
      <c r="AB18">
        <v>33.963000000000001</v>
      </c>
      <c r="AC18">
        <v>29.157</v>
      </c>
      <c r="AD18">
        <v>33.692999999999998</v>
      </c>
      <c r="AE18">
        <v>29.54</v>
      </c>
    </row>
    <row r="19" spans="2:31" x14ac:dyDescent="0.25">
      <c r="D19">
        <v>-7.7549999999999999</v>
      </c>
      <c r="E19">
        <v>-0.86199999999999999</v>
      </c>
      <c r="K19">
        <v>13</v>
      </c>
      <c r="L19">
        <v>24.545999999999999</v>
      </c>
      <c r="M19">
        <v>27.29</v>
      </c>
      <c r="N19">
        <v>25.95</v>
      </c>
      <c r="O19">
        <v>27.594999999999999</v>
      </c>
      <c r="P19">
        <v>25.460999999999999</v>
      </c>
      <c r="Q19">
        <v>25.760999999999999</v>
      </c>
      <c r="R19">
        <v>24.783999999999999</v>
      </c>
      <c r="S19">
        <v>25.81</v>
      </c>
      <c r="T19">
        <v>28.183</v>
      </c>
      <c r="U19">
        <v>30.082999999999998</v>
      </c>
      <c r="V19">
        <v>28.195</v>
      </c>
      <c r="W19">
        <v>29.696999999999999</v>
      </c>
      <c r="X19">
        <v>30.253</v>
      </c>
      <c r="Y19">
        <v>32.51</v>
      </c>
      <c r="Z19">
        <v>28.161999999999999</v>
      </c>
      <c r="AA19">
        <v>32.359000000000002</v>
      </c>
      <c r="AB19">
        <v>33.286000000000001</v>
      </c>
      <c r="AC19">
        <v>29.105</v>
      </c>
      <c r="AD19">
        <v>32.509</v>
      </c>
      <c r="AE19">
        <v>29.521999999999998</v>
      </c>
    </row>
    <row r="20" spans="2:31" x14ac:dyDescent="0.25">
      <c r="D20">
        <v>-8.0220000000000002</v>
      </c>
      <c r="E20">
        <v>-0.84</v>
      </c>
    </row>
    <row r="21" spans="2:31" x14ac:dyDescent="0.25">
      <c r="D21">
        <v>-7.9379999999999997</v>
      </c>
      <c r="E21">
        <v>-0.86899999999999999</v>
      </c>
      <c r="L21" t="s">
        <v>99</v>
      </c>
      <c r="M21" t="s">
        <v>100</v>
      </c>
      <c r="N21" t="s">
        <v>98</v>
      </c>
      <c r="P21" t="s">
        <v>99</v>
      </c>
      <c r="Q21" t="s">
        <v>100</v>
      </c>
      <c r="R21" t="s">
        <v>98</v>
      </c>
      <c r="T21" t="s">
        <v>99</v>
      </c>
      <c r="U21" t="s">
        <v>100</v>
      </c>
      <c r="V21" t="s">
        <v>98</v>
      </c>
      <c r="X21" t="s">
        <v>99</v>
      </c>
      <c r="Y21" t="s">
        <v>100</v>
      </c>
      <c r="Z21" t="s">
        <v>98</v>
      </c>
      <c r="AB21" t="s">
        <v>99</v>
      </c>
      <c r="AC21" t="s">
        <v>100</v>
      </c>
      <c r="AD21" t="s">
        <v>98</v>
      </c>
    </row>
    <row r="22" spans="2:31" x14ac:dyDescent="0.25">
      <c r="D22">
        <v>-7.7270000000000003</v>
      </c>
      <c r="E22">
        <v>-0.66300000000000003</v>
      </c>
      <c r="K22" t="s">
        <v>102</v>
      </c>
      <c r="L22" cm="1">
        <f t="array" ref="L22:N26">LINEST(M7:M19,L7:L19^{1,2},,TRUE)</f>
        <v>-9.3415691924322083E-3</v>
      </c>
      <c r="M22">
        <v>0.57177720408674704</v>
      </c>
      <c r="N22">
        <v>18.85394737039891</v>
      </c>
      <c r="P22" cm="1">
        <f t="array" ref="P22:R26">LINEST(Q7:Q19,P7:P19^{1,2},,TRUE)</f>
        <v>-1.7494518328240651E-2</v>
      </c>
      <c r="Q22">
        <v>1.0170854990949871</v>
      </c>
      <c r="R22">
        <v>11.210389932813083</v>
      </c>
      <c r="T22" cm="1">
        <f t="array" ref="T22:V26">LINEST(U7:U19,T7:T19^{1,2},,TRUE)</f>
        <v>-1.8546854395956838E-2</v>
      </c>
      <c r="U22">
        <v>1.1998692486809022</v>
      </c>
      <c r="V22">
        <v>10.961244889384258</v>
      </c>
      <c r="X22" cm="1">
        <f t="array" ref="X22:Z26">LINEST(Y7:Y19,X7:X19^{1,2},,TRUE)</f>
        <v>-1.183278326790017E-2</v>
      </c>
      <c r="Y22">
        <v>0.79892674148835741</v>
      </c>
      <c r="Z22">
        <v>19.187094487170654</v>
      </c>
      <c r="AB22" cm="1">
        <f t="array" ref="AB22:AD26">LINEST(AC7:AC19,AB7:AB19^{1,2},,TRUE)</f>
        <v>-1.2284198617217074E-2</v>
      </c>
      <c r="AC22">
        <v>0.91182528709019384</v>
      </c>
      <c r="AD22">
        <v>12.366738514322879</v>
      </c>
    </row>
    <row r="23" spans="2:31" x14ac:dyDescent="0.25">
      <c r="K23" t="s">
        <v>101</v>
      </c>
      <c r="L23">
        <v>8.4717704060736432E-4</v>
      </c>
      <c r="M23">
        <v>5.3060303059111864E-2</v>
      </c>
      <c r="N23">
        <v>0.81928731910038077</v>
      </c>
      <c r="P23">
        <v>1.0007820737999531E-3</v>
      </c>
      <c r="Q23">
        <v>5.9111215510957632E-2</v>
      </c>
      <c r="R23">
        <v>0.86749823585721886</v>
      </c>
      <c r="T23">
        <v>1.3663163389261231E-3</v>
      </c>
      <c r="U23">
        <v>8.9764793574728455E-2</v>
      </c>
      <c r="V23">
        <v>1.4651390291726403</v>
      </c>
      <c r="X23">
        <v>1.1511284133847624E-3</v>
      </c>
      <c r="Y23">
        <v>8.050099175053281E-2</v>
      </c>
      <c r="Z23">
        <v>1.3992704470292949</v>
      </c>
      <c r="AB23">
        <v>7.62474523915694E-4</v>
      </c>
      <c r="AC23">
        <v>5.7615630132809639E-2</v>
      </c>
      <c r="AD23">
        <v>1.083090402084772</v>
      </c>
    </row>
    <row r="24" spans="2:31" x14ac:dyDescent="0.25">
      <c r="B24">
        <v>6.5</v>
      </c>
      <c r="C24">
        <v>4</v>
      </c>
      <c r="D24">
        <v>-7.5149999999999997</v>
      </c>
      <c r="E24">
        <v>-0.52700000000000002</v>
      </c>
      <c r="K24" t="s">
        <v>103</v>
      </c>
      <c r="L24">
        <v>0.93094050282207341</v>
      </c>
      <c r="M24">
        <v>5.0579372767235765E-2</v>
      </c>
      <c r="N24" t="e">
        <v>#N/A</v>
      </c>
      <c r="P24">
        <v>0.97252466618698585</v>
      </c>
      <c r="Q24">
        <v>2.0654476382311254E-2</v>
      </c>
      <c r="R24" t="e">
        <v>#N/A</v>
      </c>
      <c r="T24">
        <v>0.95504836126840897</v>
      </c>
      <c r="U24">
        <v>3.4723367029157473E-2</v>
      </c>
      <c r="V24" t="e">
        <v>#N/A</v>
      </c>
      <c r="X24">
        <v>0.95082535527689771</v>
      </c>
      <c r="Y24">
        <v>3.1904557223714956E-2</v>
      </c>
      <c r="Z24" t="e">
        <v>#N/A</v>
      </c>
      <c r="AB24">
        <v>0.9714060430178425</v>
      </c>
      <c r="AC24">
        <v>1.8624865356490636E-2</v>
      </c>
      <c r="AD24" t="e">
        <v>#N/A</v>
      </c>
    </row>
    <row r="25" spans="2:31" x14ac:dyDescent="0.25">
      <c r="D25">
        <v>-7.8090000000000002</v>
      </c>
      <c r="E25">
        <v>-0.60499999999999998</v>
      </c>
      <c r="L25">
        <v>67.401338039254412</v>
      </c>
      <c r="M25">
        <v>10</v>
      </c>
      <c r="N25" t="e">
        <v>#N/A</v>
      </c>
      <c r="P25">
        <v>176.98141045448108</v>
      </c>
      <c r="Q25">
        <v>10</v>
      </c>
      <c r="R25" t="e">
        <v>#N/A</v>
      </c>
      <c r="T25">
        <v>106.23065011834848</v>
      </c>
      <c r="U25">
        <v>10</v>
      </c>
      <c r="V25" t="e">
        <v>#N/A</v>
      </c>
      <c r="X25">
        <v>96.678416349615119</v>
      </c>
      <c r="Y25">
        <v>10</v>
      </c>
      <c r="Z25" t="e">
        <v>#N/A</v>
      </c>
      <c r="AB25">
        <v>169.8621222001548</v>
      </c>
      <c r="AC25">
        <v>10</v>
      </c>
      <c r="AD25" t="e">
        <v>#N/A</v>
      </c>
    </row>
    <row r="26" spans="2:31" x14ac:dyDescent="0.25">
      <c r="D26">
        <v>-8.048</v>
      </c>
      <c r="E26">
        <v>-0.69099999999999995</v>
      </c>
      <c r="L26">
        <v>0.34486203973549828</v>
      </c>
      <c r="M26">
        <v>2.5582729495269907E-2</v>
      </c>
      <c r="N26" t="e">
        <v>#N/A</v>
      </c>
      <c r="P26">
        <v>0.15100315682295623</v>
      </c>
      <c r="Q26">
        <v>4.266073946274534E-3</v>
      </c>
      <c r="R26" t="e">
        <v>#N/A</v>
      </c>
      <c r="T26">
        <v>0.25616718551389378</v>
      </c>
      <c r="U26">
        <v>1.2057122178415803E-2</v>
      </c>
      <c r="V26" t="e">
        <v>#N/A</v>
      </c>
      <c r="X26">
        <v>0.19681806920666464</v>
      </c>
      <c r="Y26">
        <v>1.0179007716413023E-2</v>
      </c>
      <c r="Z26" t="e">
        <v>#N/A</v>
      </c>
      <c r="AB26">
        <v>0.117845451596833</v>
      </c>
      <c r="AC26">
        <v>3.4688560954740507E-3</v>
      </c>
      <c r="AD26" t="e">
        <v>#N/A</v>
      </c>
    </row>
    <row r="27" spans="2:31" x14ac:dyDescent="0.25">
      <c r="D27">
        <v>-7.9619999999999997</v>
      </c>
      <c r="E27">
        <v>-0.622</v>
      </c>
    </row>
    <row r="28" spans="2:31" x14ac:dyDescent="0.25">
      <c r="D28">
        <v>-7.8070000000000004</v>
      </c>
      <c r="E28">
        <v>-0.52700000000000002</v>
      </c>
      <c r="K28" t="s">
        <v>102</v>
      </c>
      <c r="L28" cm="1">
        <f t="array" ref="L28:N32">LINEST(O7:O19,N7:N19^{1,2},,TRUE)</f>
        <v>-2.091094250947912E-2</v>
      </c>
      <c r="M28">
        <v>1.2983697920693853</v>
      </c>
      <c r="N28">
        <v>7.9754609563842784</v>
      </c>
      <c r="P28" cm="1">
        <f t="array" ref="P28:R32">LINEST(S7:S19,R7:R19^{1,2},,TRUE)</f>
        <v>-2.8538982531683459E-2</v>
      </c>
      <c r="Q28">
        <v>1.6882650825518573</v>
      </c>
      <c r="R28">
        <v>1.407203840603664</v>
      </c>
      <c r="T28" cm="1">
        <f t="array" ref="T28:V32">LINEST(W7:W19,V7:V19^{1,2},,TRUE)</f>
        <v>-1.0516422952518537E-2</v>
      </c>
      <c r="U28">
        <v>0.69001295499798876</v>
      </c>
      <c r="V28">
        <v>18.588577565741499</v>
      </c>
      <c r="X28" cm="1">
        <f t="array" ref="X28:Z32">LINEST(AA7:AA19,Z7:Z19^{1,2},,TRUE)</f>
        <v>-1.7695317598052235E-2</v>
      </c>
      <c r="Y28">
        <v>1.2120878348201511</v>
      </c>
      <c r="Z28">
        <v>12.236355352728115</v>
      </c>
      <c r="AB28" cm="1">
        <f t="array" ref="AB28:AD32">LINEST(AE7:AE19,AD7:AD19^{1,2},,TRUE)</f>
        <v>-1.1218422598208388E-2</v>
      </c>
      <c r="AC28">
        <v>0.84451240752680135</v>
      </c>
      <c r="AD28">
        <v>13.870881512486726</v>
      </c>
    </row>
    <row r="29" spans="2:31" x14ac:dyDescent="0.25">
      <c r="K29" t="s">
        <v>101</v>
      </c>
      <c r="L29">
        <v>1.3469958644764762E-3</v>
      </c>
      <c r="M29">
        <v>8.4402345805081283E-2</v>
      </c>
      <c r="N29">
        <v>1.3103374320668182</v>
      </c>
      <c r="P29">
        <v>2.3210312946681921E-3</v>
      </c>
      <c r="Q29">
        <v>0.13761284138498953</v>
      </c>
      <c r="R29">
        <v>2.0245725081825703</v>
      </c>
      <c r="T29">
        <v>6.803156214729648E-4</v>
      </c>
      <c r="U29">
        <v>4.5411251722225932E-2</v>
      </c>
      <c r="V29">
        <v>0.75187615713517741</v>
      </c>
      <c r="X29">
        <v>1.1436787042810846E-3</v>
      </c>
      <c r="Y29">
        <v>8.1209734904487199E-2</v>
      </c>
      <c r="Z29">
        <v>1.422000618915193</v>
      </c>
      <c r="AB29">
        <v>7.1538324247635203E-4</v>
      </c>
      <c r="AC29">
        <v>5.5024184915223366E-2</v>
      </c>
      <c r="AD29">
        <v>1.050919261735852</v>
      </c>
    </row>
    <row r="30" spans="2:31" x14ac:dyDescent="0.25">
      <c r="B30">
        <v>6.5</v>
      </c>
      <c r="C30">
        <v>5</v>
      </c>
      <c r="D30">
        <v>-7.6689999999999996</v>
      </c>
      <c r="E30">
        <v>-0.222</v>
      </c>
      <c r="K30" t="s">
        <v>103</v>
      </c>
      <c r="L30">
        <v>0.96122536510570289</v>
      </c>
      <c r="M30">
        <v>4.7680476416046329E-2</v>
      </c>
      <c r="N30" t="e">
        <v>#N/A</v>
      </c>
      <c r="P30">
        <v>0.93799682217540048</v>
      </c>
      <c r="Q30">
        <v>6.7223029074926277E-2</v>
      </c>
      <c r="R30" t="e">
        <v>#N/A</v>
      </c>
      <c r="T30">
        <v>0.9649507275079714</v>
      </c>
      <c r="U30">
        <v>2.2200903693529311E-2</v>
      </c>
      <c r="V30" t="e">
        <v>#N/A</v>
      </c>
      <c r="X30">
        <v>0.97053769664900014</v>
      </c>
      <c r="Y30">
        <v>7.3997850921959069E-2</v>
      </c>
      <c r="Z30" t="e">
        <v>#N/A</v>
      </c>
      <c r="AB30">
        <v>0.96790773321667889</v>
      </c>
      <c r="AC30">
        <v>3.0357695488939639E-2</v>
      </c>
      <c r="AD30" t="e">
        <v>#N/A</v>
      </c>
    </row>
    <row r="31" spans="2:31" x14ac:dyDescent="0.25">
      <c r="D31">
        <v>-7.98</v>
      </c>
      <c r="E31">
        <v>-0.35199999999999998</v>
      </c>
      <c r="L31">
        <v>123.95027931611537</v>
      </c>
      <c r="M31">
        <v>10</v>
      </c>
      <c r="N31" t="e">
        <v>#N/A</v>
      </c>
      <c r="P31">
        <v>75.641028015442586</v>
      </c>
      <c r="Q31">
        <v>10</v>
      </c>
      <c r="R31" t="e">
        <v>#N/A</v>
      </c>
      <c r="T31">
        <v>137.65631336961926</v>
      </c>
      <c r="U31">
        <v>10</v>
      </c>
      <c r="V31" t="e">
        <v>#N/A</v>
      </c>
      <c r="X31">
        <v>164.70838771267751</v>
      </c>
      <c r="Y31">
        <v>10</v>
      </c>
      <c r="Z31" t="e">
        <v>#N/A</v>
      </c>
      <c r="AB31">
        <v>150.80077386738492</v>
      </c>
      <c r="AC31">
        <v>10</v>
      </c>
      <c r="AD31" t="e">
        <v>#N/A</v>
      </c>
    </row>
    <row r="32" spans="2:31" x14ac:dyDescent="0.25">
      <c r="D32">
        <v>-8.0660000000000007</v>
      </c>
      <c r="E32">
        <v>-0.43</v>
      </c>
      <c r="L32">
        <v>0.56358402937969998</v>
      </c>
      <c r="M32">
        <v>2.2734278312611503E-2</v>
      </c>
      <c r="N32" t="e">
        <v>#N/A</v>
      </c>
      <c r="P32">
        <v>0.68363387438914813</v>
      </c>
      <c r="Q32">
        <v>4.5189356380083839E-2</v>
      </c>
      <c r="R32" t="e">
        <v>#N/A</v>
      </c>
      <c r="T32">
        <v>0.13569612182882954</v>
      </c>
      <c r="U32">
        <v>4.9288012480936333E-3</v>
      </c>
      <c r="V32" t="e">
        <v>#N/A</v>
      </c>
      <c r="X32">
        <v>1.8037814882816272</v>
      </c>
      <c r="Y32">
        <v>5.475681941068479E-2</v>
      </c>
      <c r="Z32" t="e">
        <v>#N/A</v>
      </c>
      <c r="AB32">
        <v>0.27795287247677869</v>
      </c>
      <c r="AC32">
        <v>9.2158967539918615E-3</v>
      </c>
      <c r="AD32" t="e">
        <v>#N/A</v>
      </c>
    </row>
    <row r="33" spans="2:30" x14ac:dyDescent="0.25">
      <c r="D33">
        <v>-8.0830000000000002</v>
      </c>
      <c r="E33">
        <v>-0.377</v>
      </c>
    </row>
    <row r="34" spans="2:30" x14ac:dyDescent="0.25">
      <c r="D34">
        <v>-7.8769999999999998</v>
      </c>
      <c r="E34">
        <v>-0.28599999999999998</v>
      </c>
      <c r="L34" t="s">
        <v>102</v>
      </c>
      <c r="M34" t="s">
        <v>101</v>
      </c>
      <c r="P34" t="s">
        <v>102</v>
      </c>
      <c r="Q34" t="s">
        <v>101</v>
      </c>
      <c r="T34" t="s">
        <v>102</v>
      </c>
      <c r="U34" t="s">
        <v>101</v>
      </c>
      <c r="X34" t="s">
        <v>102</v>
      </c>
      <c r="Y34" t="s">
        <v>101</v>
      </c>
      <c r="AB34" t="s">
        <v>102</v>
      </c>
      <c r="AC34" t="s">
        <v>101</v>
      </c>
    </row>
    <row r="35" spans="2:30" x14ac:dyDescent="0.25">
      <c r="L35">
        <f>-M22/(2*L22)</f>
        <v>30.603916339342387</v>
      </c>
      <c r="M35">
        <f>L35*(((M23/M22)^2)+(((L23*2)/(L22*2))^2))^0.5</f>
        <v>3.9709831814619028</v>
      </c>
      <c r="N35" s="24">
        <f>M35/L35</f>
        <v>0.12975408563501617</v>
      </c>
      <c r="P35">
        <f>-Q22/(2*P22)</f>
        <v>29.068691118324466</v>
      </c>
      <c r="Q35">
        <f>P35*(((Q23/Q22)^2)+(((P23*2)/(P22*2))^2))^0.5</f>
        <v>2.3705147337628008</v>
      </c>
      <c r="R35" s="24">
        <f>Q35/P35</f>
        <v>8.1548726226220211E-2</v>
      </c>
      <c r="T35">
        <f>-U22/(2*T22)</f>
        <v>32.346974399671524</v>
      </c>
      <c r="U35">
        <f>T35*(((U23/U22)^2)+(((T23*2)/(T22*2))^2))^0.5</f>
        <v>3.3962604703420829</v>
      </c>
      <c r="V35" s="24">
        <f>U35/T35</f>
        <v>0.10499468755187723</v>
      </c>
      <c r="X35">
        <f>-Y22/(2*X22)</f>
        <v>33.759037218896594</v>
      </c>
      <c r="Y35">
        <f>X35*(((Y23/Y22)^2)+(((X23*2)/(X22*2))^2))^0.5</f>
        <v>4.7282953301046389</v>
      </c>
      <c r="Z35" s="24">
        <f>Y35/X35</f>
        <v>0.140060135585205</v>
      </c>
      <c r="AB35">
        <f>-AC22/(2*AB22)</f>
        <v>37.113747323012738</v>
      </c>
      <c r="AC35">
        <f>AB35*(((AC23/AC22)^2)+(((AB23*2)/(AB22*2))^2))^0.5</f>
        <v>3.2872896688352768</v>
      </c>
      <c r="AD35" s="24">
        <f>AC35/AB35</f>
        <v>8.8573369868177154E-2</v>
      </c>
    </row>
    <row r="36" spans="2:30" x14ac:dyDescent="0.25">
      <c r="L36">
        <f>-M28/(2*L28)</f>
        <v>31.045224084969448</v>
      </c>
      <c r="M36">
        <f>L36*(((M29/M28)^2)+(((L29*2)/(L28*2))^2))^0.5</f>
        <v>2.8411438558251705</v>
      </c>
      <c r="N36" s="24">
        <f>M36/L36</f>
        <v>9.151629403766201E-2</v>
      </c>
      <c r="P36">
        <f>-Q28/(2*P28)</f>
        <v>29.578228317662973</v>
      </c>
      <c r="Q36">
        <f>P36*(((Q29/Q28)^2)+(((P29*2)/(P28*2))^2))^0.5</f>
        <v>3.4057919928882265</v>
      </c>
      <c r="R36" s="24">
        <f>Q36/P36</f>
        <v>0.11514523305151511</v>
      </c>
      <c r="T36">
        <f>-U28/(2*T28)</f>
        <v>32.80644750184473</v>
      </c>
      <c r="U36">
        <f>T36*(((U29/U28)^2)+(((T29*2)/(T28*2))^2))^0.5</f>
        <v>3.027475122496337</v>
      </c>
      <c r="V36" s="24">
        <f>U36/T36</f>
        <v>9.2282930735676269E-2</v>
      </c>
      <c r="X36">
        <f>-Y28/(2*X28)</f>
        <v>34.248829615625787</v>
      </c>
      <c r="Y36">
        <f>X36*(((Y29/Y28)^2)+(((X29*2)/(X28*2))^2))^0.5</f>
        <v>3.1883143765467574</v>
      </c>
      <c r="Z36" s="24">
        <f>Y36/X36</f>
        <v>9.3092651992175271E-2</v>
      </c>
      <c r="AB36">
        <f>-AC28/(2*AB28)</f>
        <v>37.63953444139608</v>
      </c>
      <c r="AC36">
        <f>AB36*(((AC29/AC28)^2)+(((AB29*2)/(AB28*2))^2))^0.5</f>
        <v>3.4315215898242659</v>
      </c>
      <c r="AD36" s="24">
        <f>AC36/AB36</f>
        <v>9.1168013652428909E-2</v>
      </c>
    </row>
    <row r="37" spans="2:30" x14ac:dyDescent="0.25">
      <c r="B37">
        <v>1</v>
      </c>
      <c r="C37">
        <v>0</v>
      </c>
      <c r="D37">
        <v>29</v>
      </c>
      <c r="E37">
        <v>29</v>
      </c>
      <c r="F37">
        <v>29</v>
      </c>
      <c r="G37">
        <v>33.618000000000002</v>
      </c>
      <c r="H37">
        <v>25.646999999999998</v>
      </c>
      <c r="L37" s="25"/>
      <c r="N37" s="24"/>
      <c r="P37" s="25"/>
      <c r="R37" s="24"/>
      <c r="T37" s="25"/>
      <c r="V37" s="24"/>
      <c r="X37" s="25"/>
      <c r="Z37" s="24"/>
      <c r="AB37" s="25"/>
      <c r="AD37" s="24"/>
    </row>
    <row r="38" spans="2:30" x14ac:dyDescent="0.25">
      <c r="B38">
        <v>2</v>
      </c>
      <c r="C38">
        <v>0</v>
      </c>
      <c r="D38">
        <v>24</v>
      </c>
      <c r="E38">
        <v>24</v>
      </c>
      <c r="F38">
        <v>24</v>
      </c>
      <c r="G38">
        <v>32.902999999999999</v>
      </c>
      <c r="H38">
        <v>25.719000000000001</v>
      </c>
      <c r="K38" t="s">
        <v>119</v>
      </c>
      <c r="L38">
        <f>L36-L35</f>
        <v>0.44130774562706065</v>
      </c>
      <c r="M38">
        <f>(((M35)^2)+((M36*2)^2))^0.5</f>
        <v>6.9323229198751095</v>
      </c>
      <c r="N38" s="24">
        <f>M38/L38</f>
        <v>15.708591087665752</v>
      </c>
      <c r="P38">
        <f>P36-P35</f>
        <v>0.5095371993385065</v>
      </c>
      <c r="Q38">
        <f>(((Q35)^2)+((Q36*2)^2))^0.5</f>
        <v>7.2122823362839004</v>
      </c>
      <c r="R38" s="24">
        <f>Q38/P38</f>
        <v>14.15457467216733</v>
      </c>
      <c r="T38">
        <f>T36-T35</f>
        <v>0.45947310217320592</v>
      </c>
      <c r="U38">
        <f>(((U35)^2)+((U36*2)^2))^0.5</f>
        <v>6.9424064741086049</v>
      </c>
      <c r="V38" s="24">
        <f>U38/T38</f>
        <v>15.109494856766503</v>
      </c>
      <c r="X38">
        <f>X36-X35</f>
        <v>0.48979239672919306</v>
      </c>
      <c r="Y38">
        <f>(((Y35)^2)+((Y36*2)^2))^0.5</f>
        <v>7.9383985150323797</v>
      </c>
      <c r="Z38" s="24">
        <f>Y38/X38</f>
        <v>16.207680168260211</v>
      </c>
      <c r="AB38">
        <f>AB36-AB35</f>
        <v>0.52578711838334158</v>
      </c>
      <c r="AC38">
        <f>(((AC35)^2)+((AC36*2)^2))^0.5</f>
        <v>7.609706633803393</v>
      </c>
      <c r="AD38" s="24">
        <f>AC38/AB38</f>
        <v>14.472980352202729</v>
      </c>
    </row>
    <row r="39" spans="2:30" x14ac:dyDescent="0.25">
      <c r="B39">
        <v>3</v>
      </c>
      <c r="C39">
        <v>0</v>
      </c>
      <c r="D39">
        <v>32</v>
      </c>
      <c r="E39">
        <v>32</v>
      </c>
      <c r="F39">
        <v>32</v>
      </c>
      <c r="G39">
        <v>32.231999999999999</v>
      </c>
      <c r="H39">
        <v>25.818999999999999</v>
      </c>
      <c r="N39" s="24"/>
      <c r="R39" s="24"/>
      <c r="V39" s="24"/>
      <c r="Z39" s="24"/>
      <c r="AD39" s="24"/>
    </row>
    <row r="40" spans="2:30" x14ac:dyDescent="0.25">
      <c r="B40">
        <v>4</v>
      </c>
      <c r="C40">
        <v>0</v>
      </c>
      <c r="D40">
        <v>32</v>
      </c>
      <c r="E40">
        <v>32</v>
      </c>
      <c r="F40">
        <v>32</v>
      </c>
      <c r="G40">
        <v>31.574999999999999</v>
      </c>
      <c r="H40">
        <v>25.861000000000001</v>
      </c>
      <c r="N40" s="24"/>
      <c r="R40" s="24"/>
      <c r="V40" s="24"/>
      <c r="Z40" s="24"/>
      <c r="AD40" s="24"/>
    </row>
    <row r="41" spans="2:30" x14ac:dyDescent="0.25">
      <c r="B41">
        <v>5</v>
      </c>
      <c r="C41">
        <v>0</v>
      </c>
      <c r="D41">
        <v>27</v>
      </c>
      <c r="E41">
        <v>27</v>
      </c>
      <c r="F41">
        <v>27</v>
      </c>
      <c r="G41">
        <v>30.904</v>
      </c>
      <c r="H41">
        <v>25.933</v>
      </c>
      <c r="K41" t="s">
        <v>108</v>
      </c>
      <c r="L41">
        <f>O13-M13</f>
        <v>0.50700000000000145</v>
      </c>
      <c r="M41">
        <f>L41*(((2/39)^2)+((0.01/1.9)^2))^0.5</f>
        <v>2.6136573434827514E-2</v>
      </c>
      <c r="N41" s="24">
        <f>M41/L41</f>
        <v>5.1551426893150766E-2</v>
      </c>
      <c r="P41">
        <f>S13-Q13</f>
        <v>0.43199999999999861</v>
      </c>
      <c r="Q41">
        <f>P41*(((2/43.5)^2)+((0.01/1.9)^2))^0.5</f>
        <v>1.9991783899396202E-2</v>
      </c>
      <c r="R41" s="24">
        <f>Q41/P41</f>
        <v>4.6277277544898764E-2</v>
      </c>
      <c r="T41">
        <f>U13-W13</f>
        <v>0.45200000000000173</v>
      </c>
      <c r="U41">
        <f>T41*(((2/44)^2)+((0.01/1.9)^2))^0.5</f>
        <v>2.0682724507691427E-2</v>
      </c>
      <c r="V41" s="24">
        <f>U41/T41</f>
        <v>4.5758240061264041E-2</v>
      </c>
      <c r="X41">
        <f>AA13-Y13</f>
        <v>0.48400000000000176</v>
      </c>
      <c r="Y41">
        <f>X41*(((2/36.7)^2)+((0.01/1.9)^2))^0.5</f>
        <v>2.6498747362477593E-2</v>
      </c>
      <c r="Z41" s="24">
        <f>Y41/X41</f>
        <v>5.4749478021647723E-2</v>
      </c>
      <c r="AB41">
        <f>AE13-AC13</f>
        <v>0.45700000000000074</v>
      </c>
      <c r="AC41">
        <f>AB41*(((2/36.7)^2)+((0.01/1.9)^2))^0.5</f>
        <v>2.5020511455893051E-2</v>
      </c>
      <c r="AD41" s="24">
        <f>AC41/AB41</f>
        <v>5.4749478021647723E-2</v>
      </c>
    </row>
    <row r="42" spans="2:30" x14ac:dyDescent="0.25">
      <c r="B42">
        <v>6</v>
      </c>
      <c r="C42">
        <v>0</v>
      </c>
      <c r="D42">
        <v>29</v>
      </c>
      <c r="E42">
        <v>29</v>
      </c>
      <c r="F42">
        <v>29</v>
      </c>
      <c r="G42">
        <v>30.132000000000001</v>
      </c>
      <c r="H42">
        <v>25.99</v>
      </c>
      <c r="N42" s="24"/>
    </row>
    <row r="43" spans="2:30" x14ac:dyDescent="0.25">
      <c r="B43">
        <v>7</v>
      </c>
      <c r="C43">
        <v>0</v>
      </c>
      <c r="D43">
        <v>31</v>
      </c>
      <c r="E43">
        <v>31</v>
      </c>
      <c r="F43">
        <v>31</v>
      </c>
      <c r="G43">
        <v>29.39</v>
      </c>
      <c r="H43">
        <v>26.033000000000001</v>
      </c>
      <c r="K43" t="s">
        <v>116</v>
      </c>
      <c r="L43">
        <f>PI()*(L38*0.001)^2*(3*0.009-L38*0.001)/3</f>
        <v>5.4164957248782481E-9</v>
      </c>
      <c r="M43">
        <f>L43*(((2*M38/L38)^2)+((0.01/9)^2))^0.5</f>
        <v>1.7017103304682733E-7</v>
      </c>
      <c r="P43">
        <f>PI()*(P38*0.001)^2*(3*0.009-P38*0.001)/3</f>
        <v>7.202279232743886E-9</v>
      </c>
      <c r="Q43">
        <f>P43*(((2*Q38/P38)^2)+((0.01/9)^2))^0.5</f>
        <v>2.0389039857639316E-7</v>
      </c>
      <c r="T43">
        <f>PI()*(T38*0.001)^2*(3*0.009-T38*0.001)/3</f>
        <v>5.8675708680232056E-9</v>
      </c>
      <c r="U43">
        <f>T43*(((2*U38/T38)^2)+((0.01/9)^2))^0.5</f>
        <v>1.7731206382407617E-7</v>
      </c>
      <c r="X43">
        <f>PI()*(X38*0.001)^2*(3*0.009-X38*0.001)/3</f>
        <v>6.659871119792757E-9</v>
      </c>
      <c r="Y43">
        <f>X43*(((2*Y38/X38)^2)+((0.01/9)^2))^0.5</f>
        <v>2.1588212226969152E-7</v>
      </c>
      <c r="AB43">
        <f>PI()*(AB38*0.001)^2*(3*0.009-AB38*0.001)/3</f>
        <v>7.6642834567148076E-9</v>
      </c>
      <c r="AC43">
        <f>AB43*(((2*AC38/AB38)^2)+((0.01/9)^2))^0.5</f>
        <v>2.218500479289355E-7</v>
      </c>
    </row>
    <row r="44" spans="2:30" x14ac:dyDescent="0.25">
      <c r="B44">
        <v>8</v>
      </c>
      <c r="C44">
        <v>0</v>
      </c>
      <c r="D44">
        <v>25</v>
      </c>
      <c r="E44">
        <v>25</v>
      </c>
      <c r="F44">
        <v>25</v>
      </c>
      <c r="G44">
        <v>28.731999999999999</v>
      </c>
      <c r="H44">
        <v>25.975999999999999</v>
      </c>
      <c r="K44" t="s">
        <v>117</v>
      </c>
      <c r="L44">
        <f>PI()*(L41*0.001)^2*(3*0.009-L41*0.001)/3</f>
        <v>7.1314144408613351E-9</v>
      </c>
      <c r="M44">
        <f>L44*(((2*M41/L41)^2)+((0.01/9)^2))^0.5</f>
        <v>7.3531187541990035E-10</v>
      </c>
      <c r="N44" s="24" t="s">
        <v>106</v>
      </c>
      <c r="P44">
        <f>PI()*(P41*0.001)^2*(3*0.009-P41*0.001)/3</f>
        <v>5.1922425778686105E-9</v>
      </c>
      <c r="Q44">
        <f>P44*(((2*Q41/P41)^2)+((0.01/9)^2))^0.5</f>
        <v>4.806003296417063E-10</v>
      </c>
      <c r="R44" s="24" t="s">
        <v>106</v>
      </c>
      <c r="T44">
        <f>PI()*(T41*0.001)^2*(3*0.009-T41*0.001)/3</f>
        <v>5.6798556243692733E-9</v>
      </c>
      <c r="U44">
        <f>T44*(((2*U41/T41)^2)+((0.01/9)^2))^0.5</f>
        <v>5.1983870388934351E-10</v>
      </c>
      <c r="V44" s="24" t="s">
        <v>106</v>
      </c>
      <c r="X44">
        <f>PI()*(X41*0.001)^2*(3*0.009-X41*0.001)/3</f>
        <v>6.504701200110317E-9</v>
      </c>
      <c r="Y44">
        <f>X44*(((2*Y41/X41)^2)+((0.01/9)^2))^0.5</f>
        <v>7.1229465911972453E-10</v>
      </c>
      <c r="Z44" s="24" t="s">
        <v>106</v>
      </c>
      <c r="AB44">
        <f>PI()*(AB41*0.001)^2*(3*0.009-AB41*0.001)/3</f>
        <v>5.8051176412401647E-9</v>
      </c>
      <c r="AC44">
        <f>AB44*(((2*AC41/AB41)^2)+((0.01/9)^2))^0.5</f>
        <v>6.356870460624595E-10</v>
      </c>
      <c r="AD44" s="24" t="s">
        <v>106</v>
      </c>
    </row>
    <row r="45" spans="2:30" x14ac:dyDescent="0.25">
      <c r="B45">
        <v>9</v>
      </c>
      <c r="C45">
        <v>0</v>
      </c>
      <c r="D45">
        <v>31</v>
      </c>
      <c r="E45">
        <v>31</v>
      </c>
      <c r="F45">
        <v>31</v>
      </c>
      <c r="G45">
        <v>28.074999999999999</v>
      </c>
      <c r="H45">
        <v>25.960999999999999</v>
      </c>
      <c r="K45" t="s">
        <v>107</v>
      </c>
      <c r="L45">
        <f>(AVERAGE(E12:E16)-AVERAGE(D12:D16))*0.001*PI()*(0.0005)^2</f>
        <v>5.7159707535739483E-9</v>
      </c>
      <c r="P45">
        <f>(AVERAGE(E12:E16)-AVERAGE(D12:D16))*0.001*PI()*(0.0005)^2</f>
        <v>5.7159707535739483E-9</v>
      </c>
      <c r="T45">
        <f>(AVERAGE(E18:E22)-AVERAGE(D18:D22))*0.001*PI()*(0.0005)^2</f>
        <v>5.4778380304318432E-9</v>
      </c>
      <c r="X45">
        <f>(AVERAGE(E24:E28)-AVERAGE(D24:D28))*0.001*PI()*(0.0005)^2</f>
        <v>5.6814132343844612E-9</v>
      </c>
      <c r="AB45">
        <f>(AVERAGE(E30:E34)-AVERAGE(D30:D34))*0.001*PI()*(0.0005)^2</f>
        <v>5.9702826788820432E-9</v>
      </c>
    </row>
    <row r="46" spans="2:30" x14ac:dyDescent="0.25">
      <c r="B46">
        <v>10</v>
      </c>
      <c r="C46">
        <v>0</v>
      </c>
      <c r="D46">
        <v>31</v>
      </c>
      <c r="E46">
        <v>31</v>
      </c>
      <c r="F46">
        <v>31</v>
      </c>
      <c r="G46">
        <v>27.332999999999998</v>
      </c>
      <c r="H46">
        <v>25.917999999999999</v>
      </c>
    </row>
    <row r="47" spans="2:30" x14ac:dyDescent="0.25">
      <c r="B47">
        <v>11</v>
      </c>
      <c r="C47">
        <v>0</v>
      </c>
      <c r="D47">
        <v>36</v>
      </c>
      <c r="E47">
        <v>36</v>
      </c>
      <c r="F47">
        <v>36</v>
      </c>
      <c r="G47">
        <v>26.718</v>
      </c>
      <c r="H47">
        <v>25.904</v>
      </c>
      <c r="K47" t="s">
        <v>119</v>
      </c>
      <c r="L47" s="24">
        <f>(L45-L43)/L43</f>
        <v>5.5289442456346038E-2</v>
      </c>
      <c r="M47" s="24"/>
      <c r="N47" s="24"/>
      <c r="O47" s="24"/>
      <c r="P47" s="24">
        <f t="shared" ref="P47:AB47" si="0">(P45-P43)/P43</f>
        <v>-0.20636640584729063</v>
      </c>
      <c r="Q47" s="24"/>
      <c r="R47" s="24"/>
      <c r="S47" s="24"/>
      <c r="T47" s="24">
        <f t="shared" si="0"/>
        <v>-6.6421496451846709E-2</v>
      </c>
      <c r="U47" s="24"/>
      <c r="V47" s="24"/>
      <c r="W47" s="24"/>
      <c r="X47" s="24">
        <f t="shared" si="0"/>
        <v>-0.14691844148460695</v>
      </c>
      <c r="Y47" s="24"/>
      <c r="Z47" s="24"/>
      <c r="AA47" s="24"/>
      <c r="AB47" s="24">
        <f t="shared" si="0"/>
        <v>-0.22102532968670696</v>
      </c>
      <c r="AC47" s="24"/>
      <c r="AD47" s="24"/>
    </row>
    <row r="48" spans="2:30" x14ac:dyDescent="0.25">
      <c r="B48">
        <v>12</v>
      </c>
      <c r="C48">
        <v>0</v>
      </c>
      <c r="D48">
        <v>38</v>
      </c>
      <c r="E48">
        <v>38</v>
      </c>
      <c r="F48">
        <v>38</v>
      </c>
      <c r="G48">
        <v>26.047000000000001</v>
      </c>
      <c r="H48">
        <v>25.847000000000001</v>
      </c>
      <c r="K48" t="s">
        <v>118</v>
      </c>
      <c r="L48" s="24">
        <f>(L45-L44)/L44</f>
        <v>-0.19848007699247233</v>
      </c>
      <c r="M48" s="24"/>
      <c r="N48" s="24"/>
      <c r="O48" s="24"/>
      <c r="P48" s="24">
        <f>(P45-P44)/P44</f>
        <v>0.10086743210682687</v>
      </c>
      <c r="Q48" s="24"/>
      <c r="R48" s="24"/>
      <c r="T48" s="24">
        <f>(T45-T44)/T44</f>
        <v>-3.5567381866306397E-2</v>
      </c>
      <c r="U48" s="24"/>
      <c r="V48" s="24"/>
      <c r="X48" s="24">
        <f>(X45-X44)/X44</f>
        <v>-0.12656814516120943</v>
      </c>
      <c r="Y48" s="24"/>
      <c r="Z48" s="24"/>
      <c r="AB48" s="24">
        <f>(AB45-AB44)/AB44</f>
        <v>2.8451626280323539E-2</v>
      </c>
    </row>
    <row r="49" spans="2:30" x14ac:dyDescent="0.25">
      <c r="B49">
        <v>13</v>
      </c>
      <c r="C49">
        <v>0</v>
      </c>
      <c r="D49">
        <v>28</v>
      </c>
      <c r="E49">
        <v>28</v>
      </c>
      <c r="F49">
        <v>28</v>
      </c>
      <c r="G49">
        <v>25.460999999999999</v>
      </c>
      <c r="H49">
        <v>25.760999999999999</v>
      </c>
    </row>
    <row r="50" spans="2:30" x14ac:dyDescent="0.25">
      <c r="W50" t="s">
        <v>99</v>
      </c>
      <c r="X50" t="s">
        <v>100</v>
      </c>
      <c r="Y50" t="s">
        <v>98</v>
      </c>
    </row>
    <row r="51" spans="2:30" x14ac:dyDescent="0.25">
      <c r="B51">
        <v>1</v>
      </c>
      <c r="C51">
        <v>0</v>
      </c>
      <c r="D51">
        <v>25</v>
      </c>
      <c r="E51">
        <v>25</v>
      </c>
      <c r="F51">
        <v>25</v>
      </c>
      <c r="G51">
        <v>34.457000000000001</v>
      </c>
      <c r="H51">
        <v>25.722999999999999</v>
      </c>
      <c r="V51" t="s">
        <v>156</v>
      </c>
      <c r="W51">
        <f>AVERAGE(L22,P22,T22,X22,AB22)</f>
        <v>-1.389998476034939E-2</v>
      </c>
      <c r="X51">
        <f>AVERAGE(M22,Q22,U22,Y22,AC22)</f>
        <v>0.89989679608823747</v>
      </c>
      <c r="Y51">
        <f>AVERAGE(N22,R22,V22,Z22,AD22)</f>
        <v>14.515883038817956</v>
      </c>
    </row>
    <row r="52" spans="2:30" x14ac:dyDescent="0.25">
      <c r="B52">
        <v>2</v>
      </c>
      <c r="C52">
        <v>0</v>
      </c>
      <c r="D52">
        <v>39</v>
      </c>
      <c r="E52">
        <v>39</v>
      </c>
      <c r="F52">
        <v>39</v>
      </c>
      <c r="G52">
        <v>33.518000000000001</v>
      </c>
      <c r="H52">
        <v>25.919</v>
      </c>
      <c r="V52" t="s">
        <v>157</v>
      </c>
      <c r="W52">
        <f>AVERAGE(L28,P28,T28,X28,AB28)</f>
        <v>-1.7776017637988348E-2</v>
      </c>
      <c r="X52">
        <f>AVERAGE(M28,Q28,U28,Y28,AC28)</f>
        <v>1.1466496143932368</v>
      </c>
      <c r="Y52">
        <f>AVERAGE(N28,R28,V28,Z28,AD28)</f>
        <v>10.815695845588856</v>
      </c>
    </row>
    <row r="53" spans="2:30" x14ac:dyDescent="0.25">
      <c r="B53">
        <v>3</v>
      </c>
      <c r="C53">
        <v>0</v>
      </c>
      <c r="D53">
        <v>23</v>
      </c>
      <c r="E53">
        <v>23</v>
      </c>
      <c r="F53">
        <v>23</v>
      </c>
      <c r="G53">
        <v>32.600999999999999</v>
      </c>
      <c r="H53">
        <v>26.071999999999999</v>
      </c>
    </row>
    <row r="54" spans="2:30" x14ac:dyDescent="0.25">
      <c r="B54">
        <v>4</v>
      </c>
      <c r="C54">
        <v>0</v>
      </c>
      <c r="D54">
        <v>19</v>
      </c>
      <c r="E54">
        <v>19</v>
      </c>
      <c r="F54">
        <v>19</v>
      </c>
      <c r="G54">
        <v>31.837</v>
      </c>
      <c r="H54">
        <v>26.181000000000001</v>
      </c>
    </row>
    <row r="55" spans="2:30" x14ac:dyDescent="0.25">
      <c r="B55">
        <v>5</v>
      </c>
      <c r="C55">
        <v>0</v>
      </c>
      <c r="D55">
        <v>19</v>
      </c>
      <c r="E55">
        <v>19</v>
      </c>
      <c r="F55">
        <v>19</v>
      </c>
      <c r="G55">
        <v>30.963000000000001</v>
      </c>
      <c r="H55">
        <v>26.312000000000001</v>
      </c>
      <c r="K55" t="s">
        <v>204</v>
      </c>
    </row>
    <row r="56" spans="2:30" x14ac:dyDescent="0.25">
      <c r="B56">
        <v>6</v>
      </c>
      <c r="C56">
        <v>0</v>
      </c>
      <c r="D56">
        <v>12</v>
      </c>
      <c r="E56">
        <v>12</v>
      </c>
      <c r="F56">
        <v>12</v>
      </c>
      <c r="G56">
        <v>30.33</v>
      </c>
      <c r="H56">
        <v>26.4</v>
      </c>
    </row>
    <row r="57" spans="2:30" x14ac:dyDescent="0.25">
      <c r="B57">
        <v>7</v>
      </c>
      <c r="C57">
        <v>0</v>
      </c>
      <c r="D57">
        <v>13</v>
      </c>
      <c r="E57">
        <v>13</v>
      </c>
      <c r="F57">
        <v>13</v>
      </c>
      <c r="G57">
        <v>29.696999999999999</v>
      </c>
      <c r="H57">
        <v>26.465</v>
      </c>
      <c r="L57">
        <v>1</v>
      </c>
      <c r="P57">
        <v>2</v>
      </c>
      <c r="T57">
        <v>3</v>
      </c>
      <c r="X57">
        <v>4</v>
      </c>
      <c r="AB57">
        <v>5</v>
      </c>
    </row>
    <row r="58" spans="2:30" x14ac:dyDescent="0.25">
      <c r="B58">
        <v>8</v>
      </c>
      <c r="C58">
        <v>0</v>
      </c>
      <c r="D58">
        <v>19</v>
      </c>
      <c r="E58">
        <v>19</v>
      </c>
      <c r="F58">
        <v>19</v>
      </c>
      <c r="G58">
        <v>28.911000000000001</v>
      </c>
      <c r="H58">
        <v>26.4</v>
      </c>
      <c r="L58" t="s">
        <v>104</v>
      </c>
      <c r="N58" t="s">
        <v>105</v>
      </c>
      <c r="P58" t="s">
        <v>104</v>
      </c>
      <c r="R58" t="s">
        <v>105</v>
      </c>
      <c r="T58" t="s">
        <v>104</v>
      </c>
      <c r="V58" t="s">
        <v>105</v>
      </c>
      <c r="X58" t="s">
        <v>104</v>
      </c>
      <c r="Z58" t="s">
        <v>105</v>
      </c>
      <c r="AB58" t="s">
        <v>104</v>
      </c>
      <c r="AD58" t="s">
        <v>105</v>
      </c>
    </row>
    <row r="59" spans="2:30" x14ac:dyDescent="0.25">
      <c r="B59">
        <v>9</v>
      </c>
      <c r="C59">
        <v>0</v>
      </c>
      <c r="D59">
        <v>18</v>
      </c>
      <c r="E59">
        <v>18</v>
      </c>
      <c r="F59">
        <v>18</v>
      </c>
      <c r="G59">
        <v>28.146000000000001</v>
      </c>
      <c r="H59">
        <v>26.356000000000002</v>
      </c>
      <c r="L59" t="s">
        <v>96</v>
      </c>
      <c r="M59" t="s">
        <v>97</v>
      </c>
      <c r="N59" t="s">
        <v>97</v>
      </c>
      <c r="P59" t="s">
        <v>96</v>
      </c>
      <c r="Q59" t="s">
        <v>97</v>
      </c>
      <c r="R59" t="s">
        <v>97</v>
      </c>
      <c r="T59" t="s">
        <v>96</v>
      </c>
      <c r="U59" t="s">
        <v>97</v>
      </c>
      <c r="V59" t="s">
        <v>97</v>
      </c>
      <c r="X59" t="s">
        <v>96</v>
      </c>
      <c r="Y59" t="s">
        <v>97</v>
      </c>
      <c r="Z59" t="s">
        <v>97</v>
      </c>
      <c r="AB59" t="s">
        <v>96</v>
      </c>
      <c r="AC59" t="s">
        <v>97</v>
      </c>
      <c r="AD59" t="s">
        <v>97</v>
      </c>
    </row>
    <row r="60" spans="2:30" x14ac:dyDescent="0.25">
      <c r="B60">
        <v>10</v>
      </c>
      <c r="C60">
        <v>0</v>
      </c>
      <c r="D60">
        <v>23</v>
      </c>
      <c r="E60">
        <v>23</v>
      </c>
      <c r="F60">
        <v>23</v>
      </c>
      <c r="G60">
        <v>27.338000000000001</v>
      </c>
      <c r="H60">
        <v>26.181000000000001</v>
      </c>
      <c r="L60">
        <f>L7</f>
        <v>38.543999999999997</v>
      </c>
      <c r="M60">
        <f>-M7</f>
        <v>-27.047000000000001</v>
      </c>
      <c r="N60">
        <f>-O7+($O$7-$M$7)</f>
        <v>-27.047000000000001</v>
      </c>
      <c r="P60">
        <f>P7</f>
        <v>33.618000000000002</v>
      </c>
      <c r="Q60">
        <f>-Q7</f>
        <v>-25.646999999999998</v>
      </c>
      <c r="R60">
        <f>-S7+($S$7-$Q$7)</f>
        <v>-25.646999999999998</v>
      </c>
      <c r="T60">
        <f>T7</f>
        <v>37.284999999999997</v>
      </c>
      <c r="U60">
        <f>-U7</f>
        <v>-29.890999999999998</v>
      </c>
      <c r="V60">
        <f>-W7+($W$7-$U$7)</f>
        <v>-29.890999999999998</v>
      </c>
      <c r="X60">
        <f>X7</f>
        <v>39.679000000000002</v>
      </c>
      <c r="Y60">
        <f>-Y7</f>
        <v>-32.286000000000001</v>
      </c>
      <c r="Z60">
        <f>-AA7+($AA$7-$Y$7)</f>
        <v>-32.286000000000001</v>
      </c>
      <c r="AB60">
        <f>AB7</f>
        <v>42.168999999999997</v>
      </c>
      <c r="AC60">
        <f>-AC7</f>
        <v>-29</v>
      </c>
      <c r="AD60">
        <f>-AE7+($AE$7-$AC$7)</f>
        <v>-29</v>
      </c>
    </row>
    <row r="61" spans="2:30" x14ac:dyDescent="0.25">
      <c r="B61">
        <v>11</v>
      </c>
      <c r="C61">
        <v>0</v>
      </c>
      <c r="D61">
        <v>27</v>
      </c>
      <c r="E61">
        <v>27</v>
      </c>
      <c r="F61">
        <v>27</v>
      </c>
      <c r="G61">
        <v>26.509</v>
      </c>
      <c r="H61">
        <v>25.984999999999999</v>
      </c>
      <c r="L61">
        <f t="shared" ref="L61:L72" si="1">L8</f>
        <v>36.156999999999996</v>
      </c>
      <c r="M61">
        <f t="shared" ref="M61:M72" si="2">-M8</f>
        <v>-27.306000000000001</v>
      </c>
      <c r="N61">
        <f t="shared" ref="N61:N72" si="3">-O8+($O$7-$M$7)</f>
        <v>-27.146000000000001</v>
      </c>
      <c r="P61">
        <f t="shared" ref="P61:P72" si="4">P8</f>
        <v>32.902999999999999</v>
      </c>
      <c r="Q61">
        <f t="shared" ref="Q61:Q72" si="5">-Q8</f>
        <v>-25.719000000000001</v>
      </c>
      <c r="R61">
        <f t="shared" ref="R61:R72" si="6">-S8+($S$7-$Q$7)</f>
        <v>-25.843</v>
      </c>
      <c r="T61">
        <f t="shared" ref="T61:T72" si="7">T8</f>
        <v>36.680999999999997</v>
      </c>
      <c r="U61">
        <f t="shared" ref="U61:U72" si="8">-U8</f>
        <v>-30.009</v>
      </c>
      <c r="V61">
        <f t="shared" ref="V61:V72" si="9">-W8+($W$7-$U$7)</f>
        <v>-29.955999999999996</v>
      </c>
      <c r="X61">
        <f t="shared" ref="X61:X72" si="10">X8</f>
        <v>38.835000000000001</v>
      </c>
      <c r="Y61">
        <f t="shared" ref="Y61:Y72" si="11">-Y8</f>
        <v>-32.372</v>
      </c>
      <c r="Z61">
        <f t="shared" ref="Z61:Z72" si="12">-AA8+($AA$7-$Y$7)</f>
        <v>-32.579000000000001</v>
      </c>
      <c r="AB61">
        <f t="shared" ref="AB61:AB72" si="13">AB8</f>
        <v>41.597000000000001</v>
      </c>
      <c r="AC61">
        <f t="shared" ref="AC61:AC72" si="14">-AC8</f>
        <v>-29.035</v>
      </c>
      <c r="AD61">
        <f t="shared" ref="AD61:AD72" si="15">-AE8+($AE$7-$AC$7)</f>
        <v>-29.141000000000002</v>
      </c>
    </row>
    <row r="62" spans="2:30" x14ac:dyDescent="0.25">
      <c r="B62">
        <v>12</v>
      </c>
      <c r="C62">
        <v>0</v>
      </c>
      <c r="D62">
        <v>35</v>
      </c>
      <c r="E62">
        <v>35</v>
      </c>
      <c r="F62">
        <v>35</v>
      </c>
      <c r="G62">
        <v>25.765999999999998</v>
      </c>
      <c r="H62">
        <v>25.919</v>
      </c>
      <c r="L62">
        <f t="shared" si="1"/>
        <v>35.393999999999998</v>
      </c>
      <c r="M62">
        <f t="shared" si="2"/>
        <v>-27.338999999999999</v>
      </c>
      <c r="N62">
        <f t="shared" si="3"/>
        <v>-27.244</v>
      </c>
      <c r="P62">
        <f t="shared" si="4"/>
        <v>32.231999999999999</v>
      </c>
      <c r="Q62">
        <f t="shared" si="5"/>
        <v>-25.818999999999999</v>
      </c>
      <c r="R62">
        <f t="shared" si="6"/>
        <v>-25.995999999999999</v>
      </c>
      <c r="T62">
        <f t="shared" si="7"/>
        <v>36.121000000000002</v>
      </c>
      <c r="U62">
        <f t="shared" si="8"/>
        <v>-30.111999999999998</v>
      </c>
      <c r="V62">
        <f t="shared" si="9"/>
        <v>-30.009999999999998</v>
      </c>
      <c r="X62">
        <f t="shared" si="10"/>
        <v>38.094000000000001</v>
      </c>
      <c r="Y62">
        <f t="shared" si="11"/>
        <v>-32.406999999999996</v>
      </c>
      <c r="Z62">
        <f t="shared" si="12"/>
        <v>-32.821000000000005</v>
      </c>
      <c r="AB62">
        <f t="shared" si="13"/>
        <v>41.024000000000001</v>
      </c>
      <c r="AC62">
        <f t="shared" si="14"/>
        <v>-29.087</v>
      </c>
      <c r="AD62">
        <f t="shared" si="15"/>
        <v>-29.247</v>
      </c>
    </row>
    <row r="63" spans="2:30" x14ac:dyDescent="0.25">
      <c r="B63">
        <v>13</v>
      </c>
      <c r="C63">
        <v>0</v>
      </c>
      <c r="D63">
        <v>63</v>
      </c>
      <c r="E63">
        <v>63</v>
      </c>
      <c r="F63">
        <v>63</v>
      </c>
      <c r="G63">
        <v>24.783999999999999</v>
      </c>
      <c r="H63">
        <v>25.81</v>
      </c>
      <c r="L63">
        <f t="shared" si="1"/>
        <v>34.451999999999998</v>
      </c>
      <c r="M63">
        <f t="shared" si="2"/>
        <v>-27.42</v>
      </c>
      <c r="N63">
        <f t="shared" si="3"/>
        <v>-27.343</v>
      </c>
      <c r="P63">
        <f t="shared" si="4"/>
        <v>31.574999999999999</v>
      </c>
      <c r="Q63">
        <f t="shared" si="5"/>
        <v>-25.861000000000001</v>
      </c>
      <c r="R63">
        <f t="shared" si="6"/>
        <v>-26.105</v>
      </c>
      <c r="T63">
        <f t="shared" si="7"/>
        <v>35.518000000000001</v>
      </c>
      <c r="U63">
        <f t="shared" si="8"/>
        <v>-30.186</v>
      </c>
      <c r="V63">
        <f t="shared" si="9"/>
        <v>-30.107999999999997</v>
      </c>
      <c r="X63">
        <f t="shared" si="10"/>
        <v>37.249000000000002</v>
      </c>
      <c r="Y63">
        <f t="shared" si="11"/>
        <v>-32.51</v>
      </c>
      <c r="Z63">
        <f t="shared" si="12"/>
        <v>-33.063000000000002</v>
      </c>
      <c r="AB63">
        <f t="shared" si="13"/>
        <v>40.191000000000003</v>
      </c>
      <c r="AC63">
        <f t="shared" si="14"/>
        <v>-29.138999999999999</v>
      </c>
      <c r="AD63">
        <f t="shared" si="15"/>
        <v>-29.309000000000001</v>
      </c>
    </row>
    <row r="64" spans="2:30" x14ac:dyDescent="0.25">
      <c r="L64">
        <f t="shared" si="1"/>
        <v>33.281999999999996</v>
      </c>
      <c r="M64">
        <f t="shared" si="2"/>
        <v>-27.518000000000001</v>
      </c>
      <c r="N64">
        <f t="shared" si="3"/>
        <v>-27.524000000000001</v>
      </c>
      <c r="P64">
        <f t="shared" si="4"/>
        <v>30.904</v>
      </c>
      <c r="Q64">
        <f t="shared" si="5"/>
        <v>-25.933</v>
      </c>
      <c r="R64">
        <f t="shared" si="6"/>
        <v>-26.236000000000001</v>
      </c>
      <c r="T64">
        <f t="shared" si="7"/>
        <v>34.854999999999997</v>
      </c>
      <c r="U64">
        <f t="shared" si="8"/>
        <v>-30.245000000000001</v>
      </c>
      <c r="V64">
        <f t="shared" si="9"/>
        <v>-30.13</v>
      </c>
      <c r="X64">
        <f t="shared" si="10"/>
        <v>36.302</v>
      </c>
      <c r="Y64">
        <f t="shared" si="11"/>
        <v>-32.579000000000001</v>
      </c>
      <c r="Z64">
        <f t="shared" si="12"/>
        <v>-33.305</v>
      </c>
      <c r="AB64">
        <f t="shared" si="13"/>
        <v>39.479999999999997</v>
      </c>
      <c r="AC64">
        <f t="shared" si="14"/>
        <v>-29.225999999999999</v>
      </c>
      <c r="AD64">
        <f t="shared" si="15"/>
        <v>-29.389000000000003</v>
      </c>
    </row>
    <row r="65" spans="2:30" x14ac:dyDescent="0.25">
      <c r="L65">
        <f t="shared" si="1"/>
        <v>32.161999999999999</v>
      </c>
      <c r="M65">
        <f t="shared" si="2"/>
        <v>-27.631</v>
      </c>
      <c r="N65">
        <f t="shared" si="3"/>
        <v>-27.639000000000003</v>
      </c>
      <c r="P65">
        <f t="shared" si="4"/>
        <v>30.132000000000001</v>
      </c>
      <c r="Q65">
        <f t="shared" si="5"/>
        <v>-25.99</v>
      </c>
      <c r="R65">
        <f t="shared" si="6"/>
        <v>-26.323999999999998</v>
      </c>
      <c r="T65">
        <f t="shared" si="7"/>
        <v>34.143999999999998</v>
      </c>
      <c r="U65">
        <f t="shared" si="8"/>
        <v>-30.366</v>
      </c>
      <c r="V65">
        <f t="shared" si="9"/>
        <v>-30.183999999999997</v>
      </c>
      <c r="X65">
        <f t="shared" si="10"/>
        <v>35.457000000000001</v>
      </c>
      <c r="Y65">
        <f t="shared" si="11"/>
        <v>-32.664999999999999</v>
      </c>
      <c r="Z65">
        <f t="shared" si="12"/>
        <v>-33.46</v>
      </c>
      <c r="AB65">
        <f t="shared" si="13"/>
        <v>38.820999999999998</v>
      </c>
      <c r="AC65">
        <f t="shared" si="14"/>
        <v>-29.242999999999999</v>
      </c>
      <c r="AD65">
        <f t="shared" si="15"/>
        <v>-29.459000000000003</v>
      </c>
    </row>
    <row r="66" spans="2:30" x14ac:dyDescent="0.25">
      <c r="L66">
        <f t="shared" si="1"/>
        <v>31.058</v>
      </c>
      <c r="M66">
        <f t="shared" si="2"/>
        <v>-27.68</v>
      </c>
      <c r="N66">
        <f t="shared" si="3"/>
        <v>-27.688000000000002</v>
      </c>
      <c r="P66">
        <f t="shared" si="4"/>
        <v>29.39</v>
      </c>
      <c r="Q66">
        <f t="shared" si="5"/>
        <v>-26.033000000000001</v>
      </c>
      <c r="R66">
        <f t="shared" si="6"/>
        <v>-26.388999999999999</v>
      </c>
      <c r="T66">
        <f t="shared" si="7"/>
        <v>33.204999999999998</v>
      </c>
      <c r="U66">
        <f t="shared" si="8"/>
        <v>-30.388000000000002</v>
      </c>
      <c r="V66">
        <f t="shared" si="9"/>
        <v>-30.238999999999997</v>
      </c>
      <c r="X66">
        <f t="shared" si="10"/>
        <v>34.698999999999998</v>
      </c>
      <c r="Y66">
        <f t="shared" si="11"/>
        <v>-32.683</v>
      </c>
      <c r="Z66">
        <f t="shared" si="12"/>
        <v>-33.681000000000004</v>
      </c>
      <c r="AB66">
        <f t="shared" si="13"/>
        <v>37.554000000000002</v>
      </c>
      <c r="AC66">
        <f t="shared" si="14"/>
        <v>-29.312999999999999</v>
      </c>
      <c r="AD66">
        <f t="shared" si="15"/>
        <v>-29.495000000000001</v>
      </c>
    </row>
    <row r="67" spans="2:30" x14ac:dyDescent="0.25">
      <c r="B67" cm="1">
        <f t="array" ref="B67:D71">LINEST(H37:H49,G37:G49^{1,2},,TRUE)</f>
        <v>-1.7494518328240651E-2</v>
      </c>
      <c r="C67">
        <v>1.0170854990949871</v>
      </c>
      <c r="D67">
        <v>11.210389932813083</v>
      </c>
      <c r="F67" cm="1">
        <f t="array" ref="F67:H71">LINEST(H51:H63,G51:G63^{1,2},,TRUE)</f>
        <v>-2.8538982531683459E-2</v>
      </c>
      <c r="G67">
        <v>1.6882650825518573</v>
      </c>
      <c r="H67">
        <v>1.407203840603664</v>
      </c>
      <c r="L67">
        <f t="shared" si="1"/>
        <v>29.824000000000002</v>
      </c>
      <c r="M67">
        <f t="shared" si="2"/>
        <v>-27.646999999999998</v>
      </c>
      <c r="N67">
        <f t="shared" si="3"/>
        <v>-27.656000000000002</v>
      </c>
      <c r="P67">
        <f t="shared" si="4"/>
        <v>28.731999999999999</v>
      </c>
      <c r="Q67">
        <f t="shared" si="5"/>
        <v>-25.975999999999999</v>
      </c>
      <c r="R67">
        <f t="shared" si="6"/>
        <v>-26.323999999999998</v>
      </c>
      <c r="T67">
        <f t="shared" si="7"/>
        <v>32.442999999999998</v>
      </c>
      <c r="U67">
        <f t="shared" si="8"/>
        <v>-30.366</v>
      </c>
      <c r="V67">
        <f t="shared" si="9"/>
        <v>-30.227999999999998</v>
      </c>
      <c r="X67">
        <f t="shared" si="10"/>
        <v>33.991999999999997</v>
      </c>
      <c r="Y67">
        <f t="shared" si="11"/>
        <v>-32.700000000000003</v>
      </c>
      <c r="Z67">
        <f t="shared" si="12"/>
        <v>-33.495000000000005</v>
      </c>
      <c r="AB67">
        <f t="shared" si="13"/>
        <v>36.756</v>
      </c>
      <c r="AC67">
        <f t="shared" si="14"/>
        <v>-29.277999999999999</v>
      </c>
      <c r="AD67">
        <f t="shared" si="15"/>
        <v>-29.521000000000001</v>
      </c>
    </row>
    <row r="68" spans="2:30" x14ac:dyDescent="0.25">
      <c r="B68">
        <v>1.0007820737999531E-3</v>
      </c>
      <c r="C68">
        <v>5.9111215510957632E-2</v>
      </c>
      <c r="D68">
        <v>0.86749823585721886</v>
      </c>
      <c r="F68">
        <v>2.3210312946681921E-3</v>
      </c>
      <c r="G68">
        <v>0.13761284138498953</v>
      </c>
      <c r="H68">
        <v>2.0245725081825703</v>
      </c>
      <c r="L68">
        <f t="shared" si="1"/>
        <v>28.978999999999999</v>
      </c>
      <c r="M68">
        <f t="shared" si="2"/>
        <v>-27.565999999999999</v>
      </c>
      <c r="N68">
        <f t="shared" si="3"/>
        <v>-27.573</v>
      </c>
      <c r="P68">
        <f t="shared" si="4"/>
        <v>28.074999999999999</v>
      </c>
      <c r="Q68">
        <f t="shared" si="5"/>
        <v>-25.960999999999999</v>
      </c>
      <c r="R68">
        <f t="shared" si="6"/>
        <v>-26.28</v>
      </c>
      <c r="T68">
        <f t="shared" si="7"/>
        <v>31.626000000000001</v>
      </c>
      <c r="U68">
        <f t="shared" si="8"/>
        <v>-30.332999999999998</v>
      </c>
      <c r="V68">
        <f t="shared" si="9"/>
        <v>-30.205999999999996</v>
      </c>
      <c r="X68">
        <f t="shared" si="10"/>
        <v>33.148000000000003</v>
      </c>
      <c r="Y68">
        <f t="shared" si="11"/>
        <v>-32.683</v>
      </c>
      <c r="Z68">
        <f t="shared" si="12"/>
        <v>-33.391000000000005</v>
      </c>
      <c r="AB68">
        <f t="shared" si="13"/>
        <v>36.113999999999997</v>
      </c>
      <c r="AC68">
        <f t="shared" si="14"/>
        <v>-29.295000000000002</v>
      </c>
      <c r="AD68">
        <f t="shared" si="15"/>
        <v>-29.495000000000001</v>
      </c>
    </row>
    <row r="69" spans="2:30" x14ac:dyDescent="0.25">
      <c r="B69" s="27">
        <v>0.97252466618698585</v>
      </c>
      <c r="C69">
        <v>2.0654476382311254E-2</v>
      </c>
      <c r="D69" t="e">
        <v>#N/A</v>
      </c>
      <c r="F69" s="27">
        <v>0.93799682217540048</v>
      </c>
      <c r="G69">
        <v>6.7223029074926277E-2</v>
      </c>
      <c r="H69" t="e">
        <v>#N/A</v>
      </c>
      <c r="L69">
        <f t="shared" si="1"/>
        <v>27.68</v>
      </c>
      <c r="M69">
        <f t="shared" si="2"/>
        <v>-27.452999999999999</v>
      </c>
      <c r="N69">
        <f t="shared" si="3"/>
        <v>-27.507000000000001</v>
      </c>
      <c r="P69">
        <f t="shared" si="4"/>
        <v>27.332999999999998</v>
      </c>
      <c r="Q69">
        <f t="shared" si="5"/>
        <v>-25.917999999999999</v>
      </c>
      <c r="R69">
        <f t="shared" si="6"/>
        <v>-26.105</v>
      </c>
      <c r="T69">
        <f t="shared" si="7"/>
        <v>30.849</v>
      </c>
      <c r="U69">
        <f t="shared" si="8"/>
        <v>-30.26</v>
      </c>
      <c r="V69">
        <f t="shared" si="9"/>
        <v>-30.140999999999998</v>
      </c>
      <c r="X69">
        <f t="shared" si="10"/>
        <v>32.475999999999999</v>
      </c>
      <c r="Y69">
        <f t="shared" si="11"/>
        <v>-32.597000000000001</v>
      </c>
      <c r="Z69">
        <f t="shared" si="12"/>
        <v>-33.288000000000004</v>
      </c>
      <c r="AB69">
        <f t="shared" si="13"/>
        <v>35.42</v>
      </c>
      <c r="AC69">
        <f t="shared" si="14"/>
        <v>-29.242999999999999</v>
      </c>
      <c r="AD69">
        <f t="shared" si="15"/>
        <v>-29.442</v>
      </c>
    </row>
    <row r="70" spans="2:30" x14ac:dyDescent="0.25">
      <c r="B70">
        <v>176.98141045448108</v>
      </c>
      <c r="C70">
        <v>10</v>
      </c>
      <c r="D70" t="e">
        <v>#N/A</v>
      </c>
      <c r="F70">
        <v>75.641028015442586</v>
      </c>
      <c r="G70">
        <v>10</v>
      </c>
      <c r="H70" t="e">
        <v>#N/A</v>
      </c>
      <c r="L70">
        <f t="shared" si="1"/>
        <v>26.576000000000001</v>
      </c>
      <c r="M70">
        <f t="shared" si="2"/>
        <v>-27.404</v>
      </c>
      <c r="N70">
        <f t="shared" si="3"/>
        <v>-27.391999999999999</v>
      </c>
      <c r="P70">
        <f t="shared" si="4"/>
        <v>26.718</v>
      </c>
      <c r="Q70">
        <f t="shared" si="5"/>
        <v>-25.904</v>
      </c>
      <c r="R70">
        <f t="shared" si="6"/>
        <v>-25.908999999999999</v>
      </c>
      <c r="T70">
        <f t="shared" si="7"/>
        <v>29.803000000000001</v>
      </c>
      <c r="U70">
        <f t="shared" si="8"/>
        <v>-30.23</v>
      </c>
      <c r="V70">
        <f t="shared" si="9"/>
        <v>-30.075999999999997</v>
      </c>
      <c r="X70">
        <f t="shared" si="10"/>
        <v>31.649000000000001</v>
      </c>
      <c r="Y70">
        <f t="shared" si="11"/>
        <v>-32.613999999999997</v>
      </c>
      <c r="Z70">
        <f t="shared" si="12"/>
        <v>-33.219000000000001</v>
      </c>
      <c r="AB70">
        <f t="shared" si="13"/>
        <v>34.518000000000001</v>
      </c>
      <c r="AC70">
        <f t="shared" si="14"/>
        <v>-29.209</v>
      </c>
      <c r="AD70">
        <f t="shared" si="15"/>
        <v>-29.362000000000002</v>
      </c>
    </row>
    <row r="71" spans="2:30" x14ac:dyDescent="0.25">
      <c r="B71">
        <v>0.15100315682295623</v>
      </c>
      <c r="C71">
        <v>4.266073946274534E-3</v>
      </c>
      <c r="D71" t="e">
        <v>#N/A</v>
      </c>
      <c r="F71">
        <v>0.68363387438914813</v>
      </c>
      <c r="G71">
        <v>4.5189356380083839E-2</v>
      </c>
      <c r="H71" t="e">
        <v>#N/A</v>
      </c>
      <c r="L71">
        <f t="shared" si="1"/>
        <v>25.488</v>
      </c>
      <c r="M71">
        <f t="shared" si="2"/>
        <v>-27.370999999999999</v>
      </c>
      <c r="N71">
        <f t="shared" si="3"/>
        <v>-27.277000000000001</v>
      </c>
      <c r="P71">
        <f t="shared" si="4"/>
        <v>26.047000000000001</v>
      </c>
      <c r="Q71">
        <f t="shared" si="5"/>
        <v>-25.847000000000001</v>
      </c>
      <c r="R71">
        <f t="shared" si="6"/>
        <v>-25.843</v>
      </c>
      <c r="T71">
        <f t="shared" si="7"/>
        <v>29.184000000000001</v>
      </c>
      <c r="U71">
        <f t="shared" si="8"/>
        <v>-30.186</v>
      </c>
      <c r="V71">
        <f t="shared" si="9"/>
        <v>-30.064999999999998</v>
      </c>
      <c r="X71">
        <f t="shared" si="10"/>
        <v>30.942</v>
      </c>
      <c r="Y71">
        <f t="shared" si="11"/>
        <v>-32.613999999999997</v>
      </c>
      <c r="Z71">
        <f t="shared" si="12"/>
        <v>-33.115000000000002</v>
      </c>
      <c r="AB71">
        <f t="shared" si="13"/>
        <v>33.963000000000001</v>
      </c>
      <c r="AC71">
        <f t="shared" si="14"/>
        <v>-29.157</v>
      </c>
      <c r="AD71">
        <f t="shared" si="15"/>
        <v>-29.265000000000001</v>
      </c>
    </row>
    <row r="72" spans="2:30" x14ac:dyDescent="0.25">
      <c r="L72">
        <f t="shared" si="1"/>
        <v>24.545999999999999</v>
      </c>
      <c r="M72">
        <f t="shared" si="2"/>
        <v>-27.29</v>
      </c>
      <c r="N72">
        <f t="shared" si="3"/>
        <v>-27.096</v>
      </c>
      <c r="P72">
        <f t="shared" si="4"/>
        <v>25.460999999999999</v>
      </c>
      <c r="Q72">
        <f t="shared" si="5"/>
        <v>-25.760999999999999</v>
      </c>
      <c r="R72">
        <f t="shared" si="6"/>
        <v>-25.733999999999998</v>
      </c>
      <c r="T72">
        <f t="shared" si="7"/>
        <v>28.183</v>
      </c>
      <c r="U72">
        <f t="shared" si="8"/>
        <v>-30.082999999999998</v>
      </c>
      <c r="V72">
        <f t="shared" si="9"/>
        <v>-29.999999999999996</v>
      </c>
      <c r="X72">
        <f t="shared" si="10"/>
        <v>30.253</v>
      </c>
      <c r="Y72">
        <f t="shared" si="11"/>
        <v>-32.51</v>
      </c>
      <c r="Z72">
        <f t="shared" si="12"/>
        <v>-32.873000000000005</v>
      </c>
      <c r="AB72">
        <f t="shared" si="13"/>
        <v>33.286000000000001</v>
      </c>
      <c r="AC72">
        <f t="shared" si="14"/>
        <v>-29.105</v>
      </c>
      <c r="AD72">
        <f t="shared" si="15"/>
        <v>-29.247</v>
      </c>
    </row>
    <row r="74" spans="2:30" x14ac:dyDescent="0.25">
      <c r="B74" t="s">
        <v>102</v>
      </c>
      <c r="C74" t="s">
        <v>101</v>
      </c>
    </row>
    <row r="75" spans="2:30" x14ac:dyDescent="0.25">
      <c r="B75">
        <f>-C67/(2*B67)</f>
        <v>29.068691118324466</v>
      </c>
      <c r="C75" t="e">
        <f>B75*(((C63/C62)^2)+(((B63*2)/(B62*2))^2))^0.5</f>
        <v>#DIV/0!</v>
      </c>
      <c r="D75" s="24" t="e">
        <f>C75/B75</f>
        <v>#DIV/0!</v>
      </c>
      <c r="L75" t="s">
        <v>205</v>
      </c>
    </row>
    <row r="76" spans="2:30" x14ac:dyDescent="0.25">
      <c r="B76">
        <f>-G67/(2*F67)</f>
        <v>29.578228317662973</v>
      </c>
      <c r="C76">
        <f>B76*(((C69/C68)^2)+(((B69*2)/(B68*2))^2))^0.5</f>
        <v>28743.079271365077</v>
      </c>
      <c r="D76" s="24">
        <f>C76/B76</f>
        <v>971.76473731527801</v>
      </c>
      <c r="L76" t="s">
        <v>202</v>
      </c>
      <c r="M76" t="s">
        <v>203</v>
      </c>
      <c r="N76" t="s">
        <v>199</v>
      </c>
      <c r="P76" t="s">
        <v>202</v>
      </c>
      <c r="Q76" t="s">
        <v>203</v>
      </c>
      <c r="R76" t="s">
        <v>199</v>
      </c>
      <c r="T76" t="s">
        <v>202</v>
      </c>
      <c r="U76" t="s">
        <v>203</v>
      </c>
      <c r="V76" t="s">
        <v>199</v>
      </c>
      <c r="X76" t="s">
        <v>202</v>
      </c>
      <c r="Y76" t="s">
        <v>203</v>
      </c>
      <c r="Z76" t="s">
        <v>199</v>
      </c>
      <c r="AB76" t="s">
        <v>202</v>
      </c>
      <c r="AC76" t="s">
        <v>203</v>
      </c>
      <c r="AD76" t="s">
        <v>199</v>
      </c>
    </row>
    <row r="77" spans="2:30" x14ac:dyDescent="0.25">
      <c r="K77" t="s">
        <v>206</v>
      </c>
      <c r="L77" cm="1">
        <f t="array" ref="L77">(PI()*((MAX(ABS(M60:M72))-MIN(ABS(M60:M72)))*0.001)*(((L60-L72)/2)*0.001)^2)-(PI()*((MAX(ABS(M60:M72))-MIN(ABS(M60:M72)))*0.001)*(((L60-L72)/2)*0.001)^2/2)</f>
        <v>4.8707470265463247E-8</v>
      </c>
      <c r="M77" cm="1">
        <f t="array" ref="M77">(PI()*((MAX(ABS(M60:M72))-MIN(ABS(M60:M72)))*0.001)*(((L60-L72)/2)*0.001)^2)-(PI()*((MAX(ABS(N60:N72))-MIN(ABS(N60:N72)))*0.001)*(((L60-L72)/2)*0.001)^2/2)</f>
        <v>4.8091894021981667E-8</v>
      </c>
      <c r="N77">
        <f>L77-M77</f>
        <v>6.155762434815803E-10</v>
      </c>
      <c r="P77" cm="1">
        <f t="array" ref="P77">(PI()*((MAX(ABS(Q60:Q72))-MIN(ABS(Q60:Q72)))*0.001)*(((P60-P72)/2)*0.001)^2)-(PI()*((MAX(ABS(Q60:Q72))-MIN(ABS(Q60:Q72)))*0.001)*(((P60-P72)/2)*0.001)^2/2)</f>
        <v>1.0085748051181672E-8</v>
      </c>
      <c r="Q77" cm="1">
        <f t="array" ref="Q77">(PI()*((MAX(ABS(Q60:Q72))-MIN(ABS(Q60:Q72)))*0.001)*(((P60-P72)/2)*0.001)^2)-(PI()*((MAX(ABS(R60:R72))-MIN(ABS(R60:R72)))*0.001)*(((P60-P72)/2)*0.001)^2/2)</f>
        <v>7.8386642884843278E-10</v>
      </c>
      <c r="R77">
        <f>P77-Q77</f>
        <v>9.3018816223332394E-9</v>
      </c>
      <c r="T77" cm="1">
        <f t="array" ref="T77">(PI()*((MAX(ABS(U60:U72))-MIN(ABS(U60:U72)))*0.001)*(((T60-T72)/2)*0.001)^2)-(PI()*((MAX(ABS(U60:U72))-MIN(ABS(U60:U72)))*0.001)*(((T60-T72)/2)*0.001)^2/2)</f>
        <v>1.6169252266102327E-8</v>
      </c>
      <c r="U77" cm="1">
        <f t="array" ref="U77">(PI()*((MAX(ABS(U60:U72))-MIN(ABS(U60:U72)))*0.001)*(((T60-T72)/2)*0.001)^2)-(PI()*((MAX(ABS(V60:V72))-MIN(ABS(V60:V72)))*0.001)*(((T60-T72)/2)*0.001)^2/2)</f>
        <v>2.1016774575255851E-8</v>
      </c>
      <c r="V77">
        <f>T77-U77</f>
        <v>-4.8475223091535241E-9</v>
      </c>
      <c r="X77" cm="1">
        <f t="array" ref="X77">(PI()*((MAX(ABS(Y60:Y72))-MIN(ABS(Y60:Y72)))*0.001)*(((X60-X72)/2)*0.001)^2)-(PI()*((MAX(ABS(Y60:Y72))-MIN(ABS(Y60:Y72)))*0.001)*(((X60-X72)/2)*0.001)^2/2)</f>
        <v>1.4444918560729769E-8</v>
      </c>
      <c r="Y77" cm="1">
        <f t="array" ref="Y77">(PI()*((MAX(ABS(Y60:Y72))-MIN(ABS(Y60:Y72)))*0.001)*(((X60-X72)/2)*0.001)^2)-(PI()*((MAX(ABS(Z60:Z72))-MIN(ABS(Z60:Z72)))*0.001)*(((X60-X72)/2)*0.001)^2/2)</f>
        <v>-1.9783258028825496E-8</v>
      </c>
      <c r="Z77">
        <f>X77-Y77</f>
        <v>3.4228176589555264E-8</v>
      </c>
      <c r="AB77" cm="1">
        <f t="array" ref="AB77">(PI()*((MAX(ABS(AC60:AC72))-MIN(ABS(AC60:AC72)))*0.001)*(((AB60-AB72)/2)*0.001)^2)-(PI()*((MAX(ABS(AC60:AC72))-MIN(ABS(AC60:AC72)))*0.001)*(((AB60-AB72)/2)*0.001)^2/2)</f>
        <v>9.6989238039009989E-9</v>
      </c>
      <c r="AC77" cm="1">
        <f t="array" ref="AC77">(PI()*((MAX(ABS(AC60:AC72))-MIN(ABS(AC60:AC72)))*0.001)*(((AB60-AB72)/2)*0.001)^2)-(PI()*((MAX(ABS(AD60:AD72))-MIN(ABS(AD60:AD72)))*0.001)*(((AB60-AB72)/2)*0.001)^2/2)</f>
        <v>3.2536325859730939E-9</v>
      </c>
      <c r="AD77">
        <f>AB77-AC77</f>
        <v>6.445291217927905E-9</v>
      </c>
    </row>
    <row r="78" spans="2:30" x14ac:dyDescent="0.25">
      <c r="B78">
        <f>B76-B75</f>
        <v>0.5095371993385065</v>
      </c>
    </row>
    <row r="79" spans="2:30" x14ac:dyDescent="0.25">
      <c r="L79" t="s">
        <v>207</v>
      </c>
    </row>
    <row r="80" spans="2:30" x14ac:dyDescent="0.25">
      <c r="B80">
        <f>H57-H43</f>
        <v>0.43199999999999861</v>
      </c>
      <c r="K80" t="s">
        <v>206</v>
      </c>
      <c r="L80">
        <f>AVERAGE(N77,R77,V77,Z77,AD77)</f>
        <v>9.1486806728288925E-9</v>
      </c>
    </row>
    <row r="81" spans="11:12" x14ac:dyDescent="0.25">
      <c r="K81" t="s">
        <v>94</v>
      </c>
      <c r="L81">
        <f>_xlfn.STDEV.S(N77,R77,V77,Z77,AD77)</f>
        <v>1.5041779063893124E-8</v>
      </c>
    </row>
    <row r="82" spans="11:12" x14ac:dyDescent="0.25">
      <c r="K82" t="s">
        <v>208</v>
      </c>
      <c r="L82" s="24">
        <f>L81/L80</f>
        <v>1.6441473477773061</v>
      </c>
    </row>
    <row r="83" spans="11:12" x14ac:dyDescent="0.25">
      <c r="K83" t="s">
        <v>81</v>
      </c>
    </row>
    <row r="84" spans="11:12" x14ac:dyDescent="0.25">
      <c r="K84" t="s">
        <v>209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619D1-8C09-4F71-A426-19327802312A}">
  <dimension ref="B2:AJ80"/>
  <sheetViews>
    <sheetView topLeftCell="H7" zoomScale="85" zoomScaleNormal="85" workbookViewId="0">
      <selection activeCell="AF25" sqref="AF25"/>
    </sheetView>
  </sheetViews>
  <sheetFormatPr defaultRowHeight="15" x14ac:dyDescent="0.25"/>
  <cols>
    <col min="12" max="26" width="9.140625" customWidth="1"/>
    <col min="28" max="30" width="9.140625" customWidth="1"/>
  </cols>
  <sheetData>
    <row r="2" spans="2:36" x14ac:dyDescent="0.25">
      <c r="B2" t="s">
        <v>114</v>
      </c>
      <c r="K2" t="s">
        <v>115</v>
      </c>
    </row>
    <row r="3" spans="2:36" x14ac:dyDescent="0.25">
      <c r="K3">
        <v>8</v>
      </c>
    </row>
    <row r="4" spans="2:36" x14ac:dyDescent="0.25">
      <c r="C4" s="20"/>
      <c r="D4" s="20" t="s">
        <v>83</v>
      </c>
      <c r="E4" s="20" t="s">
        <v>84</v>
      </c>
      <c r="F4" s="20" t="s">
        <v>82</v>
      </c>
      <c r="G4" s="19" t="s">
        <v>85</v>
      </c>
      <c r="H4" s="19" t="s">
        <v>10</v>
      </c>
      <c r="I4" s="20"/>
      <c r="L4">
        <v>1</v>
      </c>
      <c r="P4">
        <v>2</v>
      </c>
      <c r="T4">
        <v>3</v>
      </c>
      <c r="X4">
        <v>4</v>
      </c>
      <c r="AB4">
        <v>5</v>
      </c>
    </row>
    <row r="5" spans="2:36" x14ac:dyDescent="0.25">
      <c r="B5" t="s">
        <v>64</v>
      </c>
      <c r="C5" s="20" t="s">
        <v>60</v>
      </c>
      <c r="D5" t="s">
        <v>86</v>
      </c>
      <c r="E5" t="s">
        <v>87</v>
      </c>
      <c r="F5" t="s">
        <v>88</v>
      </c>
      <c r="G5" t="s">
        <v>89</v>
      </c>
      <c r="H5" s="19"/>
      <c r="I5" s="20"/>
      <c r="L5" t="s">
        <v>104</v>
      </c>
      <c r="N5" t="s">
        <v>105</v>
      </c>
      <c r="P5" t="s">
        <v>104</v>
      </c>
      <c r="R5" t="s">
        <v>105</v>
      </c>
      <c r="T5" t="s">
        <v>104</v>
      </c>
      <c r="V5" t="s">
        <v>105</v>
      </c>
      <c r="X5" t="s">
        <v>104</v>
      </c>
      <c r="Z5" t="s">
        <v>105</v>
      </c>
      <c r="AB5" t="s">
        <v>104</v>
      </c>
      <c r="AD5" t="s">
        <v>105</v>
      </c>
    </row>
    <row r="6" spans="2:36" x14ac:dyDescent="0.25">
      <c r="B6" s="18">
        <v>8</v>
      </c>
      <c r="C6">
        <v>1</v>
      </c>
      <c r="D6">
        <v>-7.6820000000000004</v>
      </c>
      <c r="E6">
        <v>4.58</v>
      </c>
      <c r="L6" t="s">
        <v>96</v>
      </c>
      <c r="M6" t="s">
        <v>97</v>
      </c>
      <c r="N6" t="s">
        <v>96</v>
      </c>
      <c r="O6" t="s">
        <v>97</v>
      </c>
      <c r="P6" t="s">
        <v>96</v>
      </c>
      <c r="Q6" t="s">
        <v>97</v>
      </c>
      <c r="R6" t="s">
        <v>96</v>
      </c>
      <c r="S6" t="s">
        <v>97</v>
      </c>
      <c r="T6" t="s">
        <v>96</v>
      </c>
      <c r="U6" t="s">
        <v>97</v>
      </c>
      <c r="V6" t="s">
        <v>96</v>
      </c>
      <c r="W6" t="s">
        <v>97</v>
      </c>
      <c r="X6" t="s">
        <v>96</v>
      </c>
      <c r="Y6" t="s">
        <v>97</v>
      </c>
      <c r="Z6" t="s">
        <v>96</v>
      </c>
      <c r="AA6" t="s">
        <v>97</v>
      </c>
      <c r="AB6" t="s">
        <v>96</v>
      </c>
      <c r="AC6" t="s">
        <v>97</v>
      </c>
      <c r="AD6" t="s">
        <v>96</v>
      </c>
      <c r="AE6" t="s">
        <v>97</v>
      </c>
    </row>
    <row r="7" spans="2:36" x14ac:dyDescent="0.25">
      <c r="D7">
        <v>-7.9109999999999996</v>
      </c>
      <c r="E7">
        <v>4.4429999999999996</v>
      </c>
      <c r="K7">
        <v>1</v>
      </c>
      <c r="L7">
        <v>37.615000000000002</v>
      </c>
      <c r="M7">
        <v>27.623000000000001</v>
      </c>
      <c r="N7">
        <v>37.746000000000002</v>
      </c>
      <c r="O7">
        <v>28.038</v>
      </c>
      <c r="P7">
        <v>40.371000000000002</v>
      </c>
      <c r="Q7">
        <v>27.047000000000001</v>
      </c>
      <c r="R7">
        <v>42.066000000000003</v>
      </c>
      <c r="S7">
        <v>26.818000000000001</v>
      </c>
      <c r="T7">
        <v>44.417999999999999</v>
      </c>
      <c r="U7">
        <v>31.919</v>
      </c>
      <c r="V7">
        <v>45.399000000000001</v>
      </c>
      <c r="W7">
        <v>32.500999999999998</v>
      </c>
      <c r="X7">
        <v>42.151000000000003</v>
      </c>
      <c r="Y7">
        <v>27.442</v>
      </c>
      <c r="Z7">
        <v>41.008000000000003</v>
      </c>
      <c r="AA7">
        <v>28.541</v>
      </c>
      <c r="AB7">
        <v>41.514000000000003</v>
      </c>
      <c r="AC7">
        <v>27.521999999999998</v>
      </c>
      <c r="AD7">
        <v>42.715000000000003</v>
      </c>
      <c r="AE7">
        <v>27.600999999999999</v>
      </c>
      <c r="AG7">
        <f>L7</f>
        <v>37.615000000000002</v>
      </c>
      <c r="AH7">
        <f>-M7</f>
        <v>-27.623000000000001</v>
      </c>
      <c r="AI7">
        <f>N7</f>
        <v>37.746000000000002</v>
      </c>
      <c r="AJ7">
        <f>-O7</f>
        <v>-28.038</v>
      </c>
    </row>
    <row r="8" spans="2:36" x14ac:dyDescent="0.25">
      <c r="D8">
        <v>-8.19</v>
      </c>
      <c r="E8">
        <v>4.3810000000000002</v>
      </c>
      <c r="K8">
        <v>2</v>
      </c>
      <c r="L8">
        <v>36.582999999999998</v>
      </c>
      <c r="M8">
        <v>27.771000000000001</v>
      </c>
      <c r="N8">
        <v>36.537999999999997</v>
      </c>
      <c r="O8">
        <v>28.225000000000001</v>
      </c>
      <c r="P8">
        <v>39.609000000000002</v>
      </c>
      <c r="Q8">
        <v>27.096</v>
      </c>
      <c r="R8">
        <v>40.393999999999998</v>
      </c>
      <c r="S8">
        <v>27.224</v>
      </c>
      <c r="T8">
        <v>43.212000000000003</v>
      </c>
      <c r="U8">
        <v>32.024999999999999</v>
      </c>
      <c r="V8">
        <v>44.395000000000003</v>
      </c>
      <c r="W8">
        <v>32.578000000000003</v>
      </c>
      <c r="X8">
        <v>41.094000000000001</v>
      </c>
      <c r="Y8">
        <v>28.172000000000001</v>
      </c>
      <c r="Z8">
        <v>40.241</v>
      </c>
      <c r="AA8">
        <v>28.725000000000001</v>
      </c>
      <c r="AB8">
        <v>39.92</v>
      </c>
      <c r="AC8">
        <v>27.69</v>
      </c>
      <c r="AD8">
        <v>41.567999999999998</v>
      </c>
      <c r="AE8">
        <v>27.875</v>
      </c>
      <c r="AG8">
        <f t="shared" ref="AG8:AG19" si="0">L8</f>
        <v>36.582999999999998</v>
      </c>
      <c r="AH8">
        <f t="shared" ref="AH8:AH19" si="1">-M8</f>
        <v>-27.771000000000001</v>
      </c>
      <c r="AI8">
        <f t="shared" ref="AI8:AI19" si="2">N8</f>
        <v>36.537999999999997</v>
      </c>
      <c r="AJ8">
        <f t="shared" ref="AJ8:AJ19" si="3">-O8</f>
        <v>-28.225000000000001</v>
      </c>
    </row>
    <row r="9" spans="2:36" x14ac:dyDescent="0.25">
      <c r="D9">
        <v>-8.1739999999999995</v>
      </c>
      <c r="E9">
        <v>4.5179999999999998</v>
      </c>
      <c r="K9">
        <v>3</v>
      </c>
      <c r="L9">
        <v>35.534999999999997</v>
      </c>
      <c r="M9">
        <v>27.82</v>
      </c>
      <c r="N9">
        <v>35.616999999999997</v>
      </c>
      <c r="O9">
        <v>28.337</v>
      </c>
      <c r="P9">
        <v>38.883000000000003</v>
      </c>
      <c r="Q9">
        <v>27.167999999999999</v>
      </c>
      <c r="R9">
        <v>39.241</v>
      </c>
      <c r="S9">
        <v>27.434999999999999</v>
      </c>
      <c r="T9">
        <v>42.021000000000001</v>
      </c>
      <c r="U9">
        <v>32.130000000000003</v>
      </c>
      <c r="V9">
        <v>43.576000000000001</v>
      </c>
      <c r="W9">
        <v>32.670999999999999</v>
      </c>
      <c r="X9">
        <v>40.037999999999997</v>
      </c>
      <c r="Y9">
        <v>28.474</v>
      </c>
      <c r="Z9">
        <v>39.508000000000003</v>
      </c>
      <c r="AA9">
        <v>28.957999999999998</v>
      </c>
      <c r="AB9">
        <v>38.728999999999999</v>
      </c>
      <c r="AC9">
        <v>27.791</v>
      </c>
      <c r="AD9">
        <v>40.591999999999999</v>
      </c>
      <c r="AE9">
        <v>28.045999999999999</v>
      </c>
      <c r="AG9">
        <f t="shared" si="0"/>
        <v>35.534999999999997</v>
      </c>
      <c r="AH9">
        <f t="shared" si="1"/>
        <v>-27.82</v>
      </c>
      <c r="AI9">
        <f t="shared" si="2"/>
        <v>35.616999999999997</v>
      </c>
      <c r="AJ9">
        <f t="shared" si="3"/>
        <v>-28.337</v>
      </c>
    </row>
    <row r="10" spans="2:36" x14ac:dyDescent="0.25">
      <c r="D10">
        <v>-7.9279999999999999</v>
      </c>
      <c r="E10">
        <v>4.7290000000000001</v>
      </c>
      <c r="K10">
        <v>4</v>
      </c>
      <c r="L10">
        <v>34.798000000000002</v>
      </c>
      <c r="M10">
        <v>27.885999999999999</v>
      </c>
      <c r="N10">
        <v>35.033000000000001</v>
      </c>
      <c r="O10">
        <v>28.437000000000001</v>
      </c>
      <c r="P10">
        <v>37.768999999999998</v>
      </c>
      <c r="Q10">
        <v>27.277000000000001</v>
      </c>
      <c r="R10">
        <v>38.332000000000001</v>
      </c>
      <c r="S10">
        <v>27.646000000000001</v>
      </c>
      <c r="T10">
        <v>41.417999999999999</v>
      </c>
      <c r="U10">
        <v>32.19</v>
      </c>
      <c r="V10">
        <v>42.927999999999997</v>
      </c>
      <c r="W10">
        <v>32.732999999999997</v>
      </c>
      <c r="X10">
        <v>39.119</v>
      </c>
      <c r="Y10">
        <v>28.6</v>
      </c>
      <c r="Z10">
        <v>38.875</v>
      </c>
      <c r="AA10">
        <v>29.074999999999999</v>
      </c>
      <c r="AB10">
        <v>37.521000000000001</v>
      </c>
      <c r="AC10">
        <v>27.975000000000001</v>
      </c>
      <c r="AD10">
        <v>39.548000000000002</v>
      </c>
      <c r="AE10">
        <v>28.216999999999999</v>
      </c>
      <c r="AG10">
        <f t="shared" si="0"/>
        <v>34.798000000000002</v>
      </c>
      <c r="AH10">
        <f t="shared" si="1"/>
        <v>-27.885999999999999</v>
      </c>
      <c r="AI10">
        <f t="shared" si="2"/>
        <v>35.033000000000001</v>
      </c>
      <c r="AJ10">
        <f t="shared" si="3"/>
        <v>-28.437000000000001</v>
      </c>
    </row>
    <row r="11" spans="2:36" x14ac:dyDescent="0.25">
      <c r="D11">
        <f>AVERAGE(D6:D10)</f>
        <v>-7.9769999999999994</v>
      </c>
      <c r="E11">
        <f>AVERAGE(E6:E10)</f>
        <v>4.5301999999999998</v>
      </c>
      <c r="K11">
        <v>5</v>
      </c>
      <c r="L11">
        <v>34.011000000000003</v>
      </c>
      <c r="M11">
        <v>27.951000000000001</v>
      </c>
      <c r="N11">
        <v>34.311</v>
      </c>
      <c r="O11">
        <v>28.574000000000002</v>
      </c>
      <c r="P11">
        <v>36.777000000000001</v>
      </c>
      <c r="Q11">
        <v>27.35</v>
      </c>
      <c r="R11">
        <v>37.231000000000002</v>
      </c>
      <c r="S11">
        <v>27.829000000000001</v>
      </c>
      <c r="T11">
        <v>40.768999999999998</v>
      </c>
      <c r="U11">
        <v>32.250999999999998</v>
      </c>
      <c r="V11">
        <v>42.262999999999998</v>
      </c>
      <c r="W11">
        <v>32.825000000000003</v>
      </c>
      <c r="X11">
        <v>38.188000000000002</v>
      </c>
      <c r="Y11">
        <v>28.701000000000001</v>
      </c>
      <c r="Z11">
        <v>38.107999999999997</v>
      </c>
      <c r="AA11">
        <v>29.207999999999998</v>
      </c>
      <c r="AB11">
        <v>36.463999999999999</v>
      </c>
      <c r="AC11">
        <v>28.093</v>
      </c>
      <c r="AD11">
        <v>38.298999999999999</v>
      </c>
      <c r="AE11">
        <v>28.439</v>
      </c>
      <c r="AG11">
        <f t="shared" si="0"/>
        <v>34.011000000000003</v>
      </c>
      <c r="AH11">
        <f t="shared" si="1"/>
        <v>-27.951000000000001</v>
      </c>
      <c r="AI11">
        <f t="shared" si="2"/>
        <v>34.311</v>
      </c>
      <c r="AJ11">
        <f t="shared" si="3"/>
        <v>-28.574000000000002</v>
      </c>
    </row>
    <row r="12" spans="2:36" x14ac:dyDescent="0.25">
      <c r="B12" s="18">
        <v>8</v>
      </c>
      <c r="C12">
        <v>2</v>
      </c>
      <c r="D12">
        <v>-7.391</v>
      </c>
      <c r="E12">
        <v>4.1440000000000001</v>
      </c>
      <c r="K12">
        <v>6</v>
      </c>
      <c r="L12">
        <v>33.274000000000001</v>
      </c>
      <c r="M12">
        <v>28.016999999999999</v>
      </c>
      <c r="N12">
        <v>33.414999999999999</v>
      </c>
      <c r="O12">
        <v>28.698</v>
      </c>
      <c r="P12">
        <v>35.856999999999999</v>
      </c>
      <c r="Q12">
        <v>27.434000000000001</v>
      </c>
      <c r="R12">
        <v>36.244999999999997</v>
      </c>
      <c r="S12">
        <v>28</v>
      </c>
      <c r="T12">
        <v>40.151000000000003</v>
      </c>
      <c r="U12">
        <v>32.280999999999999</v>
      </c>
      <c r="V12">
        <v>41.198</v>
      </c>
      <c r="W12">
        <v>32.917999999999999</v>
      </c>
      <c r="X12">
        <v>37.295000000000002</v>
      </c>
      <c r="Y12">
        <v>28.763999999999999</v>
      </c>
      <c r="Z12">
        <v>37.125</v>
      </c>
      <c r="AA12">
        <v>29.390999999999998</v>
      </c>
      <c r="AB12">
        <v>35.524999999999999</v>
      </c>
      <c r="AC12">
        <v>28.143000000000001</v>
      </c>
      <c r="AD12">
        <v>36.758000000000003</v>
      </c>
      <c r="AE12">
        <v>28.611000000000001</v>
      </c>
      <c r="AG12">
        <f t="shared" si="0"/>
        <v>33.274000000000001</v>
      </c>
      <c r="AH12">
        <f t="shared" si="1"/>
        <v>-28.016999999999999</v>
      </c>
      <c r="AI12">
        <f t="shared" si="2"/>
        <v>33.414999999999999</v>
      </c>
      <c r="AJ12">
        <f t="shared" si="3"/>
        <v>-28.698</v>
      </c>
    </row>
    <row r="13" spans="2:36" x14ac:dyDescent="0.25">
      <c r="D13">
        <v>-7.6970000000000001</v>
      </c>
      <c r="E13">
        <v>3.9460000000000002</v>
      </c>
      <c r="K13" s="26">
        <v>7</v>
      </c>
      <c r="L13" s="26">
        <v>32.225999999999999</v>
      </c>
      <c r="M13" s="26">
        <v>28.11</v>
      </c>
      <c r="N13" s="26">
        <v>32.567999999999998</v>
      </c>
      <c r="O13" s="26">
        <v>28.728000000000002</v>
      </c>
      <c r="P13">
        <v>35.021999999999998</v>
      </c>
      <c r="Q13">
        <v>27.434000000000001</v>
      </c>
      <c r="R13">
        <v>35.258000000000003</v>
      </c>
      <c r="S13">
        <v>28.073</v>
      </c>
      <c r="T13" s="26">
        <v>39.170999999999999</v>
      </c>
      <c r="U13" s="26">
        <v>32.386000000000003</v>
      </c>
      <c r="V13" s="26">
        <v>40.24</v>
      </c>
      <c r="W13" s="26">
        <v>32.994999999999997</v>
      </c>
      <c r="X13" s="26">
        <v>36.287999999999997</v>
      </c>
      <c r="Y13" s="26">
        <v>28.838999999999999</v>
      </c>
      <c r="Z13" s="26">
        <v>36.107999999999997</v>
      </c>
      <c r="AA13" s="26">
        <v>29.440999999999999</v>
      </c>
      <c r="AB13" s="26">
        <v>34.534999999999997</v>
      </c>
      <c r="AC13" s="26">
        <v>28.193000000000001</v>
      </c>
      <c r="AD13" s="26">
        <v>35.252000000000002</v>
      </c>
      <c r="AE13" s="26">
        <v>28.765000000000001</v>
      </c>
      <c r="AG13">
        <f t="shared" si="0"/>
        <v>32.225999999999999</v>
      </c>
      <c r="AH13">
        <f t="shared" si="1"/>
        <v>-28.11</v>
      </c>
      <c r="AI13">
        <f t="shared" si="2"/>
        <v>32.567999999999998</v>
      </c>
      <c r="AJ13">
        <f t="shared" si="3"/>
        <v>-28.728000000000002</v>
      </c>
    </row>
    <row r="14" spans="2:36" x14ac:dyDescent="0.25">
      <c r="D14">
        <v>-8.1809999999999992</v>
      </c>
      <c r="E14">
        <v>3.9350000000000001</v>
      </c>
      <c r="K14">
        <v>8</v>
      </c>
      <c r="L14">
        <v>31.603999999999999</v>
      </c>
      <c r="M14">
        <v>28.048999999999999</v>
      </c>
      <c r="N14">
        <v>31.995999999999999</v>
      </c>
      <c r="O14">
        <v>28.797999999999998</v>
      </c>
      <c r="P14">
        <v>34.186999999999998</v>
      </c>
      <c r="Q14">
        <v>27.422000000000001</v>
      </c>
      <c r="R14">
        <v>34.198999999999998</v>
      </c>
      <c r="S14">
        <v>28.012</v>
      </c>
      <c r="T14">
        <v>38.252000000000002</v>
      </c>
      <c r="U14">
        <v>32.326000000000001</v>
      </c>
      <c r="V14">
        <v>39.298000000000002</v>
      </c>
      <c r="W14">
        <v>32.933</v>
      </c>
      <c r="X14">
        <v>35.381999999999998</v>
      </c>
      <c r="Y14">
        <v>28.827000000000002</v>
      </c>
      <c r="Z14">
        <v>35.225000000000001</v>
      </c>
      <c r="AA14">
        <v>29.408000000000001</v>
      </c>
      <c r="AB14">
        <v>33.561999999999998</v>
      </c>
      <c r="AC14">
        <v>28.143000000000001</v>
      </c>
      <c r="AD14">
        <v>33.814</v>
      </c>
      <c r="AE14">
        <v>28.696000000000002</v>
      </c>
      <c r="AG14">
        <f t="shared" si="0"/>
        <v>31.603999999999999</v>
      </c>
      <c r="AH14">
        <f t="shared" si="1"/>
        <v>-28.048999999999999</v>
      </c>
      <c r="AI14">
        <f t="shared" si="2"/>
        <v>31.995999999999999</v>
      </c>
      <c r="AJ14">
        <f t="shared" si="3"/>
        <v>-28.797999999999998</v>
      </c>
    </row>
    <row r="15" spans="2:36" x14ac:dyDescent="0.25">
      <c r="D15">
        <v>-8.0869999999999997</v>
      </c>
      <c r="E15">
        <v>4.0069999999999997</v>
      </c>
      <c r="K15">
        <v>9</v>
      </c>
      <c r="L15">
        <v>30.899000000000001</v>
      </c>
      <c r="M15">
        <v>27.984000000000002</v>
      </c>
      <c r="N15">
        <v>31.448</v>
      </c>
      <c r="O15">
        <v>28.748000000000001</v>
      </c>
      <c r="P15">
        <v>33.51</v>
      </c>
      <c r="Q15">
        <v>27.41</v>
      </c>
      <c r="R15">
        <v>32.908000000000001</v>
      </c>
      <c r="S15">
        <v>27.873999999999999</v>
      </c>
      <c r="T15">
        <v>37.165999999999997</v>
      </c>
      <c r="U15">
        <v>32.265999999999998</v>
      </c>
      <c r="V15">
        <v>38.601999999999997</v>
      </c>
      <c r="W15">
        <v>32.902000000000001</v>
      </c>
      <c r="X15">
        <v>34.64</v>
      </c>
      <c r="Y15">
        <v>28.789000000000001</v>
      </c>
      <c r="Z15">
        <v>34.540999999999997</v>
      </c>
      <c r="AA15">
        <v>29.324999999999999</v>
      </c>
      <c r="AB15">
        <v>32.673000000000002</v>
      </c>
      <c r="AC15">
        <v>28.076000000000001</v>
      </c>
      <c r="AD15">
        <v>32.478999999999999</v>
      </c>
      <c r="AE15">
        <v>28.593</v>
      </c>
      <c r="AG15">
        <f t="shared" si="0"/>
        <v>30.899000000000001</v>
      </c>
      <c r="AH15">
        <f t="shared" si="1"/>
        <v>-27.984000000000002</v>
      </c>
      <c r="AI15">
        <f t="shared" si="2"/>
        <v>31.448</v>
      </c>
      <c r="AJ15">
        <f t="shared" si="3"/>
        <v>-28.748000000000001</v>
      </c>
    </row>
    <row r="16" spans="2:36" x14ac:dyDescent="0.25">
      <c r="D16">
        <v>-8.0030000000000001</v>
      </c>
      <c r="E16">
        <v>4.1900000000000004</v>
      </c>
      <c r="K16">
        <v>10</v>
      </c>
      <c r="L16">
        <v>30.08</v>
      </c>
      <c r="M16">
        <v>27.984000000000002</v>
      </c>
      <c r="N16">
        <v>30.751000000000001</v>
      </c>
      <c r="O16">
        <v>28.635999999999999</v>
      </c>
      <c r="P16">
        <v>32.880000000000003</v>
      </c>
      <c r="Q16">
        <v>27.373999999999999</v>
      </c>
      <c r="R16">
        <v>31.544</v>
      </c>
      <c r="S16">
        <v>27.678999999999998</v>
      </c>
      <c r="T16">
        <v>35.99</v>
      </c>
      <c r="U16">
        <v>32.220999999999997</v>
      </c>
      <c r="V16">
        <v>37.923000000000002</v>
      </c>
      <c r="W16">
        <v>32.887</v>
      </c>
      <c r="X16">
        <v>33.872</v>
      </c>
      <c r="Y16">
        <v>28.751000000000001</v>
      </c>
      <c r="Z16">
        <v>33.825000000000003</v>
      </c>
      <c r="AA16">
        <v>29.241</v>
      </c>
      <c r="AB16">
        <v>31.8</v>
      </c>
      <c r="AC16">
        <v>27.975000000000001</v>
      </c>
      <c r="AD16">
        <v>31.417999999999999</v>
      </c>
      <c r="AE16">
        <v>28.439</v>
      </c>
      <c r="AG16">
        <f t="shared" si="0"/>
        <v>30.08</v>
      </c>
      <c r="AH16">
        <f t="shared" si="1"/>
        <v>-27.984000000000002</v>
      </c>
      <c r="AI16">
        <f t="shared" si="2"/>
        <v>30.751000000000001</v>
      </c>
      <c r="AJ16">
        <f t="shared" si="3"/>
        <v>-28.635999999999999</v>
      </c>
    </row>
    <row r="17" spans="2:36" x14ac:dyDescent="0.25">
      <c r="D17">
        <f>AVERAGE(D12:D16)</f>
        <v>-7.8717999999999986</v>
      </c>
      <c r="E17">
        <f>AVERAGE(E12:E16)</f>
        <v>4.0444000000000004</v>
      </c>
      <c r="K17">
        <v>11</v>
      </c>
      <c r="L17">
        <v>29.047999999999998</v>
      </c>
      <c r="M17">
        <v>27.934999999999999</v>
      </c>
      <c r="N17">
        <v>29.806000000000001</v>
      </c>
      <c r="O17">
        <v>28.510999999999999</v>
      </c>
      <c r="P17">
        <v>31.948</v>
      </c>
      <c r="Q17">
        <v>27.326000000000001</v>
      </c>
      <c r="R17">
        <v>30.456</v>
      </c>
      <c r="S17">
        <v>27.548999999999999</v>
      </c>
      <c r="T17">
        <v>35.01</v>
      </c>
      <c r="U17">
        <v>32.19</v>
      </c>
      <c r="V17">
        <v>36.826000000000001</v>
      </c>
      <c r="W17">
        <v>32.887</v>
      </c>
      <c r="X17">
        <v>32.966000000000001</v>
      </c>
      <c r="Y17">
        <v>28.738</v>
      </c>
      <c r="Z17">
        <v>32.857999999999997</v>
      </c>
      <c r="AA17">
        <v>29.140999999999998</v>
      </c>
      <c r="AB17">
        <v>30.76</v>
      </c>
      <c r="AC17">
        <v>27.873999999999999</v>
      </c>
      <c r="AD17">
        <v>30.356999999999999</v>
      </c>
      <c r="AE17">
        <v>28.251000000000001</v>
      </c>
      <c r="AG17">
        <f t="shared" si="0"/>
        <v>29.047999999999998</v>
      </c>
      <c r="AH17">
        <f t="shared" si="1"/>
        <v>-27.934999999999999</v>
      </c>
      <c r="AI17">
        <f t="shared" si="2"/>
        <v>29.806000000000001</v>
      </c>
      <c r="AJ17">
        <f t="shared" si="3"/>
        <v>-28.510999999999999</v>
      </c>
    </row>
    <row r="18" spans="2:36" x14ac:dyDescent="0.25">
      <c r="B18" s="18">
        <v>8</v>
      </c>
      <c r="C18">
        <v>3</v>
      </c>
      <c r="D18">
        <v>-7.282</v>
      </c>
      <c r="E18">
        <v>4.2489999999999997</v>
      </c>
      <c r="K18">
        <v>12</v>
      </c>
      <c r="L18">
        <v>27.722000000000001</v>
      </c>
      <c r="M18">
        <v>27.951000000000001</v>
      </c>
      <c r="N18">
        <v>28.35</v>
      </c>
      <c r="O18">
        <v>28.423999999999999</v>
      </c>
      <c r="P18">
        <v>31.016999999999999</v>
      </c>
      <c r="Q18">
        <v>27.326000000000001</v>
      </c>
      <c r="R18">
        <v>29.481000000000002</v>
      </c>
      <c r="S18">
        <v>27.452000000000002</v>
      </c>
      <c r="T18">
        <v>33.878999999999998</v>
      </c>
      <c r="U18">
        <v>32.115000000000002</v>
      </c>
      <c r="V18">
        <v>35.667000000000002</v>
      </c>
      <c r="W18">
        <v>32.825000000000003</v>
      </c>
      <c r="X18">
        <v>31.695</v>
      </c>
      <c r="Y18">
        <v>28.524999999999999</v>
      </c>
      <c r="Z18">
        <v>31.791</v>
      </c>
      <c r="AA18">
        <v>28.975000000000001</v>
      </c>
      <c r="AB18">
        <v>29.451000000000001</v>
      </c>
      <c r="AC18">
        <v>27.824000000000002</v>
      </c>
      <c r="AD18">
        <v>29.277999999999999</v>
      </c>
      <c r="AE18">
        <v>28.097000000000001</v>
      </c>
      <c r="AG18">
        <f t="shared" si="0"/>
        <v>27.722000000000001</v>
      </c>
      <c r="AH18">
        <f t="shared" si="1"/>
        <v>-27.951000000000001</v>
      </c>
      <c r="AI18">
        <f t="shared" si="2"/>
        <v>28.35</v>
      </c>
      <c r="AJ18">
        <f t="shared" si="3"/>
        <v>-28.423999999999999</v>
      </c>
    </row>
    <row r="19" spans="2:36" x14ac:dyDescent="0.25">
      <c r="D19">
        <v>-7.6449999999999996</v>
      </c>
      <c r="E19">
        <v>4.0629999999999997</v>
      </c>
      <c r="K19">
        <v>13</v>
      </c>
      <c r="L19">
        <v>25.690999999999999</v>
      </c>
      <c r="M19">
        <v>27.722000000000001</v>
      </c>
      <c r="N19">
        <v>25.934999999999999</v>
      </c>
      <c r="O19">
        <v>28.038</v>
      </c>
      <c r="P19">
        <v>28.439</v>
      </c>
      <c r="Q19">
        <v>27.18</v>
      </c>
      <c r="R19">
        <v>28.605</v>
      </c>
      <c r="S19">
        <v>27.305</v>
      </c>
      <c r="T19">
        <v>32.869</v>
      </c>
      <c r="U19">
        <v>32.024999999999999</v>
      </c>
      <c r="V19">
        <v>33.505000000000003</v>
      </c>
      <c r="W19">
        <v>32.655000000000001</v>
      </c>
      <c r="X19">
        <v>30.210999999999999</v>
      </c>
      <c r="Y19">
        <v>27.693999999999999</v>
      </c>
      <c r="Z19">
        <v>29.507999999999999</v>
      </c>
      <c r="AA19">
        <v>28.640999999999998</v>
      </c>
      <c r="AB19">
        <v>28.059000000000001</v>
      </c>
      <c r="AC19">
        <v>27.757000000000001</v>
      </c>
      <c r="AD19">
        <v>28.234000000000002</v>
      </c>
      <c r="AE19">
        <v>27.908999999999999</v>
      </c>
      <c r="AG19">
        <f t="shared" si="0"/>
        <v>25.690999999999999</v>
      </c>
      <c r="AH19">
        <f t="shared" si="1"/>
        <v>-27.722000000000001</v>
      </c>
      <c r="AI19">
        <f t="shared" si="2"/>
        <v>25.934999999999999</v>
      </c>
      <c r="AJ19">
        <f t="shared" si="3"/>
        <v>-28.038</v>
      </c>
    </row>
    <row r="20" spans="2:36" x14ac:dyDescent="0.25">
      <c r="D20">
        <v>-7.9770000000000003</v>
      </c>
      <c r="E20">
        <v>3.8</v>
      </c>
    </row>
    <row r="21" spans="2:36" x14ac:dyDescent="0.25">
      <c r="D21">
        <v>-7.931</v>
      </c>
      <c r="E21">
        <v>3.97</v>
      </c>
      <c r="L21" t="s">
        <v>99</v>
      </c>
      <c r="M21" t="s">
        <v>100</v>
      </c>
      <c r="N21" t="s">
        <v>98</v>
      </c>
      <c r="P21" t="s">
        <v>99</v>
      </c>
      <c r="Q21" t="s">
        <v>100</v>
      </c>
      <c r="R21" t="s">
        <v>98</v>
      </c>
      <c r="T21" t="s">
        <v>99</v>
      </c>
      <c r="U21" t="s">
        <v>100</v>
      </c>
      <c r="V21" t="s">
        <v>98</v>
      </c>
      <c r="X21" t="s">
        <v>99</v>
      </c>
      <c r="Y21" t="s">
        <v>100</v>
      </c>
      <c r="Z21" t="s">
        <v>98</v>
      </c>
      <c r="AB21" t="s">
        <v>99</v>
      </c>
      <c r="AC21" t="s">
        <v>100</v>
      </c>
      <c r="AD21" t="s">
        <v>98</v>
      </c>
    </row>
    <row r="22" spans="2:36" x14ac:dyDescent="0.25">
      <c r="D22">
        <v>-7.84</v>
      </c>
      <c r="E22">
        <v>4.1710000000000003</v>
      </c>
      <c r="K22" t="s">
        <v>102</v>
      </c>
      <c r="L22" s="22" cm="1">
        <f t="array" ref="L22:N26">LINEST(M7:M19,L7:L19^{1,2},,TRUE)</f>
        <v>-1.0038197142044774E-2</v>
      </c>
      <c r="M22" s="22">
        <v>0.62772015389275626</v>
      </c>
      <c r="N22" s="22">
        <v>18.219660138863084</v>
      </c>
      <c r="O22" s="22"/>
      <c r="P22" s="22" cm="1">
        <f t="array" ref="P22:R26">LINEST(Q7:Q19,P7:P19^{1,2},,TRUE)</f>
        <v>-8.9500389006663891E-3</v>
      </c>
      <c r="Q22" s="22">
        <v>0.60648756723820141</v>
      </c>
      <c r="R22" s="22">
        <v>17.13925229540903</v>
      </c>
      <c r="S22" s="22"/>
      <c r="T22" s="22" cm="1">
        <f t="array" ref="T22:V26">LINEST(U7:U19,T7:T19^{1,2},,TRUE)</f>
        <v>-1.0730985637348874E-2</v>
      </c>
      <c r="U22" s="22">
        <v>0.82036762536025343</v>
      </c>
      <c r="V22" s="22">
        <v>16.634383799447658</v>
      </c>
      <c r="W22" s="22"/>
      <c r="X22" s="22" cm="1">
        <f t="array" ref="X22:Z26">LINEST(Y7:Y19,X7:X19^{1,2},,TRUE)</f>
        <v>-3.3272167515538735E-2</v>
      </c>
      <c r="Y22" s="22">
        <v>2.3889417619350954</v>
      </c>
      <c r="Z22" s="22">
        <v>-13.97209866729888</v>
      </c>
      <c r="AA22" s="22"/>
      <c r="AB22" s="22" cm="1">
        <f t="array" ref="AB22:AD26">LINEST(AC7:AC19,AB7:AB19^{1,2},,TRUE)</f>
        <v>-1.1579318878609107E-2</v>
      </c>
      <c r="AC22" s="22">
        <v>0.79148036115070175</v>
      </c>
      <c r="AD22" s="22">
        <v>14.585542674105497</v>
      </c>
    </row>
    <row r="23" spans="2:36" x14ac:dyDescent="0.25">
      <c r="D23">
        <f>AVERAGE(D18:D22)</f>
        <v>-7.7349999999999994</v>
      </c>
      <c r="E23">
        <f>AVERAGE(E18:E22)</f>
        <v>4.0505999999999993</v>
      </c>
      <c r="K23" t="s">
        <v>101</v>
      </c>
      <c r="L23" s="22">
        <v>9.684818939540206E-4</v>
      </c>
      <c r="M23" s="22">
        <v>6.1758735936171365E-2</v>
      </c>
      <c r="N23" s="22">
        <v>0.97665036275575079</v>
      </c>
      <c r="O23" s="22"/>
      <c r="P23" s="22">
        <v>7.2811816209432628E-4</v>
      </c>
      <c r="Q23" s="22">
        <v>5.0733091008145513E-2</v>
      </c>
      <c r="R23" s="22">
        <v>0.87767826520801262</v>
      </c>
      <c r="S23" s="22"/>
      <c r="T23" s="22">
        <v>8.5253284196648484E-4</v>
      </c>
      <c r="U23" s="22">
        <v>6.5766913501613858E-2</v>
      </c>
      <c r="V23" s="22">
        <v>1.2602624622030361</v>
      </c>
      <c r="W23" s="22"/>
      <c r="X23" s="22">
        <v>2.9621622987547336E-3</v>
      </c>
      <c r="Y23" s="22">
        <v>0.21528975721296575</v>
      </c>
      <c r="Z23" s="22">
        <v>3.8839345208754441</v>
      </c>
      <c r="AA23" s="22"/>
      <c r="AB23" s="22">
        <v>1.1984969782248632E-3</v>
      </c>
      <c r="AC23" s="22">
        <v>8.3477976846639768E-2</v>
      </c>
      <c r="AD23" s="22">
        <v>1.4396463729343703</v>
      </c>
    </row>
    <row r="24" spans="2:36" x14ac:dyDescent="0.25">
      <c r="B24" s="18">
        <v>8</v>
      </c>
      <c r="C24">
        <v>4</v>
      </c>
      <c r="D24">
        <v>-7.4359999999999999</v>
      </c>
      <c r="E24">
        <v>3.7</v>
      </c>
      <c r="K24" t="s">
        <v>103</v>
      </c>
      <c r="L24" s="22">
        <v>0.92199144823078893</v>
      </c>
      <c r="M24" s="22">
        <v>4.2483275017731428E-2</v>
      </c>
      <c r="N24" s="22" t="e">
        <v>#N/A</v>
      </c>
      <c r="O24" s="22"/>
      <c r="P24" s="22">
        <v>0.94985962465678209</v>
      </c>
      <c r="Q24" s="22">
        <v>3.2446127313720464E-2</v>
      </c>
      <c r="R24" s="22" t="e">
        <v>#N/A</v>
      </c>
      <c r="S24" s="22"/>
      <c r="T24" s="22">
        <v>0.94264716514254321</v>
      </c>
      <c r="U24" s="22">
        <v>3.4799473319471218E-2</v>
      </c>
      <c r="V24" s="22" t="e">
        <v>#N/A</v>
      </c>
      <c r="W24" s="22"/>
      <c r="X24" s="22">
        <v>0.93003798767737655</v>
      </c>
      <c r="Y24" s="22">
        <v>0.13012901802704527</v>
      </c>
      <c r="Z24" s="22" t="e">
        <v>#N/A</v>
      </c>
      <c r="AA24" s="22"/>
      <c r="AB24" s="22">
        <v>0.910681840286931</v>
      </c>
      <c r="AC24" s="22">
        <v>6.6789953765190799E-2</v>
      </c>
      <c r="AD24" s="22" t="e">
        <v>#N/A</v>
      </c>
    </row>
    <row r="25" spans="2:36" x14ac:dyDescent="0.25">
      <c r="D25">
        <v>-7.7249999999999996</v>
      </c>
      <c r="E25">
        <v>3.5750000000000002</v>
      </c>
      <c r="L25" s="22">
        <v>59.095536791819242</v>
      </c>
      <c r="M25" s="22">
        <v>10</v>
      </c>
      <c r="N25" s="22" t="e">
        <v>#N/A</v>
      </c>
      <c r="O25" s="22"/>
      <c r="P25" s="22">
        <v>94.720035316335228</v>
      </c>
      <c r="Q25" s="22">
        <v>10</v>
      </c>
      <c r="R25" s="22" t="e">
        <v>#N/A</v>
      </c>
      <c r="S25" s="22"/>
      <c r="T25" s="22">
        <v>82.179648790279856</v>
      </c>
      <c r="U25" s="22">
        <v>10</v>
      </c>
      <c r="V25" s="22" t="e">
        <v>#N/A</v>
      </c>
      <c r="W25" s="22"/>
      <c r="X25" s="22">
        <v>66.467355412005062</v>
      </c>
      <c r="Y25" s="22">
        <v>10</v>
      </c>
      <c r="Z25" s="22" t="e">
        <v>#N/A</v>
      </c>
      <c r="AA25" s="22"/>
      <c r="AB25" s="22">
        <v>50.979657620155898</v>
      </c>
      <c r="AC25" s="22">
        <v>10</v>
      </c>
      <c r="AD25" s="22" t="e">
        <v>#N/A</v>
      </c>
    </row>
    <row r="26" spans="2:36" x14ac:dyDescent="0.25">
      <c r="D26">
        <v>-8.0399999999999991</v>
      </c>
      <c r="E26">
        <v>3.4830000000000001</v>
      </c>
      <c r="L26" s="22">
        <v>0.2133146365145997</v>
      </c>
      <c r="M26" s="22">
        <v>1.8048286562322033E-2</v>
      </c>
      <c r="N26" s="22" t="e">
        <v>#N/A</v>
      </c>
      <c r="O26" s="22"/>
      <c r="P26" s="22">
        <v>0.19943325745418833</v>
      </c>
      <c r="Q26" s="22">
        <v>1.0527511776581573E-2</v>
      </c>
      <c r="R26" s="22" t="e">
        <v>#N/A</v>
      </c>
      <c r="S26" s="22"/>
      <c r="T26" s="22">
        <v>0.19903965887456654</v>
      </c>
      <c r="U26" s="22">
        <v>1.211003343312589E-2</v>
      </c>
      <c r="V26" s="22" t="e">
        <v>#N/A</v>
      </c>
      <c r="W26" s="22"/>
      <c r="X26" s="22">
        <v>2.2510580789808636</v>
      </c>
      <c r="Y26" s="22">
        <v>0.16933561332683073</v>
      </c>
      <c r="Z26" s="22" t="e">
        <v>#N/A</v>
      </c>
      <c r="AA26" s="22"/>
      <c r="AB26" s="22">
        <v>0.45483009768351523</v>
      </c>
      <c r="AC26" s="22">
        <v>4.4608979239563237E-2</v>
      </c>
      <c r="AD26" s="22" t="e">
        <v>#N/A</v>
      </c>
    </row>
    <row r="27" spans="2:36" x14ac:dyDescent="0.25">
      <c r="D27">
        <v>-7.9649999999999999</v>
      </c>
      <c r="E27">
        <v>3.633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</row>
    <row r="28" spans="2:36" x14ac:dyDescent="0.25">
      <c r="D28">
        <v>-7.827</v>
      </c>
      <c r="E28">
        <v>3.9</v>
      </c>
      <c r="K28" t="s">
        <v>102</v>
      </c>
      <c r="L28" s="22" cm="1">
        <f t="array" ref="L28:N32">LINEST(O7:O19,N7:N19^{1,2},,TRUE)</f>
        <v>-2.0091009768473077E-2</v>
      </c>
      <c r="M28" s="22">
        <v>1.278384028902815</v>
      </c>
      <c r="N28" s="22">
        <v>8.3624073064005771</v>
      </c>
      <c r="O28" s="22"/>
      <c r="P28" s="22" cm="1">
        <f t="array" ref="P28:R32">LINEST(S7:S19,R7:R19^{1,2},,TRUE)</f>
        <v>-2.1136316631547643E-2</v>
      </c>
      <c r="Q28" s="22">
        <v>1.4604740121967594</v>
      </c>
      <c r="R28" s="22">
        <v>2.7478505310977184</v>
      </c>
      <c r="S28" s="22"/>
      <c r="T28" s="22" cm="1">
        <f t="array" ref="T28:V32">LINEST(W7:W19,V7:V19^{1,2},,TRUE)</f>
        <v>-1.0628764590718794E-2</v>
      </c>
      <c r="U28" s="22">
        <v>0.82527091049340939</v>
      </c>
      <c r="V28" s="22">
        <v>16.917870597685976</v>
      </c>
      <c r="W28" s="22"/>
      <c r="X28" s="22" cm="1">
        <f t="array" ref="X28:Z32">LINEST(AA7:AA19,Z7:Z19^{1,2},,TRUE)</f>
        <v>-2.4545342666891082E-2</v>
      </c>
      <c r="Y28" s="22">
        <v>1.7342576656935986</v>
      </c>
      <c r="Z28" s="22">
        <v>-1.2616670609858858</v>
      </c>
      <c r="AA28" s="22"/>
      <c r="AB28" s="22" cm="1">
        <f t="array" ref="AB28:AD32">LINEST(AE7:AE19,AD7:AD19^{1,2},,TRUE)</f>
        <v>-1.8243535430450344E-2</v>
      </c>
      <c r="AC28" s="22">
        <v>1.2722106767030337</v>
      </c>
      <c r="AD28" s="22">
        <v>6.5011845551915428</v>
      </c>
    </row>
    <row r="29" spans="2:36" x14ac:dyDescent="0.25">
      <c r="D29">
        <f>AVERAGE(D24:D28)</f>
        <v>-7.7986000000000004</v>
      </c>
      <c r="E29">
        <f>AVERAGE(E24:E28)</f>
        <v>3.6581999999999999</v>
      </c>
      <c r="K29" t="s">
        <v>101</v>
      </c>
      <c r="L29" s="22">
        <v>1.5253560214489384E-3</v>
      </c>
      <c r="M29" s="22">
        <v>9.7876285234885632E-2</v>
      </c>
      <c r="N29" s="22">
        <v>1.5593787558142338</v>
      </c>
      <c r="O29" s="22"/>
      <c r="P29" s="22">
        <v>1.306656539694185E-3</v>
      </c>
      <c r="Q29" s="22">
        <v>9.1860486108499048E-2</v>
      </c>
      <c r="R29" s="22">
        <v>1.5968291084614057</v>
      </c>
      <c r="S29" s="22"/>
      <c r="T29" s="22">
        <v>8.7444752221885668E-4</v>
      </c>
      <c r="U29" s="22">
        <v>6.9485362131675346E-2</v>
      </c>
      <c r="V29" s="22">
        <v>1.3726550575948988</v>
      </c>
      <c r="W29" s="22"/>
      <c r="X29" s="22">
        <v>1.8232131268757354E-3</v>
      </c>
      <c r="Y29" s="22">
        <v>0.12990306024874237</v>
      </c>
      <c r="Z29" s="22">
        <v>2.2985197490314166</v>
      </c>
      <c r="AA29" s="22"/>
      <c r="AB29" s="22">
        <v>7.4433851636311089E-4</v>
      </c>
      <c r="AC29" s="22">
        <v>5.2887797615649004E-2</v>
      </c>
      <c r="AD29" s="22">
        <v>0.92581387136040871</v>
      </c>
    </row>
    <row r="30" spans="2:36" x14ac:dyDescent="0.25">
      <c r="B30" s="18">
        <v>8</v>
      </c>
      <c r="C30">
        <v>5</v>
      </c>
      <c r="D30">
        <v>-7.468</v>
      </c>
      <c r="E30">
        <v>3.4159999999999999</v>
      </c>
      <c r="K30" t="s">
        <v>103</v>
      </c>
      <c r="L30" s="22">
        <v>0.94619621977412804</v>
      </c>
      <c r="M30" s="22">
        <v>6.5488932708977474E-2</v>
      </c>
      <c r="N30" s="22" t="e">
        <v>#N/A</v>
      </c>
      <c r="O30" s="22"/>
      <c r="P30" s="22">
        <v>0.96602512211901082</v>
      </c>
      <c r="Q30" s="22">
        <v>7.3273640761623279E-2</v>
      </c>
      <c r="R30" s="22" t="e">
        <v>#N/A</v>
      </c>
      <c r="S30" s="22"/>
      <c r="T30" s="22">
        <v>0.94868817182089016</v>
      </c>
      <c r="U30" s="22">
        <v>3.7676596692379868E-2</v>
      </c>
      <c r="V30" s="22" t="e">
        <v>#N/A</v>
      </c>
      <c r="W30" s="22"/>
      <c r="X30" s="22">
        <v>0.94884828724343373</v>
      </c>
      <c r="Y30" s="22">
        <v>7.4181844911465539E-2</v>
      </c>
      <c r="Z30" s="22" t="e">
        <v>#N/A</v>
      </c>
      <c r="AA30" s="22"/>
      <c r="AB30" s="22">
        <v>0.98515347115885632</v>
      </c>
      <c r="AC30" s="22">
        <v>4.7525541786114095E-2</v>
      </c>
      <c r="AD30" s="22" t="e">
        <v>#N/A</v>
      </c>
    </row>
    <row r="31" spans="2:36" x14ac:dyDescent="0.25">
      <c r="D31">
        <v>-7.798</v>
      </c>
      <c r="E31">
        <v>3.2610000000000001</v>
      </c>
      <c r="L31" s="22">
        <v>87.930273282093935</v>
      </c>
      <c r="M31" s="22">
        <v>10</v>
      </c>
      <c r="N31" s="22" t="e">
        <v>#N/A</v>
      </c>
      <c r="O31" s="22"/>
      <c r="P31" s="22">
        <v>142.16756356018479</v>
      </c>
      <c r="Q31" s="22">
        <v>10</v>
      </c>
      <c r="R31" s="22" t="e">
        <v>#N/A</v>
      </c>
      <c r="S31" s="22"/>
      <c r="T31" s="22">
        <v>92.443419527889759</v>
      </c>
      <c r="U31" s="22">
        <v>10</v>
      </c>
      <c r="V31" s="22" t="e">
        <v>#N/A</v>
      </c>
      <c r="W31" s="22"/>
      <c r="X31" s="22">
        <v>92.748437550767278</v>
      </c>
      <c r="Y31" s="22">
        <v>10</v>
      </c>
      <c r="Z31" s="22" t="e">
        <v>#N/A</v>
      </c>
      <c r="AA31" s="22"/>
      <c r="AB31" s="22">
        <v>331.77905815557779</v>
      </c>
      <c r="AC31" s="22">
        <v>10</v>
      </c>
      <c r="AD31" s="22" t="e">
        <v>#N/A</v>
      </c>
    </row>
    <row r="32" spans="2:36" x14ac:dyDescent="0.25">
      <c r="D32">
        <v>-8.0299999999999994</v>
      </c>
      <c r="E32">
        <v>3.1840000000000002</v>
      </c>
      <c r="L32" s="22">
        <v>0.75423076615715878</v>
      </c>
      <c r="M32" s="22">
        <v>4.2888003073609793E-2</v>
      </c>
      <c r="N32" s="22" t="e">
        <v>#N/A</v>
      </c>
      <c r="O32" s="22"/>
      <c r="P32" s="22">
        <v>1.5266028126184406</v>
      </c>
      <c r="Q32" s="22">
        <v>5.3690264304634201E-2</v>
      </c>
      <c r="R32" s="22" t="e">
        <v>#N/A</v>
      </c>
      <c r="S32" s="22"/>
      <c r="T32" s="22">
        <v>0.26245166369372036</v>
      </c>
      <c r="U32" s="22">
        <v>1.4195259383202494E-2</v>
      </c>
      <c r="V32" s="22" t="e">
        <v>#N/A</v>
      </c>
      <c r="W32" s="22"/>
      <c r="X32" s="22">
        <v>1.0207793080860801</v>
      </c>
      <c r="Y32" s="22">
        <v>5.5029461144687257E-2</v>
      </c>
      <c r="Z32" s="22" t="e">
        <v>#N/A</v>
      </c>
      <c r="AA32" s="22"/>
      <c r="AB32" s="22">
        <v>1.4987635364716754</v>
      </c>
      <c r="AC32" s="22">
        <v>2.2586771220636768E-2</v>
      </c>
      <c r="AD32" s="22" t="e">
        <v>#N/A</v>
      </c>
    </row>
    <row r="33" spans="2:33" x14ac:dyDescent="0.25">
      <c r="D33">
        <v>-8.0950000000000006</v>
      </c>
      <c r="E33">
        <v>3.2989999999999999</v>
      </c>
      <c r="I33" t="s">
        <v>123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</row>
    <row r="34" spans="2:33" x14ac:dyDescent="0.25">
      <c r="D34">
        <v>-7.8639999999999999</v>
      </c>
      <c r="E34">
        <v>3.62</v>
      </c>
      <c r="L34" s="22" t="s">
        <v>102</v>
      </c>
      <c r="M34" s="22" t="s">
        <v>101</v>
      </c>
      <c r="N34" s="22"/>
      <c r="O34" s="22"/>
      <c r="P34" s="22" t="s">
        <v>102</v>
      </c>
      <c r="Q34" s="22" t="s">
        <v>101</v>
      </c>
      <c r="R34" s="22"/>
      <c r="S34" s="22"/>
      <c r="T34" s="22" t="s">
        <v>102</v>
      </c>
      <c r="U34" s="22" t="s">
        <v>101</v>
      </c>
      <c r="V34" s="22"/>
      <c r="W34" s="22"/>
      <c r="X34" s="22" t="s">
        <v>102</v>
      </c>
      <c r="Y34" s="22" t="s">
        <v>101</v>
      </c>
      <c r="Z34" s="22"/>
      <c r="AA34" s="22"/>
      <c r="AB34" s="22" t="s">
        <v>102</v>
      </c>
      <c r="AC34" s="22" t="s">
        <v>101</v>
      </c>
      <c r="AD34" s="22"/>
    </row>
    <row r="35" spans="2:33" x14ac:dyDescent="0.25">
      <c r="D35">
        <f>AVERAGE(D30:D34)</f>
        <v>-7.8509999999999991</v>
      </c>
      <c r="E35">
        <f>AVERAGE(E30:E34)</f>
        <v>3.3560000000000003</v>
      </c>
      <c r="L35" s="22">
        <f>-M22/(2*L22)</f>
        <v>31.266578301374647</v>
      </c>
      <c r="M35" s="22">
        <f>L35*(((M23/M22)^2)+(((L23*2)/(L22*2))^2))^0.5</f>
        <v>4.3084490704532632</v>
      </c>
      <c r="N35" s="38">
        <f>M35/L35</f>
        <v>0.13779726802609035</v>
      </c>
      <c r="O35" s="22"/>
      <c r="P35" s="22">
        <f>-Q22/(2*P22)</f>
        <v>33.881839731056608</v>
      </c>
      <c r="Q35" s="22">
        <f>P35*(((Q23/Q22)^2)+(((P23*2)/(P22*2))^2))^0.5</f>
        <v>3.9535690429107633</v>
      </c>
      <c r="R35" s="38">
        <f>Q35/P35</f>
        <v>0.11668696488422563</v>
      </c>
      <c r="S35" s="22"/>
      <c r="T35" s="22">
        <f>-U22/(2*T22)</f>
        <v>38.224243936409181</v>
      </c>
      <c r="U35" s="22">
        <f>T35*(((U23/U22)^2)+(((T23*2)/(T22*2))^2))^0.5</f>
        <v>4.314177473955195</v>
      </c>
      <c r="V35" s="38">
        <f>U35/T35</f>
        <v>0.11286495244045559</v>
      </c>
      <c r="W35" s="22"/>
      <c r="X35" s="22">
        <f>-Y22/(2*X22)</f>
        <v>35.900002018495101</v>
      </c>
      <c r="Y35" s="22">
        <f>X35*(((Y23/Y22)^2)+(((X23*2)/(X22*2))^2))^0.5</f>
        <v>4.5477686180419559</v>
      </c>
      <c r="Z35" s="38">
        <f>Y35/X35</f>
        <v>0.12667878446633565</v>
      </c>
      <c r="AA35" s="22"/>
      <c r="AB35" s="22">
        <f>-AC22/(2*AB22)</f>
        <v>34.176464498824359</v>
      </c>
      <c r="AC35" s="22">
        <f>AB35*(((AC23/AC22)^2)+(((AB23*2)/(AB22*2))^2))^0.5</f>
        <v>5.0503732653718822</v>
      </c>
      <c r="AD35" s="38">
        <f>AC35/AB35</f>
        <v>0.14777342652121347</v>
      </c>
    </row>
    <row r="36" spans="2:33" x14ac:dyDescent="0.25">
      <c r="L36" s="22">
        <f>-M28/(2*L28)</f>
        <v>31.814827717342069</v>
      </c>
      <c r="M36" s="22">
        <f>L36*(((M29/M28)^2)+(((L29*2)/(L28*2))^2))^0.5</f>
        <v>3.4304020837428073</v>
      </c>
      <c r="N36" s="38">
        <f>M36/L36</f>
        <v>0.10782400314155767</v>
      </c>
      <c r="O36" s="22"/>
      <c r="P36" s="22">
        <f>-Q28/(2*P28)</f>
        <v>34.548924433145679</v>
      </c>
      <c r="Q36" s="22">
        <f>P36*(((Q29/Q28)^2)+(((P29*2)/(P28*2))^2))^0.5</f>
        <v>3.0469508924342832</v>
      </c>
      <c r="R36" s="38">
        <f>Q36/P36</f>
        <v>8.8192351641230488E-2</v>
      </c>
      <c r="S36" s="22"/>
      <c r="T36" s="22">
        <f>-U28/(2*T28)</f>
        <v>38.822522761208255</v>
      </c>
      <c r="U36" s="22">
        <f>T36*(((U29/U28)^2)+(((T29*2)/(T28*2))^2))^0.5</f>
        <v>4.570152740050875</v>
      </c>
      <c r="V36" s="38">
        <f>U36/T36</f>
        <v>0.11771910774993233</v>
      </c>
      <c r="W36" s="22"/>
      <c r="X36" s="22">
        <f>-Y28/(2*X28)</f>
        <v>35.327631991728474</v>
      </c>
      <c r="Y36" s="22">
        <f>X36*(((Y29/Y28)^2)+(((X29*2)/(X28*2))^2))^0.5</f>
        <v>3.7266979219630567</v>
      </c>
      <c r="Z36" s="38">
        <f>Y36/X36</f>
        <v>0.1054896043650935</v>
      </c>
      <c r="AA36" s="22"/>
      <c r="AB36" s="22">
        <f>-AC28/(2*AB28)</f>
        <v>34.867437881025594</v>
      </c>
      <c r="AC36" s="22">
        <f>AB36*(((AC29/AC28)^2)+(((AB29*2)/(AB28*2))^2))^0.5</f>
        <v>2.0309633832265783</v>
      </c>
      <c r="AD36" s="38">
        <f>AC36/AB36</f>
        <v>5.8248139429017298E-2</v>
      </c>
    </row>
    <row r="37" spans="2:33" x14ac:dyDescent="0.25">
      <c r="B37">
        <v>1</v>
      </c>
      <c r="C37">
        <v>0</v>
      </c>
      <c r="D37">
        <v>14</v>
      </c>
      <c r="E37">
        <v>14</v>
      </c>
      <c r="F37">
        <v>14</v>
      </c>
      <c r="G37">
        <v>41.514000000000003</v>
      </c>
      <c r="H37">
        <v>27.521999999999998</v>
      </c>
      <c r="L37" s="22"/>
      <c r="M37" s="22"/>
      <c r="N37" s="38"/>
      <c r="O37" s="22"/>
      <c r="P37" s="22"/>
      <c r="Q37" s="22"/>
      <c r="R37" s="38"/>
      <c r="S37" s="22"/>
      <c r="T37" s="22"/>
      <c r="U37" s="22"/>
      <c r="V37" s="38"/>
      <c r="W37" s="22"/>
      <c r="X37" s="22"/>
      <c r="Y37" s="22"/>
      <c r="Z37" s="38"/>
      <c r="AA37" s="22"/>
      <c r="AB37" s="22"/>
      <c r="AC37" s="22"/>
      <c r="AD37" s="38"/>
    </row>
    <row r="38" spans="2:33" x14ac:dyDescent="0.25">
      <c r="B38">
        <v>2</v>
      </c>
      <c r="C38">
        <v>0</v>
      </c>
      <c r="D38">
        <v>7</v>
      </c>
      <c r="E38">
        <v>7</v>
      </c>
      <c r="F38">
        <v>7</v>
      </c>
      <c r="G38">
        <v>39.92</v>
      </c>
      <c r="H38">
        <v>27.69</v>
      </c>
      <c r="K38" t="s">
        <v>119</v>
      </c>
      <c r="L38" s="22">
        <f>L36-L35</f>
        <v>0.54824941596742249</v>
      </c>
      <c r="M38" s="22">
        <f>(((M35)^2)+((M36*2)^2))^0.5</f>
        <v>8.101442292411738</v>
      </c>
      <c r="N38" s="38">
        <f>M38/L38</f>
        <v>14.776928267431357</v>
      </c>
      <c r="O38" s="22"/>
      <c r="P38" s="22">
        <f>P36-P35</f>
        <v>0.66708470208907045</v>
      </c>
      <c r="Q38" s="22">
        <f>(((Q35)^2)+((Q36*2)^2))^0.5</f>
        <v>7.2640448195675829</v>
      </c>
      <c r="R38" s="38">
        <f>Q38/P38</f>
        <v>10.889239097852485</v>
      </c>
      <c r="S38" s="22"/>
      <c r="T38" s="22">
        <f>T36-T35</f>
        <v>0.59827882479907402</v>
      </c>
      <c r="U38" s="22">
        <f>(((U35)^2)+((U36*2)^2))^0.5</f>
        <v>10.107290019899525</v>
      </c>
      <c r="V38" s="38">
        <f>U38/T38</f>
        <v>16.893945767333413</v>
      </c>
      <c r="W38" s="22"/>
      <c r="X38" s="22">
        <f>X36-X35</f>
        <v>-0.5723700267666274</v>
      </c>
      <c r="Y38" s="22">
        <f>(((Y35)^2)+((Y36*2)^2))^0.5</f>
        <v>8.7312833540953356</v>
      </c>
      <c r="Z38" s="38">
        <f>Y38/X38</f>
        <v>-15.25461317990249</v>
      </c>
      <c r="AA38" s="22"/>
      <c r="AB38" s="22">
        <f>AB36-AB35</f>
        <v>0.69097338220123561</v>
      </c>
      <c r="AC38" s="22">
        <f>(((AC35)^2)+((AC36*2)^2))^0.5</f>
        <v>6.4811664980628025</v>
      </c>
      <c r="AD38" s="38">
        <f>AC38/AB38</f>
        <v>9.3797629040582358</v>
      </c>
    </row>
    <row r="39" spans="2:33" x14ac:dyDescent="0.25">
      <c r="B39">
        <v>3</v>
      </c>
      <c r="C39">
        <v>0</v>
      </c>
      <c r="D39">
        <v>9</v>
      </c>
      <c r="E39">
        <v>9</v>
      </c>
      <c r="F39">
        <v>9</v>
      </c>
      <c r="G39">
        <v>38.728999999999999</v>
      </c>
      <c r="H39">
        <v>27.791</v>
      </c>
      <c r="L39" s="22"/>
      <c r="M39" s="22"/>
      <c r="N39" s="38"/>
      <c r="O39" s="22"/>
      <c r="P39" s="22"/>
      <c r="Q39" s="22"/>
      <c r="R39" s="38"/>
      <c r="S39" s="22"/>
      <c r="T39" s="22"/>
      <c r="U39" s="22"/>
      <c r="V39" s="38"/>
      <c r="W39" s="22"/>
      <c r="X39" s="22"/>
      <c r="Y39" s="22"/>
      <c r="Z39" s="38"/>
      <c r="AA39" s="22"/>
      <c r="AB39" s="22"/>
      <c r="AC39" s="22"/>
      <c r="AD39" s="38"/>
    </row>
    <row r="40" spans="2:33" x14ac:dyDescent="0.25">
      <c r="B40">
        <v>4</v>
      </c>
      <c r="C40">
        <v>0</v>
      </c>
      <c r="D40">
        <v>4</v>
      </c>
      <c r="E40">
        <v>4</v>
      </c>
      <c r="F40">
        <v>4</v>
      </c>
      <c r="G40">
        <v>37.521000000000001</v>
      </c>
      <c r="H40">
        <v>27.975000000000001</v>
      </c>
      <c r="L40" s="22"/>
      <c r="M40" s="22"/>
      <c r="N40" s="38"/>
      <c r="O40" s="22"/>
      <c r="P40" s="22"/>
      <c r="Q40" s="22"/>
      <c r="R40" s="38"/>
      <c r="S40" s="22"/>
      <c r="T40" s="22"/>
      <c r="U40" s="22"/>
      <c r="V40" s="38"/>
      <c r="W40" s="22"/>
      <c r="X40" s="22"/>
      <c r="Y40" s="22"/>
      <c r="Z40" s="38"/>
      <c r="AA40" s="22"/>
      <c r="AB40" s="22"/>
      <c r="AC40" s="22"/>
      <c r="AD40" s="38"/>
    </row>
    <row r="41" spans="2:33" x14ac:dyDescent="0.25">
      <c r="B41">
        <v>5</v>
      </c>
      <c r="C41">
        <v>0</v>
      </c>
      <c r="D41">
        <v>4</v>
      </c>
      <c r="E41">
        <v>4</v>
      </c>
      <c r="F41">
        <v>4</v>
      </c>
      <c r="G41">
        <v>36.463999999999999</v>
      </c>
      <c r="H41">
        <v>28.093</v>
      </c>
      <c r="K41" t="s">
        <v>108</v>
      </c>
      <c r="L41" s="22">
        <f>O13-M13</f>
        <v>0.6180000000000021</v>
      </c>
      <c r="M41" s="22">
        <f>L41*(((2/39)^2)+((0.01/1.9)^2))^0.5</f>
        <v>3.1858781819967284E-2</v>
      </c>
      <c r="N41" s="38">
        <f>M41/L41</f>
        <v>5.1551426893150773E-2</v>
      </c>
      <c r="O41" s="22"/>
      <c r="P41" s="22">
        <f>S13-Q13</f>
        <v>0.63899999999999935</v>
      </c>
      <c r="Q41" s="22">
        <f>P41*(((2/43.5)^2)+((0.01/1.9)^2))^0.5</f>
        <v>2.9571180351190281E-2</v>
      </c>
      <c r="R41" s="38">
        <f>Q41/P41</f>
        <v>4.6277277544898764E-2</v>
      </c>
      <c r="S41" s="22"/>
      <c r="T41" s="22">
        <f>W13-U13</f>
        <v>0.60899999999999466</v>
      </c>
      <c r="U41" s="22">
        <f>T41*(((2/44)^2)+((0.01/1.9)^2))^0.5</f>
        <v>2.7866768197309558E-2</v>
      </c>
      <c r="V41" s="38">
        <f>U41/T41</f>
        <v>4.5758240061264041E-2</v>
      </c>
      <c r="W41" s="22"/>
      <c r="X41" s="22">
        <f>AA13-Y13</f>
        <v>0.60200000000000031</v>
      </c>
      <c r="Y41" s="22">
        <f>X41*(((2/36.7)^2)+((0.01/1.9)^2))^0.5</f>
        <v>3.2959185769031944E-2</v>
      </c>
      <c r="Z41" s="38">
        <f>Y41/X41</f>
        <v>5.4749478021647723E-2</v>
      </c>
      <c r="AA41" s="22"/>
      <c r="AB41" s="22">
        <f>AE13-AC13</f>
        <v>0.57199999999999918</v>
      </c>
      <c r="AC41" s="22">
        <f>AB41*(((2/36.7)^2)+((0.01/1.9)^2))^0.5</f>
        <v>3.131670142838245E-2</v>
      </c>
      <c r="AD41" s="38">
        <f>AC41/AB41</f>
        <v>5.4749478021647716E-2</v>
      </c>
    </row>
    <row r="42" spans="2:33" x14ac:dyDescent="0.25">
      <c r="B42">
        <v>6</v>
      </c>
      <c r="C42">
        <v>0</v>
      </c>
      <c r="D42">
        <v>5</v>
      </c>
      <c r="E42">
        <v>5</v>
      </c>
      <c r="F42">
        <v>5</v>
      </c>
      <c r="G42">
        <v>35.524999999999999</v>
      </c>
      <c r="H42">
        <v>28.143000000000001</v>
      </c>
      <c r="L42" s="22"/>
      <c r="M42" s="22"/>
      <c r="N42" s="38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</row>
    <row r="43" spans="2:33" x14ac:dyDescent="0.25">
      <c r="B43">
        <v>7</v>
      </c>
      <c r="C43">
        <v>0</v>
      </c>
      <c r="D43">
        <v>9</v>
      </c>
      <c r="E43">
        <v>9</v>
      </c>
      <c r="F43">
        <v>9</v>
      </c>
      <c r="G43">
        <v>34.534999999999997</v>
      </c>
      <c r="H43">
        <v>28.193000000000001</v>
      </c>
      <c r="K43" t="s">
        <v>116</v>
      </c>
      <c r="L43" s="25">
        <f>PI()*(L38*0.001)^2*(3*0.009-L38*0.001)/3</f>
        <v>8.3260572437032187E-9</v>
      </c>
      <c r="M43" s="25">
        <f>L43*(((2*M38/L38)^2)+((0.01/9)^2))^0.5</f>
        <v>2.4606710145536369E-7</v>
      </c>
      <c r="N43" s="22"/>
      <c r="O43" s="22"/>
      <c r="P43" s="25">
        <f>PI()*(P38*0.001)^2*(3*0.009-P38*0.001)/3</f>
        <v>1.2271270309994186E-8</v>
      </c>
      <c r="Q43" s="25">
        <f>P43*(((2*Q38/P38)^2)+((0.01/9)^2))^0.5</f>
        <v>2.6724959322762408E-7</v>
      </c>
      <c r="R43" s="22"/>
      <c r="S43" s="22"/>
      <c r="T43" s="25">
        <f>PI()*(T38*0.001)^2*(3*0.009-T38*0.001)/3</f>
        <v>9.8961922135002111E-9</v>
      </c>
      <c r="U43" s="25">
        <f>T43*(((2*U38/T38)^2)+((0.01/9)^2))^0.5</f>
        <v>3.3437146929675686E-7</v>
      </c>
      <c r="V43" s="22"/>
      <c r="W43" s="22"/>
      <c r="X43" s="25">
        <f>PI()*(X38*0.001)^2*(3*0.009-X38*0.001)/3</f>
        <v>9.4592451770984072E-9</v>
      </c>
      <c r="Y43" s="25">
        <f>X43*(((2*Y38/X38)^2)+((0.01/9)^2))^0.5</f>
        <v>2.8859425249237489E-7</v>
      </c>
      <c r="Z43" s="22"/>
      <c r="AA43" s="22"/>
      <c r="AB43" s="25">
        <f>PI()*(AB38*0.001)^2*(3*0.009-AB38*0.001)/3</f>
        <v>1.3153945367716999E-8</v>
      </c>
      <c r="AC43" s="25">
        <f>AB43*(((2*AC38/AB38)^2)+((0.01/9)^2))^0.5</f>
        <v>2.46761778037073E-7</v>
      </c>
      <c r="AD43" s="22"/>
    </row>
    <row r="44" spans="2:33" x14ac:dyDescent="0.25">
      <c r="B44">
        <v>8</v>
      </c>
      <c r="C44">
        <v>0</v>
      </c>
      <c r="D44">
        <v>12</v>
      </c>
      <c r="E44">
        <v>12</v>
      </c>
      <c r="F44">
        <v>12</v>
      </c>
      <c r="G44">
        <v>33.561999999999998</v>
      </c>
      <c r="H44">
        <v>28.143000000000001</v>
      </c>
      <c r="K44" t="s">
        <v>117</v>
      </c>
      <c r="L44" s="25">
        <f>PI()*(L41*0.001)^2*(3*0.009-L41*0.001)/3</f>
        <v>1.055147766934502E-8</v>
      </c>
      <c r="M44" s="25">
        <f>L44*(((2*M41/L41)^2)+((0.01/9)^2))^0.5</f>
        <v>1.0879506299679026E-9</v>
      </c>
      <c r="N44" s="38" t="s">
        <v>106</v>
      </c>
      <c r="O44" s="22"/>
      <c r="P44" s="25">
        <f>PI()*(P41*0.001)^2*(3*0.009-P41*0.001)/3</f>
        <v>1.1271772517075845E-8</v>
      </c>
      <c r="Q44" s="25">
        <f>P44*(((2*Q41/P41)^2)+((0.01/9)^2))^0.5</f>
        <v>1.0433290637158015E-9</v>
      </c>
      <c r="R44" s="38" t="s">
        <v>106</v>
      </c>
      <c r="S44" s="22"/>
      <c r="T44" s="25">
        <f>PI()*(T41*0.001)^2*(3*0.009-T41*0.001)/3</f>
        <v>1.0249886348538069E-8</v>
      </c>
      <c r="U44" s="25">
        <f>T44*(((2*U41/T41)^2)+((0.01/9)^2))^0.5</f>
        <v>9.3810265380271731E-10</v>
      </c>
      <c r="V44" s="38" t="s">
        <v>106</v>
      </c>
      <c r="W44" s="22"/>
      <c r="X44" s="25">
        <f>PI()*(X41*0.001)^2*(3*0.009-X41*0.001)/3</f>
        <v>1.0018267530315008E-8</v>
      </c>
      <c r="Y44" s="25">
        <f>X44*(((2*Y41/X41)^2)+((0.01/9)^2))^0.5</f>
        <v>1.0970463109596657E-9</v>
      </c>
      <c r="Z44" s="38" t="s">
        <v>106</v>
      </c>
      <c r="AA44" s="22"/>
      <c r="AB44" s="25">
        <f>PI()*(AB41*0.001)^2*(3*0.009-AB41*0.001)/3</f>
        <v>9.0549274227351938E-9</v>
      </c>
      <c r="AC44" s="25">
        <f>AB44*(((2*AC41/AB41)^2)+((0.01/9)^2))^0.5</f>
        <v>9.915561443193769E-10</v>
      </c>
      <c r="AD44" s="38" t="s">
        <v>106</v>
      </c>
      <c r="AG44">
        <f>24+18</f>
        <v>42</v>
      </c>
    </row>
    <row r="45" spans="2:33" x14ac:dyDescent="0.25">
      <c r="B45">
        <v>9</v>
      </c>
      <c r="C45">
        <v>0</v>
      </c>
      <c r="D45">
        <v>16</v>
      </c>
      <c r="E45">
        <v>16</v>
      </c>
      <c r="F45">
        <v>16</v>
      </c>
      <c r="G45">
        <v>32.673000000000002</v>
      </c>
      <c r="H45">
        <v>28.076000000000001</v>
      </c>
      <c r="K45" t="s">
        <v>107</v>
      </c>
      <c r="L45">
        <f>(AVERAGE(E6:E10)-AVERAGE(D6:D10))*0.001*PI()*(0.0005)^2</f>
        <v>9.8231319092445659E-9</v>
      </c>
      <c r="P45">
        <f>(AVERAGE(E12:E16)-AVERAGE(D12:D16))*0.001*PI()*(0.0005)^2</f>
        <v>9.3589615946766732E-9</v>
      </c>
      <c r="T45">
        <f>(AVERAGE(E18:E22)-AVERAGE(D18:D22))*0.001*PI()*(0.0005)^2</f>
        <v>9.2563885945369651E-9</v>
      </c>
      <c r="X45">
        <f>(AVERAGE(E24:E28)-AVERAGE(D24:D28))*0.001*PI()*(0.0005)^2</f>
        <v>8.998149678411885E-9</v>
      </c>
      <c r="AB45">
        <f>(AVERAGE(E30:E34)-AVERAGE(D30:D34))*0.001*PI()*(0.0005)^2</f>
        <v>8.8019572171952035E-9</v>
      </c>
    </row>
    <row r="46" spans="2:33" x14ac:dyDescent="0.25">
      <c r="B46">
        <v>10</v>
      </c>
      <c r="C46">
        <v>0</v>
      </c>
      <c r="D46">
        <v>16</v>
      </c>
      <c r="E46">
        <v>16</v>
      </c>
      <c r="F46">
        <v>16</v>
      </c>
      <c r="G46">
        <v>31.8</v>
      </c>
      <c r="H46">
        <v>27.975000000000001</v>
      </c>
    </row>
    <row r="47" spans="2:33" x14ac:dyDescent="0.25">
      <c r="B47">
        <v>11</v>
      </c>
      <c r="C47">
        <v>0</v>
      </c>
      <c r="D47">
        <v>22</v>
      </c>
      <c r="E47">
        <v>22</v>
      </c>
      <c r="F47">
        <v>22</v>
      </c>
      <c r="G47">
        <v>30.76</v>
      </c>
      <c r="H47">
        <v>27.873999999999999</v>
      </c>
      <c r="K47" t="s">
        <v>119</v>
      </c>
      <c r="L47" s="24">
        <f>(L45-L43)/L43</f>
        <v>0.17980595397341834</v>
      </c>
      <c r="M47" s="24"/>
      <c r="N47" s="24"/>
      <c r="O47" s="24"/>
      <c r="P47" s="24">
        <f t="shared" ref="P47:AB47" si="4">(P45-P43)/P43</f>
        <v>-0.23732740309254036</v>
      </c>
      <c r="Q47" s="24"/>
      <c r="R47" s="24"/>
      <c r="S47" s="24"/>
      <c r="T47" s="24">
        <f t="shared" si="4"/>
        <v>-6.4651494752743094E-2</v>
      </c>
      <c r="U47" s="24"/>
      <c r="V47" s="24"/>
      <c r="W47" s="24"/>
      <c r="X47" s="24">
        <f t="shared" si="4"/>
        <v>-4.874548550690614E-2</v>
      </c>
      <c r="Y47" s="24"/>
      <c r="Z47" s="24"/>
      <c r="AA47" s="24"/>
      <c r="AB47" s="24">
        <f t="shared" si="4"/>
        <v>-0.33085040486808159</v>
      </c>
      <c r="AC47" s="24"/>
      <c r="AD47" s="24"/>
    </row>
    <row r="48" spans="2:33" x14ac:dyDescent="0.25">
      <c r="B48">
        <v>12</v>
      </c>
      <c r="C48">
        <v>0</v>
      </c>
      <c r="D48">
        <v>19</v>
      </c>
      <c r="E48">
        <v>19</v>
      </c>
      <c r="F48">
        <v>19</v>
      </c>
      <c r="G48">
        <v>29.451000000000001</v>
      </c>
      <c r="H48">
        <v>27.824000000000002</v>
      </c>
      <c r="K48" t="s">
        <v>118</v>
      </c>
      <c r="L48" s="24">
        <f>(L45-L44)/L44</f>
        <v>-6.9027844528022991E-2</v>
      </c>
      <c r="M48" s="24"/>
      <c r="N48" s="24"/>
      <c r="O48" s="24"/>
      <c r="P48" s="24">
        <f>(P45-P44)/P44</f>
        <v>-0.16969921274594699</v>
      </c>
      <c r="Q48" s="24"/>
      <c r="R48" s="24"/>
      <c r="T48" s="24">
        <f>(T45-T44)/T44</f>
        <v>-9.6927684875530898E-2</v>
      </c>
      <c r="U48" s="24"/>
      <c r="V48" s="24"/>
      <c r="X48" s="24">
        <f>(X45-X44)/X44</f>
        <v>-0.10182577464778954</v>
      </c>
      <c r="Y48" s="24"/>
      <c r="Z48" s="24"/>
      <c r="AB48" s="24">
        <f>(AB45-AB44)/AB44</f>
        <v>-2.7937297973789434E-2</v>
      </c>
    </row>
    <row r="49" spans="2:25" x14ac:dyDescent="0.25">
      <c r="B49">
        <v>13</v>
      </c>
      <c r="C49">
        <v>0</v>
      </c>
      <c r="D49">
        <v>21</v>
      </c>
      <c r="E49">
        <v>21</v>
      </c>
      <c r="F49">
        <v>21</v>
      </c>
      <c r="G49">
        <v>28.059000000000001</v>
      </c>
      <c r="H49">
        <v>27.757000000000001</v>
      </c>
    </row>
    <row r="50" spans="2:25" x14ac:dyDescent="0.25">
      <c r="W50" t="s">
        <v>99</v>
      </c>
      <c r="X50" t="s">
        <v>100</v>
      </c>
      <c r="Y50" t="s">
        <v>98</v>
      </c>
    </row>
    <row r="51" spans="2:25" x14ac:dyDescent="0.25">
      <c r="B51">
        <v>1</v>
      </c>
      <c r="C51">
        <v>0</v>
      </c>
      <c r="D51">
        <v>20</v>
      </c>
      <c r="E51">
        <v>20</v>
      </c>
      <c r="F51">
        <v>20</v>
      </c>
      <c r="G51">
        <v>42.715000000000003</v>
      </c>
      <c r="H51">
        <v>27.600999999999999</v>
      </c>
      <c r="V51" t="s">
        <v>156</v>
      </c>
      <c r="W51">
        <f>AVERAGE(L22,P22,T22,X22,AB22)</f>
        <v>-1.4914141614841576E-2</v>
      </c>
      <c r="X51">
        <f>AVERAGE(M22,Q22,U22,Y22,AC22)</f>
        <v>1.0469994939154017</v>
      </c>
      <c r="Y51">
        <f>AVERAGE(N22,R22,V22,Z22,AD22)</f>
        <v>10.521348048105278</v>
      </c>
    </row>
    <row r="52" spans="2:25" x14ac:dyDescent="0.25">
      <c r="B52">
        <v>2</v>
      </c>
      <c r="C52">
        <v>0</v>
      </c>
      <c r="D52">
        <v>16</v>
      </c>
      <c r="E52">
        <v>16</v>
      </c>
      <c r="F52">
        <v>16</v>
      </c>
      <c r="G52">
        <v>41.567999999999998</v>
      </c>
      <c r="H52">
        <v>27.875</v>
      </c>
      <c r="V52" t="s">
        <v>159</v>
      </c>
      <c r="W52">
        <f>AVERAGE(L28)</f>
        <v>-2.0091009768473077E-2</v>
      </c>
      <c r="X52">
        <f t="shared" ref="X52:Y52" si="5">AVERAGE(M28)</f>
        <v>1.278384028902815</v>
      </c>
      <c r="Y52">
        <f t="shared" si="5"/>
        <v>8.3624073064005771</v>
      </c>
    </row>
    <row r="53" spans="2:25" x14ac:dyDescent="0.25">
      <c r="B53">
        <v>3</v>
      </c>
      <c r="C53">
        <v>0</v>
      </c>
      <c r="D53">
        <v>4</v>
      </c>
      <c r="E53">
        <v>4</v>
      </c>
      <c r="F53">
        <v>4</v>
      </c>
      <c r="G53">
        <v>40.591999999999999</v>
      </c>
      <c r="H53">
        <v>28.045999999999999</v>
      </c>
    </row>
    <row r="54" spans="2:25" x14ac:dyDescent="0.25">
      <c r="B54">
        <v>4</v>
      </c>
      <c r="C54">
        <v>0</v>
      </c>
      <c r="D54">
        <v>12</v>
      </c>
      <c r="E54">
        <v>12</v>
      </c>
      <c r="F54">
        <v>12</v>
      </c>
      <c r="G54">
        <v>39.548000000000002</v>
      </c>
      <c r="H54">
        <v>28.216999999999999</v>
      </c>
    </row>
    <row r="55" spans="2:25" x14ac:dyDescent="0.25">
      <c r="B55">
        <v>5</v>
      </c>
      <c r="C55">
        <v>0</v>
      </c>
      <c r="D55">
        <v>16</v>
      </c>
      <c r="E55">
        <v>16</v>
      </c>
      <c r="F55">
        <v>16</v>
      </c>
      <c r="G55">
        <v>38.298999999999999</v>
      </c>
      <c r="H55">
        <v>28.439</v>
      </c>
    </row>
    <row r="56" spans="2:25" x14ac:dyDescent="0.25">
      <c r="B56">
        <v>6</v>
      </c>
      <c r="C56">
        <v>0</v>
      </c>
      <c r="D56">
        <v>8</v>
      </c>
      <c r="E56">
        <v>8</v>
      </c>
      <c r="F56">
        <v>8</v>
      </c>
      <c r="G56">
        <v>36.758000000000003</v>
      </c>
      <c r="H56">
        <v>28.611000000000001</v>
      </c>
    </row>
    <row r="57" spans="2:25" x14ac:dyDescent="0.25">
      <c r="B57">
        <v>7</v>
      </c>
      <c r="C57">
        <v>0</v>
      </c>
      <c r="D57">
        <v>7</v>
      </c>
      <c r="E57">
        <v>7</v>
      </c>
      <c r="F57">
        <v>7</v>
      </c>
      <c r="G57">
        <v>35.252000000000002</v>
      </c>
      <c r="H57">
        <v>28.765000000000001</v>
      </c>
    </row>
    <row r="58" spans="2:25" x14ac:dyDescent="0.25">
      <c r="B58">
        <v>8</v>
      </c>
      <c r="C58">
        <v>0</v>
      </c>
      <c r="D58">
        <v>8</v>
      </c>
      <c r="E58">
        <v>8</v>
      </c>
      <c r="F58">
        <v>8</v>
      </c>
      <c r="G58">
        <v>33.814</v>
      </c>
      <c r="H58">
        <v>28.696000000000002</v>
      </c>
    </row>
    <row r="59" spans="2:25" x14ac:dyDescent="0.25">
      <c r="B59">
        <v>9</v>
      </c>
      <c r="C59">
        <v>0</v>
      </c>
      <c r="D59">
        <v>11</v>
      </c>
      <c r="E59">
        <v>11</v>
      </c>
      <c r="F59">
        <v>11</v>
      </c>
      <c r="G59">
        <v>32.478999999999999</v>
      </c>
      <c r="H59">
        <v>28.593</v>
      </c>
    </row>
    <row r="60" spans="2:25" x14ac:dyDescent="0.25">
      <c r="B60">
        <v>10</v>
      </c>
      <c r="C60">
        <v>0</v>
      </c>
      <c r="D60">
        <v>12</v>
      </c>
      <c r="E60">
        <v>12</v>
      </c>
      <c r="F60">
        <v>12</v>
      </c>
      <c r="G60">
        <v>31.417999999999999</v>
      </c>
      <c r="H60">
        <v>28.439</v>
      </c>
    </row>
    <row r="61" spans="2:25" x14ac:dyDescent="0.25">
      <c r="B61">
        <v>11</v>
      </c>
      <c r="C61">
        <v>0</v>
      </c>
      <c r="D61">
        <v>9</v>
      </c>
      <c r="E61">
        <v>9</v>
      </c>
      <c r="F61">
        <v>9</v>
      </c>
      <c r="G61">
        <v>30.356999999999999</v>
      </c>
      <c r="H61">
        <v>28.251000000000001</v>
      </c>
    </row>
    <row r="62" spans="2:25" x14ac:dyDescent="0.25">
      <c r="B62">
        <v>12</v>
      </c>
      <c r="C62">
        <v>0</v>
      </c>
      <c r="D62">
        <v>11</v>
      </c>
      <c r="E62">
        <v>11</v>
      </c>
      <c r="F62">
        <v>11</v>
      </c>
      <c r="G62">
        <v>29.277999999999999</v>
      </c>
      <c r="H62">
        <v>28.097000000000001</v>
      </c>
    </row>
    <row r="63" spans="2:25" x14ac:dyDescent="0.25">
      <c r="B63">
        <v>13</v>
      </c>
      <c r="C63">
        <v>0</v>
      </c>
      <c r="D63">
        <v>15</v>
      </c>
      <c r="E63">
        <v>15</v>
      </c>
      <c r="F63">
        <v>15</v>
      </c>
      <c r="G63">
        <v>28.234000000000002</v>
      </c>
      <c r="H63">
        <v>27.908999999999999</v>
      </c>
    </row>
    <row r="67" spans="2:8" x14ac:dyDescent="0.25">
      <c r="B67" cm="1">
        <f t="array" ref="B67:D71">LINEST(H37:H49,G37:G49^{1,2},,TRUE)</f>
        <v>-1.1579318878609107E-2</v>
      </c>
      <c r="C67">
        <v>0.79148036115070175</v>
      </c>
      <c r="D67">
        <v>14.585542674105497</v>
      </c>
      <c r="F67" cm="1">
        <f t="array" ref="F67:H71">LINEST(H51:H63,G51:G63^{1,2},,TRUE)</f>
        <v>-1.8243535430450344E-2</v>
      </c>
      <c r="G67">
        <v>1.2722106767030337</v>
      </c>
      <c r="H67">
        <v>6.5011845551915428</v>
      </c>
    </row>
    <row r="68" spans="2:8" x14ac:dyDescent="0.25">
      <c r="B68">
        <v>1.1984969782248632E-3</v>
      </c>
      <c r="C68">
        <v>8.3477976846639768E-2</v>
      </c>
      <c r="D68">
        <v>1.4396463729343703</v>
      </c>
      <c r="F68">
        <v>7.4433851636311089E-4</v>
      </c>
      <c r="G68">
        <v>5.2887797615649004E-2</v>
      </c>
      <c r="H68">
        <v>0.92581387136040871</v>
      </c>
    </row>
    <row r="69" spans="2:8" x14ac:dyDescent="0.25">
      <c r="B69" s="27">
        <v>0.910681840286931</v>
      </c>
      <c r="C69">
        <v>6.6789953765190799E-2</v>
      </c>
      <c r="D69" t="e">
        <v>#N/A</v>
      </c>
      <c r="F69" s="27">
        <v>0.98515347115885632</v>
      </c>
      <c r="G69">
        <v>4.7525541786114095E-2</v>
      </c>
      <c r="H69" t="e">
        <v>#N/A</v>
      </c>
    </row>
    <row r="70" spans="2:8" x14ac:dyDescent="0.25">
      <c r="B70">
        <v>50.979657620155898</v>
      </c>
      <c r="C70">
        <v>10</v>
      </c>
      <c r="D70" t="e">
        <v>#N/A</v>
      </c>
      <c r="F70">
        <v>331.77905815557779</v>
      </c>
      <c r="G70">
        <v>10</v>
      </c>
      <c r="H70" t="e">
        <v>#N/A</v>
      </c>
    </row>
    <row r="71" spans="2:8" x14ac:dyDescent="0.25">
      <c r="B71">
        <v>0.45483009768351523</v>
      </c>
      <c r="C71">
        <v>4.4608979239563237E-2</v>
      </c>
      <c r="D71" t="e">
        <v>#N/A</v>
      </c>
      <c r="F71">
        <v>1.4987635364716754</v>
      </c>
      <c r="G71">
        <v>2.2586771220636768E-2</v>
      </c>
      <c r="H71" t="e">
        <v>#N/A</v>
      </c>
    </row>
    <row r="74" spans="2:8" x14ac:dyDescent="0.25">
      <c r="B74" t="s">
        <v>102</v>
      </c>
      <c r="C74" t="s">
        <v>101</v>
      </c>
    </row>
    <row r="75" spans="2:8" x14ac:dyDescent="0.25">
      <c r="B75">
        <f>-C67/(2*B67)</f>
        <v>34.176464498824359</v>
      </c>
      <c r="C75" t="e">
        <f>B75*(((C63/C62)^2)+(((B63*2)/(B62*2))^2))^0.5</f>
        <v>#DIV/0!</v>
      </c>
      <c r="D75" s="24" t="e">
        <f>C75/B75</f>
        <v>#DIV/0!</v>
      </c>
    </row>
    <row r="76" spans="2:8" x14ac:dyDescent="0.25">
      <c r="B76">
        <f>-G67/(2*F67)</f>
        <v>34.867437881025594</v>
      </c>
      <c r="C76">
        <f>B76*(((C69/C68)^2)+(((B69*2)/(B68*2))^2))^0.5</f>
        <v>26494.151153525094</v>
      </c>
      <c r="D76" s="24">
        <f>C76/B76</f>
        <v>759.85368480265845</v>
      </c>
    </row>
    <row r="78" spans="2:8" x14ac:dyDescent="0.25">
      <c r="B78">
        <f>B76-B75</f>
        <v>0.69097338220123561</v>
      </c>
    </row>
    <row r="80" spans="2:8" x14ac:dyDescent="0.25">
      <c r="B80">
        <f>H57-H43</f>
        <v>0.57199999999999918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5069B-5807-4456-A4AE-55F594D9CABF}">
  <dimension ref="B2:AE78"/>
  <sheetViews>
    <sheetView topLeftCell="A37" zoomScale="85" zoomScaleNormal="85" workbookViewId="0">
      <selection activeCell="L13" sqref="L13"/>
    </sheetView>
  </sheetViews>
  <sheetFormatPr defaultRowHeight="15" x14ac:dyDescent="0.25"/>
  <cols>
    <col min="12" max="12" width="12" bestFit="1" customWidth="1"/>
    <col min="13" max="13" width="10.140625" customWidth="1"/>
    <col min="15" max="15" width="12.7109375" bestFit="1" customWidth="1"/>
    <col min="16" max="16" width="10.28515625" customWidth="1"/>
    <col min="19" max="19" width="11" bestFit="1" customWidth="1"/>
    <col min="20" max="20" width="12" bestFit="1" customWidth="1"/>
    <col min="23" max="24" width="12" bestFit="1" customWidth="1"/>
    <col min="28" max="28" width="12" bestFit="1" customWidth="1"/>
  </cols>
  <sheetData>
    <row r="2" spans="2:31" x14ac:dyDescent="0.25">
      <c r="B2" t="s">
        <v>114</v>
      </c>
      <c r="K2" t="s">
        <v>115</v>
      </c>
    </row>
    <row r="3" spans="2:31" x14ac:dyDescent="0.25">
      <c r="K3">
        <v>9.5</v>
      </c>
    </row>
    <row r="4" spans="2:31" x14ac:dyDescent="0.25">
      <c r="C4" s="20"/>
      <c r="D4" s="20" t="s">
        <v>83</v>
      </c>
      <c r="E4" s="20" t="s">
        <v>84</v>
      </c>
      <c r="F4" s="20" t="s">
        <v>82</v>
      </c>
      <c r="G4" s="19" t="s">
        <v>85</v>
      </c>
      <c r="H4" s="19" t="s">
        <v>10</v>
      </c>
      <c r="I4" s="20"/>
      <c r="L4">
        <v>1</v>
      </c>
      <c r="P4">
        <v>2</v>
      </c>
      <c r="T4">
        <v>3</v>
      </c>
      <c r="X4">
        <v>4</v>
      </c>
      <c r="AB4">
        <v>5</v>
      </c>
    </row>
    <row r="5" spans="2:31" x14ac:dyDescent="0.25">
      <c r="B5" t="s">
        <v>64</v>
      </c>
      <c r="C5" s="20" t="s">
        <v>60</v>
      </c>
      <c r="D5" t="s">
        <v>86</v>
      </c>
      <c r="E5" t="s">
        <v>87</v>
      </c>
      <c r="F5" t="s">
        <v>88</v>
      </c>
      <c r="G5" t="s">
        <v>89</v>
      </c>
      <c r="H5" s="19"/>
      <c r="I5" s="20"/>
      <c r="L5" t="s">
        <v>104</v>
      </c>
      <c r="N5" t="s">
        <v>105</v>
      </c>
      <c r="P5" t="s">
        <v>104</v>
      </c>
      <c r="R5" t="s">
        <v>105</v>
      </c>
      <c r="T5" t="s">
        <v>104</v>
      </c>
      <c r="V5" t="s">
        <v>105</v>
      </c>
      <c r="X5" t="s">
        <v>104</v>
      </c>
      <c r="Z5" t="s">
        <v>105</v>
      </c>
      <c r="AB5" t="s">
        <v>104</v>
      </c>
      <c r="AD5" t="s">
        <v>105</v>
      </c>
    </row>
    <row r="6" spans="2:31" x14ac:dyDescent="0.25">
      <c r="B6">
        <v>9.5</v>
      </c>
      <c r="C6">
        <v>1</v>
      </c>
      <c r="D6">
        <v>-9.7669999999999995</v>
      </c>
      <c r="E6">
        <v>9.7469999999999999</v>
      </c>
      <c r="G6">
        <f>AVERAGE(D6:D10)</f>
        <v>-10.060400000000001</v>
      </c>
      <c r="H6">
        <f>AVERAGE(E6:E10)</f>
        <v>9.542600000000002</v>
      </c>
      <c r="L6" t="s">
        <v>96</v>
      </c>
      <c r="M6" t="s">
        <v>97</v>
      </c>
      <c r="N6" t="s">
        <v>96</v>
      </c>
      <c r="O6" t="s">
        <v>97</v>
      </c>
      <c r="P6" t="s">
        <v>96</v>
      </c>
      <c r="Q6" t="s">
        <v>97</v>
      </c>
      <c r="R6" t="s">
        <v>96</v>
      </c>
      <c r="S6" t="s">
        <v>97</v>
      </c>
      <c r="T6" t="s">
        <v>96</v>
      </c>
      <c r="U6" t="s">
        <v>97</v>
      </c>
      <c r="V6" t="s">
        <v>96</v>
      </c>
      <c r="W6" t="s">
        <v>97</v>
      </c>
      <c r="X6" t="s">
        <v>96</v>
      </c>
      <c r="Y6" t="s">
        <v>97</v>
      </c>
      <c r="Z6" t="s">
        <v>96</v>
      </c>
      <c r="AA6" t="s">
        <v>97</v>
      </c>
      <c r="AB6" t="s">
        <v>96</v>
      </c>
      <c r="AC6" t="s">
        <v>97</v>
      </c>
      <c r="AD6" t="s">
        <v>96</v>
      </c>
      <c r="AE6" t="s">
        <v>97</v>
      </c>
    </row>
    <row r="7" spans="2:31" x14ac:dyDescent="0.25">
      <c r="D7">
        <v>-10.012</v>
      </c>
      <c r="E7">
        <v>9.5250000000000004</v>
      </c>
      <c r="G7">
        <f>_xlfn.STDEV.S(D6:D10)</f>
        <v>0.18927308313650967</v>
      </c>
      <c r="H7">
        <f>_xlfn.STDEV.S(E6:E10)</f>
        <v>0.19045025597252416</v>
      </c>
      <c r="K7">
        <v>1</v>
      </c>
      <c r="L7">
        <v>37.505000000000003</v>
      </c>
      <c r="M7">
        <v>17.465999999999998</v>
      </c>
      <c r="N7">
        <v>39.375</v>
      </c>
      <c r="O7">
        <v>17.994</v>
      </c>
      <c r="P7">
        <v>36.435000000000002</v>
      </c>
      <c r="Q7">
        <v>29.339999999999996</v>
      </c>
      <c r="R7">
        <v>38.267000000000003</v>
      </c>
      <c r="S7">
        <v>29.739000000000001</v>
      </c>
      <c r="T7">
        <v>44.991999999999997</v>
      </c>
      <c r="U7">
        <v>37.652000000000001</v>
      </c>
      <c r="V7">
        <v>45.59</v>
      </c>
      <c r="W7">
        <v>36.331000000000003</v>
      </c>
      <c r="X7">
        <v>46.085000000000001</v>
      </c>
      <c r="Y7">
        <v>30.869</v>
      </c>
      <c r="Z7">
        <v>45.255000000000003</v>
      </c>
      <c r="AA7">
        <v>30.875</v>
      </c>
      <c r="AB7">
        <v>43.097999999999999</v>
      </c>
      <c r="AC7">
        <v>30.175999999999998</v>
      </c>
      <c r="AD7">
        <v>45.238999999999997</v>
      </c>
      <c r="AE7">
        <v>29.584</v>
      </c>
    </row>
    <row r="8" spans="2:31" x14ac:dyDescent="0.25">
      <c r="D8">
        <v>-10.215</v>
      </c>
      <c r="E8">
        <v>9.35</v>
      </c>
      <c r="K8">
        <v>2</v>
      </c>
      <c r="L8">
        <v>36.762999999999998</v>
      </c>
      <c r="M8">
        <v>17.523</v>
      </c>
      <c r="N8">
        <v>38.667000000000002</v>
      </c>
      <c r="O8">
        <v>18.065999999999999</v>
      </c>
      <c r="P8">
        <v>35.590000000000003</v>
      </c>
      <c r="Q8">
        <v>29.456999999999997</v>
      </c>
      <c r="R8">
        <v>37.027000000000001</v>
      </c>
      <c r="S8">
        <v>29.890999999999998</v>
      </c>
      <c r="T8">
        <v>44.125</v>
      </c>
      <c r="U8">
        <v>37.780999999999999</v>
      </c>
      <c r="V8">
        <v>44.259</v>
      </c>
      <c r="W8">
        <v>36.731999999999999</v>
      </c>
      <c r="X8">
        <v>44.856000000000002</v>
      </c>
      <c r="Y8">
        <v>31.018000000000001</v>
      </c>
      <c r="Z8">
        <v>44.249000000000002</v>
      </c>
      <c r="AA8">
        <v>31.21</v>
      </c>
      <c r="AB8">
        <v>42.448999999999998</v>
      </c>
      <c r="AC8">
        <v>30.288</v>
      </c>
      <c r="AD8">
        <v>44.21</v>
      </c>
      <c r="AE8">
        <v>29.946000000000002</v>
      </c>
    </row>
    <row r="9" spans="2:31" x14ac:dyDescent="0.25">
      <c r="D9">
        <v>-10.236000000000001</v>
      </c>
      <c r="E9">
        <v>9.3640000000000008</v>
      </c>
      <c r="K9">
        <v>3</v>
      </c>
      <c r="L9">
        <v>35.872999999999998</v>
      </c>
      <c r="M9">
        <v>17.579999999999998</v>
      </c>
      <c r="N9">
        <v>37.887</v>
      </c>
      <c r="O9">
        <v>18.152999999999999</v>
      </c>
      <c r="P9">
        <v>34.978999999999999</v>
      </c>
      <c r="Q9">
        <v>29.456999999999997</v>
      </c>
      <c r="R9">
        <v>36.091999999999999</v>
      </c>
      <c r="S9">
        <v>30</v>
      </c>
      <c r="T9">
        <v>43.369</v>
      </c>
      <c r="U9">
        <v>37.854999999999997</v>
      </c>
      <c r="V9">
        <v>43.201999999999998</v>
      </c>
      <c r="W9">
        <v>36.951000000000001</v>
      </c>
      <c r="X9">
        <v>43.72</v>
      </c>
      <c r="Y9">
        <v>31.093</v>
      </c>
      <c r="Z9">
        <v>43.317999999999998</v>
      </c>
      <c r="AA9">
        <v>31.471</v>
      </c>
      <c r="AB9">
        <v>41.701000000000001</v>
      </c>
      <c r="AC9">
        <v>30.344999999999999</v>
      </c>
      <c r="AD9">
        <v>42.829000000000001</v>
      </c>
      <c r="AE9">
        <v>30.390999999999998</v>
      </c>
    </row>
    <row r="10" spans="2:31" x14ac:dyDescent="0.25">
      <c r="D10">
        <v>-10.071999999999999</v>
      </c>
      <c r="E10">
        <v>9.7270000000000003</v>
      </c>
      <c r="K10">
        <v>4</v>
      </c>
      <c r="L10">
        <v>35.152999999999999</v>
      </c>
      <c r="M10">
        <v>17.658999999999999</v>
      </c>
      <c r="N10">
        <v>37.122</v>
      </c>
      <c r="O10">
        <v>18.254000000000001</v>
      </c>
      <c r="P10">
        <v>34.119999999999997</v>
      </c>
      <c r="Q10">
        <v>29.557999999999996</v>
      </c>
      <c r="R10">
        <v>35.134</v>
      </c>
      <c r="S10">
        <v>30.109000000000002</v>
      </c>
      <c r="T10">
        <v>42.594000000000001</v>
      </c>
      <c r="U10">
        <v>37.909999999999997</v>
      </c>
      <c r="V10">
        <v>42.436999999999998</v>
      </c>
      <c r="W10">
        <v>37.097000000000001</v>
      </c>
      <c r="X10">
        <v>42.509</v>
      </c>
      <c r="Y10">
        <v>31.204000000000001</v>
      </c>
      <c r="Z10">
        <v>42.180999999999997</v>
      </c>
      <c r="AA10">
        <v>31.582000000000001</v>
      </c>
      <c r="AB10">
        <v>40.954000000000001</v>
      </c>
      <c r="AC10">
        <v>30.401</v>
      </c>
      <c r="AD10">
        <v>41.790999999999997</v>
      </c>
      <c r="AE10">
        <v>30.687000000000001</v>
      </c>
    </row>
    <row r="11" spans="2:31" x14ac:dyDescent="0.25">
      <c r="K11">
        <v>5</v>
      </c>
      <c r="L11">
        <v>34.39</v>
      </c>
      <c r="M11">
        <v>17.716000000000001</v>
      </c>
      <c r="N11">
        <v>36.457000000000001</v>
      </c>
      <c r="O11">
        <v>18.312000000000001</v>
      </c>
      <c r="P11">
        <v>33.231999999999999</v>
      </c>
      <c r="Q11">
        <v>29.630999999999997</v>
      </c>
      <c r="R11">
        <v>34.134</v>
      </c>
      <c r="S11">
        <v>30.152999999999999</v>
      </c>
      <c r="T11">
        <v>41.801000000000002</v>
      </c>
      <c r="U11">
        <v>37.965000000000003</v>
      </c>
      <c r="V11">
        <v>41.652999999999999</v>
      </c>
      <c r="W11">
        <v>37.261000000000003</v>
      </c>
      <c r="X11">
        <v>41.018999999999998</v>
      </c>
      <c r="Y11">
        <v>31.279</v>
      </c>
      <c r="Z11">
        <v>41.045000000000002</v>
      </c>
      <c r="AA11">
        <v>31.713000000000001</v>
      </c>
      <c r="AB11">
        <v>40.106999999999999</v>
      </c>
      <c r="AC11">
        <v>30.513999999999999</v>
      </c>
      <c r="AD11">
        <v>40.753</v>
      </c>
      <c r="AE11">
        <v>30.965</v>
      </c>
    </row>
    <row r="12" spans="2:31" x14ac:dyDescent="0.25">
      <c r="B12">
        <v>9.5</v>
      </c>
      <c r="C12">
        <v>2</v>
      </c>
      <c r="D12">
        <v>-9.8190000000000008</v>
      </c>
      <c r="E12">
        <v>7.6740000000000004</v>
      </c>
      <c r="G12">
        <f>AVERAGE(D12:D16)</f>
        <v>-10.0648</v>
      </c>
      <c r="H12">
        <f>AVERAGE(E12:E16)</f>
        <v>7.4878</v>
      </c>
      <c r="K12">
        <v>6</v>
      </c>
      <c r="L12">
        <v>33.838999999999999</v>
      </c>
      <c r="M12">
        <v>17.757999999999999</v>
      </c>
      <c r="N12">
        <v>35.576000000000001</v>
      </c>
      <c r="O12">
        <v>18.369</v>
      </c>
      <c r="P12">
        <v>32.561999999999998</v>
      </c>
      <c r="Q12">
        <v>29.630999999999997</v>
      </c>
      <c r="R12">
        <v>32.959000000000003</v>
      </c>
      <c r="S12">
        <v>30.260999999999999</v>
      </c>
      <c r="T12">
        <v>40.970999999999997</v>
      </c>
      <c r="U12">
        <v>38.057000000000002</v>
      </c>
      <c r="V12">
        <v>40.796999999999997</v>
      </c>
      <c r="W12">
        <v>37.369999999999997</v>
      </c>
      <c r="X12">
        <v>39.622</v>
      </c>
      <c r="Y12">
        <v>31.315999999999999</v>
      </c>
      <c r="Z12">
        <v>39.982999999999997</v>
      </c>
      <c r="AA12">
        <v>31.861999999999998</v>
      </c>
      <c r="AB12">
        <v>39.134</v>
      </c>
      <c r="AC12">
        <v>30.571000000000002</v>
      </c>
      <c r="AD12">
        <v>39.566000000000003</v>
      </c>
      <c r="AE12">
        <v>31.262</v>
      </c>
    </row>
    <row r="13" spans="2:31" x14ac:dyDescent="0.25">
      <c r="D13">
        <v>-10.038</v>
      </c>
      <c r="E13">
        <v>7.452</v>
      </c>
      <c r="G13">
        <f>_xlfn.STDEV.S(D12:D16)</f>
        <v>0.17963212407584558</v>
      </c>
      <c r="H13">
        <f>_xlfn.STDEV.S(E12:E16)</f>
        <v>0.18993735809471521</v>
      </c>
      <c r="K13" s="26">
        <v>7</v>
      </c>
      <c r="L13" s="26">
        <v>33.203000000000003</v>
      </c>
      <c r="M13" s="26">
        <v>17.777999999999999</v>
      </c>
      <c r="N13" s="26">
        <v>34.29</v>
      </c>
      <c r="O13" s="26">
        <v>18.484999999999999</v>
      </c>
      <c r="P13" s="26">
        <v>31.440999999999999</v>
      </c>
      <c r="Q13" s="26">
        <v>29.662999999999997</v>
      </c>
      <c r="R13">
        <v>31.349</v>
      </c>
      <c r="S13">
        <v>30.327000000000002</v>
      </c>
      <c r="T13" s="26">
        <v>40.215000000000003</v>
      </c>
      <c r="U13" s="26">
        <v>38.134</v>
      </c>
      <c r="V13" s="26">
        <v>40.012999999999998</v>
      </c>
      <c r="W13" s="26">
        <v>37.442999999999998</v>
      </c>
      <c r="X13" s="26">
        <v>38.505000000000003</v>
      </c>
      <c r="Y13" s="26">
        <v>31.353000000000002</v>
      </c>
      <c r="Z13" s="26">
        <v>38.4</v>
      </c>
      <c r="AA13" s="26">
        <v>32.011000000000003</v>
      </c>
      <c r="AB13" s="26">
        <v>38.005000000000003</v>
      </c>
      <c r="AC13" s="26">
        <v>30.657</v>
      </c>
      <c r="AD13" s="26">
        <v>38.134</v>
      </c>
      <c r="AE13" s="26">
        <v>31.460999999999999</v>
      </c>
    </row>
    <row r="14" spans="2:31" x14ac:dyDescent="0.25">
      <c r="D14">
        <v>-10.281000000000001</v>
      </c>
      <c r="E14">
        <v>7.26</v>
      </c>
      <c r="K14">
        <v>8</v>
      </c>
      <c r="L14">
        <v>32.313000000000002</v>
      </c>
      <c r="M14">
        <v>17.779</v>
      </c>
      <c r="N14">
        <v>33.350999999999999</v>
      </c>
      <c r="O14">
        <v>18.498999999999999</v>
      </c>
      <c r="P14">
        <v>30.553000000000001</v>
      </c>
      <c r="Q14">
        <v>29.703999999999997</v>
      </c>
      <c r="R14">
        <v>30</v>
      </c>
      <c r="S14">
        <v>30.37</v>
      </c>
      <c r="T14">
        <v>39.311999999999998</v>
      </c>
      <c r="U14">
        <v>38.076000000000001</v>
      </c>
      <c r="V14">
        <v>38.774000000000001</v>
      </c>
      <c r="W14">
        <v>37.479999999999997</v>
      </c>
      <c r="X14">
        <v>37.536000000000001</v>
      </c>
      <c r="Y14">
        <v>31.372</v>
      </c>
      <c r="Z14">
        <v>37.207999999999998</v>
      </c>
      <c r="AA14">
        <v>31.917999999999999</v>
      </c>
      <c r="AB14">
        <v>37.101999999999997</v>
      </c>
      <c r="AC14">
        <v>30.613</v>
      </c>
      <c r="AD14">
        <v>36.854999999999997</v>
      </c>
      <c r="AE14">
        <v>31.446999999999999</v>
      </c>
    </row>
    <row r="15" spans="2:31" x14ac:dyDescent="0.25">
      <c r="D15">
        <v>-10.192</v>
      </c>
      <c r="E15">
        <v>7.3630000000000004</v>
      </c>
      <c r="K15">
        <v>9</v>
      </c>
      <c r="L15">
        <v>31.295999999999999</v>
      </c>
      <c r="M15">
        <v>17.738</v>
      </c>
      <c r="N15">
        <v>32.441000000000003</v>
      </c>
      <c r="O15">
        <v>18.456</v>
      </c>
      <c r="P15">
        <v>29.738</v>
      </c>
      <c r="Q15">
        <v>29.688999999999997</v>
      </c>
      <c r="R15">
        <v>28.803999999999998</v>
      </c>
      <c r="S15">
        <v>30.347999999999999</v>
      </c>
      <c r="T15">
        <v>38.408000000000001</v>
      </c>
      <c r="U15">
        <v>38.021000000000001</v>
      </c>
      <c r="V15">
        <v>37.808</v>
      </c>
      <c r="W15">
        <v>37.460999999999999</v>
      </c>
      <c r="X15">
        <v>36.493000000000002</v>
      </c>
      <c r="Y15">
        <v>31.372</v>
      </c>
      <c r="Z15">
        <v>36.201999999999998</v>
      </c>
      <c r="AA15">
        <v>31.843</v>
      </c>
      <c r="AB15">
        <v>36.198999999999998</v>
      </c>
      <c r="AC15">
        <v>30.585000000000001</v>
      </c>
      <c r="AD15">
        <v>35.853999999999999</v>
      </c>
      <c r="AE15">
        <v>31.378</v>
      </c>
    </row>
    <row r="16" spans="2:31" x14ac:dyDescent="0.25">
      <c r="D16">
        <v>-9.9939999999999998</v>
      </c>
      <c r="E16">
        <v>7.69</v>
      </c>
      <c r="K16">
        <v>10</v>
      </c>
      <c r="L16">
        <v>30.427</v>
      </c>
      <c r="M16">
        <v>17.701000000000001</v>
      </c>
      <c r="N16">
        <v>31.704000000000001</v>
      </c>
      <c r="O16">
        <v>18.427</v>
      </c>
      <c r="P16">
        <v>28.995000000000001</v>
      </c>
      <c r="Q16">
        <v>29.659999999999997</v>
      </c>
      <c r="R16">
        <v>27.564</v>
      </c>
      <c r="S16">
        <v>30.283000000000001</v>
      </c>
      <c r="T16">
        <v>37.485999999999997</v>
      </c>
      <c r="U16">
        <v>38.002000000000002</v>
      </c>
      <c r="V16">
        <v>36.658999999999999</v>
      </c>
      <c r="W16">
        <v>37.406999999999996</v>
      </c>
      <c r="X16">
        <v>35.488</v>
      </c>
      <c r="Y16">
        <v>31.335000000000001</v>
      </c>
      <c r="Z16">
        <v>34.991</v>
      </c>
      <c r="AA16">
        <v>31.75</v>
      </c>
      <c r="AB16">
        <v>35.212000000000003</v>
      </c>
      <c r="AC16">
        <v>30.585000000000001</v>
      </c>
      <c r="AD16">
        <v>34.548000000000002</v>
      </c>
      <c r="AE16">
        <v>31.28</v>
      </c>
    </row>
    <row r="17" spans="2:31" x14ac:dyDescent="0.25">
      <c r="K17">
        <v>11</v>
      </c>
      <c r="L17">
        <v>29.388999999999999</v>
      </c>
      <c r="M17">
        <v>17.623000000000001</v>
      </c>
      <c r="N17">
        <v>30.591999999999999</v>
      </c>
      <c r="O17">
        <v>18.384</v>
      </c>
      <c r="P17">
        <v>28.048999999999999</v>
      </c>
      <c r="Q17">
        <v>29.645999999999997</v>
      </c>
      <c r="R17">
        <v>26.367000000000001</v>
      </c>
      <c r="S17">
        <v>30.24</v>
      </c>
      <c r="T17">
        <v>36.231999999999999</v>
      </c>
      <c r="U17">
        <v>37.909999999999997</v>
      </c>
      <c r="V17">
        <v>35.53</v>
      </c>
      <c r="W17">
        <v>37.316000000000003</v>
      </c>
      <c r="X17">
        <v>34.518999999999998</v>
      </c>
      <c r="Y17">
        <v>31.335000000000001</v>
      </c>
      <c r="Z17">
        <v>33.835999999999999</v>
      </c>
      <c r="AA17">
        <v>31.564</v>
      </c>
      <c r="AB17">
        <v>34.040999999999997</v>
      </c>
      <c r="AC17">
        <v>30.542000000000002</v>
      </c>
      <c r="AD17">
        <v>32.545999999999999</v>
      </c>
      <c r="AE17">
        <v>30.960999999999999</v>
      </c>
    </row>
    <row r="18" spans="2:31" x14ac:dyDescent="0.25">
      <c r="B18">
        <v>9.5</v>
      </c>
      <c r="C18">
        <v>3</v>
      </c>
      <c r="D18">
        <v>-9.6289999999999996</v>
      </c>
      <c r="E18">
        <v>8.4019999999999992</v>
      </c>
      <c r="G18">
        <f>AVERAGE(D18:D22)</f>
        <v>-10.0044</v>
      </c>
      <c r="H18">
        <f>AVERAGE(E18:E22)</f>
        <v>8.2385999999999999</v>
      </c>
      <c r="K18">
        <v>12</v>
      </c>
      <c r="L18">
        <v>28.309000000000001</v>
      </c>
      <c r="M18">
        <v>17.608000000000001</v>
      </c>
      <c r="N18">
        <v>29.420999999999999</v>
      </c>
      <c r="O18">
        <v>18.355</v>
      </c>
      <c r="P18">
        <v>27.088000000000001</v>
      </c>
      <c r="Q18">
        <v>29.587999999999997</v>
      </c>
      <c r="R18">
        <v>25.105</v>
      </c>
      <c r="S18">
        <v>30.196000000000002</v>
      </c>
      <c r="T18">
        <v>34.941000000000003</v>
      </c>
      <c r="U18">
        <v>37.890999999999998</v>
      </c>
      <c r="V18">
        <v>34.253999999999998</v>
      </c>
      <c r="W18">
        <v>37.17</v>
      </c>
      <c r="X18">
        <v>33.103999999999999</v>
      </c>
      <c r="Y18">
        <v>31.26</v>
      </c>
      <c r="Z18">
        <v>32.680999999999997</v>
      </c>
      <c r="AA18">
        <v>31.359000000000002</v>
      </c>
      <c r="AB18">
        <v>32.305999999999997</v>
      </c>
      <c r="AC18">
        <v>30.527999999999999</v>
      </c>
      <c r="AD18">
        <v>31.169</v>
      </c>
      <c r="AE18">
        <v>30.655000000000001</v>
      </c>
    </row>
    <row r="19" spans="2:31" x14ac:dyDescent="0.25">
      <c r="D19">
        <v>-9.9429999999999996</v>
      </c>
      <c r="E19">
        <v>8.2379999999999995</v>
      </c>
      <c r="G19">
        <f>_xlfn.STDEV.S(D18:D22)</f>
        <v>0.22980818088136037</v>
      </c>
      <c r="H19">
        <f>_xlfn.STDEV.S(E18:E22)</f>
        <v>0.14645750236843436</v>
      </c>
      <c r="K19">
        <v>13</v>
      </c>
      <c r="L19">
        <v>27.164000000000001</v>
      </c>
      <c r="M19">
        <v>17.593</v>
      </c>
      <c r="N19">
        <v>28.626999999999999</v>
      </c>
      <c r="O19">
        <v>18.326000000000001</v>
      </c>
      <c r="P19">
        <v>25.064</v>
      </c>
      <c r="Q19">
        <v>29.485999999999997</v>
      </c>
      <c r="R19">
        <v>24.387</v>
      </c>
      <c r="S19">
        <v>30.173999999999999</v>
      </c>
      <c r="T19">
        <v>33.427999999999997</v>
      </c>
      <c r="U19">
        <v>37.762</v>
      </c>
      <c r="V19">
        <v>32.996000000000002</v>
      </c>
      <c r="W19">
        <v>36.86</v>
      </c>
      <c r="X19">
        <v>31.501999999999999</v>
      </c>
      <c r="Y19">
        <v>31.13</v>
      </c>
      <c r="Z19">
        <v>31.34</v>
      </c>
      <c r="AA19">
        <v>31.08</v>
      </c>
      <c r="AB19">
        <v>31.190999999999999</v>
      </c>
      <c r="AC19">
        <v>30.457999999999998</v>
      </c>
      <c r="AD19">
        <v>29.556999999999999</v>
      </c>
      <c r="AE19">
        <v>29.974</v>
      </c>
    </row>
    <row r="20" spans="2:31" x14ac:dyDescent="0.25">
      <c r="D20">
        <v>-10.180999999999999</v>
      </c>
      <c r="E20">
        <v>8.0739999999999998</v>
      </c>
    </row>
    <row r="21" spans="2:31" x14ac:dyDescent="0.25">
      <c r="D21">
        <v>-10.162000000000001</v>
      </c>
      <c r="E21">
        <v>8.1129999999999995</v>
      </c>
      <c r="L21" t="s">
        <v>99</v>
      </c>
      <c r="M21" t="s">
        <v>100</v>
      </c>
      <c r="N21" t="s">
        <v>98</v>
      </c>
      <c r="P21" t="s">
        <v>99</v>
      </c>
      <c r="Q21" t="s">
        <v>100</v>
      </c>
      <c r="R21" t="s">
        <v>98</v>
      </c>
      <c r="T21" t="s">
        <v>99</v>
      </c>
      <c r="U21" t="s">
        <v>100</v>
      </c>
      <c r="V21" t="s">
        <v>98</v>
      </c>
      <c r="X21" t="s">
        <v>99</v>
      </c>
      <c r="Y21" t="s">
        <v>100</v>
      </c>
      <c r="Z21" t="s">
        <v>98</v>
      </c>
      <c r="AB21" t="s">
        <v>99</v>
      </c>
      <c r="AC21" t="s">
        <v>100</v>
      </c>
      <c r="AD21" t="s">
        <v>98</v>
      </c>
    </row>
    <row r="22" spans="2:31" x14ac:dyDescent="0.25">
      <c r="D22">
        <v>-10.106999999999999</v>
      </c>
      <c r="E22">
        <v>8.3659999999999997</v>
      </c>
      <c r="K22" t="s">
        <v>102</v>
      </c>
      <c r="L22" cm="1">
        <f t="array" ref="L22:N26">LINEST(M7:M19,L7:L19^{1,2},,TRUE)</f>
        <v>-9.4163822569309462E-3</v>
      </c>
      <c r="M22">
        <v>0.60218509866243253</v>
      </c>
      <c r="N22">
        <v>8.1263869729009546</v>
      </c>
      <c r="P22" cm="1">
        <f t="array" ref="P22:R26">LINEST(Q7:Q19,P7:P19^{1,2},,TRUE)</f>
        <v>-8.4186401213364563E-3</v>
      </c>
      <c r="Q22">
        <v>0.50724625862854122</v>
      </c>
      <c r="R22">
        <v>22.045248768300837</v>
      </c>
      <c r="T22" cm="1">
        <f t="array" ref="T22:V26">LINEST(U7:U19,T7:T19^{1,2},,TRUE)</f>
        <v>-1.0858877901506341E-2</v>
      </c>
      <c r="U22">
        <v>0.84721215698507812</v>
      </c>
      <c r="V22">
        <v>21.537282795814633</v>
      </c>
      <c r="X22" cm="1">
        <f t="array" ref="X22:Z26">LINEST(Y7:Y19,X7:X19^{1,2},,TRUE)</f>
        <v>-6.4974827183686508E-3</v>
      </c>
      <c r="Y22">
        <v>0.48545969244874299</v>
      </c>
      <c r="Z22">
        <v>22.299994414071655</v>
      </c>
      <c r="AB22" cm="1">
        <f t="array" ref="AB22:AD26">LINEST(AC7:AC19,AB7:AB19^{1,2},,TRUE)</f>
        <v>-8.3456189612127109E-3</v>
      </c>
      <c r="AC22">
        <v>0.6008983914496312</v>
      </c>
      <c r="AD22">
        <v>19.807975919850826</v>
      </c>
    </row>
    <row r="23" spans="2:31" x14ac:dyDescent="0.25">
      <c r="K23" t="s">
        <v>101</v>
      </c>
      <c r="L23">
        <v>1.138806953619822E-3</v>
      </c>
      <c r="M23">
        <v>7.3849924506483117E-2</v>
      </c>
      <c r="N23">
        <v>1.1885232197942994</v>
      </c>
      <c r="P23">
        <v>4.8662042189769267E-4</v>
      </c>
      <c r="Q23">
        <v>3.0229408636452189E-2</v>
      </c>
      <c r="R23">
        <v>0.46530903208887536</v>
      </c>
      <c r="T23">
        <v>1.0491063074364192E-3</v>
      </c>
      <c r="U23">
        <v>8.2628618868043222E-2</v>
      </c>
      <c r="V23">
        <v>1.6172177255676103</v>
      </c>
      <c r="X23">
        <v>2.022608764442529E-4</v>
      </c>
      <c r="Y23">
        <v>1.5778109975461859E-2</v>
      </c>
      <c r="Z23">
        <v>0.30461518501361362</v>
      </c>
      <c r="AB23">
        <v>8.2068531887541417E-4</v>
      </c>
      <c r="AC23">
        <v>6.130142500337913E-2</v>
      </c>
      <c r="AD23">
        <v>1.13571016847878</v>
      </c>
    </row>
    <row r="24" spans="2:31" x14ac:dyDescent="0.25">
      <c r="B24">
        <v>9.5</v>
      </c>
      <c r="C24">
        <v>4</v>
      </c>
      <c r="D24">
        <v>-9.6869999999999994</v>
      </c>
      <c r="E24">
        <v>6.8550000000000004</v>
      </c>
      <c r="G24">
        <f>AVERAGE(D24:D28)</f>
        <v>-10.028</v>
      </c>
      <c r="H24">
        <f>AVERAGE(E24:E28)</f>
        <v>6.5274000000000001</v>
      </c>
      <c r="K24" t="s">
        <v>103</v>
      </c>
      <c r="L24">
        <v>0.88078206055005204</v>
      </c>
      <c r="M24">
        <v>3.7776044851269945E-2</v>
      </c>
      <c r="N24" t="e">
        <v>#N/A</v>
      </c>
      <c r="P24">
        <v>0.9749419167998411</v>
      </c>
      <c r="Q24">
        <v>1.9210605239906427E-2</v>
      </c>
      <c r="R24" t="e">
        <v>#N/A</v>
      </c>
      <c r="T24">
        <v>0.91772148215502625</v>
      </c>
      <c r="U24">
        <v>4.340567638153011E-2</v>
      </c>
      <c r="V24" t="e">
        <v>#N/A</v>
      </c>
      <c r="X24">
        <v>0.993989166154857</v>
      </c>
      <c r="Y24">
        <v>1.3263895011072675E-2</v>
      </c>
      <c r="Z24" t="e">
        <v>#N/A</v>
      </c>
      <c r="AB24">
        <v>0.94323951464294775</v>
      </c>
      <c r="AC24">
        <v>3.6973404332206167E-2</v>
      </c>
      <c r="AD24" t="e">
        <v>#N/A</v>
      </c>
    </row>
    <row r="25" spans="2:31" x14ac:dyDescent="0.25">
      <c r="D25">
        <v>-10.002000000000001</v>
      </c>
      <c r="E25">
        <v>6.5380000000000003</v>
      </c>
      <c r="G25">
        <f>_xlfn.STDEV.S(D24:D28)</f>
        <v>0.22661751918154982</v>
      </c>
      <c r="H25">
        <f>_xlfn.STDEV.S(E24:E28)</f>
        <v>0.24703299374779886</v>
      </c>
      <c r="L25">
        <v>36.93999680810775</v>
      </c>
      <c r="M25">
        <v>10</v>
      </c>
      <c r="N25" t="e">
        <v>#N/A</v>
      </c>
      <c r="P25">
        <v>194.5364114669519</v>
      </c>
      <c r="Q25">
        <v>10</v>
      </c>
      <c r="R25" t="e">
        <v>#N/A</v>
      </c>
      <c r="T25">
        <v>55.769203565635728</v>
      </c>
      <c r="U25">
        <v>10</v>
      </c>
      <c r="V25" t="e">
        <v>#N/A</v>
      </c>
      <c r="X25">
        <v>826.83134467111643</v>
      </c>
      <c r="Y25">
        <v>10</v>
      </c>
      <c r="Z25" t="e">
        <v>#N/A</v>
      </c>
      <c r="AB25">
        <v>83.089451112820129</v>
      </c>
      <c r="AC25">
        <v>10</v>
      </c>
      <c r="AD25" t="e">
        <v>#N/A</v>
      </c>
    </row>
    <row r="26" spans="2:31" x14ac:dyDescent="0.25">
      <c r="D26">
        <v>-10.206</v>
      </c>
      <c r="E26">
        <v>6.26</v>
      </c>
      <c r="L26">
        <v>0.1054289351231799</v>
      </c>
      <c r="M26">
        <v>1.4270295646051586E-2</v>
      </c>
      <c r="N26" t="e">
        <v>#N/A</v>
      </c>
      <c r="P26">
        <v>0.14358629569393405</v>
      </c>
      <c r="Q26">
        <v>3.6904735368352027E-3</v>
      </c>
      <c r="R26" t="e">
        <v>#N/A</v>
      </c>
      <c r="T26">
        <v>0.21014424180939009</v>
      </c>
      <c r="U26">
        <v>1.8840527421381207E-2</v>
      </c>
      <c r="V26" t="e">
        <v>#N/A</v>
      </c>
      <c r="X26">
        <v>0.29093038319904535</v>
      </c>
      <c r="Y26">
        <v>1.7593091086475861E-3</v>
      </c>
      <c r="Z26" t="e">
        <v>#N/A</v>
      </c>
      <c r="AB26">
        <v>0.22717198141318151</v>
      </c>
      <c r="AC26">
        <v>1.3670326279128016E-2</v>
      </c>
      <c r="AD26" t="e">
        <v>#N/A</v>
      </c>
    </row>
    <row r="27" spans="2:31" x14ac:dyDescent="0.25">
      <c r="D27">
        <v>-10.262</v>
      </c>
      <c r="E27">
        <v>6.3150000000000004</v>
      </c>
    </row>
    <row r="28" spans="2:31" x14ac:dyDescent="0.25">
      <c r="D28">
        <v>-9.9830000000000005</v>
      </c>
      <c r="E28">
        <v>6.6689999999999996</v>
      </c>
      <c r="K28" t="s">
        <v>102</v>
      </c>
      <c r="L28" cm="1">
        <f t="array" ref="L28:N32">LINEST(O7:O19,N7:N19^{1,2},,TRUE)</f>
        <v>-1.0758886951427666E-2</v>
      </c>
      <c r="M28">
        <v>0.70232383434808954</v>
      </c>
      <c r="N28">
        <v>7.0072229645518274</v>
      </c>
      <c r="P28" cm="1">
        <f t="array" ref="P28:R32">LINEST(S7:S19,R7:R19^{1,2},,TRUE)</f>
        <v>-7.8155686180558914E-3</v>
      </c>
      <c r="Q28">
        <v>0.46048767146118919</v>
      </c>
      <c r="R28">
        <v>23.562669816880145</v>
      </c>
      <c r="T28" cm="1">
        <f t="array" ref="T28:V32">LINEST(W7:W19,V7:V19^{1,2},,TRUE)</f>
        <v>-2.1717243559392616E-2</v>
      </c>
      <c r="U28">
        <v>1.6638077727019096</v>
      </c>
      <c r="V28">
        <v>5.6205531846439882</v>
      </c>
      <c r="X28" cm="1">
        <f t="array" ref="X28:Z32">LINEST(AA7:AA19,Z7:Z19^{1,2},,TRUE)</f>
        <v>-1.9638290913797107E-2</v>
      </c>
      <c r="Y28">
        <v>1.4949312056034136</v>
      </c>
      <c r="Z28">
        <v>3.4890961208711708</v>
      </c>
      <c r="AB28" cm="1">
        <f t="array" ref="AB28:AD32">LINEST(AE7:AE19,AD7:AD19^{1,2},,TRUE)</f>
        <v>-2.6830778849843331E-2</v>
      </c>
      <c r="AC28">
        <v>1.9735768451767675</v>
      </c>
      <c r="AD28">
        <v>-4.8606146411427602</v>
      </c>
    </row>
    <row r="29" spans="2:31" x14ac:dyDescent="0.25">
      <c r="K29" t="s">
        <v>101</v>
      </c>
      <c r="L29">
        <v>7.7540652476051236E-4</v>
      </c>
      <c r="M29">
        <v>5.2859711607596289E-2</v>
      </c>
      <c r="N29">
        <v>0.89346834519219376</v>
      </c>
      <c r="P29">
        <v>3.6549727923220355E-4</v>
      </c>
      <c r="Q29">
        <v>2.2858048881443282E-2</v>
      </c>
      <c r="R29">
        <v>0.35135357470833245</v>
      </c>
      <c r="T29">
        <v>4.3784200137884471E-4</v>
      </c>
      <c r="U29">
        <v>3.4400770784077238E-2</v>
      </c>
      <c r="V29">
        <v>0.67088557018983641</v>
      </c>
      <c r="X29">
        <v>7.4076057435841481E-4</v>
      </c>
      <c r="Y29">
        <v>5.6967785776192617E-2</v>
      </c>
      <c r="Z29">
        <v>1.0837795592045287</v>
      </c>
      <c r="AB29">
        <v>7.4387093838375806E-4</v>
      </c>
      <c r="AC29">
        <v>5.5891010015420649E-2</v>
      </c>
      <c r="AD29">
        <v>1.0363241024581942</v>
      </c>
    </row>
    <row r="30" spans="2:31" x14ac:dyDescent="0.25">
      <c r="B30">
        <v>9.5</v>
      </c>
      <c r="C30">
        <v>5</v>
      </c>
      <c r="D30">
        <v>-9.9139999999999997</v>
      </c>
      <c r="E30">
        <v>8.5079999999999991</v>
      </c>
      <c r="G30">
        <f>AVERAGE(D30:D34)</f>
        <v>-10.1388</v>
      </c>
      <c r="H30">
        <f>AVERAGE(E30:E34)</f>
        <v>8.3155999999999999</v>
      </c>
      <c r="K30" t="s">
        <v>103</v>
      </c>
      <c r="L30">
        <v>0.97395577560454516</v>
      </c>
      <c r="M30">
        <v>2.7932541313554091E-2</v>
      </c>
      <c r="N30" t="e">
        <v>#N/A</v>
      </c>
      <c r="P30">
        <v>0.98870313915735575</v>
      </c>
      <c r="Q30">
        <v>2.1740700326538461E-2</v>
      </c>
      <c r="R30" t="e">
        <v>#N/A</v>
      </c>
      <c r="T30">
        <v>0.99683203513556984</v>
      </c>
      <c r="U30">
        <v>2.1193279169945758E-2</v>
      </c>
      <c r="V30" t="e">
        <v>#N/A</v>
      </c>
      <c r="X30">
        <v>0.98641991894265058</v>
      </c>
      <c r="Y30">
        <v>4.4116524781646627E-2</v>
      </c>
      <c r="Z30" t="e">
        <v>#N/A</v>
      </c>
      <c r="AB30">
        <v>0.99310802507698515</v>
      </c>
      <c r="AC30">
        <v>5.73067785913167E-2</v>
      </c>
      <c r="AD30" t="e">
        <v>#N/A</v>
      </c>
    </row>
    <row r="31" spans="2:31" x14ac:dyDescent="0.25">
      <c r="D31">
        <v>-10.082000000000001</v>
      </c>
      <c r="E31">
        <v>8.2859999999999996</v>
      </c>
      <c r="G31">
        <f>_xlfn.STDEV.S(D30:D34)</f>
        <v>0.15963614878842478</v>
      </c>
      <c r="H31">
        <f>_xlfn.STDEV.S(E30:E34)</f>
        <v>0.19032682417357752</v>
      </c>
      <c r="L31">
        <v>186.98114422914392</v>
      </c>
      <c r="M31">
        <v>10</v>
      </c>
      <c r="N31" t="e">
        <v>#N/A</v>
      </c>
      <c r="P31">
        <v>437.60083129692265</v>
      </c>
      <c r="Q31">
        <v>10</v>
      </c>
      <c r="R31" t="e">
        <v>#N/A</v>
      </c>
      <c r="T31">
        <v>1573.3003328539933</v>
      </c>
      <c r="U31">
        <v>10</v>
      </c>
      <c r="V31" t="e">
        <v>#N/A</v>
      </c>
      <c r="X31">
        <v>363.1863148595898</v>
      </c>
      <c r="Y31">
        <v>10</v>
      </c>
      <c r="Z31" t="e">
        <v>#N/A</v>
      </c>
      <c r="AB31">
        <v>720.48145572949716</v>
      </c>
      <c r="AC31">
        <v>10</v>
      </c>
      <c r="AD31" t="e">
        <v>#N/A</v>
      </c>
    </row>
    <row r="32" spans="2:31" x14ac:dyDescent="0.25">
      <c r="D32">
        <v>-10.345000000000001</v>
      </c>
      <c r="E32">
        <v>8.0820000000000007</v>
      </c>
      <c r="L32">
        <v>0.29177542366535841</v>
      </c>
      <c r="M32">
        <v>7.802268642334062E-3</v>
      </c>
      <c r="N32" t="e">
        <v>#N/A</v>
      </c>
      <c r="P32">
        <v>0.41367111180080951</v>
      </c>
      <c r="Q32">
        <v>4.7265805068834954E-3</v>
      </c>
      <c r="R32" t="e">
        <v>#N/A</v>
      </c>
      <c r="T32">
        <v>1.413311679949468</v>
      </c>
      <c r="U32">
        <v>4.4915508197525674E-3</v>
      </c>
      <c r="V32" t="e">
        <v>#N/A</v>
      </c>
      <c r="X32">
        <v>1.4137156301042129</v>
      </c>
      <c r="Y32">
        <v>1.946267758809641E-2</v>
      </c>
      <c r="Z32" t="e">
        <v>#N/A</v>
      </c>
      <c r="AB32">
        <v>4.7322185620440864</v>
      </c>
      <c r="AC32">
        <v>3.2840668725141936E-2</v>
      </c>
      <c r="AD32" t="e">
        <v>#N/A</v>
      </c>
    </row>
    <row r="33" spans="2:30" x14ac:dyDescent="0.25">
      <c r="D33">
        <v>-10.214</v>
      </c>
      <c r="E33">
        <v>8.1929999999999996</v>
      </c>
    </row>
    <row r="34" spans="2:30" x14ac:dyDescent="0.25">
      <c r="D34">
        <v>-10.138999999999999</v>
      </c>
      <c r="E34">
        <v>8.5090000000000003</v>
      </c>
      <c r="L34" t="s">
        <v>102</v>
      </c>
      <c r="M34" t="s">
        <v>101</v>
      </c>
      <c r="P34" t="s">
        <v>102</v>
      </c>
      <c r="Q34" t="s">
        <v>101</v>
      </c>
      <c r="T34" t="s">
        <v>102</v>
      </c>
      <c r="U34" t="s">
        <v>101</v>
      </c>
      <c r="X34" t="s">
        <v>102</v>
      </c>
      <c r="Y34" t="s">
        <v>101</v>
      </c>
      <c r="AB34" t="s">
        <v>102</v>
      </c>
      <c r="AC34" t="s">
        <v>101</v>
      </c>
    </row>
    <row r="35" spans="2:30" x14ac:dyDescent="0.25">
      <c r="L35">
        <f>-M22/(2*L22)</f>
        <v>31.975395764078769</v>
      </c>
      <c r="M35">
        <f>L35*(((M23/M22)^2)+(((L23*2)/(L22*2))^2))^0.5</f>
        <v>5.5073802694419705</v>
      </c>
      <c r="N35" s="24">
        <f>M35/L35</f>
        <v>0.17223806423152935</v>
      </c>
      <c r="P35">
        <f>-Q22/(2*P22)</f>
        <v>30.126377379106689</v>
      </c>
      <c r="Q35">
        <f>P35*(((Q23/Q22)^2)+(((P23*2)/(P22*2))^2))^0.5</f>
        <v>2.5011672761439727</v>
      </c>
      <c r="R35" s="24">
        <f>Q35/P35</f>
        <v>8.3022503657495431E-2</v>
      </c>
      <c r="T35">
        <f>-U22/(2*T22)</f>
        <v>39.010115256363321</v>
      </c>
      <c r="U35">
        <f>T35*(((U23/U22)^2)+(((T23*2)/(T22*2))^2))^0.5</f>
        <v>5.3553561340085638</v>
      </c>
      <c r="V35" s="24">
        <f>U35/T35</f>
        <v>0.1372812179306494</v>
      </c>
      <c r="X35">
        <f>-Y22/(2*X22)</f>
        <v>37.35752086545213</v>
      </c>
      <c r="Y35">
        <f>X35*(((Y23/Y22)^2)+(((X23*2)/(X22*2))^2))^0.5</f>
        <v>1.6812384470728226</v>
      </c>
      <c r="Z35" s="24">
        <f>Y35/X35</f>
        <v>4.5004015473296979E-2</v>
      </c>
      <c r="AB35">
        <f>-AC22/(2*AB22)</f>
        <v>36.000828353318084</v>
      </c>
      <c r="AC35">
        <f>AB35*(((AC23/AC22)^2)+(((AB23*2)/(AB22*2))^2))^0.5</f>
        <v>5.1011459688280629</v>
      </c>
      <c r="AD35" s="24">
        <f>AC35/AB35</f>
        <v>0.14169523875296902</v>
      </c>
    </row>
    <row r="36" spans="2:30" x14ac:dyDescent="0.25">
      <c r="L36">
        <f>-M28/(2*L28)</f>
        <v>32.639242215241126</v>
      </c>
      <c r="M36">
        <f>L36*(((M29/M28)^2)+(((L29*2)/(L28*2))^2))^0.5</f>
        <v>3.401212367856091</v>
      </c>
      <c r="N36" s="24">
        <f>M36/L36</f>
        <v>0.10420622958788764</v>
      </c>
      <c r="P36">
        <f>-Q28/(2*P28)</f>
        <v>29.459639724571613</v>
      </c>
      <c r="Q36">
        <f>P36*(((Q29/Q28)^2)+(((P29*2)/(P28*2))^2))^0.5</f>
        <v>2.0090957576669131</v>
      </c>
      <c r="R36" s="24">
        <f>Q36/P36</f>
        <v>6.8198246022376577E-2</v>
      </c>
      <c r="T36">
        <f>-U28/(2*T28)</f>
        <v>38.306145256227047</v>
      </c>
      <c r="U36">
        <f>T36*(((U29/U28)^2)+(((T29*2)/(T28*2))^2))^0.5</f>
        <v>1.1062196372851272</v>
      </c>
      <c r="V36" s="24">
        <f>U36/T36</f>
        <v>2.8878385697273991E-2</v>
      </c>
      <c r="X36">
        <f>-Y28/(2*X28)</f>
        <v>38.061642231634643</v>
      </c>
      <c r="Y36">
        <f>X36*(((Y29/Y28)^2)+(((X29*2)/(X28*2))^2))^0.5</f>
        <v>2.0408213493699932</v>
      </c>
      <c r="Z36" s="24">
        <f>Y36/X36</f>
        <v>5.3618846421549834E-2</v>
      </c>
      <c r="AB36">
        <f>-AC28/(2*AB28)</f>
        <v>36.778225041877448</v>
      </c>
      <c r="AC36">
        <f>AB36*(((AC29/AC28)^2)+(((AB29*2)/(AB28*2))^2))^0.5</f>
        <v>1.4575747879091443</v>
      </c>
      <c r="AD36" s="24">
        <f>AC36/AB36</f>
        <v>3.9631460905181798E-2</v>
      </c>
    </row>
    <row r="37" spans="2:30" x14ac:dyDescent="0.25">
      <c r="B37">
        <v>1</v>
      </c>
      <c r="C37">
        <v>0</v>
      </c>
      <c r="D37">
        <v>22</v>
      </c>
      <c r="E37">
        <v>22</v>
      </c>
      <c r="F37">
        <v>22</v>
      </c>
      <c r="G37">
        <v>43.097999999999999</v>
      </c>
      <c r="H37">
        <v>30.175999999999998</v>
      </c>
      <c r="L37" s="25"/>
      <c r="N37" s="24"/>
      <c r="P37" s="25"/>
      <c r="R37" s="24"/>
      <c r="T37" s="25"/>
      <c r="V37" s="24"/>
      <c r="X37" s="25"/>
      <c r="Z37" s="24"/>
      <c r="AB37" s="25"/>
      <c r="AD37" s="24"/>
    </row>
    <row r="38" spans="2:30" x14ac:dyDescent="0.25">
      <c r="B38">
        <v>2</v>
      </c>
      <c r="C38">
        <v>0</v>
      </c>
      <c r="D38">
        <v>24</v>
      </c>
      <c r="E38">
        <v>24</v>
      </c>
      <c r="F38">
        <v>24</v>
      </c>
      <c r="G38">
        <v>42.448999999999998</v>
      </c>
      <c r="H38">
        <v>30.288</v>
      </c>
      <c r="K38" t="s">
        <v>119</v>
      </c>
      <c r="L38">
        <f>L36-L35</f>
        <v>0.66384645116235674</v>
      </c>
      <c r="M38">
        <f>(((M35)^2)+((M36*2)^2))^0.5</f>
        <v>8.7523836591678084</v>
      </c>
      <c r="N38" s="24">
        <f>M38/L38</f>
        <v>13.184349549271358</v>
      </c>
      <c r="P38">
        <f>(P36-P35)^2</f>
        <v>0.44453909997493474</v>
      </c>
      <c r="Q38">
        <f>(((Q35)^2)+((Q36*2)^2))^0.5</f>
        <v>4.7330435025630404</v>
      </c>
      <c r="R38" s="24">
        <f>Q38/P38</f>
        <v>10.64708031943627</v>
      </c>
      <c r="T38">
        <f>T36-T35</f>
        <v>-0.7039700001362732</v>
      </c>
      <c r="U38">
        <f>(((U35)^2)+((U36*2)^2))^0.5</f>
        <v>5.7943702734399105</v>
      </c>
      <c r="V38" s="24">
        <f>U38/T38</f>
        <v>-8.2309903437905696</v>
      </c>
      <c r="X38">
        <f>X36-X35</f>
        <v>0.70412136618251253</v>
      </c>
      <c r="Y38">
        <f>(((Y35)^2)+((Y36*2)^2))^0.5</f>
        <v>4.4143368512261585</v>
      </c>
      <c r="Z38" s="24">
        <f>Y38/X38</f>
        <v>6.269284051354771</v>
      </c>
      <c r="AB38">
        <f>AB36-AB35</f>
        <v>0.77739668855936372</v>
      </c>
      <c r="AC38">
        <f>(((AC35)^2)+((AC36*2)^2))^0.5</f>
        <v>5.8753542229115299</v>
      </c>
      <c r="AD38" s="24">
        <f>AC38/AB38</f>
        <v>7.5577299329631433</v>
      </c>
    </row>
    <row r="39" spans="2:30" x14ac:dyDescent="0.25">
      <c r="B39">
        <v>3</v>
      </c>
      <c r="C39">
        <v>0</v>
      </c>
      <c r="D39">
        <v>26</v>
      </c>
      <c r="E39">
        <v>26</v>
      </c>
      <c r="F39">
        <v>26</v>
      </c>
      <c r="G39">
        <v>41.701000000000001</v>
      </c>
      <c r="H39">
        <v>30.344999999999999</v>
      </c>
      <c r="N39" s="24"/>
      <c r="R39" s="24"/>
      <c r="V39" s="24"/>
      <c r="Z39" s="24"/>
      <c r="AD39" s="24"/>
    </row>
    <row r="40" spans="2:30" x14ac:dyDescent="0.25">
      <c r="B40">
        <v>4</v>
      </c>
      <c r="C40">
        <v>0</v>
      </c>
      <c r="D40">
        <v>28</v>
      </c>
      <c r="E40">
        <v>28</v>
      </c>
      <c r="F40">
        <v>28</v>
      </c>
      <c r="G40">
        <v>40.954000000000001</v>
      </c>
      <c r="H40">
        <v>30.401</v>
      </c>
      <c r="N40" s="24"/>
      <c r="R40" s="24"/>
      <c r="V40" s="24"/>
      <c r="Z40" s="24"/>
      <c r="AD40" s="24"/>
    </row>
    <row r="41" spans="2:30" x14ac:dyDescent="0.25">
      <c r="B41">
        <v>5</v>
      </c>
      <c r="C41">
        <v>0</v>
      </c>
      <c r="D41">
        <v>22</v>
      </c>
      <c r="E41">
        <v>22</v>
      </c>
      <c r="F41">
        <v>22</v>
      </c>
      <c r="G41">
        <v>40.106999999999999</v>
      </c>
      <c r="H41">
        <v>30.513999999999999</v>
      </c>
      <c r="K41" t="s">
        <v>108</v>
      </c>
      <c r="L41">
        <f>O13-M13</f>
        <v>0.70700000000000074</v>
      </c>
      <c r="M41">
        <f>L41*(((2/39)^2)+((0.01/1.9)^2))^0.5</f>
        <v>3.6446858813457626E-2</v>
      </c>
      <c r="N41" s="24">
        <f>M41/L41</f>
        <v>5.1551426893150759E-2</v>
      </c>
      <c r="P41">
        <f>S13-Q13</f>
        <v>0.66400000000000503</v>
      </c>
      <c r="Q41">
        <f>P41*(((2/43.5)^2)+((0.01/1.9)^2))^0.5</f>
        <v>3.0728112289813012E-2</v>
      </c>
      <c r="R41" s="24">
        <f>Q41/P41</f>
        <v>4.6277277544898764E-2</v>
      </c>
      <c r="T41">
        <f>W13-U13</f>
        <v>-0.6910000000000025</v>
      </c>
      <c r="U41">
        <f>T41*(((2/44)^2)+((0.01/1.9)^2))^0.5</f>
        <v>-3.1618943882333564E-2</v>
      </c>
      <c r="V41" s="24">
        <f>U41/T41</f>
        <v>4.5758240061264034E-2</v>
      </c>
      <c r="X41">
        <f>AA13-Y13</f>
        <v>0.65800000000000125</v>
      </c>
      <c r="Y41">
        <f>X41*(((2/36.7)^2)+((0.01/1.9)^2))^0.5</f>
        <v>3.6025156538244271E-2</v>
      </c>
      <c r="Z41" s="24">
        <f>Y41/X41</f>
        <v>5.4749478021647723E-2</v>
      </c>
      <c r="AB41">
        <f>AE13-AC13</f>
        <v>0.80399999999999849</v>
      </c>
      <c r="AC41">
        <f>AB41*(((2/36.7)^2)+((0.01/1.9)^2))^0.5</f>
        <v>4.4018580329404686E-2</v>
      </c>
      <c r="AD41" s="24">
        <f>AC41/AB41</f>
        <v>5.4749478021647723E-2</v>
      </c>
    </row>
    <row r="42" spans="2:30" x14ac:dyDescent="0.25">
      <c r="B42">
        <v>6</v>
      </c>
      <c r="C42">
        <v>0</v>
      </c>
      <c r="D42">
        <v>26</v>
      </c>
      <c r="E42">
        <v>26</v>
      </c>
      <c r="F42">
        <v>26</v>
      </c>
      <c r="G42">
        <v>39.134</v>
      </c>
      <c r="H42">
        <v>30.571000000000002</v>
      </c>
      <c r="N42" s="24"/>
    </row>
    <row r="43" spans="2:30" x14ac:dyDescent="0.25">
      <c r="B43">
        <v>7</v>
      </c>
      <c r="C43">
        <v>0</v>
      </c>
      <c r="D43">
        <v>21</v>
      </c>
      <c r="E43">
        <v>21</v>
      </c>
      <c r="F43">
        <v>21</v>
      </c>
      <c r="G43">
        <v>38.005000000000003</v>
      </c>
      <c r="H43">
        <v>30.657</v>
      </c>
      <c r="K43" t="s">
        <v>116</v>
      </c>
      <c r="L43">
        <f>PI()*(L38*0.001)^2*(3*0.009-L38*0.001)/3</f>
        <v>1.2153916251080006E-8</v>
      </c>
      <c r="M43">
        <f>L43*(((2*M38/L38)^2)+((0.01/9)^2))^0.5</f>
        <v>3.2048296077813683E-7</v>
      </c>
      <c r="P43">
        <f>PI()*(P38*0.001)^2*(3*0.009-P38*0.001)/3</f>
        <v>5.49543902178599E-9</v>
      </c>
      <c r="Q43">
        <f>P43*(((2*Q38/P38)^2)+((0.01/9)^2))^0.5</f>
        <v>1.170207614703435E-7</v>
      </c>
      <c r="T43">
        <f>PI()*(T38*0.001)^2*(3*0.009-T38*0.001)/3</f>
        <v>1.4377352810437522E-8</v>
      </c>
      <c r="U43">
        <f>T43*(((2*U38/T38)^2)+((0.01/9)^2))^0.5</f>
        <v>2.3667970484307843E-7</v>
      </c>
      <c r="X43">
        <f>PI()*(X38*0.001)^2*(3*0.009-X38*0.001)/3</f>
        <v>1.3652473760316807E-8</v>
      </c>
      <c r="Y43">
        <f>X43*(((2*Y38/X38)^2)+((0.01/9)^2))^0.5</f>
        <v>1.7118247268630974E-7</v>
      </c>
      <c r="AB43">
        <f>PI()*(AB38*0.001)^2*(3*0.009-AB38*0.001)/3</f>
        <v>1.6595479141729491E-8</v>
      </c>
      <c r="AC43">
        <f>AB43*(((2*AC38/AB38)^2)+((0.01/9)^2))^0.5</f>
        <v>2.5084829960035384E-7</v>
      </c>
    </row>
    <row r="44" spans="2:30" x14ac:dyDescent="0.25">
      <c r="B44">
        <v>8</v>
      </c>
      <c r="C44">
        <v>0</v>
      </c>
      <c r="D44">
        <v>31</v>
      </c>
      <c r="E44">
        <v>31</v>
      </c>
      <c r="F44">
        <v>31</v>
      </c>
      <c r="G44">
        <v>37.101999999999997</v>
      </c>
      <c r="H44">
        <v>30.613</v>
      </c>
      <c r="K44" t="s">
        <v>117</v>
      </c>
      <c r="L44">
        <f>PI()*(L41*0.001)^2*(3*0.009-L41*0.001)/3</f>
        <v>1.3762824978058843E-8</v>
      </c>
      <c r="M44">
        <f>L44*(((2*M41/L41)^2)+((0.01/9)^2))^0.5</f>
        <v>1.4190689279965621E-9</v>
      </c>
      <c r="N44" s="24" t="s">
        <v>106</v>
      </c>
      <c r="P44">
        <f>PI()*(P41*0.001)^2*(3*0.009-P41*0.001)/3</f>
        <v>1.2159468450916813E-8</v>
      </c>
      <c r="Q44">
        <f>P44*(((2*Q41/P41)^2)+((0.01/9)^2))^0.5</f>
        <v>1.1254952861192046E-9</v>
      </c>
      <c r="R44" s="24" t="s">
        <v>106</v>
      </c>
      <c r="T44">
        <f>PI()*(T41*0.001)^2*(3*0.009-T41*0.001)/3</f>
        <v>1.3845968917813019E-8</v>
      </c>
      <c r="U44">
        <f>T44*(((2*U41/T41)^2)+((0.01/9)^2))^0.5</f>
        <v>1.2672277276638221E-9</v>
      </c>
      <c r="V44" s="24" t="s">
        <v>106</v>
      </c>
      <c r="X44">
        <f>PI()*(X41*0.001)^2*(3*0.009-X41*0.001)/3</f>
        <v>1.1943432257933669E-8</v>
      </c>
      <c r="Y44">
        <f>X44*(((2*Y41/X41)^2)+((0.01/9)^2))^0.5</f>
        <v>1.3078606913934964E-9</v>
      </c>
      <c r="Z44" s="24" t="s">
        <v>106</v>
      </c>
      <c r="AB44">
        <f>PI()*(AB41*0.001)^2*(3*0.009-AB41*0.001)/3</f>
        <v>1.7732733908053573E-8</v>
      </c>
      <c r="AC44">
        <f>AB44*(((2*AC41/AB41)^2)+((0.01/9)^2))^0.5</f>
        <v>1.9418158137815132E-9</v>
      </c>
      <c r="AD44" s="24" t="s">
        <v>106</v>
      </c>
    </row>
    <row r="45" spans="2:30" x14ac:dyDescent="0.25">
      <c r="B45">
        <v>9</v>
      </c>
      <c r="C45">
        <v>0</v>
      </c>
      <c r="D45">
        <v>24</v>
      </c>
      <c r="E45">
        <v>24</v>
      </c>
      <c r="F45">
        <v>24</v>
      </c>
      <c r="G45">
        <v>36.198999999999998</v>
      </c>
      <c r="H45">
        <v>30.585000000000001</v>
      </c>
      <c r="K45" t="s">
        <v>107</v>
      </c>
      <c r="L45">
        <f>(AVERAGE(E6:E10)-AVERAGE(D6:D10))*0.001*PI()*(0.0005)^2</f>
        <v>1.5396160197080181E-8</v>
      </c>
      <c r="P45">
        <f>(AVERAGE(E12:E16)-AVERAGE(D12:D16))*0.001*PI()*(0.0005)^2</f>
        <v>1.3785779802850047E-8</v>
      </c>
      <c r="T45">
        <f>(AVERAGE(E18:E22)-AVERAGE(D18:D22))*0.001*PI()*(0.0005)^2</f>
        <v>1.432801869485965E-8</v>
      </c>
      <c r="X45">
        <f>(AVERAGE(E24:E28)-AVERAGE(D24:D28))*0.001*PI()*(0.0005)^2</f>
        <v>1.3002580754310114E-8</v>
      </c>
      <c r="AB45">
        <f>(AVERAGE(E30:E34)-AVERAGE(D30:D34))*0.001*PI()*(0.0005)^2</f>
        <v>1.4494051866601869E-8</v>
      </c>
    </row>
    <row r="46" spans="2:30" x14ac:dyDescent="0.25">
      <c r="B46">
        <v>10</v>
      </c>
      <c r="C46">
        <v>0</v>
      </c>
      <c r="D46">
        <v>61</v>
      </c>
      <c r="E46">
        <v>61</v>
      </c>
      <c r="F46">
        <v>61</v>
      </c>
      <c r="G46">
        <v>35.212000000000003</v>
      </c>
      <c r="H46">
        <v>30.585000000000001</v>
      </c>
    </row>
    <row r="47" spans="2:30" x14ac:dyDescent="0.25">
      <c r="B47">
        <v>11</v>
      </c>
      <c r="C47">
        <v>0</v>
      </c>
      <c r="D47">
        <v>36</v>
      </c>
      <c r="E47">
        <v>36</v>
      </c>
      <c r="F47">
        <v>36</v>
      </c>
      <c r="G47">
        <v>34.040999999999997</v>
      </c>
      <c r="H47">
        <v>30.542000000000002</v>
      </c>
      <c r="K47" t="s">
        <v>119</v>
      </c>
      <c r="L47" s="24">
        <f>(L45-L43)/L43</f>
        <v>0.26676536838173998</v>
      </c>
      <c r="M47" s="24"/>
      <c r="N47" s="24"/>
      <c r="O47" s="24"/>
      <c r="P47" s="24">
        <f t="shared" ref="P47:AB47" si="0">(P45-P43)/P43</f>
        <v>1.5085857104770017</v>
      </c>
      <c r="Q47" s="24"/>
      <c r="R47" s="24"/>
      <c r="S47" s="24"/>
      <c r="T47" s="39">
        <f t="shared" si="0"/>
        <v>-3.4313768485988E-3</v>
      </c>
      <c r="U47" s="24"/>
      <c r="V47" s="24"/>
      <c r="W47" s="24"/>
      <c r="X47" s="24">
        <f t="shared" si="0"/>
        <v>-4.7602582317038768E-2</v>
      </c>
      <c r="Y47" s="24"/>
      <c r="Z47" s="24"/>
      <c r="AA47" s="24"/>
      <c r="AB47" s="24">
        <f t="shared" si="0"/>
        <v>-0.1266264900929292</v>
      </c>
      <c r="AC47" s="24"/>
      <c r="AD47" s="24"/>
    </row>
    <row r="48" spans="2:30" x14ac:dyDescent="0.25">
      <c r="B48">
        <v>12</v>
      </c>
      <c r="C48">
        <v>0</v>
      </c>
      <c r="D48">
        <v>55</v>
      </c>
      <c r="E48">
        <v>55</v>
      </c>
      <c r="F48">
        <v>55</v>
      </c>
      <c r="G48">
        <v>32.305999999999997</v>
      </c>
      <c r="H48">
        <v>30.527999999999999</v>
      </c>
      <c r="K48" t="s">
        <v>118</v>
      </c>
      <c r="L48" s="24">
        <f>(L45-L44)/L44</f>
        <v>0.11867732254281044</v>
      </c>
      <c r="M48" s="24"/>
      <c r="N48" s="24"/>
      <c r="O48" s="24"/>
      <c r="P48" s="24">
        <f>(P45-P44)/P44</f>
        <v>0.13374855640261241</v>
      </c>
      <c r="Q48" s="24"/>
      <c r="R48" s="24"/>
      <c r="T48" s="24">
        <f>(T45-T44)/T44</f>
        <v>3.4815171109222123E-2</v>
      </c>
      <c r="U48" s="24"/>
      <c r="V48" s="24"/>
      <c r="X48" s="24">
        <f>(X45-X44)/X44</f>
        <v>8.8680412255269764E-2</v>
      </c>
      <c r="Y48" s="24"/>
      <c r="Z48" s="24"/>
      <c r="AB48" s="24">
        <f>(AB45-AB44)/AB44</f>
        <v>-0.1826386195295476</v>
      </c>
    </row>
    <row r="49" spans="2:25" x14ac:dyDescent="0.25">
      <c r="B49">
        <v>13</v>
      </c>
      <c r="C49">
        <v>0</v>
      </c>
      <c r="D49">
        <v>36</v>
      </c>
      <c r="E49">
        <v>36</v>
      </c>
      <c r="F49">
        <v>36</v>
      </c>
      <c r="G49">
        <v>31.190999999999999</v>
      </c>
      <c r="H49">
        <v>30.457999999999998</v>
      </c>
    </row>
    <row r="50" spans="2:25" x14ac:dyDescent="0.25">
      <c r="W50" t="s">
        <v>99</v>
      </c>
      <c r="X50" t="s">
        <v>100</v>
      </c>
      <c r="Y50" t="s">
        <v>98</v>
      </c>
    </row>
    <row r="51" spans="2:25" x14ac:dyDescent="0.25">
      <c r="B51">
        <v>1</v>
      </c>
      <c r="C51">
        <v>0</v>
      </c>
      <c r="D51">
        <v>7</v>
      </c>
      <c r="E51">
        <v>7</v>
      </c>
      <c r="F51">
        <v>7</v>
      </c>
      <c r="G51">
        <v>45.238999999999997</v>
      </c>
      <c r="H51">
        <v>29.584</v>
      </c>
      <c r="V51" t="s">
        <v>156</v>
      </c>
      <c r="W51">
        <f>AVERAGE(L22,P22,T22,X22,AB22)</f>
        <v>-8.7074003918710223E-3</v>
      </c>
      <c r="X51">
        <f>AVERAGE(M22,Q22,U22,Y22,AC22)</f>
        <v>0.60860031963488526</v>
      </c>
      <c r="Y51">
        <f>AVERAGE(N22,R22,V22,Z22,AD22)</f>
        <v>18.763377774187781</v>
      </c>
    </row>
    <row r="52" spans="2:25" x14ac:dyDescent="0.25">
      <c r="B52">
        <v>2</v>
      </c>
      <c r="C52">
        <v>0</v>
      </c>
      <c r="D52">
        <v>8</v>
      </c>
      <c r="E52">
        <v>8</v>
      </c>
      <c r="F52">
        <v>8</v>
      </c>
      <c r="G52">
        <v>44.21</v>
      </c>
      <c r="H52">
        <v>29.946000000000002</v>
      </c>
      <c r="V52" t="s">
        <v>158</v>
      </c>
      <c r="W52">
        <f>AVERAGE(L28)</f>
        <v>-1.0758886951427666E-2</v>
      </c>
      <c r="X52">
        <f t="shared" ref="X52:Y52" si="1">AVERAGE(M28)</f>
        <v>0.70232383434808954</v>
      </c>
      <c r="Y52">
        <f t="shared" si="1"/>
        <v>7.0072229645518274</v>
      </c>
    </row>
    <row r="53" spans="2:25" x14ac:dyDescent="0.25">
      <c r="B53">
        <v>3</v>
      </c>
      <c r="C53">
        <v>0</v>
      </c>
      <c r="D53">
        <v>7</v>
      </c>
      <c r="E53">
        <v>7</v>
      </c>
      <c r="F53">
        <v>7</v>
      </c>
      <c r="G53">
        <v>42.829000000000001</v>
      </c>
      <c r="H53">
        <v>30.390999999999998</v>
      </c>
      <c r="M53">
        <v>1</v>
      </c>
      <c r="O53">
        <v>0.56399999999999995</v>
      </c>
      <c r="P53">
        <v>104.751</v>
      </c>
      <c r="Q53">
        <v>31.646999999999998</v>
      </c>
      <c r="R53">
        <v>226.33799999999999</v>
      </c>
      <c r="S53">
        <v>-90.760999999999996</v>
      </c>
      <c r="T53">
        <v>9.9139999999999997</v>
      </c>
    </row>
    <row r="54" spans="2:25" x14ac:dyDescent="0.25">
      <c r="B54">
        <v>4</v>
      </c>
      <c r="C54">
        <v>0</v>
      </c>
      <c r="D54">
        <v>18</v>
      </c>
      <c r="E54">
        <v>18</v>
      </c>
      <c r="F54">
        <v>18</v>
      </c>
      <c r="G54">
        <v>41.790999999999997</v>
      </c>
      <c r="H54">
        <v>30.687000000000001</v>
      </c>
      <c r="M54">
        <v>2</v>
      </c>
      <c r="O54">
        <v>0.57299999999999995</v>
      </c>
      <c r="P54">
        <v>67.557000000000002</v>
      </c>
      <c r="Q54">
        <v>31.004000000000001</v>
      </c>
      <c r="R54">
        <v>123.935</v>
      </c>
      <c r="S54">
        <v>89.786000000000001</v>
      </c>
      <c r="T54">
        <v>10.082000000000001</v>
      </c>
    </row>
    <row r="55" spans="2:25" x14ac:dyDescent="0.25">
      <c r="B55">
        <v>5</v>
      </c>
      <c r="C55">
        <v>0</v>
      </c>
      <c r="D55">
        <v>33</v>
      </c>
      <c r="E55">
        <v>33</v>
      </c>
      <c r="F55">
        <v>33</v>
      </c>
      <c r="G55">
        <v>40.753</v>
      </c>
      <c r="H55">
        <v>30.965</v>
      </c>
      <c r="M55">
        <v>3</v>
      </c>
      <c r="O55">
        <v>0.58599999999999997</v>
      </c>
      <c r="P55">
        <v>194.50800000000001</v>
      </c>
      <c r="Q55">
        <v>32.75</v>
      </c>
      <c r="R55">
        <v>254.333</v>
      </c>
      <c r="S55">
        <v>90.207999999999998</v>
      </c>
      <c r="T55">
        <v>10.345000000000001</v>
      </c>
    </row>
    <row r="56" spans="2:25" x14ac:dyDescent="0.25">
      <c r="B56">
        <v>6</v>
      </c>
      <c r="C56">
        <v>0</v>
      </c>
      <c r="D56">
        <v>29</v>
      </c>
      <c r="E56">
        <v>29</v>
      </c>
      <c r="F56">
        <v>29</v>
      </c>
      <c r="G56">
        <v>39.566000000000003</v>
      </c>
      <c r="H56">
        <v>31.262</v>
      </c>
      <c r="M56">
        <v>4</v>
      </c>
      <c r="O56">
        <v>0.57999999999999996</v>
      </c>
      <c r="P56">
        <v>72.444999999999993</v>
      </c>
      <c r="Q56">
        <v>36.917000000000002</v>
      </c>
      <c r="R56">
        <v>136.624</v>
      </c>
      <c r="S56">
        <v>90.105999999999995</v>
      </c>
      <c r="T56">
        <v>10.214</v>
      </c>
    </row>
    <row r="57" spans="2:25" x14ac:dyDescent="0.25">
      <c r="B57">
        <v>7</v>
      </c>
      <c r="C57">
        <v>0</v>
      </c>
      <c r="D57">
        <v>50</v>
      </c>
      <c r="E57">
        <v>50</v>
      </c>
      <c r="F57">
        <v>50</v>
      </c>
      <c r="G57">
        <v>38.134</v>
      </c>
      <c r="H57">
        <v>31.460999999999999</v>
      </c>
      <c r="M57">
        <v>5</v>
      </c>
      <c r="O57">
        <v>0.57599999999999996</v>
      </c>
      <c r="P57">
        <v>89.71</v>
      </c>
      <c r="Q57">
        <v>40.040999999999997</v>
      </c>
      <c r="R57">
        <v>178.40899999999999</v>
      </c>
      <c r="S57">
        <v>90.212999999999994</v>
      </c>
      <c r="T57">
        <v>10.138999999999999</v>
      </c>
    </row>
    <row r="58" spans="2:25" x14ac:dyDescent="0.25">
      <c r="B58">
        <v>8</v>
      </c>
      <c r="C58">
        <v>0</v>
      </c>
      <c r="D58">
        <v>86</v>
      </c>
      <c r="E58">
        <v>86</v>
      </c>
      <c r="F58">
        <v>86</v>
      </c>
      <c r="G58">
        <v>36.854999999999997</v>
      </c>
      <c r="H58">
        <v>31.446999999999999</v>
      </c>
      <c r="M58">
        <v>6</v>
      </c>
      <c r="N58" t="s">
        <v>93</v>
      </c>
      <c r="O58">
        <v>0.57599999999999996</v>
      </c>
      <c r="P58">
        <v>105.794</v>
      </c>
      <c r="Q58">
        <v>34.472000000000001</v>
      </c>
      <c r="R58">
        <v>183.928</v>
      </c>
      <c r="S58">
        <v>53.91</v>
      </c>
      <c r="T58">
        <v>10.138999999999999</v>
      </c>
    </row>
    <row r="59" spans="2:25" x14ac:dyDescent="0.25">
      <c r="B59">
        <v>9</v>
      </c>
      <c r="C59">
        <v>0</v>
      </c>
      <c r="D59">
        <v>21</v>
      </c>
      <c r="E59">
        <v>21</v>
      </c>
      <c r="F59">
        <v>21</v>
      </c>
      <c r="G59">
        <v>35.853999999999999</v>
      </c>
      <c r="H59">
        <v>31.378</v>
      </c>
      <c r="M59">
        <v>7</v>
      </c>
      <c r="N59" t="s">
        <v>94</v>
      </c>
      <c r="O59">
        <v>8.0000000000000002E-3</v>
      </c>
      <c r="P59">
        <v>51.73</v>
      </c>
      <c r="Q59">
        <v>3.8719999999999999</v>
      </c>
      <c r="R59">
        <v>56.176000000000002</v>
      </c>
      <c r="S59">
        <v>80.873999999999995</v>
      </c>
      <c r="T59">
        <v>0.16</v>
      </c>
    </row>
    <row r="60" spans="2:25" x14ac:dyDescent="0.25">
      <c r="B60">
        <v>10</v>
      </c>
      <c r="C60">
        <v>0</v>
      </c>
      <c r="D60">
        <v>23</v>
      </c>
      <c r="E60">
        <v>23</v>
      </c>
      <c r="F60">
        <v>23</v>
      </c>
      <c r="G60">
        <v>34.548000000000002</v>
      </c>
      <c r="H60">
        <v>31.28</v>
      </c>
      <c r="M60">
        <v>8</v>
      </c>
      <c r="N60" t="s">
        <v>95</v>
      </c>
      <c r="O60">
        <v>0.56399999999999995</v>
      </c>
      <c r="P60">
        <v>67.557000000000002</v>
      </c>
      <c r="Q60">
        <v>31.004000000000001</v>
      </c>
      <c r="R60">
        <v>123.935</v>
      </c>
      <c r="S60">
        <v>-90.760999999999996</v>
      </c>
      <c r="T60">
        <v>9.9139999999999997</v>
      </c>
    </row>
    <row r="61" spans="2:25" x14ac:dyDescent="0.25">
      <c r="B61">
        <v>11</v>
      </c>
      <c r="C61">
        <v>0</v>
      </c>
      <c r="D61">
        <v>22</v>
      </c>
      <c r="E61">
        <v>22</v>
      </c>
      <c r="F61">
        <v>22</v>
      </c>
      <c r="G61">
        <v>32.545999999999999</v>
      </c>
      <c r="H61">
        <v>30.960999999999999</v>
      </c>
      <c r="M61">
        <v>9</v>
      </c>
      <c r="N61" t="s">
        <v>77</v>
      </c>
      <c r="O61">
        <v>0.58599999999999997</v>
      </c>
      <c r="P61">
        <v>194.50800000000001</v>
      </c>
      <c r="Q61">
        <v>40.040999999999997</v>
      </c>
      <c r="R61">
        <v>254.333</v>
      </c>
      <c r="S61">
        <v>90.212999999999994</v>
      </c>
      <c r="T61">
        <v>10.345000000000001</v>
      </c>
    </row>
    <row r="62" spans="2:25" x14ac:dyDescent="0.25">
      <c r="B62">
        <v>12</v>
      </c>
      <c r="C62">
        <v>0</v>
      </c>
      <c r="D62">
        <v>14</v>
      </c>
      <c r="E62">
        <v>14</v>
      </c>
      <c r="F62">
        <v>14</v>
      </c>
      <c r="G62">
        <v>31.169</v>
      </c>
      <c r="H62">
        <v>30.655000000000001</v>
      </c>
    </row>
    <row r="63" spans="2:25" x14ac:dyDescent="0.25">
      <c r="B63">
        <v>13</v>
      </c>
      <c r="C63">
        <v>0</v>
      </c>
      <c r="D63">
        <v>5</v>
      </c>
      <c r="E63">
        <v>5</v>
      </c>
      <c r="F63">
        <v>5</v>
      </c>
      <c r="G63">
        <v>29.556999999999999</v>
      </c>
      <c r="H63">
        <v>29.974</v>
      </c>
      <c r="M63">
        <v>1</v>
      </c>
      <c r="O63">
        <v>0.47599999999999998</v>
      </c>
      <c r="P63">
        <v>60.054000000000002</v>
      </c>
      <c r="Q63">
        <v>30.332999999999998</v>
      </c>
      <c r="R63">
        <v>87.35</v>
      </c>
      <c r="S63">
        <v>90.373999999999995</v>
      </c>
      <c r="T63">
        <v>8.5079999999999991</v>
      </c>
    </row>
    <row r="64" spans="2:25" x14ac:dyDescent="0.25">
      <c r="M64">
        <v>2</v>
      </c>
      <c r="O64">
        <v>0.46400000000000002</v>
      </c>
      <c r="P64">
        <v>126.82599999999999</v>
      </c>
      <c r="Q64">
        <v>32.173999999999999</v>
      </c>
      <c r="R64">
        <v>214.29300000000001</v>
      </c>
      <c r="S64">
        <v>-90.385000000000005</v>
      </c>
      <c r="T64">
        <v>8.2859999999999996</v>
      </c>
    </row>
    <row r="65" spans="2:20" x14ac:dyDescent="0.25">
      <c r="B65" cm="1">
        <f t="array" ref="B65:D69">LINEST(H37:H49,G37:G49^{1,2},,TRUE)</f>
        <v>-8.3456189612127109E-3</v>
      </c>
      <c r="C65">
        <v>0.6008983914496312</v>
      </c>
      <c r="D65">
        <v>19.807975919850826</v>
      </c>
      <c r="F65" cm="1">
        <f t="array" ref="F65:H69">LINEST(H51:H63,G51:G63^{1,2},,TRUE)</f>
        <v>-2.6830778849843331E-2</v>
      </c>
      <c r="G65">
        <v>1.9735768451767675</v>
      </c>
      <c r="H65">
        <v>-4.8606146411427602</v>
      </c>
      <c r="M65">
        <v>3</v>
      </c>
      <c r="O65">
        <v>0.45100000000000001</v>
      </c>
      <c r="P65">
        <v>178.32599999999999</v>
      </c>
      <c r="Q65">
        <v>112.52800000000001</v>
      </c>
      <c r="R65">
        <v>211.52699999999999</v>
      </c>
      <c r="S65">
        <v>-89.869</v>
      </c>
      <c r="T65">
        <v>8.0820000000000007</v>
      </c>
    </row>
    <row r="66" spans="2:20" x14ac:dyDescent="0.25">
      <c r="B66">
        <v>8.2068531887541417E-4</v>
      </c>
      <c r="C66">
        <v>6.130142500337913E-2</v>
      </c>
      <c r="D66">
        <v>1.13571016847878</v>
      </c>
      <c r="F66">
        <v>7.4387093838375806E-4</v>
      </c>
      <c r="G66">
        <v>5.5891010015420649E-2</v>
      </c>
      <c r="H66">
        <v>1.0363241024581942</v>
      </c>
      <c r="M66">
        <v>4</v>
      </c>
      <c r="O66">
        <v>0.45800000000000002</v>
      </c>
      <c r="P66">
        <v>192.476</v>
      </c>
      <c r="Q66">
        <v>111.011</v>
      </c>
      <c r="R66">
        <v>249.37299999999999</v>
      </c>
      <c r="S66">
        <v>-90.259</v>
      </c>
      <c r="T66">
        <v>8.1929999999999996</v>
      </c>
    </row>
    <row r="67" spans="2:20" x14ac:dyDescent="0.25">
      <c r="B67" s="27">
        <v>0.94323951464294775</v>
      </c>
      <c r="C67">
        <v>3.6973404332206167E-2</v>
      </c>
      <c r="D67" t="e">
        <v>#N/A</v>
      </c>
      <c r="F67" s="27">
        <v>0.99310802507698515</v>
      </c>
      <c r="G67">
        <v>5.73067785913167E-2</v>
      </c>
      <c r="H67" t="e">
        <v>#N/A</v>
      </c>
      <c r="M67">
        <v>5</v>
      </c>
      <c r="O67">
        <v>0.47599999999999998</v>
      </c>
      <c r="P67">
        <v>117.01</v>
      </c>
      <c r="Q67">
        <v>43.25</v>
      </c>
      <c r="R67">
        <v>158.172</v>
      </c>
      <c r="S67">
        <v>-90.748999999999995</v>
      </c>
      <c r="T67">
        <v>8.5090000000000003</v>
      </c>
    </row>
    <row r="68" spans="2:20" x14ac:dyDescent="0.25">
      <c r="B68">
        <v>83.089451112820129</v>
      </c>
      <c r="C68">
        <v>10</v>
      </c>
      <c r="D68" t="e">
        <v>#N/A</v>
      </c>
      <c r="F68">
        <v>720.48145572949716</v>
      </c>
      <c r="G68">
        <v>10</v>
      </c>
      <c r="H68" t="e">
        <v>#N/A</v>
      </c>
      <c r="M68">
        <v>6</v>
      </c>
      <c r="N68" t="s">
        <v>93</v>
      </c>
      <c r="O68">
        <v>0.46500000000000002</v>
      </c>
      <c r="P68">
        <v>134.93799999999999</v>
      </c>
      <c r="Q68">
        <v>65.858999999999995</v>
      </c>
      <c r="R68">
        <v>184.143</v>
      </c>
      <c r="S68">
        <v>-54.177</v>
      </c>
      <c r="T68">
        <v>8.3160000000000007</v>
      </c>
    </row>
    <row r="69" spans="2:20" x14ac:dyDescent="0.25">
      <c r="B69">
        <v>0.22717198141318151</v>
      </c>
      <c r="C69">
        <v>1.3670326279128016E-2</v>
      </c>
      <c r="D69" t="e">
        <v>#N/A</v>
      </c>
      <c r="F69">
        <v>4.7322185620440864</v>
      </c>
      <c r="G69">
        <v>3.2840668725141936E-2</v>
      </c>
      <c r="H69" t="e">
        <v>#N/A</v>
      </c>
      <c r="M69">
        <v>7</v>
      </c>
      <c r="N69" t="s">
        <v>94</v>
      </c>
      <c r="O69">
        <v>1.0999999999999999E-2</v>
      </c>
      <c r="P69">
        <v>52.887</v>
      </c>
      <c r="Q69">
        <v>42.204000000000001</v>
      </c>
      <c r="R69">
        <v>63.161000000000001</v>
      </c>
      <c r="S69">
        <v>80.808000000000007</v>
      </c>
      <c r="T69">
        <v>0.19</v>
      </c>
    </row>
    <row r="70" spans="2:20" x14ac:dyDescent="0.25">
      <c r="M70">
        <v>8</v>
      </c>
      <c r="N70" t="s">
        <v>95</v>
      </c>
      <c r="O70">
        <v>0.45100000000000001</v>
      </c>
      <c r="P70">
        <v>60.054000000000002</v>
      </c>
      <c r="Q70">
        <v>30.332999999999998</v>
      </c>
      <c r="R70">
        <v>87.35</v>
      </c>
      <c r="S70">
        <v>-90.748999999999995</v>
      </c>
      <c r="T70">
        <v>8.0820000000000007</v>
      </c>
    </row>
    <row r="71" spans="2:20" x14ac:dyDescent="0.25">
      <c r="M71">
        <v>9</v>
      </c>
      <c r="N71" t="s">
        <v>77</v>
      </c>
      <c r="O71">
        <v>0.47599999999999998</v>
      </c>
      <c r="P71">
        <v>192.476</v>
      </c>
      <c r="Q71">
        <v>112.52800000000001</v>
      </c>
      <c r="R71">
        <v>249.37299999999999</v>
      </c>
      <c r="S71">
        <v>90.373999999999995</v>
      </c>
      <c r="T71">
        <v>8.5090000000000003</v>
      </c>
    </row>
    <row r="72" spans="2:20" x14ac:dyDescent="0.25">
      <c r="B72" t="s">
        <v>102</v>
      </c>
      <c r="C72" t="s">
        <v>101</v>
      </c>
    </row>
    <row r="73" spans="2:20" x14ac:dyDescent="0.25">
      <c r="B73">
        <f>-C65/(2*B65)</f>
        <v>36.000828353318084</v>
      </c>
      <c r="C73" t="e">
        <f>B73*(((C63/C62)^2)+(((B63*2)/(B62*2))^2))^0.5</f>
        <v>#DIV/0!</v>
      </c>
      <c r="D73" s="24" t="e">
        <f>C73/B73</f>
        <v>#DIV/0!</v>
      </c>
    </row>
    <row r="74" spans="2:20" x14ac:dyDescent="0.25">
      <c r="B74">
        <f>-G65/(2*F65)</f>
        <v>36.778225041877448</v>
      </c>
      <c r="C74">
        <f>B74*(((C67/C66)^2)+(((B67*2)/(B66*2))^2))^0.5</f>
        <v>42270.379543509662</v>
      </c>
      <c r="D74" s="24">
        <f>C74/B74</f>
        <v>1149.3316900252414</v>
      </c>
    </row>
    <row r="76" spans="2:20" x14ac:dyDescent="0.25">
      <c r="B76">
        <f>B74-B73</f>
        <v>0.77739668855936372</v>
      </c>
    </row>
    <row r="78" spans="2:20" x14ac:dyDescent="0.25">
      <c r="B78">
        <f>H57-H43</f>
        <v>0.80399999999999849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7F41E-4A22-4D57-A2FB-1D647F66CF8F}">
  <dimension ref="A1:O52"/>
  <sheetViews>
    <sheetView topLeftCell="A16" zoomScale="115" zoomScaleNormal="115" workbookViewId="0">
      <selection activeCell="H58" sqref="H58"/>
    </sheetView>
  </sheetViews>
  <sheetFormatPr defaultRowHeight="15" x14ac:dyDescent="0.25"/>
  <cols>
    <col min="2" max="2" width="13.140625" bestFit="1" customWidth="1"/>
    <col min="3" max="3" width="9.140625" customWidth="1"/>
    <col min="4" max="4" width="9.28515625" customWidth="1"/>
    <col min="5" max="5" width="10.5703125" customWidth="1"/>
    <col min="7" max="7" width="13.140625" bestFit="1" customWidth="1"/>
    <col min="10" max="10" width="8.85546875" customWidth="1"/>
    <col min="12" max="12" width="13.140625" bestFit="1" customWidth="1"/>
  </cols>
  <sheetData>
    <row r="1" spans="2:14" x14ac:dyDescent="0.25">
      <c r="B1" t="s">
        <v>186</v>
      </c>
    </row>
    <row r="2" spans="2:14" x14ac:dyDescent="0.25">
      <c r="C2" t="s">
        <v>189</v>
      </c>
      <c r="E2" t="s">
        <v>157</v>
      </c>
      <c r="G2" t="s">
        <v>188</v>
      </c>
      <c r="I2" t="s">
        <v>190</v>
      </c>
      <c r="K2" t="s">
        <v>191</v>
      </c>
      <c r="M2" t="s">
        <v>158</v>
      </c>
    </row>
    <row r="3" spans="2:14" x14ac:dyDescent="0.25">
      <c r="B3" t="s">
        <v>187</v>
      </c>
      <c r="C3" t="s">
        <v>96</v>
      </c>
      <c r="D3" t="s">
        <v>97</v>
      </c>
      <c r="E3" t="s">
        <v>96</v>
      </c>
      <c r="F3" t="s">
        <v>97</v>
      </c>
      <c r="G3" t="s">
        <v>96</v>
      </c>
      <c r="H3" t="s">
        <v>97</v>
      </c>
      <c r="I3" t="s">
        <v>96</v>
      </c>
      <c r="J3" t="s">
        <v>97</v>
      </c>
      <c r="K3" t="s">
        <v>96</v>
      </c>
      <c r="L3" t="s">
        <v>97</v>
      </c>
      <c r="M3" t="s">
        <v>96</v>
      </c>
      <c r="N3" t="s">
        <v>97</v>
      </c>
    </row>
    <row r="4" spans="2:14" x14ac:dyDescent="0.25">
      <c r="B4">
        <v>1</v>
      </c>
      <c r="C4">
        <v>33.618000000000002</v>
      </c>
      <c r="D4">
        <v>25.646999999999998</v>
      </c>
      <c r="E4">
        <v>34.457000000000001</v>
      </c>
      <c r="F4">
        <v>25.722999999999999</v>
      </c>
      <c r="G4">
        <v>41.514000000000003</v>
      </c>
      <c r="H4">
        <v>27.521999999999998</v>
      </c>
      <c r="I4">
        <v>42.715000000000003</v>
      </c>
      <c r="J4">
        <v>27.600999999999999</v>
      </c>
      <c r="K4">
        <v>43.097999999999999</v>
      </c>
      <c r="L4">
        <v>30.175999999999998</v>
      </c>
      <c r="M4">
        <v>45.238999999999997</v>
      </c>
      <c r="N4">
        <v>29.584</v>
      </c>
    </row>
    <row r="5" spans="2:14" x14ac:dyDescent="0.25">
      <c r="B5">
        <v>2</v>
      </c>
      <c r="C5">
        <v>32.902999999999999</v>
      </c>
      <c r="D5">
        <v>25.719000000000001</v>
      </c>
      <c r="E5">
        <v>33.518000000000001</v>
      </c>
      <c r="F5">
        <v>25.919</v>
      </c>
      <c r="G5">
        <v>39.92</v>
      </c>
      <c r="H5">
        <v>27.69</v>
      </c>
      <c r="I5">
        <v>41.567999999999998</v>
      </c>
      <c r="J5">
        <v>27.875</v>
      </c>
      <c r="K5">
        <v>42.448999999999998</v>
      </c>
      <c r="L5">
        <v>30.288</v>
      </c>
      <c r="M5">
        <v>44.21</v>
      </c>
      <c r="N5">
        <v>29.946000000000002</v>
      </c>
    </row>
    <row r="6" spans="2:14" x14ac:dyDescent="0.25">
      <c r="B6">
        <v>3</v>
      </c>
      <c r="C6">
        <v>32.231999999999999</v>
      </c>
      <c r="D6">
        <v>25.818999999999999</v>
      </c>
      <c r="E6">
        <v>32.600999999999999</v>
      </c>
      <c r="F6">
        <v>26.071999999999999</v>
      </c>
      <c r="G6">
        <v>38.728999999999999</v>
      </c>
      <c r="H6">
        <v>27.791</v>
      </c>
      <c r="I6">
        <v>40.591999999999999</v>
      </c>
      <c r="J6">
        <v>28.045999999999999</v>
      </c>
      <c r="K6">
        <v>41.701000000000001</v>
      </c>
      <c r="L6">
        <v>30.344999999999999</v>
      </c>
      <c r="M6">
        <v>42.829000000000001</v>
      </c>
      <c r="N6">
        <v>30.390999999999998</v>
      </c>
    </row>
    <row r="7" spans="2:14" x14ac:dyDescent="0.25">
      <c r="B7">
        <v>4</v>
      </c>
      <c r="C7">
        <v>31.574999999999999</v>
      </c>
      <c r="D7">
        <v>25.861000000000001</v>
      </c>
      <c r="E7">
        <v>31.837</v>
      </c>
      <c r="F7">
        <v>26.181000000000001</v>
      </c>
      <c r="G7">
        <v>37.521000000000001</v>
      </c>
      <c r="H7">
        <v>27.975000000000001</v>
      </c>
      <c r="I7">
        <v>39.548000000000002</v>
      </c>
      <c r="J7">
        <v>28.216999999999999</v>
      </c>
      <c r="K7">
        <v>40.954000000000001</v>
      </c>
      <c r="L7">
        <v>30.401</v>
      </c>
      <c r="M7">
        <v>41.790999999999997</v>
      </c>
      <c r="N7">
        <v>30.687000000000001</v>
      </c>
    </row>
    <row r="8" spans="2:14" x14ac:dyDescent="0.25">
      <c r="B8">
        <v>5</v>
      </c>
      <c r="C8">
        <v>30.904</v>
      </c>
      <c r="D8">
        <v>25.933</v>
      </c>
      <c r="E8">
        <v>30.963000000000001</v>
      </c>
      <c r="F8">
        <v>26.312000000000001</v>
      </c>
      <c r="G8">
        <v>36.463999999999999</v>
      </c>
      <c r="H8">
        <v>28.093</v>
      </c>
      <c r="I8">
        <v>38.298999999999999</v>
      </c>
      <c r="J8">
        <v>28.439</v>
      </c>
      <c r="K8">
        <v>40.106999999999999</v>
      </c>
      <c r="L8">
        <v>30.513999999999999</v>
      </c>
      <c r="M8">
        <v>40.753</v>
      </c>
      <c r="N8">
        <v>30.965</v>
      </c>
    </row>
    <row r="9" spans="2:14" x14ac:dyDescent="0.25">
      <c r="B9">
        <v>6</v>
      </c>
      <c r="C9">
        <v>30.132000000000001</v>
      </c>
      <c r="D9">
        <v>25.99</v>
      </c>
      <c r="E9">
        <v>30.33</v>
      </c>
      <c r="F9">
        <v>26.4</v>
      </c>
      <c r="G9">
        <v>35.524999999999999</v>
      </c>
      <c r="H9">
        <v>28.143000000000001</v>
      </c>
      <c r="I9">
        <v>36.758000000000003</v>
      </c>
      <c r="J9">
        <v>28.611000000000001</v>
      </c>
      <c r="K9">
        <v>39.134</v>
      </c>
      <c r="L9">
        <v>30.571000000000002</v>
      </c>
      <c r="M9">
        <v>39.566000000000003</v>
      </c>
      <c r="N9">
        <v>31.262</v>
      </c>
    </row>
    <row r="10" spans="2:14" x14ac:dyDescent="0.25">
      <c r="B10">
        <v>7</v>
      </c>
      <c r="C10">
        <v>29.39</v>
      </c>
      <c r="D10">
        <v>26.033000000000001</v>
      </c>
      <c r="E10">
        <v>29.696999999999999</v>
      </c>
      <c r="F10">
        <v>26.465</v>
      </c>
      <c r="G10">
        <v>34.534999999999997</v>
      </c>
      <c r="H10">
        <v>28.193000000000001</v>
      </c>
      <c r="I10">
        <v>35.252000000000002</v>
      </c>
      <c r="J10">
        <v>28.765000000000001</v>
      </c>
      <c r="K10">
        <v>38.005000000000003</v>
      </c>
      <c r="L10">
        <v>30.657</v>
      </c>
      <c r="M10">
        <v>38.134</v>
      </c>
      <c r="N10">
        <v>31.460999999999999</v>
      </c>
    </row>
    <row r="11" spans="2:14" x14ac:dyDescent="0.25">
      <c r="B11">
        <v>8</v>
      </c>
      <c r="C11">
        <v>28.731999999999999</v>
      </c>
      <c r="D11">
        <v>25.975999999999999</v>
      </c>
      <c r="E11">
        <v>28.911000000000001</v>
      </c>
      <c r="F11">
        <v>26.4</v>
      </c>
      <c r="G11">
        <v>33.561999999999998</v>
      </c>
      <c r="H11">
        <v>28.143000000000001</v>
      </c>
      <c r="I11">
        <v>33.814</v>
      </c>
      <c r="J11">
        <v>28.696000000000002</v>
      </c>
      <c r="K11">
        <v>37.101999999999997</v>
      </c>
      <c r="L11">
        <v>30.613</v>
      </c>
      <c r="M11">
        <v>36.854999999999997</v>
      </c>
      <c r="N11">
        <v>31.446999999999999</v>
      </c>
    </row>
    <row r="12" spans="2:14" x14ac:dyDescent="0.25">
      <c r="B12">
        <v>9</v>
      </c>
      <c r="C12">
        <v>28.074999999999999</v>
      </c>
      <c r="D12">
        <v>25.960999999999999</v>
      </c>
      <c r="E12">
        <v>28.146000000000001</v>
      </c>
      <c r="F12">
        <v>26.356000000000002</v>
      </c>
      <c r="G12">
        <v>32.673000000000002</v>
      </c>
      <c r="H12">
        <v>28.076000000000001</v>
      </c>
      <c r="I12">
        <v>32.478999999999999</v>
      </c>
      <c r="J12">
        <v>28.593</v>
      </c>
      <c r="K12">
        <v>36.198999999999998</v>
      </c>
      <c r="L12">
        <v>30.585000000000001</v>
      </c>
      <c r="M12">
        <v>35.853999999999999</v>
      </c>
      <c r="N12">
        <v>31.378</v>
      </c>
    </row>
    <row r="13" spans="2:14" x14ac:dyDescent="0.25">
      <c r="B13">
        <v>10</v>
      </c>
      <c r="C13">
        <v>27.332999999999998</v>
      </c>
      <c r="D13">
        <v>25.917999999999999</v>
      </c>
      <c r="E13">
        <v>27.338000000000001</v>
      </c>
      <c r="F13">
        <v>26.181000000000001</v>
      </c>
      <c r="G13">
        <v>31.8</v>
      </c>
      <c r="H13">
        <v>27.975000000000001</v>
      </c>
      <c r="I13">
        <v>31.417999999999999</v>
      </c>
      <c r="J13">
        <v>28.439</v>
      </c>
      <c r="K13">
        <v>35.212000000000003</v>
      </c>
      <c r="L13">
        <v>30.585000000000001</v>
      </c>
      <c r="M13">
        <v>34.548000000000002</v>
      </c>
      <c r="N13">
        <v>31.28</v>
      </c>
    </row>
    <row r="14" spans="2:14" x14ac:dyDescent="0.25">
      <c r="B14">
        <v>11</v>
      </c>
      <c r="C14">
        <v>26.718</v>
      </c>
      <c r="D14">
        <v>25.904</v>
      </c>
      <c r="E14">
        <v>26.509</v>
      </c>
      <c r="F14">
        <v>25.984999999999999</v>
      </c>
      <c r="G14">
        <v>30.76</v>
      </c>
      <c r="H14">
        <v>27.873999999999999</v>
      </c>
      <c r="I14">
        <v>30.356999999999999</v>
      </c>
      <c r="J14">
        <v>28.251000000000001</v>
      </c>
      <c r="K14">
        <v>34.040999999999997</v>
      </c>
      <c r="L14">
        <v>30.542000000000002</v>
      </c>
      <c r="M14">
        <v>32.545999999999999</v>
      </c>
      <c r="N14">
        <v>30.960999999999999</v>
      </c>
    </row>
    <row r="15" spans="2:14" x14ac:dyDescent="0.25">
      <c r="B15">
        <v>12</v>
      </c>
      <c r="C15">
        <v>26.047000000000001</v>
      </c>
      <c r="D15">
        <v>25.847000000000001</v>
      </c>
      <c r="E15">
        <v>25.765999999999998</v>
      </c>
      <c r="F15">
        <v>25.919</v>
      </c>
      <c r="G15">
        <v>29.451000000000001</v>
      </c>
      <c r="H15">
        <v>27.824000000000002</v>
      </c>
      <c r="I15">
        <v>29.277999999999999</v>
      </c>
      <c r="J15">
        <v>28.097000000000001</v>
      </c>
      <c r="K15">
        <v>32.305999999999997</v>
      </c>
      <c r="L15">
        <v>30.527999999999999</v>
      </c>
      <c r="M15">
        <v>31.169</v>
      </c>
      <c r="N15">
        <v>30.655000000000001</v>
      </c>
    </row>
    <row r="16" spans="2:14" x14ac:dyDescent="0.25">
      <c r="B16">
        <v>13</v>
      </c>
      <c r="C16">
        <v>25.460999999999999</v>
      </c>
      <c r="D16">
        <v>25.760999999999999</v>
      </c>
      <c r="E16">
        <v>24.783999999999999</v>
      </c>
      <c r="F16">
        <v>25.81</v>
      </c>
      <c r="G16">
        <v>28.059000000000001</v>
      </c>
      <c r="H16">
        <v>27.757000000000001</v>
      </c>
      <c r="I16">
        <v>28.234000000000002</v>
      </c>
      <c r="J16">
        <v>27.908999999999999</v>
      </c>
      <c r="K16">
        <v>31.190999999999999</v>
      </c>
      <c r="L16">
        <v>30.457999999999998</v>
      </c>
      <c r="M16">
        <v>29.556999999999999</v>
      </c>
      <c r="N16">
        <v>29.974</v>
      </c>
    </row>
    <row r="18" spans="2:13" x14ac:dyDescent="0.25">
      <c r="B18" t="s">
        <v>192</v>
      </c>
    </row>
    <row r="19" spans="2:13" x14ac:dyDescent="0.25">
      <c r="C19" t="s">
        <v>189</v>
      </c>
      <c r="E19" t="s">
        <v>157</v>
      </c>
      <c r="G19" t="s">
        <v>188</v>
      </c>
      <c r="I19" t="s">
        <v>190</v>
      </c>
      <c r="K19" t="s">
        <v>191</v>
      </c>
      <c r="M19" t="s">
        <v>158</v>
      </c>
    </row>
    <row r="20" spans="2:13" x14ac:dyDescent="0.25">
      <c r="B20" t="s">
        <v>187</v>
      </c>
      <c r="C20" t="s">
        <v>96</v>
      </c>
      <c r="D20" t="s">
        <v>194</v>
      </c>
      <c r="E20" t="s">
        <v>193</v>
      </c>
      <c r="G20" t="s">
        <v>96</v>
      </c>
      <c r="H20" t="s">
        <v>194</v>
      </c>
      <c r="I20" t="s">
        <v>193</v>
      </c>
      <c r="K20" t="s">
        <v>96</v>
      </c>
      <c r="L20" t="s">
        <v>194</v>
      </c>
      <c r="M20" t="s">
        <v>193</v>
      </c>
    </row>
    <row r="21" spans="2:13" x14ac:dyDescent="0.25">
      <c r="B21">
        <v>1</v>
      </c>
      <c r="C21">
        <v>33.618000000000002</v>
      </c>
      <c r="D21">
        <f>(-1)*D4</f>
        <v>-25.646999999999998</v>
      </c>
      <c r="E21">
        <f>(-1)*F4</f>
        <v>-25.722999999999999</v>
      </c>
      <c r="G21">
        <v>41.514000000000003</v>
      </c>
      <c r="H21">
        <f>(-1)*H4</f>
        <v>-27.521999999999998</v>
      </c>
      <c r="I21">
        <f>(-1)*J4</f>
        <v>-27.600999999999999</v>
      </c>
      <c r="K21">
        <v>43.097999999999999</v>
      </c>
      <c r="L21">
        <f>(-1)*L4+0.591999999999999</f>
        <v>-29.584</v>
      </c>
      <c r="M21">
        <f>(-1)*N4</f>
        <v>-29.584</v>
      </c>
    </row>
    <row r="22" spans="2:13" x14ac:dyDescent="0.25">
      <c r="B22">
        <v>2</v>
      </c>
      <c r="C22">
        <v>32.902999999999999</v>
      </c>
      <c r="D22">
        <f t="shared" ref="D22:D33" si="0">(-1)*D5</f>
        <v>-25.719000000000001</v>
      </c>
      <c r="E22">
        <f t="shared" ref="E22:E33" si="1">(-1)*F5</f>
        <v>-25.919</v>
      </c>
      <c r="G22">
        <v>39.92</v>
      </c>
      <c r="H22">
        <f t="shared" ref="H22:H33" si="2">(-1)*H5</f>
        <v>-27.69</v>
      </c>
      <c r="I22">
        <f t="shared" ref="I22:I33" si="3">(-1)*J5</f>
        <v>-27.875</v>
      </c>
      <c r="K22">
        <v>42.448999999999998</v>
      </c>
      <c r="L22">
        <f t="shared" ref="L22:L33" si="4">(-1)*L5+0.591999999999999</f>
        <v>-29.696000000000002</v>
      </c>
      <c r="M22">
        <f t="shared" ref="M22:M33" si="5">(-1)*N5</f>
        <v>-29.946000000000002</v>
      </c>
    </row>
    <row r="23" spans="2:13" x14ac:dyDescent="0.25">
      <c r="B23">
        <v>3</v>
      </c>
      <c r="C23">
        <v>32.231999999999999</v>
      </c>
      <c r="D23">
        <f t="shared" si="0"/>
        <v>-25.818999999999999</v>
      </c>
      <c r="E23">
        <f t="shared" si="1"/>
        <v>-26.071999999999999</v>
      </c>
      <c r="G23">
        <v>38.728999999999999</v>
      </c>
      <c r="H23">
        <f t="shared" si="2"/>
        <v>-27.791</v>
      </c>
      <c r="I23">
        <f t="shared" si="3"/>
        <v>-28.045999999999999</v>
      </c>
      <c r="K23">
        <v>41.701000000000001</v>
      </c>
      <c r="L23">
        <f t="shared" si="4"/>
        <v>-29.753</v>
      </c>
      <c r="M23">
        <f t="shared" si="5"/>
        <v>-30.390999999999998</v>
      </c>
    </row>
    <row r="24" spans="2:13" x14ac:dyDescent="0.25">
      <c r="B24">
        <v>4</v>
      </c>
      <c r="C24">
        <v>31.574999999999999</v>
      </c>
      <c r="D24">
        <f t="shared" si="0"/>
        <v>-25.861000000000001</v>
      </c>
      <c r="E24">
        <f t="shared" si="1"/>
        <v>-26.181000000000001</v>
      </c>
      <c r="G24">
        <v>37.521000000000001</v>
      </c>
      <c r="H24">
        <f t="shared" si="2"/>
        <v>-27.975000000000001</v>
      </c>
      <c r="I24">
        <f t="shared" si="3"/>
        <v>-28.216999999999999</v>
      </c>
      <c r="K24">
        <v>40.954000000000001</v>
      </c>
      <c r="L24">
        <f t="shared" si="4"/>
        <v>-29.809000000000001</v>
      </c>
      <c r="M24">
        <f t="shared" si="5"/>
        <v>-30.687000000000001</v>
      </c>
    </row>
    <row r="25" spans="2:13" x14ac:dyDescent="0.25">
      <c r="B25">
        <v>5</v>
      </c>
      <c r="C25">
        <v>30.904</v>
      </c>
      <c r="D25">
        <f t="shared" si="0"/>
        <v>-25.933</v>
      </c>
      <c r="E25">
        <f t="shared" si="1"/>
        <v>-26.312000000000001</v>
      </c>
      <c r="G25">
        <v>36.463999999999999</v>
      </c>
      <c r="H25">
        <f t="shared" si="2"/>
        <v>-28.093</v>
      </c>
      <c r="I25">
        <f t="shared" si="3"/>
        <v>-28.439</v>
      </c>
      <c r="K25">
        <v>40.106999999999999</v>
      </c>
      <c r="L25">
        <f t="shared" si="4"/>
        <v>-29.922000000000001</v>
      </c>
      <c r="M25">
        <f t="shared" si="5"/>
        <v>-30.965</v>
      </c>
    </row>
    <row r="26" spans="2:13" x14ac:dyDescent="0.25">
      <c r="B26">
        <v>6</v>
      </c>
      <c r="C26">
        <v>30.132000000000001</v>
      </c>
      <c r="D26">
        <f t="shared" si="0"/>
        <v>-25.99</v>
      </c>
      <c r="E26">
        <f t="shared" si="1"/>
        <v>-26.4</v>
      </c>
      <c r="G26">
        <v>35.524999999999999</v>
      </c>
      <c r="H26">
        <f t="shared" si="2"/>
        <v>-28.143000000000001</v>
      </c>
      <c r="I26">
        <f t="shared" si="3"/>
        <v>-28.611000000000001</v>
      </c>
      <c r="K26">
        <v>39.134</v>
      </c>
      <c r="L26">
        <f t="shared" si="4"/>
        <v>-29.979000000000003</v>
      </c>
      <c r="M26">
        <f t="shared" si="5"/>
        <v>-31.262</v>
      </c>
    </row>
    <row r="27" spans="2:13" x14ac:dyDescent="0.25">
      <c r="B27">
        <v>7</v>
      </c>
      <c r="C27">
        <v>29.39</v>
      </c>
      <c r="D27">
        <f t="shared" si="0"/>
        <v>-26.033000000000001</v>
      </c>
      <c r="E27">
        <f t="shared" si="1"/>
        <v>-26.465</v>
      </c>
      <c r="G27">
        <v>34.534999999999997</v>
      </c>
      <c r="H27">
        <f t="shared" si="2"/>
        <v>-28.193000000000001</v>
      </c>
      <c r="I27">
        <f t="shared" si="3"/>
        <v>-28.765000000000001</v>
      </c>
      <c r="K27">
        <v>38.005000000000003</v>
      </c>
      <c r="L27">
        <f t="shared" si="4"/>
        <v>-30.065000000000001</v>
      </c>
      <c r="M27">
        <f t="shared" si="5"/>
        <v>-31.460999999999999</v>
      </c>
    </row>
    <row r="28" spans="2:13" x14ac:dyDescent="0.25">
      <c r="B28">
        <v>8</v>
      </c>
      <c r="C28">
        <v>28.731999999999999</v>
      </c>
      <c r="D28">
        <f t="shared" si="0"/>
        <v>-25.975999999999999</v>
      </c>
      <c r="E28">
        <f t="shared" si="1"/>
        <v>-26.4</v>
      </c>
      <c r="G28">
        <v>33.561999999999998</v>
      </c>
      <c r="H28">
        <f t="shared" si="2"/>
        <v>-28.143000000000001</v>
      </c>
      <c r="I28">
        <f t="shared" si="3"/>
        <v>-28.696000000000002</v>
      </c>
      <c r="K28">
        <v>37.101999999999997</v>
      </c>
      <c r="L28">
        <f t="shared" si="4"/>
        <v>-30.021000000000001</v>
      </c>
      <c r="M28">
        <f t="shared" si="5"/>
        <v>-31.446999999999999</v>
      </c>
    </row>
    <row r="29" spans="2:13" x14ac:dyDescent="0.25">
      <c r="B29">
        <v>9</v>
      </c>
      <c r="C29">
        <v>28.074999999999999</v>
      </c>
      <c r="D29">
        <f t="shared" si="0"/>
        <v>-25.960999999999999</v>
      </c>
      <c r="E29">
        <f t="shared" si="1"/>
        <v>-26.356000000000002</v>
      </c>
      <c r="G29">
        <v>32.673000000000002</v>
      </c>
      <c r="H29">
        <f t="shared" si="2"/>
        <v>-28.076000000000001</v>
      </c>
      <c r="I29">
        <f t="shared" si="3"/>
        <v>-28.593</v>
      </c>
      <c r="K29">
        <v>36.198999999999998</v>
      </c>
      <c r="L29">
        <f t="shared" si="4"/>
        <v>-29.993000000000002</v>
      </c>
      <c r="M29">
        <f t="shared" si="5"/>
        <v>-31.378</v>
      </c>
    </row>
    <row r="30" spans="2:13" x14ac:dyDescent="0.25">
      <c r="B30">
        <v>10</v>
      </c>
      <c r="C30">
        <v>27.332999999999998</v>
      </c>
      <c r="D30">
        <f t="shared" si="0"/>
        <v>-25.917999999999999</v>
      </c>
      <c r="E30">
        <f t="shared" si="1"/>
        <v>-26.181000000000001</v>
      </c>
      <c r="G30">
        <v>31.8</v>
      </c>
      <c r="H30">
        <f t="shared" si="2"/>
        <v>-27.975000000000001</v>
      </c>
      <c r="I30">
        <f t="shared" si="3"/>
        <v>-28.439</v>
      </c>
      <c r="K30">
        <v>35.212000000000003</v>
      </c>
      <c r="L30">
        <f t="shared" si="4"/>
        <v>-29.993000000000002</v>
      </c>
      <c r="M30">
        <f t="shared" si="5"/>
        <v>-31.28</v>
      </c>
    </row>
    <row r="31" spans="2:13" x14ac:dyDescent="0.25">
      <c r="B31">
        <v>11</v>
      </c>
      <c r="C31">
        <v>26.718</v>
      </c>
      <c r="D31">
        <f t="shared" si="0"/>
        <v>-25.904</v>
      </c>
      <c r="E31">
        <f t="shared" si="1"/>
        <v>-25.984999999999999</v>
      </c>
      <c r="G31">
        <v>30.76</v>
      </c>
      <c r="H31">
        <f t="shared" si="2"/>
        <v>-27.873999999999999</v>
      </c>
      <c r="I31">
        <f t="shared" si="3"/>
        <v>-28.251000000000001</v>
      </c>
      <c r="K31">
        <v>34.040999999999997</v>
      </c>
      <c r="L31">
        <f t="shared" si="4"/>
        <v>-29.950000000000003</v>
      </c>
      <c r="M31">
        <f t="shared" si="5"/>
        <v>-30.960999999999999</v>
      </c>
    </row>
    <row r="32" spans="2:13" x14ac:dyDescent="0.25">
      <c r="B32">
        <v>12</v>
      </c>
      <c r="C32">
        <v>26.047000000000001</v>
      </c>
      <c r="D32">
        <f t="shared" si="0"/>
        <v>-25.847000000000001</v>
      </c>
      <c r="E32">
        <f t="shared" si="1"/>
        <v>-25.919</v>
      </c>
      <c r="G32">
        <v>29.451000000000001</v>
      </c>
      <c r="H32">
        <f t="shared" si="2"/>
        <v>-27.824000000000002</v>
      </c>
      <c r="I32">
        <f t="shared" si="3"/>
        <v>-28.097000000000001</v>
      </c>
      <c r="K32">
        <v>32.305999999999997</v>
      </c>
      <c r="L32">
        <f t="shared" si="4"/>
        <v>-29.936</v>
      </c>
      <c r="M32">
        <f t="shared" si="5"/>
        <v>-30.655000000000001</v>
      </c>
    </row>
    <row r="33" spans="1:15" x14ac:dyDescent="0.25">
      <c r="B33">
        <v>13</v>
      </c>
      <c r="C33">
        <v>25.460999999999999</v>
      </c>
      <c r="D33">
        <f t="shared" si="0"/>
        <v>-25.760999999999999</v>
      </c>
      <c r="E33">
        <f t="shared" si="1"/>
        <v>-25.81</v>
      </c>
      <c r="G33">
        <v>28.059000000000001</v>
      </c>
      <c r="H33">
        <f t="shared" si="2"/>
        <v>-27.757000000000001</v>
      </c>
      <c r="I33">
        <f t="shared" si="3"/>
        <v>-27.908999999999999</v>
      </c>
      <c r="K33">
        <v>31.190999999999999</v>
      </c>
      <c r="L33">
        <f t="shared" si="4"/>
        <v>-29.866</v>
      </c>
      <c r="M33">
        <f t="shared" si="5"/>
        <v>-29.974</v>
      </c>
    </row>
    <row r="35" spans="1:15" x14ac:dyDescent="0.25">
      <c r="B35" t="s">
        <v>99</v>
      </c>
      <c r="C35" t="s">
        <v>100</v>
      </c>
      <c r="D35" t="s">
        <v>98</v>
      </c>
      <c r="G35" t="s">
        <v>99</v>
      </c>
      <c r="H35" t="s">
        <v>100</v>
      </c>
      <c r="I35" t="s">
        <v>98</v>
      </c>
      <c r="K35" t="s">
        <v>99</v>
      </c>
      <c r="L35" t="s">
        <v>100</v>
      </c>
      <c r="M35" t="s">
        <v>98</v>
      </c>
    </row>
    <row r="36" spans="1:15" x14ac:dyDescent="0.25">
      <c r="A36" t="s">
        <v>196</v>
      </c>
      <c r="B36" cm="1">
        <f t="array" ref="B36:D40">LINEST(D21:D33,C21:C33^{1,2},,TRUE)</f>
        <v>1.7494518328240651E-2</v>
      </c>
      <c r="C36">
        <v>-1.0170854990949871</v>
      </c>
      <c r="D36">
        <v>-11.210389932813083</v>
      </c>
      <c r="G36" cm="1">
        <f t="array" ref="G36:I40">LINEST(H21:H33,G21:G33^{1,2},,TRUE)</f>
        <v>1.1579318878609107E-2</v>
      </c>
      <c r="H36">
        <v>-0.79148036115070175</v>
      </c>
      <c r="I36">
        <v>-14.585542674105497</v>
      </c>
      <c r="K36" cm="1">
        <f t="array" ref="K36:M40">LINEST(L21:L33,K21:K33^{1,2},,TRUE)</f>
        <v>8.3456189612127109E-3</v>
      </c>
      <c r="L36">
        <v>-0.6008983914496312</v>
      </c>
      <c r="M36">
        <v>-19.215975919850827</v>
      </c>
    </row>
    <row r="37" spans="1:15" x14ac:dyDescent="0.25">
      <c r="B37">
        <v>1.0007820737999531E-3</v>
      </c>
      <c r="C37">
        <v>5.9111215510957632E-2</v>
      </c>
      <c r="D37">
        <v>0.86749823585721886</v>
      </c>
      <c r="G37">
        <v>1.1984969782248632E-3</v>
      </c>
      <c r="H37">
        <v>8.3477976846639768E-2</v>
      </c>
      <c r="I37">
        <v>1.4396463729343703</v>
      </c>
      <c r="K37">
        <v>8.2068531887541417E-4</v>
      </c>
      <c r="L37">
        <v>6.130142500337913E-2</v>
      </c>
      <c r="M37">
        <v>1.13571016847878</v>
      </c>
    </row>
    <row r="38" spans="1:15" x14ac:dyDescent="0.25">
      <c r="B38">
        <v>0.97252466618698585</v>
      </c>
      <c r="C38">
        <v>2.0654476382311254E-2</v>
      </c>
      <c r="D38" t="e">
        <v>#N/A</v>
      </c>
      <c r="G38">
        <v>0.910681840286931</v>
      </c>
      <c r="H38">
        <v>6.6789953765190799E-2</v>
      </c>
      <c r="I38" t="e">
        <v>#N/A</v>
      </c>
      <c r="K38">
        <v>0.94323951464294775</v>
      </c>
      <c r="L38">
        <v>3.6973404332206167E-2</v>
      </c>
      <c r="M38" t="e">
        <v>#N/A</v>
      </c>
    </row>
    <row r="39" spans="1:15" x14ac:dyDescent="0.25">
      <c r="B39">
        <v>176.98141045448108</v>
      </c>
      <c r="C39">
        <v>10</v>
      </c>
      <c r="D39" t="e">
        <v>#N/A</v>
      </c>
      <c r="G39">
        <v>50.979657620155898</v>
      </c>
      <c r="H39">
        <v>10</v>
      </c>
      <c r="I39" t="e">
        <v>#N/A</v>
      </c>
      <c r="K39">
        <v>83.089451112820129</v>
      </c>
      <c r="L39">
        <v>10</v>
      </c>
      <c r="M39" t="e">
        <v>#N/A</v>
      </c>
    </row>
    <row r="40" spans="1:15" x14ac:dyDescent="0.25">
      <c r="B40">
        <v>0.15100315682295623</v>
      </c>
      <c r="C40">
        <v>4.266073946274534E-3</v>
      </c>
      <c r="D40" t="e">
        <v>#N/A</v>
      </c>
      <c r="G40">
        <v>0.45483009768351523</v>
      </c>
      <c r="H40">
        <v>4.4608979239563237E-2</v>
      </c>
      <c r="I40" t="e">
        <v>#N/A</v>
      </c>
      <c r="K40">
        <v>0.22717198141318151</v>
      </c>
      <c r="L40">
        <v>1.3670326279128016E-2</v>
      </c>
      <c r="M40" t="e">
        <v>#N/A</v>
      </c>
    </row>
    <row r="42" spans="1:15" x14ac:dyDescent="0.25">
      <c r="A42" t="s">
        <v>195</v>
      </c>
      <c r="B42" cm="1">
        <f t="array" ref="B42:D46">LINEST(E21:E33,C21:C33^{1,2},,TRUE)</f>
        <v>4.0617562336033836E-2</v>
      </c>
      <c r="C42">
        <v>-2.3942106650009904</v>
      </c>
      <c r="D42">
        <v>8.8806595486059621</v>
      </c>
      <c r="G42" cm="1">
        <f t="array" ref="G42:I46">LINEST(I21:I33,C21:C33^{1,2},,TRUE)</f>
        <v>5.6002823925841203E-2</v>
      </c>
      <c r="H42">
        <v>-3.2651285105157797</v>
      </c>
      <c r="I42">
        <v>18.943336406789442</v>
      </c>
      <c r="K42" cm="1">
        <f t="array" ref="K42:M46">LINEST(M21:M33,K21:K33^{1,2},,TRUE)</f>
        <v>4.6194267378687946E-2</v>
      </c>
      <c r="L42">
        <v>-3.4013952113404944</v>
      </c>
      <c r="M42">
        <v>31.160628959283699</v>
      </c>
    </row>
    <row r="43" spans="1:15" x14ac:dyDescent="0.25">
      <c r="B43">
        <v>2.4348523293138162E-3</v>
      </c>
      <c r="C43">
        <v>0.14381460713913211</v>
      </c>
      <c r="D43">
        <v>2.1105794713453183</v>
      </c>
      <c r="G43">
        <v>3.2730786024370235E-3</v>
      </c>
      <c r="H43">
        <v>0.19332446065738867</v>
      </c>
      <c r="I43">
        <v>2.8371710363026503</v>
      </c>
      <c r="K43">
        <v>1.7196432865756973E-3</v>
      </c>
      <c r="L43">
        <v>0.12844945747175901</v>
      </c>
      <c r="M43">
        <v>2.379738398874379</v>
      </c>
    </row>
    <row r="44" spans="1:15" x14ac:dyDescent="0.25">
      <c r="B44">
        <v>0.96535246112547546</v>
      </c>
      <c r="C44">
        <v>5.0251299705314646E-2</v>
      </c>
      <c r="D44" t="e">
        <v>#N/A</v>
      </c>
      <c r="G44">
        <v>0.97000609669196391</v>
      </c>
      <c r="H44">
        <v>6.7550894906414125E-2</v>
      </c>
      <c r="I44" t="e">
        <v>#N/A</v>
      </c>
      <c r="K44">
        <v>0.98740396133353292</v>
      </c>
      <c r="L44">
        <v>7.7473137485695884E-2</v>
      </c>
      <c r="M44" t="e">
        <v>#N/A</v>
      </c>
    </row>
    <row r="45" spans="1:15" x14ac:dyDescent="0.25">
      <c r="B45">
        <v>139.31039440080892</v>
      </c>
      <c r="C45">
        <v>10</v>
      </c>
      <c r="D45" t="e">
        <v>#N/A</v>
      </c>
      <c r="G45">
        <v>161.70054406224583</v>
      </c>
      <c r="H45">
        <v>10</v>
      </c>
      <c r="I45" t="e">
        <v>#N/A</v>
      </c>
      <c r="K45">
        <v>391.95019461244397</v>
      </c>
      <c r="L45">
        <v>10</v>
      </c>
      <c r="M45" t="e">
        <v>#N/A</v>
      </c>
    </row>
    <row r="46" spans="1:15" x14ac:dyDescent="0.25">
      <c r="B46">
        <v>0.7035712995484984</v>
      </c>
      <c r="C46">
        <v>2.5251931220733555E-2</v>
      </c>
      <c r="D46" t="e">
        <v>#N/A</v>
      </c>
      <c r="G46">
        <v>1.475719073665738</v>
      </c>
      <c r="H46">
        <v>4.5631234026574062E-2</v>
      </c>
      <c r="I46" t="e">
        <v>#N/A</v>
      </c>
      <c r="K46">
        <v>4.7050383604504535</v>
      </c>
      <c r="L46">
        <v>6.0020870318775371E-2</v>
      </c>
      <c r="M46" t="e">
        <v>#N/A</v>
      </c>
    </row>
    <row r="48" spans="1:15" x14ac:dyDescent="0.25">
      <c r="B48" s="37" t="s">
        <v>197</v>
      </c>
      <c r="C48" t="s">
        <v>198</v>
      </c>
      <c r="D48" t="s">
        <v>200</v>
      </c>
      <c r="E48" t="s">
        <v>201</v>
      </c>
      <c r="G48" s="37" t="s">
        <v>197</v>
      </c>
      <c r="H48" t="s">
        <v>198</v>
      </c>
      <c r="I48" t="s">
        <v>200</v>
      </c>
      <c r="J48" t="s">
        <v>201</v>
      </c>
      <c r="L48" s="37" t="s">
        <v>197</v>
      </c>
      <c r="M48" t="s">
        <v>198</v>
      </c>
      <c r="N48" t="s">
        <v>200</v>
      </c>
      <c r="O48" t="s">
        <v>201</v>
      </c>
    </row>
    <row r="49" spans="2:15" x14ac:dyDescent="0.25">
      <c r="B49" cm="1">
        <f t="array" ref="B49">(PI()*((MAX(ABS(D21:D33))-MIN(ABS(D21:D33)))*0.001)*(((C21-C33)/2)*0.001)^2)-(PI()*((MAX(ABS(E21:E33))-MIN(ABS(E21:E33)))*0.001)*(((C21-C33)/2)*0.001)^2/2)</f>
        <v>7.8386642884843278E-10</v>
      </c>
      <c r="C49" s="25" cm="1">
        <f t="array" ref="C49">(PI()*((MAX(ABS(D21:D33))-MIN(ABS(D21:D33)))*0.001)*(((C21-C33)/2)*0.001)^2)-(PI()*((MAX(ABS(D21:D33))-MIN(ABS(D21:D33)))*0.001)*(((C21-C33)/2)*0.001)^2/2)</f>
        <v>1.0085748051181672E-8</v>
      </c>
      <c r="D49" s="25">
        <f>C49-B49</f>
        <v>9.3018816223332394E-9</v>
      </c>
      <c r="E49">
        <f>PI()*(7.24*0.001)*((0.0005)^2)</f>
        <v>5.6862827029975259E-9</v>
      </c>
      <c r="G49" cm="1">
        <f t="array" ref="G49">(PI()*((MAX(ABS(H21:H33))-MIN(ABS(H21:H33)))*0.001)*(((G21-G33)/2)*0.001)^2)-(PI()*((MAX(ABS(I21:I33))-MIN(ABS(I21:I33)))*0.001)*(((G21-G33)/2)*0.001)^2/2)</f>
        <v>1.2654567077832806E-8</v>
      </c>
      <c r="H49" s="25" cm="1">
        <f t="array" ref="H49">(PI()*((MAX(ABS(H21:H33))-MIN(ABS(H21:H33)))*0.001)*(((G21-G33)/2)*0.001)^2)-(PI()*((MAX(ABS(H21:H33))-MIN(ABS(H21:H33)))*0.001)*(((G21-G33)/2)*0.001)^2/2)</f>
        <v>4.7703452299020404E-8</v>
      </c>
      <c r="I49" s="25">
        <f>H49-G49</f>
        <v>3.5048885221187598E-8</v>
      </c>
      <c r="J49">
        <f>PI()*(11.78*0.001)*((0.0005)^2)</f>
        <v>9.2519903648219402E-9</v>
      </c>
      <c r="L49" cm="1">
        <f t="array" ref="L49">(PI()*((MAX(ABS(L21:L33))-MIN(ABS(L21:L33)))*0.001)*(((K21-K33)/2)*0.001)^2)-(PI()*((MAX(ABS(M21:M33))-MIN(ABS(M21:M33)))*0.001)*(((K21-K33)/2)*0.001)^2/2)</f>
        <v>-5.0943137279789199E-8</v>
      </c>
      <c r="M49" s="25" cm="1">
        <f t="array" ref="M49">(PI()*((MAX(ABS(L21:L33))-MIN(ABS(L21:L33)))*0.001)*(((K21-K33)/2)*0.001)^2)-(PI()*((MAX(ABS(L21:L33))-MIN(ABS(L21:L33)))*0.001)*(((K21-K33)/2)*0.001)^2/2)</f>
        <v>2.677994429680744E-8</v>
      </c>
      <c r="N49" s="25">
        <f>M49-L49</f>
        <v>7.7723081576596639E-8</v>
      </c>
      <c r="O49">
        <f>PI()*(18.08*0.001)*((0.0005)^2)</f>
        <v>1.4199998794225863E-8</v>
      </c>
    </row>
    <row r="50" spans="2:15" x14ac:dyDescent="0.25">
      <c r="E50" s="24">
        <f>((SQRT(D49^2))-E49)/(SQRT(D49^2))</f>
        <v>0.38869543455110045</v>
      </c>
      <c r="J50" s="24">
        <f>((SQRT(I49^2))-J49)/(SQRT(I49^2))</f>
        <v>0.73602611591112843</v>
      </c>
      <c r="O50" s="24">
        <f>((SQRT(N49^2))-O49)/(SQRT(N49^2))</f>
        <v>0.81730010562908961</v>
      </c>
    </row>
    <row r="51" spans="2:15" x14ac:dyDescent="0.25">
      <c r="B51" s="67"/>
      <c r="E51" s="25"/>
      <c r="G51" s="67"/>
      <c r="J51" s="25"/>
      <c r="L51">
        <f>PI()*((MAX(L21:L33)-MIN(L21:L33))*0.001)*(((K21-K33)/2)*0.001)^2</f>
        <v>5.3559888593614879E-8</v>
      </c>
      <c r="O51" s="25"/>
    </row>
    <row r="52" spans="2:15" x14ac:dyDescent="0.25">
      <c r="L52" cm="1">
        <f t="array" ref="L52">PI()*((MAX(ABS(M21:M33))-MIN(ABS(M21:M33)))*0.001)*(((K21-K33)/2)*0.001)^2/2</f>
        <v>1.0450302587340408E-7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9D963-365B-4131-A15D-3C5BAAD65016}">
  <dimension ref="A1:X59"/>
  <sheetViews>
    <sheetView workbookViewId="0">
      <selection activeCell="B6" sqref="B6"/>
    </sheetView>
  </sheetViews>
  <sheetFormatPr defaultRowHeight="15" x14ac:dyDescent="0.25"/>
  <sheetData>
    <row r="1" spans="1:24" x14ac:dyDescent="0.25">
      <c r="A1" s="68" t="s">
        <v>210</v>
      </c>
    </row>
    <row r="2" spans="1:24" x14ac:dyDescent="0.25">
      <c r="A2" s="68" t="s">
        <v>219</v>
      </c>
    </row>
    <row r="5" spans="1:24" x14ac:dyDescent="0.25">
      <c r="A5" s="68" t="s">
        <v>211</v>
      </c>
      <c r="B5" s="68" t="s">
        <v>213</v>
      </c>
      <c r="C5" s="68" t="s">
        <v>214</v>
      </c>
      <c r="D5" s="68" t="s">
        <v>215</v>
      </c>
      <c r="E5" s="68" t="s">
        <v>216</v>
      </c>
      <c r="F5" s="68"/>
    </row>
    <row r="6" spans="1:24" x14ac:dyDescent="0.25">
      <c r="A6" s="62">
        <v>-4.9000000000000004</v>
      </c>
      <c r="B6" s="62">
        <v>0</v>
      </c>
      <c r="C6" s="62">
        <v>-6500</v>
      </c>
      <c r="D6" s="63">
        <v>3.4950999999999998E-6</v>
      </c>
      <c r="E6" s="63">
        <v>1.4188000000000001E-6</v>
      </c>
      <c r="F6" s="63">
        <f>D6/E6</f>
        <v>2.4634197913729912</v>
      </c>
      <c r="G6" s="63"/>
      <c r="H6" s="62">
        <v>-8000</v>
      </c>
      <c r="I6" s="63">
        <v>5.2943999999999997E-6</v>
      </c>
      <c r="J6" s="63">
        <v>1.4188000000000001E-6</v>
      </c>
      <c r="K6" s="25">
        <f>I6/J6</f>
        <v>3.7316041725401745</v>
      </c>
      <c r="N6" s="62">
        <v>-9500</v>
      </c>
      <c r="O6" s="63">
        <v>7.4660000000000002E-6</v>
      </c>
      <c r="P6" s="63">
        <v>1.4188000000000001E-6</v>
      </c>
      <c r="Q6" s="25">
        <f>O6/P6</f>
        <v>5.2621934028756696</v>
      </c>
      <c r="U6" s="62"/>
      <c r="V6" s="62"/>
      <c r="W6" s="62"/>
      <c r="X6" s="63"/>
    </row>
    <row r="7" spans="1:24" x14ac:dyDescent="0.25">
      <c r="A7" s="62">
        <v>-4.8</v>
      </c>
      <c r="B7" s="62">
        <v>0.31</v>
      </c>
      <c r="C7" s="62">
        <v>-6500</v>
      </c>
      <c r="D7" s="63">
        <v>3.5002E-6</v>
      </c>
      <c r="E7" s="63">
        <v>1.4188000000000001E-6</v>
      </c>
      <c r="F7" s="63">
        <f t="shared" ref="F7:F38" si="0">D7/E7</f>
        <v>2.4670143783478995</v>
      </c>
      <c r="G7" s="63"/>
      <c r="H7" s="62">
        <v>-8000</v>
      </c>
      <c r="I7" s="63">
        <v>5.3020999999999996E-6</v>
      </c>
      <c r="J7" s="63">
        <v>1.4188000000000001E-6</v>
      </c>
      <c r="K7" s="25">
        <f t="shared" ref="K7:K42" si="1">I7/J7</f>
        <v>3.7370312940513104</v>
      </c>
      <c r="N7" s="62">
        <v>-9500</v>
      </c>
      <c r="O7" s="63">
        <v>7.4766999999999999E-6</v>
      </c>
      <c r="P7" s="63">
        <v>1.4188000000000001E-6</v>
      </c>
      <c r="Q7" s="25">
        <f t="shared" ref="Q7:Q49" si="2">O7/P7</f>
        <v>5.269734987313222</v>
      </c>
      <c r="U7" s="62"/>
      <c r="V7" s="62"/>
      <c r="W7" s="62"/>
      <c r="X7" s="63"/>
    </row>
    <row r="8" spans="1:24" x14ac:dyDescent="0.25">
      <c r="A8" s="62">
        <v>-4.7</v>
      </c>
      <c r="B8" s="62">
        <v>0.62</v>
      </c>
      <c r="C8" s="62">
        <v>-6500</v>
      </c>
      <c r="D8" s="63">
        <v>3.5033E-6</v>
      </c>
      <c r="E8" s="63">
        <v>1.4188000000000001E-6</v>
      </c>
      <c r="F8" s="63">
        <f t="shared" si="0"/>
        <v>2.4691993233718632</v>
      </c>
      <c r="G8" s="63"/>
      <c r="H8" s="62">
        <v>-8000</v>
      </c>
      <c r="I8" s="63">
        <v>5.3067000000000004E-6</v>
      </c>
      <c r="J8" s="63">
        <v>1.4188000000000001E-6</v>
      </c>
      <c r="K8" s="25">
        <f t="shared" si="1"/>
        <v>3.7402734705384835</v>
      </c>
      <c r="N8" s="62">
        <v>-9500</v>
      </c>
      <c r="O8" s="63">
        <v>7.4833E-6</v>
      </c>
      <c r="P8" s="63">
        <v>1.4188000000000001E-6</v>
      </c>
      <c r="Q8" s="25">
        <f t="shared" si="2"/>
        <v>5.2743868057513392</v>
      </c>
      <c r="U8" s="62"/>
      <c r="V8" s="62"/>
      <c r="W8" s="62"/>
      <c r="X8" s="63"/>
    </row>
    <row r="9" spans="1:24" x14ac:dyDescent="0.25">
      <c r="A9" s="62">
        <v>-4.5999999999999996</v>
      </c>
      <c r="B9" s="62">
        <v>0.93</v>
      </c>
      <c r="C9" s="62">
        <v>-6500</v>
      </c>
      <c r="D9" s="63">
        <v>3.5055000000000001E-6</v>
      </c>
      <c r="E9" s="63">
        <v>1.4188000000000001E-6</v>
      </c>
      <c r="F9" s="63">
        <f t="shared" si="0"/>
        <v>2.4707499295179023</v>
      </c>
      <c r="G9" s="63"/>
      <c r="H9" s="62">
        <v>-8000</v>
      </c>
      <c r="I9" s="63">
        <v>5.31E-6</v>
      </c>
      <c r="J9" s="63">
        <v>1.4188000000000001E-6</v>
      </c>
      <c r="K9" s="25">
        <f t="shared" si="1"/>
        <v>3.7425993797575412</v>
      </c>
      <c r="N9" s="62">
        <v>-9500</v>
      </c>
      <c r="O9" s="63">
        <v>7.4880000000000001E-6</v>
      </c>
      <c r="P9" s="63">
        <v>1.4188000000000001E-6</v>
      </c>
      <c r="Q9" s="25">
        <f t="shared" si="2"/>
        <v>5.2776994643360586</v>
      </c>
      <c r="U9" s="62"/>
      <c r="V9" s="62"/>
      <c r="W9" s="62"/>
      <c r="X9" s="63"/>
    </row>
    <row r="10" spans="1:24" x14ac:dyDescent="0.25">
      <c r="A10" s="62">
        <v>-4.5</v>
      </c>
      <c r="B10" s="62">
        <v>1.24</v>
      </c>
      <c r="C10" s="62">
        <v>-6500</v>
      </c>
      <c r="D10" s="63">
        <v>3.507E-6</v>
      </c>
      <c r="E10" s="63">
        <v>1.4188000000000001E-6</v>
      </c>
      <c r="F10" s="63">
        <f t="shared" si="0"/>
        <v>2.4718071609811108</v>
      </c>
      <c r="G10" s="63"/>
      <c r="H10" s="62">
        <v>-8000</v>
      </c>
      <c r="I10" s="63">
        <v>5.3124000000000002E-6</v>
      </c>
      <c r="J10" s="63">
        <v>1.4188000000000001E-6</v>
      </c>
      <c r="K10" s="25">
        <f t="shared" si="1"/>
        <v>3.7442909500986747</v>
      </c>
      <c r="N10" s="62">
        <v>-9500</v>
      </c>
      <c r="O10" s="63">
        <v>7.4912999999999997E-6</v>
      </c>
      <c r="P10" s="63">
        <v>1.4188000000000001E-6</v>
      </c>
      <c r="Q10" s="25">
        <f t="shared" si="2"/>
        <v>5.2800253735551168</v>
      </c>
      <c r="U10" s="62"/>
      <c r="V10" s="62"/>
      <c r="W10" s="62"/>
      <c r="X10" s="63"/>
    </row>
    <row r="11" spans="1:24" x14ac:dyDescent="0.25">
      <c r="A11" s="62">
        <v>-4.25</v>
      </c>
      <c r="B11" s="62">
        <v>2.0099999999999998</v>
      </c>
      <c r="C11" s="62">
        <v>-6500</v>
      </c>
      <c r="D11" s="63">
        <v>3.5095E-6</v>
      </c>
      <c r="E11" s="63">
        <v>1.4188000000000001E-6</v>
      </c>
      <c r="F11" s="63">
        <f t="shared" si="0"/>
        <v>2.4735692134197911</v>
      </c>
      <c r="G11" s="63"/>
      <c r="H11" s="62">
        <v>-8000</v>
      </c>
      <c r="I11" s="63">
        <v>5.3162E-6</v>
      </c>
      <c r="J11" s="63">
        <v>1.4188000000000001E-6</v>
      </c>
      <c r="K11" s="25">
        <f t="shared" si="1"/>
        <v>3.7469692698054691</v>
      </c>
      <c r="N11" s="62">
        <v>-9500</v>
      </c>
      <c r="O11" s="63">
        <v>7.4966000000000004E-6</v>
      </c>
      <c r="P11" s="63">
        <v>1.4188000000000001E-6</v>
      </c>
      <c r="Q11" s="25">
        <f t="shared" si="2"/>
        <v>5.2837609247251196</v>
      </c>
      <c r="U11" s="62"/>
      <c r="V11" s="62"/>
      <c r="W11" s="62"/>
      <c r="X11" s="63"/>
    </row>
    <row r="12" spans="1:24" x14ac:dyDescent="0.25">
      <c r="A12" s="62">
        <v>-4</v>
      </c>
      <c r="B12" s="62">
        <v>2.78</v>
      </c>
      <c r="C12" s="62">
        <v>-6500</v>
      </c>
      <c r="D12" s="63">
        <v>3.5111000000000001E-6</v>
      </c>
      <c r="E12" s="63">
        <v>1.4188000000000001E-6</v>
      </c>
      <c r="F12" s="63">
        <f t="shared" si="0"/>
        <v>2.4746969269805468</v>
      </c>
      <c r="G12" s="63"/>
      <c r="H12" s="62">
        <v>-8000</v>
      </c>
      <c r="I12" s="63">
        <v>5.3185E-6</v>
      </c>
      <c r="J12" s="63">
        <v>1.4188000000000001E-6</v>
      </c>
      <c r="K12" s="25">
        <f t="shared" si="1"/>
        <v>3.7485903580490554</v>
      </c>
      <c r="N12" s="62">
        <v>-9500</v>
      </c>
      <c r="O12" s="63">
        <v>7.5000000000000002E-6</v>
      </c>
      <c r="P12" s="63">
        <v>1.4188000000000001E-6</v>
      </c>
      <c r="Q12" s="25">
        <f t="shared" si="2"/>
        <v>5.2861573160417255</v>
      </c>
      <c r="U12" s="62"/>
      <c r="V12" s="62"/>
      <c r="W12" s="62"/>
      <c r="X12" s="63"/>
    </row>
    <row r="13" spans="1:24" x14ac:dyDescent="0.25">
      <c r="A13" s="62">
        <v>-3.75</v>
      </c>
      <c r="B13" s="62">
        <v>3.55</v>
      </c>
      <c r="C13" s="62">
        <v>-6500</v>
      </c>
      <c r="D13" s="63">
        <v>3.5122E-6</v>
      </c>
      <c r="E13" s="63">
        <v>1.4188000000000001E-6</v>
      </c>
      <c r="F13" s="63">
        <f t="shared" si="0"/>
        <v>2.4754722300535663</v>
      </c>
      <c r="G13" s="63"/>
      <c r="H13" s="62">
        <v>-8000</v>
      </c>
      <c r="I13" s="63">
        <v>5.3202999999999997E-6</v>
      </c>
      <c r="J13" s="63">
        <v>1.4188000000000001E-6</v>
      </c>
      <c r="K13" s="25">
        <f t="shared" si="1"/>
        <v>3.7498590358049051</v>
      </c>
      <c r="N13" s="62">
        <v>-9500</v>
      </c>
      <c r="O13" s="63">
        <v>7.5024999999999997E-6</v>
      </c>
      <c r="P13" s="63">
        <v>1.4188000000000001E-6</v>
      </c>
      <c r="Q13" s="25">
        <f t="shared" si="2"/>
        <v>5.2879193684804058</v>
      </c>
      <c r="U13" s="62"/>
      <c r="V13" s="62"/>
      <c r="W13" s="62"/>
      <c r="X13" s="63"/>
    </row>
    <row r="14" spans="1:24" x14ac:dyDescent="0.25">
      <c r="A14" s="62">
        <v>-3.5</v>
      </c>
      <c r="B14" s="62">
        <v>4.32</v>
      </c>
      <c r="C14" s="62">
        <v>-6500</v>
      </c>
      <c r="D14" s="63">
        <v>3.5130999999999999E-6</v>
      </c>
      <c r="E14" s="63">
        <v>1.4189000000000001E-6</v>
      </c>
      <c r="F14" s="63">
        <f t="shared" si="0"/>
        <v>2.4759320600465147</v>
      </c>
      <c r="G14" s="63"/>
      <c r="H14" s="62">
        <v>-8000</v>
      </c>
      <c r="I14" s="63">
        <v>5.3216E-6</v>
      </c>
      <c r="J14" s="63">
        <v>1.4189000000000001E-6</v>
      </c>
      <c r="K14" s="25">
        <f t="shared" si="1"/>
        <v>3.7505109591937416</v>
      </c>
      <c r="N14" s="62">
        <v>-9500</v>
      </c>
      <c r="O14" s="63">
        <v>7.5043000000000003E-6</v>
      </c>
      <c r="P14" s="63">
        <v>1.4189000000000001E-6</v>
      </c>
      <c r="Q14" s="25">
        <f t="shared" si="2"/>
        <v>5.2888152794418213</v>
      </c>
      <c r="U14" s="62"/>
      <c r="V14" s="62"/>
      <c r="W14" s="62"/>
      <c r="X14" s="63"/>
    </row>
    <row r="15" spans="1:24" x14ac:dyDescent="0.25">
      <c r="A15" s="62">
        <v>-3.25</v>
      </c>
      <c r="B15" s="62">
        <v>5.09</v>
      </c>
      <c r="C15" s="62">
        <v>-6500</v>
      </c>
      <c r="D15" s="63">
        <v>3.5138999999999999E-6</v>
      </c>
      <c r="E15" s="63">
        <v>1.4189000000000001E-6</v>
      </c>
      <c r="F15" s="63">
        <f t="shared" si="0"/>
        <v>2.4764958770878849</v>
      </c>
      <c r="G15" s="63"/>
      <c r="H15" s="62">
        <v>-8000</v>
      </c>
      <c r="I15" s="63">
        <v>5.3228000000000001E-6</v>
      </c>
      <c r="J15" s="63">
        <v>1.4189000000000001E-6</v>
      </c>
      <c r="K15" s="25">
        <f t="shared" si="1"/>
        <v>3.7513566847557964</v>
      </c>
      <c r="N15" s="62">
        <v>-9500</v>
      </c>
      <c r="O15" s="63">
        <v>7.5059000000000004E-6</v>
      </c>
      <c r="P15" s="63">
        <v>1.4189000000000001E-6</v>
      </c>
      <c r="Q15" s="25">
        <f t="shared" si="2"/>
        <v>5.2899429135245617</v>
      </c>
      <c r="U15" s="62"/>
      <c r="V15" s="62"/>
      <c r="W15" s="62"/>
      <c r="X15" s="63"/>
    </row>
    <row r="16" spans="1:24" x14ac:dyDescent="0.25">
      <c r="A16" s="62">
        <v>-3</v>
      </c>
      <c r="B16" s="62">
        <v>5.87</v>
      </c>
      <c r="C16" s="62">
        <v>-6500</v>
      </c>
      <c r="D16" s="63">
        <v>3.5145E-6</v>
      </c>
      <c r="E16" s="63">
        <v>1.4189000000000001E-6</v>
      </c>
      <c r="F16" s="63">
        <f t="shared" si="0"/>
        <v>2.4769187398689123</v>
      </c>
      <c r="G16" s="63"/>
      <c r="H16" s="62">
        <v>-8000</v>
      </c>
      <c r="I16" s="63">
        <v>5.3237000000000004E-6</v>
      </c>
      <c r="J16" s="63">
        <v>1.4189000000000001E-6</v>
      </c>
      <c r="K16" s="25">
        <f t="shared" si="1"/>
        <v>3.751990978927338</v>
      </c>
      <c r="N16" s="62">
        <v>-9500</v>
      </c>
      <c r="O16" s="63">
        <v>7.5071999999999999E-6</v>
      </c>
      <c r="P16" s="63">
        <v>1.4189000000000001E-6</v>
      </c>
      <c r="Q16" s="25">
        <f t="shared" si="2"/>
        <v>5.2908591162167875</v>
      </c>
      <c r="U16" s="62"/>
      <c r="V16" s="62"/>
      <c r="W16" s="62"/>
      <c r="X16" s="63"/>
    </row>
    <row r="17" spans="1:24" x14ac:dyDescent="0.25">
      <c r="A17" s="62">
        <v>-2.75</v>
      </c>
      <c r="B17" s="62">
        <v>6.64</v>
      </c>
      <c r="C17" s="62">
        <v>-6500</v>
      </c>
      <c r="D17" s="63">
        <v>3.5149999999999998E-6</v>
      </c>
      <c r="E17" s="63">
        <v>1.4189000000000001E-6</v>
      </c>
      <c r="F17" s="63">
        <f t="shared" si="0"/>
        <v>2.4772711255197684</v>
      </c>
      <c r="G17" s="63"/>
      <c r="H17" s="62">
        <v>-8000</v>
      </c>
      <c r="I17" s="63">
        <v>5.3245999999999998E-6</v>
      </c>
      <c r="J17" s="63">
        <v>1.4189000000000001E-6</v>
      </c>
      <c r="K17" s="25">
        <f t="shared" si="1"/>
        <v>3.7526252730988792</v>
      </c>
      <c r="N17" s="62">
        <v>-9500</v>
      </c>
      <c r="O17" s="63">
        <v>7.5085000000000002E-6</v>
      </c>
      <c r="P17" s="63">
        <v>1.4189000000000001E-6</v>
      </c>
      <c r="Q17" s="25">
        <f t="shared" si="2"/>
        <v>5.2917753189090142</v>
      </c>
      <c r="U17" s="62"/>
      <c r="V17" s="62"/>
      <c r="W17" s="62"/>
      <c r="X17" s="63"/>
    </row>
    <row r="18" spans="1:24" x14ac:dyDescent="0.25">
      <c r="A18" s="62">
        <v>-2.5</v>
      </c>
      <c r="B18" s="62">
        <v>7.41</v>
      </c>
      <c r="C18" s="62">
        <v>-6500</v>
      </c>
      <c r="D18" s="63">
        <v>3.5155000000000001E-6</v>
      </c>
      <c r="E18" s="63">
        <v>1.4189000000000001E-6</v>
      </c>
      <c r="F18" s="63">
        <f t="shared" si="0"/>
        <v>2.4776235111706248</v>
      </c>
      <c r="G18" s="63"/>
      <c r="H18" s="62">
        <v>-8000</v>
      </c>
      <c r="I18" s="63">
        <v>5.3252000000000003E-6</v>
      </c>
      <c r="J18" s="63">
        <v>1.4189000000000001E-6</v>
      </c>
      <c r="K18" s="25">
        <f t="shared" si="1"/>
        <v>3.753048135879907</v>
      </c>
      <c r="N18" s="62">
        <v>-9500</v>
      </c>
      <c r="O18" s="63">
        <v>7.5093000000000003E-6</v>
      </c>
      <c r="P18" s="63">
        <v>1.4189000000000001E-6</v>
      </c>
      <c r="Q18" s="25">
        <f t="shared" si="2"/>
        <v>5.2923391359503835</v>
      </c>
      <c r="U18" s="62"/>
      <c r="V18" s="62"/>
      <c r="W18" s="62"/>
      <c r="X18" s="63"/>
    </row>
    <row r="19" spans="1:24" x14ac:dyDescent="0.25">
      <c r="A19" s="62">
        <v>-2.25</v>
      </c>
      <c r="B19" s="62">
        <v>8.18</v>
      </c>
      <c r="C19" s="62">
        <v>-6500</v>
      </c>
      <c r="D19" s="63">
        <v>3.5159000000000001E-6</v>
      </c>
      <c r="E19" s="63">
        <v>1.4189000000000001E-6</v>
      </c>
      <c r="F19" s="63">
        <f t="shared" si="0"/>
        <v>2.47790541969131</v>
      </c>
      <c r="G19" s="63"/>
      <c r="H19" s="62">
        <v>-8000</v>
      </c>
      <c r="I19" s="63">
        <v>5.3257999999999999E-6</v>
      </c>
      <c r="J19" s="63">
        <v>1.4189000000000001E-6</v>
      </c>
      <c r="K19" s="25">
        <f t="shared" si="1"/>
        <v>3.753470998660934</v>
      </c>
      <c r="N19" s="62">
        <v>-9500</v>
      </c>
      <c r="O19" s="63">
        <v>7.5101999999999997E-6</v>
      </c>
      <c r="P19" s="63">
        <v>1.4189000000000001E-6</v>
      </c>
      <c r="Q19" s="25">
        <f t="shared" si="2"/>
        <v>5.2929734301219247</v>
      </c>
      <c r="U19" s="62"/>
      <c r="V19" s="62"/>
      <c r="W19" s="62"/>
      <c r="X19" s="63"/>
    </row>
    <row r="20" spans="1:24" x14ac:dyDescent="0.25">
      <c r="A20" s="62">
        <v>-2</v>
      </c>
      <c r="B20" s="62">
        <v>8.9499999999999993</v>
      </c>
      <c r="C20" s="62">
        <v>-6500</v>
      </c>
      <c r="D20" s="63">
        <v>3.5161000000000001E-6</v>
      </c>
      <c r="E20" s="63">
        <v>1.4189000000000001E-6</v>
      </c>
      <c r="F20" s="63">
        <f t="shared" si="0"/>
        <v>2.4780463739516527</v>
      </c>
      <c r="G20" s="63"/>
      <c r="H20" s="62">
        <v>-8000</v>
      </c>
      <c r="I20" s="63">
        <v>5.3261999999999999E-6</v>
      </c>
      <c r="J20" s="63">
        <v>1.4189000000000001E-6</v>
      </c>
      <c r="K20" s="25">
        <f t="shared" si="1"/>
        <v>3.7537529071816191</v>
      </c>
      <c r="N20" s="62">
        <v>-9500</v>
      </c>
      <c r="O20" s="63">
        <v>7.5108000000000002E-6</v>
      </c>
      <c r="P20" s="63">
        <v>1.4189000000000001E-6</v>
      </c>
      <c r="Q20" s="25">
        <f t="shared" si="2"/>
        <v>5.293396292902953</v>
      </c>
      <c r="U20" s="62"/>
      <c r="V20" s="62"/>
      <c r="W20" s="62"/>
      <c r="X20" s="63"/>
    </row>
    <row r="21" spans="1:24" x14ac:dyDescent="0.25">
      <c r="A21" s="62">
        <v>-1.75</v>
      </c>
      <c r="B21" s="62">
        <v>9.7200000000000006</v>
      </c>
      <c r="C21" s="62">
        <v>-6500</v>
      </c>
      <c r="D21" s="63">
        <v>3.5163999999999999E-6</v>
      </c>
      <c r="E21" s="63">
        <v>1.4189000000000001E-6</v>
      </c>
      <c r="F21" s="63">
        <f t="shared" si="0"/>
        <v>2.4782578053421664</v>
      </c>
      <c r="G21" s="63"/>
      <c r="H21" s="62">
        <v>-8000</v>
      </c>
      <c r="I21" s="63">
        <v>5.3267000000000002E-6</v>
      </c>
      <c r="J21" s="63">
        <v>1.4189000000000001E-6</v>
      </c>
      <c r="K21" s="25">
        <f t="shared" si="1"/>
        <v>3.7541052928324756</v>
      </c>
      <c r="N21" s="62">
        <v>-9500</v>
      </c>
      <c r="O21" s="63">
        <v>7.5115E-6</v>
      </c>
      <c r="P21" s="63">
        <v>1.4189000000000001E-6</v>
      </c>
      <c r="Q21" s="25">
        <f t="shared" si="2"/>
        <v>5.2938896328141514</v>
      </c>
      <c r="U21" s="62"/>
      <c r="V21" s="62"/>
      <c r="W21" s="62"/>
      <c r="X21" s="63"/>
    </row>
    <row r="22" spans="1:24" x14ac:dyDescent="0.25">
      <c r="A22" s="62">
        <v>-1.5</v>
      </c>
      <c r="B22" s="62">
        <v>10.49</v>
      </c>
      <c r="C22" s="62">
        <v>-6500</v>
      </c>
      <c r="D22" s="63">
        <v>3.5167000000000001E-6</v>
      </c>
      <c r="E22" s="63">
        <v>1.4189000000000001E-6</v>
      </c>
      <c r="F22" s="63">
        <f t="shared" si="0"/>
        <v>2.4784692367326802</v>
      </c>
      <c r="G22" s="63"/>
      <c r="H22" s="62">
        <v>-8000</v>
      </c>
      <c r="I22" s="63">
        <v>5.3271000000000002E-6</v>
      </c>
      <c r="J22" s="63">
        <v>1.4189000000000001E-6</v>
      </c>
      <c r="K22" s="25">
        <f t="shared" si="1"/>
        <v>3.7543872013531607</v>
      </c>
      <c r="N22" s="62">
        <v>-9500</v>
      </c>
      <c r="O22" s="63">
        <v>7.5120000000000002E-6</v>
      </c>
      <c r="P22" s="63">
        <v>1.4189000000000001E-6</v>
      </c>
      <c r="Q22" s="25">
        <f t="shared" si="2"/>
        <v>5.2942420184650079</v>
      </c>
      <c r="U22" s="62"/>
      <c r="V22" s="62"/>
      <c r="W22" s="62"/>
      <c r="X22" s="63"/>
    </row>
    <row r="23" spans="1:24" x14ac:dyDescent="0.25">
      <c r="A23" s="62">
        <v>-1.25</v>
      </c>
      <c r="B23" s="62">
        <v>11.27</v>
      </c>
      <c r="C23" s="62">
        <v>-6500</v>
      </c>
      <c r="D23" s="63">
        <v>3.5169000000000002E-6</v>
      </c>
      <c r="E23" s="63">
        <v>1.4189000000000001E-6</v>
      </c>
      <c r="F23" s="63">
        <f t="shared" si="0"/>
        <v>2.4786101909930229</v>
      </c>
      <c r="G23" s="63"/>
      <c r="H23" s="62">
        <v>-8000</v>
      </c>
      <c r="I23" s="63">
        <v>5.3274E-6</v>
      </c>
      <c r="J23" s="63">
        <v>1.4189000000000001E-6</v>
      </c>
      <c r="K23" s="25">
        <f t="shared" si="1"/>
        <v>3.7545986327436744</v>
      </c>
      <c r="N23" s="62">
        <v>-9500</v>
      </c>
      <c r="O23" s="63">
        <v>7.5124999999999996E-6</v>
      </c>
      <c r="P23" s="63">
        <v>1.4189000000000001E-6</v>
      </c>
      <c r="Q23" s="25">
        <f t="shared" si="2"/>
        <v>5.2945944041158635</v>
      </c>
      <c r="U23" s="62"/>
      <c r="V23" s="62"/>
      <c r="W23" s="62"/>
      <c r="X23" s="63"/>
    </row>
    <row r="24" spans="1:24" x14ac:dyDescent="0.25">
      <c r="A24" s="62">
        <v>-1</v>
      </c>
      <c r="B24" s="62">
        <v>12.04</v>
      </c>
      <c r="C24" s="62">
        <v>-6500</v>
      </c>
      <c r="D24" s="63">
        <v>3.517E-6</v>
      </c>
      <c r="E24" s="63">
        <v>1.4190000000000001E-6</v>
      </c>
      <c r="F24" s="63">
        <f t="shared" si="0"/>
        <v>2.4785059901338968</v>
      </c>
      <c r="G24" s="63"/>
      <c r="H24" s="62">
        <v>-8000</v>
      </c>
      <c r="I24" s="63">
        <v>5.3275999999999996E-6</v>
      </c>
      <c r="J24" s="63">
        <v>1.4190000000000001E-6</v>
      </c>
      <c r="K24" s="25">
        <f t="shared" si="1"/>
        <v>3.7544749823819585</v>
      </c>
      <c r="N24" s="62">
        <v>-9500</v>
      </c>
      <c r="O24" s="63">
        <v>7.5127000000000001E-6</v>
      </c>
      <c r="P24" s="63">
        <v>1.4190000000000001E-6</v>
      </c>
      <c r="Q24" s="25">
        <f t="shared" si="2"/>
        <v>5.2943622269203665</v>
      </c>
      <c r="U24" s="62"/>
      <c r="V24" s="62"/>
      <c r="W24" s="62"/>
      <c r="X24" s="63"/>
    </row>
    <row r="25" spans="1:24" x14ac:dyDescent="0.25">
      <c r="A25" s="62">
        <v>-0.75</v>
      </c>
      <c r="B25" s="62">
        <v>12.81</v>
      </c>
      <c r="C25" s="62">
        <v>-6500</v>
      </c>
      <c r="D25" s="63">
        <v>3.5171000000000002E-6</v>
      </c>
      <c r="E25" s="63">
        <v>1.4190000000000001E-6</v>
      </c>
      <c r="F25" s="63">
        <f t="shared" si="0"/>
        <v>2.4785764622973927</v>
      </c>
      <c r="G25" s="63"/>
      <c r="H25" s="62">
        <v>-8000</v>
      </c>
      <c r="I25" s="63">
        <v>5.3276999999999998E-6</v>
      </c>
      <c r="J25" s="63">
        <v>1.4190000000000001E-6</v>
      </c>
      <c r="K25" s="25">
        <f t="shared" si="1"/>
        <v>3.754545454545454</v>
      </c>
      <c r="N25" s="62">
        <v>-9500</v>
      </c>
      <c r="O25" s="63">
        <v>7.5128999999999997E-6</v>
      </c>
      <c r="P25" s="63">
        <v>1.4190000000000001E-6</v>
      </c>
      <c r="Q25" s="25">
        <f t="shared" si="2"/>
        <v>5.2945031712473565</v>
      </c>
      <c r="U25" s="62"/>
      <c r="V25" s="62"/>
      <c r="W25" s="62"/>
      <c r="X25" s="63"/>
    </row>
    <row r="26" spans="1:24" x14ac:dyDescent="0.25">
      <c r="A26" s="62">
        <v>-0.5</v>
      </c>
      <c r="B26" s="62">
        <v>13.58</v>
      </c>
      <c r="C26" s="62">
        <v>-6500</v>
      </c>
      <c r="D26" s="63">
        <v>3.5173000000000002E-6</v>
      </c>
      <c r="E26" s="63">
        <v>1.4190000000000001E-6</v>
      </c>
      <c r="F26" s="63">
        <f t="shared" si="0"/>
        <v>2.4787174066243836</v>
      </c>
      <c r="G26" s="63"/>
      <c r="H26" s="62">
        <v>-8000</v>
      </c>
      <c r="I26" s="63">
        <v>5.3279000000000003E-6</v>
      </c>
      <c r="J26" s="63">
        <v>1.4190000000000001E-6</v>
      </c>
      <c r="K26" s="25">
        <f t="shared" si="1"/>
        <v>3.7546863988724453</v>
      </c>
      <c r="N26" s="62">
        <v>-9500</v>
      </c>
      <c r="O26" s="63">
        <v>7.5132000000000003E-6</v>
      </c>
      <c r="P26" s="63">
        <v>1.4190000000000001E-6</v>
      </c>
      <c r="Q26" s="25">
        <f t="shared" si="2"/>
        <v>5.2947145877378432</v>
      </c>
      <c r="U26" s="62"/>
      <c r="V26" s="62"/>
      <c r="W26" s="62"/>
      <c r="X26" s="63"/>
    </row>
    <row r="27" spans="1:24" x14ac:dyDescent="0.25">
      <c r="A27" s="62">
        <v>-0.25</v>
      </c>
      <c r="B27" s="62">
        <v>14.35</v>
      </c>
      <c r="C27" s="62">
        <v>-6500</v>
      </c>
      <c r="D27" s="63">
        <v>3.5172E-6</v>
      </c>
      <c r="E27" s="63">
        <v>1.4190000000000001E-6</v>
      </c>
      <c r="F27" s="63">
        <f t="shared" si="0"/>
        <v>2.4786469344608877</v>
      </c>
      <c r="G27" s="63"/>
      <c r="H27" s="62">
        <v>-8000</v>
      </c>
      <c r="I27" s="63">
        <v>5.3279000000000003E-6</v>
      </c>
      <c r="J27" s="63">
        <v>1.4190000000000001E-6</v>
      </c>
      <c r="K27" s="25">
        <f t="shared" si="1"/>
        <v>3.7546863988724453</v>
      </c>
      <c r="N27" s="62">
        <v>-9500</v>
      </c>
      <c r="O27" s="63">
        <v>7.5132000000000003E-6</v>
      </c>
      <c r="P27" s="63">
        <v>1.4190000000000001E-6</v>
      </c>
      <c r="Q27" s="25">
        <f t="shared" si="2"/>
        <v>5.2947145877378432</v>
      </c>
      <c r="U27" s="62"/>
      <c r="V27" s="62"/>
      <c r="W27" s="62"/>
      <c r="X27" s="63"/>
    </row>
    <row r="28" spans="1:24" x14ac:dyDescent="0.25">
      <c r="A28" s="62">
        <v>0</v>
      </c>
      <c r="B28" s="62">
        <v>15.12</v>
      </c>
      <c r="C28" s="62">
        <v>-6500</v>
      </c>
      <c r="D28" s="63">
        <v>3.5173000000000002E-6</v>
      </c>
      <c r="E28" s="63">
        <v>1.4190000000000001E-6</v>
      </c>
      <c r="F28" s="63">
        <f t="shared" si="0"/>
        <v>2.4787174066243836</v>
      </c>
      <c r="G28" s="63"/>
      <c r="H28" s="62">
        <v>-8000</v>
      </c>
      <c r="I28" s="63">
        <v>5.3279999999999996E-6</v>
      </c>
      <c r="J28" s="63">
        <v>1.4190000000000001E-6</v>
      </c>
      <c r="K28" s="25">
        <f t="shared" si="1"/>
        <v>3.7547568710359402</v>
      </c>
      <c r="N28" s="62">
        <v>-9500</v>
      </c>
      <c r="O28" s="63">
        <v>7.5132999999999997E-6</v>
      </c>
      <c r="P28" s="63">
        <v>1.4190000000000001E-6</v>
      </c>
      <c r="Q28" s="25">
        <f t="shared" si="2"/>
        <v>5.2947850599013382</v>
      </c>
      <c r="U28" s="62"/>
      <c r="V28" s="62"/>
      <c r="W28" s="62"/>
      <c r="X28" s="63"/>
    </row>
    <row r="29" spans="1:24" x14ac:dyDescent="0.25">
      <c r="A29" s="62">
        <v>0.25</v>
      </c>
      <c r="B29" s="62">
        <v>15.9</v>
      </c>
      <c r="C29" s="62">
        <v>-6500</v>
      </c>
      <c r="D29" s="63">
        <v>3.5172E-6</v>
      </c>
      <c r="E29" s="63">
        <v>1.4190000000000001E-6</v>
      </c>
      <c r="F29" s="63">
        <f t="shared" si="0"/>
        <v>2.4786469344608877</v>
      </c>
      <c r="G29" s="63"/>
      <c r="H29" s="62">
        <v>-8000</v>
      </c>
      <c r="I29" s="63">
        <v>5.3279000000000003E-6</v>
      </c>
      <c r="J29" s="63">
        <v>1.4190000000000001E-6</v>
      </c>
      <c r="K29" s="25">
        <f t="shared" si="1"/>
        <v>3.7546863988724453</v>
      </c>
      <c r="N29" s="62">
        <v>-9500</v>
      </c>
      <c r="O29" s="63">
        <v>7.5132000000000003E-6</v>
      </c>
      <c r="P29" s="63">
        <v>1.4190000000000001E-6</v>
      </c>
      <c r="Q29" s="25">
        <f t="shared" si="2"/>
        <v>5.2947145877378432</v>
      </c>
      <c r="U29" s="62"/>
      <c r="V29" s="62"/>
      <c r="W29" s="62"/>
      <c r="X29" s="63"/>
    </row>
    <row r="30" spans="1:24" x14ac:dyDescent="0.25">
      <c r="A30" s="62">
        <v>0.5</v>
      </c>
      <c r="B30" s="62">
        <v>16.670000000000002</v>
      </c>
      <c r="C30" s="62">
        <v>-6500</v>
      </c>
      <c r="D30" s="63">
        <v>3.5172E-6</v>
      </c>
      <c r="E30" s="63">
        <v>1.4190000000000001E-6</v>
      </c>
      <c r="F30" s="63">
        <f t="shared" si="0"/>
        <v>2.4786469344608877</v>
      </c>
      <c r="G30" s="63"/>
      <c r="H30" s="62">
        <v>-8000</v>
      </c>
      <c r="I30" s="63">
        <v>5.3278E-6</v>
      </c>
      <c r="J30" s="63">
        <v>1.4190000000000001E-6</v>
      </c>
      <c r="K30" s="25">
        <f t="shared" si="1"/>
        <v>3.7546159267089498</v>
      </c>
      <c r="N30" s="62">
        <v>-9500</v>
      </c>
      <c r="O30" s="63">
        <v>7.5129999999999999E-6</v>
      </c>
      <c r="P30" s="63">
        <v>1.4190000000000001E-6</v>
      </c>
      <c r="Q30" s="25">
        <f t="shared" si="2"/>
        <v>5.2945736434108523</v>
      </c>
      <c r="U30" s="62"/>
      <c r="V30" s="62"/>
      <c r="W30" s="62"/>
      <c r="X30" s="63"/>
    </row>
    <row r="31" spans="1:24" x14ac:dyDescent="0.25">
      <c r="A31" s="62">
        <v>0.75</v>
      </c>
      <c r="B31" s="62">
        <v>17.440000000000001</v>
      </c>
      <c r="C31" s="62">
        <v>-6500</v>
      </c>
      <c r="D31" s="63">
        <v>3.5172E-6</v>
      </c>
      <c r="E31" s="63">
        <v>1.4190000000000001E-6</v>
      </c>
      <c r="F31" s="63">
        <f t="shared" si="0"/>
        <v>2.4786469344608877</v>
      </c>
      <c r="G31" s="63"/>
      <c r="H31" s="62">
        <v>-8000</v>
      </c>
      <c r="I31" s="63">
        <v>5.3278E-6</v>
      </c>
      <c r="J31" s="63">
        <v>1.4190000000000001E-6</v>
      </c>
      <c r="K31" s="25">
        <f t="shared" si="1"/>
        <v>3.7546159267089498</v>
      </c>
      <c r="N31" s="62">
        <v>-9500</v>
      </c>
      <c r="O31" s="63">
        <v>7.5129999999999999E-6</v>
      </c>
      <c r="P31" s="63">
        <v>1.4190000000000001E-6</v>
      </c>
      <c r="Q31" s="25">
        <f t="shared" si="2"/>
        <v>5.2945736434108523</v>
      </c>
      <c r="U31" s="62"/>
      <c r="V31" s="62"/>
      <c r="W31" s="62"/>
      <c r="X31" s="63"/>
    </row>
    <row r="32" spans="1:24" x14ac:dyDescent="0.25">
      <c r="A32" s="62">
        <v>1</v>
      </c>
      <c r="B32" s="62">
        <v>18.21</v>
      </c>
      <c r="C32" s="62">
        <v>-6500</v>
      </c>
      <c r="D32" s="63">
        <v>3.517E-6</v>
      </c>
      <c r="E32" s="63">
        <v>1.4190000000000001E-6</v>
      </c>
      <c r="F32" s="63">
        <f t="shared" si="0"/>
        <v>2.4785059901338968</v>
      </c>
      <c r="G32" s="63"/>
      <c r="H32" s="62">
        <v>-8000</v>
      </c>
      <c r="I32" s="63">
        <v>5.3275000000000002E-6</v>
      </c>
      <c r="J32" s="63">
        <v>1.4190000000000001E-6</v>
      </c>
      <c r="K32" s="25">
        <f t="shared" si="1"/>
        <v>3.7544045102184636</v>
      </c>
      <c r="N32" s="62">
        <v>-9500</v>
      </c>
      <c r="O32" s="63">
        <v>7.5125999999999999E-6</v>
      </c>
      <c r="P32" s="63">
        <v>1.4190000000000001E-6</v>
      </c>
      <c r="Q32" s="25">
        <f t="shared" si="2"/>
        <v>5.2942917547568706</v>
      </c>
      <c r="U32" s="62"/>
      <c r="V32" s="62"/>
      <c r="W32" s="62"/>
      <c r="X32" s="63"/>
    </row>
    <row r="33" spans="1:24" x14ac:dyDescent="0.25">
      <c r="A33" s="62">
        <v>2</v>
      </c>
      <c r="B33" s="62">
        <v>21.3</v>
      </c>
      <c r="C33" s="62">
        <v>-6500</v>
      </c>
      <c r="D33" s="63">
        <v>3.5165000000000001E-6</v>
      </c>
      <c r="E33" s="63">
        <v>1.4191000000000001E-6</v>
      </c>
      <c r="F33" s="63">
        <f t="shared" si="0"/>
        <v>2.477979000775139</v>
      </c>
      <c r="G33" s="63"/>
      <c r="H33" s="62">
        <v>-8000</v>
      </c>
      <c r="I33" s="63">
        <v>5.3268000000000004E-6</v>
      </c>
      <c r="J33" s="63">
        <v>1.4191000000000001E-6</v>
      </c>
      <c r="K33" s="25">
        <f t="shared" si="1"/>
        <v>3.7536466774716368</v>
      </c>
      <c r="N33" s="62">
        <v>-9500</v>
      </c>
      <c r="O33" s="63">
        <v>7.5116999999999996E-6</v>
      </c>
      <c r="P33" s="63">
        <v>1.4191000000000001E-6</v>
      </c>
      <c r="Q33" s="25">
        <f t="shared" si="2"/>
        <v>5.2932844760763862</v>
      </c>
      <c r="U33" s="62"/>
      <c r="V33" s="62"/>
      <c r="W33" s="62"/>
      <c r="X33" s="63"/>
    </row>
    <row r="34" spans="1:24" x14ac:dyDescent="0.25">
      <c r="A34" s="62">
        <v>3</v>
      </c>
      <c r="B34" s="62">
        <v>24.38</v>
      </c>
      <c r="C34" s="62">
        <v>-6500</v>
      </c>
      <c r="D34" s="63">
        <v>3.5159000000000001E-6</v>
      </c>
      <c r="E34" s="63">
        <v>1.4191000000000001E-6</v>
      </c>
      <c r="F34" s="63">
        <f t="shared" si="0"/>
        <v>2.4775561975900215</v>
      </c>
      <c r="G34" s="63"/>
      <c r="H34" s="62">
        <v>-8000</v>
      </c>
      <c r="I34" s="63">
        <v>5.3259000000000001E-6</v>
      </c>
      <c r="J34" s="63">
        <v>1.4191000000000001E-6</v>
      </c>
      <c r="K34" s="25">
        <f t="shared" si="1"/>
        <v>3.7530124726939609</v>
      </c>
      <c r="N34" s="62">
        <v>-9500</v>
      </c>
      <c r="O34" s="63">
        <v>7.5102999999999999E-6</v>
      </c>
      <c r="P34" s="63">
        <v>1.4191000000000001E-6</v>
      </c>
      <c r="Q34" s="25">
        <f t="shared" si="2"/>
        <v>5.2922979353111126</v>
      </c>
      <c r="U34" s="62"/>
      <c r="V34" s="62"/>
      <c r="W34" s="62"/>
      <c r="X34" s="63"/>
    </row>
    <row r="35" spans="1:24" x14ac:dyDescent="0.25">
      <c r="A35" s="62">
        <v>4</v>
      </c>
      <c r="B35" s="62">
        <v>27.47</v>
      </c>
      <c r="C35" s="62">
        <v>-6500</v>
      </c>
      <c r="D35" s="63">
        <v>3.5153999999999998E-6</v>
      </c>
      <c r="E35" s="63">
        <v>1.4191999999999999E-6</v>
      </c>
      <c r="F35" s="63">
        <f t="shared" si="0"/>
        <v>2.4770293122886136</v>
      </c>
      <c r="G35" s="63"/>
      <c r="H35" s="62">
        <v>-8000</v>
      </c>
      <c r="I35" s="63">
        <v>5.3251000000000001E-6</v>
      </c>
      <c r="J35" s="63">
        <v>1.4191999999999999E-6</v>
      </c>
      <c r="K35" s="25">
        <f t="shared" si="1"/>
        <v>3.7521843291995491</v>
      </c>
      <c r="N35" s="62">
        <v>-9500</v>
      </c>
      <c r="O35" s="63">
        <v>7.5093000000000003E-6</v>
      </c>
      <c r="P35" s="63">
        <v>1.4191999999999999E-6</v>
      </c>
      <c r="Q35" s="25">
        <f t="shared" si="2"/>
        <v>5.2912204058624583</v>
      </c>
      <c r="U35" s="62"/>
      <c r="V35" s="62"/>
      <c r="W35" s="62"/>
      <c r="X35" s="63"/>
    </row>
    <row r="36" spans="1:24" x14ac:dyDescent="0.25">
      <c r="A36" s="62">
        <v>5</v>
      </c>
      <c r="B36" s="62">
        <v>30.56</v>
      </c>
      <c r="C36" s="62">
        <v>-6500</v>
      </c>
      <c r="D36" s="63">
        <v>3.5147999999999998E-6</v>
      </c>
      <c r="E36" s="63">
        <v>1.4191999999999999E-6</v>
      </c>
      <c r="F36" s="63">
        <f t="shared" si="0"/>
        <v>2.4766065388951524</v>
      </c>
      <c r="G36" s="63"/>
      <c r="H36" s="62">
        <v>-8000</v>
      </c>
      <c r="I36" s="63">
        <v>5.3241999999999998E-6</v>
      </c>
      <c r="J36" s="63">
        <v>1.4191999999999999E-6</v>
      </c>
      <c r="K36" s="25">
        <f t="shared" si="1"/>
        <v>3.7515501691093576</v>
      </c>
      <c r="N36" s="62">
        <v>-9500</v>
      </c>
      <c r="O36" s="63">
        <v>7.5078999999999997E-6</v>
      </c>
      <c r="P36" s="63">
        <v>1.4191999999999999E-6</v>
      </c>
      <c r="Q36" s="25">
        <f t="shared" si="2"/>
        <v>5.2902339346110487</v>
      </c>
      <c r="U36" s="62"/>
      <c r="V36" s="62"/>
      <c r="W36" s="62"/>
      <c r="X36" s="63"/>
    </row>
    <row r="37" spans="1:24" x14ac:dyDescent="0.25">
      <c r="A37" s="62">
        <v>6</v>
      </c>
      <c r="B37" s="62">
        <v>33.64</v>
      </c>
      <c r="C37" s="62">
        <v>-6500</v>
      </c>
      <c r="D37" s="63">
        <v>3.5140999999999999E-6</v>
      </c>
      <c r="E37" s="63">
        <v>1.4191999999999999E-6</v>
      </c>
      <c r="F37" s="63">
        <f t="shared" si="0"/>
        <v>2.4761133032694476</v>
      </c>
      <c r="G37" s="63"/>
      <c r="H37" s="62">
        <v>-8000</v>
      </c>
      <c r="I37" s="63">
        <v>5.3232000000000001E-6</v>
      </c>
      <c r="J37" s="63">
        <v>1.4191999999999999E-6</v>
      </c>
      <c r="K37" s="25">
        <f t="shared" si="1"/>
        <v>3.7508455467869224</v>
      </c>
      <c r="N37" s="62">
        <v>-9500</v>
      </c>
      <c r="O37" s="63">
        <v>7.5065E-6</v>
      </c>
      <c r="P37" s="63">
        <v>1.4191999999999999E-6</v>
      </c>
      <c r="Q37" s="25">
        <f t="shared" si="2"/>
        <v>5.28924746335964</v>
      </c>
      <c r="U37" s="62"/>
      <c r="V37" s="62"/>
      <c r="W37" s="62"/>
      <c r="X37" s="63"/>
    </row>
    <row r="38" spans="1:24" x14ac:dyDescent="0.25">
      <c r="A38" s="62">
        <v>7</v>
      </c>
      <c r="B38" s="62">
        <v>36.729999999999997</v>
      </c>
      <c r="C38" s="62">
        <v>-6500</v>
      </c>
      <c r="D38" s="63">
        <v>3.5136000000000001E-6</v>
      </c>
      <c r="E38" s="63">
        <v>1.4192999999999999E-6</v>
      </c>
      <c r="F38" s="63">
        <f t="shared" si="0"/>
        <v>2.4755865567533295</v>
      </c>
      <c r="G38" s="63"/>
      <c r="H38" s="62">
        <v>-8000</v>
      </c>
      <c r="I38" s="63">
        <v>5.3222999999999998E-6</v>
      </c>
      <c r="J38" s="63">
        <v>1.4192999999999999E-6</v>
      </c>
      <c r="K38" s="25">
        <f t="shared" si="1"/>
        <v>3.7499471570492497</v>
      </c>
      <c r="N38" s="62">
        <v>-9500</v>
      </c>
      <c r="O38" s="63">
        <v>7.5053E-6</v>
      </c>
      <c r="P38" s="63">
        <v>1.4192999999999999E-6</v>
      </c>
      <c r="Q38" s="25">
        <f t="shared" si="2"/>
        <v>5.28802931022335</v>
      </c>
      <c r="U38" s="62"/>
      <c r="V38" s="62"/>
      <c r="W38" s="62"/>
      <c r="X38" s="63"/>
    </row>
    <row r="39" spans="1:24" x14ac:dyDescent="0.25">
      <c r="A39" s="62">
        <v>8</v>
      </c>
      <c r="B39" s="62">
        <v>39.82</v>
      </c>
      <c r="C39" s="62">
        <v>-6500</v>
      </c>
      <c r="D39" s="63">
        <v>3.5130000000000001E-6</v>
      </c>
      <c r="E39" s="63">
        <v>1.4192999999999999E-6</v>
      </c>
      <c r="F39" s="63"/>
      <c r="G39" s="63"/>
      <c r="H39" s="62">
        <v>-8000</v>
      </c>
      <c r="I39" s="63">
        <v>5.3214000000000004E-6</v>
      </c>
      <c r="J39" s="63">
        <v>1.4192999999999999E-6</v>
      </c>
      <c r="K39" s="25">
        <f t="shared" si="1"/>
        <v>3.7493130416402458</v>
      </c>
      <c r="N39" s="62">
        <v>-9500</v>
      </c>
      <c r="O39" s="63">
        <v>7.5039999999999996E-6</v>
      </c>
      <c r="P39" s="63">
        <v>1.4192999999999999E-6</v>
      </c>
      <c r="Q39" s="25">
        <f t="shared" si="2"/>
        <v>5.2871133657436769</v>
      </c>
      <c r="U39" s="62"/>
      <c r="V39" s="62"/>
      <c r="W39" s="62"/>
      <c r="X39" s="63"/>
    </row>
    <row r="40" spans="1:24" x14ac:dyDescent="0.25">
      <c r="A40" s="62">
        <v>9</v>
      </c>
      <c r="B40" s="62">
        <v>42.9</v>
      </c>
      <c r="C40" s="62">
        <v>-6500</v>
      </c>
      <c r="D40" s="63">
        <v>3.5122999999999998E-6</v>
      </c>
      <c r="E40" s="63">
        <v>1.4193999999999999E-6</v>
      </c>
      <c r="F40" s="63"/>
      <c r="G40" s="63"/>
      <c r="H40" s="62">
        <v>-8000</v>
      </c>
      <c r="I40" s="63">
        <v>5.3205000000000001E-6</v>
      </c>
      <c r="J40" s="63">
        <v>1.4193999999999999E-6</v>
      </c>
      <c r="K40" s="25">
        <f t="shared" si="1"/>
        <v>3.7484148231647176</v>
      </c>
      <c r="N40" s="62">
        <v>-9500</v>
      </c>
      <c r="O40" s="63">
        <v>7.5027000000000002E-6</v>
      </c>
      <c r="P40" s="63">
        <v>1.4193999999999999E-6</v>
      </c>
      <c r="Q40" s="25">
        <f t="shared" si="2"/>
        <v>5.2858249964773849</v>
      </c>
      <c r="U40" s="62"/>
      <c r="V40" s="62"/>
      <c r="W40" s="62"/>
      <c r="X40" s="63"/>
    </row>
    <row r="41" spans="1:24" x14ac:dyDescent="0.25">
      <c r="A41" s="62">
        <v>10</v>
      </c>
      <c r="B41" s="62">
        <v>45.99</v>
      </c>
      <c r="C41" s="62">
        <v>-6500</v>
      </c>
      <c r="D41" s="63">
        <v>3.5117000000000002E-6</v>
      </c>
      <c r="E41" s="63">
        <v>1.4193999999999999E-6</v>
      </c>
      <c r="F41" s="63"/>
      <c r="G41" s="63"/>
      <c r="H41" s="62">
        <v>-8000</v>
      </c>
      <c r="I41" s="63">
        <v>5.3195999999999999E-6</v>
      </c>
      <c r="J41" s="63">
        <v>1.4193999999999999E-6</v>
      </c>
      <c r="K41" s="25">
        <f t="shared" si="1"/>
        <v>3.7477807524306046</v>
      </c>
      <c r="N41" s="62">
        <v>-9500</v>
      </c>
      <c r="O41" s="63">
        <v>7.5013999999999999E-6</v>
      </c>
      <c r="P41" s="63">
        <v>1.4193999999999999E-6</v>
      </c>
      <c r="Q41" s="25">
        <f t="shared" si="2"/>
        <v>5.2849091165281106</v>
      </c>
      <c r="U41" s="62"/>
      <c r="V41" s="62"/>
      <c r="W41" s="62"/>
      <c r="X41" s="63"/>
    </row>
    <row r="42" spans="1:24" x14ac:dyDescent="0.25">
      <c r="A42" s="62">
        <v>11</v>
      </c>
      <c r="B42" s="62">
        <v>49.08</v>
      </c>
      <c r="C42" s="62">
        <v>-6500</v>
      </c>
      <c r="D42" s="63">
        <v>3.5111999999999999E-6</v>
      </c>
      <c r="E42" s="63">
        <v>1.4193999999999999E-6</v>
      </c>
      <c r="F42" s="63"/>
      <c r="G42" s="63"/>
      <c r="H42" s="62">
        <v>-8000</v>
      </c>
      <c r="I42" s="63">
        <v>5.3186999999999996E-6</v>
      </c>
      <c r="J42" s="63">
        <v>1.4193999999999999E-6</v>
      </c>
      <c r="K42" s="25">
        <f t="shared" si="1"/>
        <v>3.7471466816964916</v>
      </c>
      <c r="N42" s="62">
        <v>-9500</v>
      </c>
      <c r="O42" s="63">
        <v>7.5001999999999998E-6</v>
      </c>
      <c r="P42" s="63">
        <v>1.4193999999999999E-6</v>
      </c>
      <c r="Q42" s="25">
        <f t="shared" si="2"/>
        <v>5.2840636888826262</v>
      </c>
      <c r="U42" s="62"/>
      <c r="V42" s="62"/>
      <c r="W42" s="62"/>
      <c r="X42" s="63"/>
    </row>
    <row r="43" spans="1:24" x14ac:dyDescent="0.25">
      <c r="A43" s="62">
        <v>12</v>
      </c>
      <c r="B43" s="62">
        <v>52.16</v>
      </c>
      <c r="C43" s="62">
        <v>-6500</v>
      </c>
      <c r="D43" s="63">
        <v>3.5105999999999999E-6</v>
      </c>
      <c r="E43" s="63">
        <v>1.4194999999999999E-6</v>
      </c>
      <c r="F43" s="63"/>
      <c r="G43" s="63"/>
      <c r="H43" s="62">
        <v>-8000</v>
      </c>
      <c r="I43" s="63">
        <v>5.3178000000000001E-6</v>
      </c>
      <c r="J43" s="63">
        <v>1.4194999999999999E-6</v>
      </c>
      <c r="K43" s="25"/>
      <c r="N43" s="62">
        <v>-9500</v>
      </c>
      <c r="O43" s="63">
        <v>7.4989000000000003E-6</v>
      </c>
      <c r="P43" s="63">
        <v>1.4194999999999999E-6</v>
      </c>
      <c r="Q43" s="25">
        <f t="shared" si="2"/>
        <v>5.2827756252201485</v>
      </c>
      <c r="U43" s="62"/>
      <c r="V43" s="62"/>
      <c r="W43" s="62"/>
      <c r="X43" s="63"/>
    </row>
    <row r="44" spans="1:24" x14ac:dyDescent="0.25">
      <c r="A44" s="62">
        <v>13</v>
      </c>
      <c r="B44" s="62">
        <v>55.25</v>
      </c>
      <c r="C44" s="62">
        <v>-6500</v>
      </c>
      <c r="D44" s="63">
        <v>3.5099999999999999E-6</v>
      </c>
      <c r="E44" s="63">
        <v>1.4194999999999999E-6</v>
      </c>
      <c r="F44" s="63"/>
      <c r="G44" s="63"/>
      <c r="H44" s="62">
        <v>-8000</v>
      </c>
      <c r="I44" s="63">
        <v>5.3168999999999999E-6</v>
      </c>
      <c r="J44" s="63">
        <v>1.4194999999999999E-6</v>
      </c>
      <c r="K44" s="25"/>
      <c r="N44" s="62">
        <v>-9500</v>
      </c>
      <c r="O44" s="63">
        <v>7.4976E-6</v>
      </c>
      <c r="P44" s="63">
        <v>1.4194999999999999E-6</v>
      </c>
      <c r="Q44" s="25">
        <f t="shared" si="2"/>
        <v>5.2818598097921807</v>
      </c>
      <c r="U44" s="62"/>
      <c r="V44" s="62"/>
      <c r="W44" s="62"/>
      <c r="X44" s="63"/>
    </row>
    <row r="45" spans="1:24" x14ac:dyDescent="0.25">
      <c r="A45" s="62">
        <v>14</v>
      </c>
      <c r="B45" s="62">
        <v>58.33</v>
      </c>
      <c r="C45" s="62">
        <v>-6500</v>
      </c>
      <c r="D45" s="63">
        <v>3.5093E-6</v>
      </c>
      <c r="E45" s="63">
        <v>1.4195999999999999E-6</v>
      </c>
      <c r="F45" s="63"/>
      <c r="G45" s="63"/>
      <c r="H45" s="62">
        <v>-8000</v>
      </c>
      <c r="I45" s="63">
        <v>5.3159000000000002E-6</v>
      </c>
      <c r="J45" s="63">
        <v>1.4195999999999999E-6</v>
      </c>
      <c r="K45" s="25"/>
      <c r="N45" s="62">
        <v>-9500</v>
      </c>
      <c r="O45" s="63">
        <v>7.4962999999999997E-6</v>
      </c>
      <c r="P45" s="63">
        <v>1.4195999999999999E-6</v>
      </c>
      <c r="Q45" s="25">
        <f t="shared" si="2"/>
        <v>5.2805719921104535</v>
      </c>
      <c r="U45" s="62"/>
      <c r="V45" s="62"/>
      <c r="W45" s="62"/>
      <c r="X45" s="63"/>
    </row>
    <row r="46" spans="1:24" x14ac:dyDescent="0.25">
      <c r="A46" s="62">
        <v>15</v>
      </c>
      <c r="B46" s="62">
        <v>61.42</v>
      </c>
      <c r="C46" s="62">
        <v>-6500</v>
      </c>
      <c r="D46" s="63">
        <v>3.5087E-6</v>
      </c>
      <c r="E46" s="63">
        <v>1.4195999999999999E-6</v>
      </c>
      <c r="F46" s="63"/>
      <c r="G46" s="63"/>
      <c r="H46" s="62">
        <v>-8000</v>
      </c>
      <c r="I46" s="63">
        <v>5.3149999999999999E-6</v>
      </c>
      <c r="J46" s="63">
        <v>1.4195999999999999E-6</v>
      </c>
      <c r="K46" s="25"/>
      <c r="N46" s="62">
        <v>-9500</v>
      </c>
      <c r="O46" s="63">
        <v>7.4950000000000002E-6</v>
      </c>
      <c r="P46" s="63">
        <v>1.4195999999999999E-6</v>
      </c>
      <c r="Q46" s="25">
        <f t="shared" si="2"/>
        <v>5.2796562411947034</v>
      </c>
      <c r="U46" s="62"/>
      <c r="V46" s="62"/>
      <c r="W46" s="62"/>
      <c r="X46" s="63"/>
    </row>
    <row r="47" spans="1:24" x14ac:dyDescent="0.25">
      <c r="A47" s="62">
        <v>16</v>
      </c>
      <c r="B47" s="62">
        <v>64.510000000000005</v>
      </c>
      <c r="C47" s="62">
        <v>-6500</v>
      </c>
      <c r="D47" s="63">
        <v>3.5080999999999999E-6</v>
      </c>
      <c r="E47" s="63">
        <v>1.4195999999999999E-6</v>
      </c>
      <c r="F47" s="63"/>
      <c r="G47" s="63"/>
      <c r="H47" s="62">
        <v>-8000</v>
      </c>
      <c r="I47" s="63">
        <v>5.3140999999999997E-6</v>
      </c>
      <c r="J47" s="63">
        <v>1.4195999999999999E-6</v>
      </c>
      <c r="K47" s="25"/>
      <c r="N47" s="62">
        <v>-9500</v>
      </c>
      <c r="O47" s="63">
        <v>7.4936999999999999E-6</v>
      </c>
      <c r="P47" s="63">
        <v>1.4195999999999999E-6</v>
      </c>
      <c r="Q47" s="25">
        <f t="shared" si="2"/>
        <v>5.2787404902789516</v>
      </c>
      <c r="U47" s="62"/>
      <c r="V47" s="62"/>
      <c r="W47" s="62"/>
      <c r="X47" s="63"/>
    </row>
    <row r="48" spans="1:24" x14ac:dyDescent="0.25">
      <c r="A48" s="62">
        <v>17</v>
      </c>
      <c r="B48" s="62">
        <v>67.59</v>
      </c>
      <c r="C48" s="62">
        <v>-6500</v>
      </c>
      <c r="D48" s="63">
        <v>3.5076000000000001E-6</v>
      </c>
      <c r="E48" s="63">
        <v>1.4196999999999999E-6</v>
      </c>
      <c r="F48" s="63"/>
      <c r="G48" s="63"/>
      <c r="H48" s="62">
        <v>-8000</v>
      </c>
      <c r="I48" s="63">
        <v>5.3132000000000002E-6</v>
      </c>
      <c r="J48" s="63">
        <v>1.4196999999999999E-6</v>
      </c>
      <c r="K48" s="25"/>
      <c r="N48" s="62">
        <v>-9500</v>
      </c>
      <c r="O48" s="63">
        <v>7.4924999999999998E-6</v>
      </c>
      <c r="P48" s="63">
        <v>1.4196999999999999E-6</v>
      </c>
      <c r="Q48" s="25">
        <f t="shared" si="2"/>
        <v>5.2775234204409385</v>
      </c>
      <c r="U48" s="62"/>
      <c r="V48" s="62"/>
      <c r="W48" s="62"/>
      <c r="X48" s="63"/>
    </row>
    <row r="49" spans="1:24" x14ac:dyDescent="0.25">
      <c r="A49" s="62">
        <v>18</v>
      </c>
      <c r="B49" s="62">
        <v>70.680000000000007</v>
      </c>
      <c r="C49" s="62">
        <v>-6500</v>
      </c>
      <c r="D49" s="63">
        <v>3.5068999999999998E-6</v>
      </c>
      <c r="E49" s="63">
        <v>1.4196999999999999E-6</v>
      </c>
      <c r="F49" s="63"/>
      <c r="G49" s="63"/>
      <c r="H49" s="62">
        <v>-8000</v>
      </c>
      <c r="I49" s="63">
        <v>5.3122999999999999E-6</v>
      </c>
      <c r="J49" s="63">
        <v>1.4196999999999999E-6</v>
      </c>
      <c r="K49" s="25"/>
      <c r="N49" s="62">
        <v>-9500</v>
      </c>
      <c r="O49" s="63">
        <v>7.4912000000000004E-6</v>
      </c>
      <c r="P49" s="63">
        <v>1.4196999999999999E-6</v>
      </c>
      <c r="Q49" s="25">
        <f t="shared" si="2"/>
        <v>5.2766077340283166</v>
      </c>
      <c r="U49" s="62"/>
      <c r="V49" s="62"/>
      <c r="W49" s="62"/>
      <c r="X49" s="63"/>
    </row>
    <row r="50" spans="1:24" x14ac:dyDescent="0.25">
      <c r="A50" s="62">
        <v>19</v>
      </c>
      <c r="B50" s="62">
        <v>73.77</v>
      </c>
      <c r="C50" s="62">
        <v>-6500</v>
      </c>
      <c r="D50" s="63">
        <v>3.5064E-6</v>
      </c>
      <c r="E50" s="63">
        <v>1.4197999999999999E-6</v>
      </c>
      <c r="F50" s="63"/>
      <c r="G50" s="63"/>
      <c r="H50" s="62">
        <v>-8000</v>
      </c>
      <c r="I50" s="63">
        <v>5.3113999999999997E-6</v>
      </c>
      <c r="J50" s="63">
        <v>1.4197999999999999E-6</v>
      </c>
      <c r="K50" s="25"/>
      <c r="N50" s="62">
        <v>-9500</v>
      </c>
      <c r="O50" s="63">
        <v>7.4899000000000001E-6</v>
      </c>
      <c r="P50" s="63">
        <v>1.4197999999999999E-6</v>
      </c>
      <c r="Q50" s="25"/>
      <c r="U50" s="62"/>
      <c r="V50" s="62"/>
      <c r="W50" s="62"/>
      <c r="X50" s="63"/>
    </row>
    <row r="51" spans="1:24" x14ac:dyDescent="0.25">
      <c r="A51" s="62">
        <v>20</v>
      </c>
      <c r="B51" s="62">
        <v>76.849999999999994</v>
      </c>
      <c r="C51" s="62">
        <v>-6500</v>
      </c>
      <c r="D51" s="63">
        <v>3.5057000000000002E-6</v>
      </c>
      <c r="E51" s="63">
        <v>1.4197999999999999E-6</v>
      </c>
      <c r="F51" s="63"/>
      <c r="G51" s="63"/>
      <c r="H51" s="62">
        <v>-8000</v>
      </c>
      <c r="I51" s="63">
        <v>5.3105000000000002E-6</v>
      </c>
      <c r="J51" s="63">
        <v>1.4197999999999999E-6</v>
      </c>
      <c r="K51" s="25"/>
      <c r="N51" s="62">
        <v>-9500</v>
      </c>
      <c r="O51" s="63">
        <v>7.4885999999999998E-6</v>
      </c>
      <c r="P51" s="63">
        <v>1.4197999999999999E-6</v>
      </c>
      <c r="Q51" s="25"/>
      <c r="U51" s="62"/>
      <c r="V51" s="62"/>
      <c r="W51" s="62"/>
      <c r="X51" s="63"/>
    </row>
    <row r="52" spans="1:24" x14ac:dyDescent="0.25">
      <c r="F52" s="25">
        <f>MAX(F6:F51)-MIN(F6:F51)</f>
        <v>1.5297615251392394E-2</v>
      </c>
      <c r="G52" t="s">
        <v>212</v>
      </c>
      <c r="K52" s="25">
        <f>MAX(K6:K51)-MIN(K6:K51)</f>
        <v>2.3152698495765733E-2</v>
      </c>
      <c r="L52" t="s">
        <v>212</v>
      </c>
      <c r="O52" s="25"/>
      <c r="Q52" s="25">
        <f>MAX(Q6:Q51)-MIN(Q6:Q51)</f>
        <v>3.2591657025668574E-2</v>
      </c>
      <c r="R52" t="s">
        <v>212</v>
      </c>
    </row>
    <row r="54" spans="1:24" x14ac:dyDescent="0.25">
      <c r="E54" t="s">
        <v>217</v>
      </c>
      <c r="F54">
        <f>20</f>
        <v>20</v>
      </c>
      <c r="G54" t="s">
        <v>218</v>
      </c>
      <c r="J54" t="s">
        <v>217</v>
      </c>
      <c r="K54">
        <f>20</f>
        <v>20</v>
      </c>
      <c r="L54" t="s">
        <v>218</v>
      </c>
      <c r="P54" t="s">
        <v>217</v>
      </c>
      <c r="Q54">
        <f>20</f>
        <v>20</v>
      </c>
      <c r="R54" t="s">
        <v>218</v>
      </c>
    </row>
    <row r="55" spans="1:24" x14ac:dyDescent="0.25">
      <c r="F55">
        <f>F54*1900</f>
        <v>38000</v>
      </c>
      <c r="G55" s="25" t="s">
        <v>212</v>
      </c>
      <c r="H55" s="25"/>
      <c r="K55">
        <f>K54*1900</f>
        <v>38000</v>
      </c>
      <c r="L55" s="25" t="s">
        <v>212</v>
      </c>
      <c r="Q55">
        <f>Q54*1900</f>
        <v>38000</v>
      </c>
      <c r="R55" s="25" t="s">
        <v>212</v>
      </c>
    </row>
    <row r="56" spans="1:24" x14ac:dyDescent="0.25">
      <c r="G56" s="25"/>
      <c r="H56" s="25"/>
    </row>
    <row r="57" spans="1:24" x14ac:dyDescent="0.25">
      <c r="F57" s="25">
        <f>F55+F52</f>
        <v>38000.015297615253</v>
      </c>
      <c r="G57" s="25" t="s">
        <v>212</v>
      </c>
      <c r="H57" s="25"/>
      <c r="K57" s="25">
        <f>K55+K52</f>
        <v>38000.023152698494</v>
      </c>
      <c r="L57" s="25" t="s">
        <v>212</v>
      </c>
      <c r="Q57" s="25">
        <f>Q55+Q52</f>
        <v>38000.032591657029</v>
      </c>
      <c r="R57" s="25" t="s">
        <v>212</v>
      </c>
    </row>
    <row r="59" spans="1:24" x14ac:dyDescent="0.25">
      <c r="F59" s="24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0995F54516D64F9C6EF6D732A6DAF7" ma:contentTypeVersion="13" ma:contentTypeDescription="Create a new document." ma:contentTypeScope="" ma:versionID="a72d7ce31fc34f36615f75192e7e2a0c">
  <xsd:schema xmlns:xsd="http://www.w3.org/2001/XMLSchema" xmlns:xs="http://www.w3.org/2001/XMLSchema" xmlns:p="http://schemas.microsoft.com/office/2006/metadata/properties" xmlns:ns3="b0f6475e-2cc9-447f-8629-dddac7be514d" xmlns:ns4="37396e4b-b707-40c3-8dda-e1f78ee2f09f" targetNamespace="http://schemas.microsoft.com/office/2006/metadata/properties" ma:root="true" ma:fieldsID="f55111f1e80d1dd0d9082d0d4066f3a8" ns3:_="" ns4:_="">
    <xsd:import namespace="b0f6475e-2cc9-447f-8629-dddac7be514d"/>
    <xsd:import namespace="37396e4b-b707-40c3-8dda-e1f78ee2f09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f6475e-2cc9-447f-8629-dddac7be5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396e4b-b707-40c3-8dda-e1f78ee2f09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54A29D-53FC-4245-8FCA-56BCDA4BB9EB}">
  <ds:schemaRefs>
    <ds:schemaRef ds:uri="http://purl.org/dc/elements/1.1/"/>
    <ds:schemaRef ds:uri="http://schemas.microsoft.com/office/2006/metadata/properties"/>
    <ds:schemaRef ds:uri="b0f6475e-2cc9-447f-8629-dddac7be514d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37396e4b-b707-40c3-8dda-e1f78ee2f09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1D97BC0-77A3-4063-B49C-602BBBCAE8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57C816-9F45-461D-9E06-884519F827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f6475e-2cc9-447f-8629-dddac7be514d"/>
    <ds:schemaRef ds:uri="37396e4b-b707-40c3-8dda-e1f78ee2f0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Filenames</vt:lpstr>
      <vt:lpstr>Summary</vt:lpstr>
      <vt:lpstr>6.5 kV</vt:lpstr>
      <vt:lpstr>8.0 kV</vt:lpstr>
      <vt:lpstr>9.5 kV</vt:lpstr>
      <vt:lpstr>tank curve align</vt:lpstr>
      <vt:lpstr>Efficiency_from_DeltaU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Home</cp:lastModifiedBy>
  <dcterms:created xsi:type="dcterms:W3CDTF">2020-01-22T14:05:06Z</dcterms:created>
  <dcterms:modified xsi:type="dcterms:W3CDTF">2023-05-18T23:16:16Z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0x0101003E0995F54516D64F9C6EF6D732A6DAF7</vt:lpwstr>
  </property>
</Properties>
</file>