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ome\Desktop\"/>
    </mc:Choice>
  </mc:AlternateContent>
  <xr:revisionPtr revIDLastSave="0" documentId="8_{F996B50F-F9F9-448F-8173-BB6A74B7F30C}" xr6:coauthVersionLast="47" xr6:coauthVersionMax="47" xr10:uidLastSave="{00000000-0000-0000-0000-000000000000}"/>
  <bookViews>
    <workbookView xWindow="-120" yWindow="-120" windowWidth="29040" windowHeight="15840" xr2:uid="{B7351FED-F114-4DDE-A4E4-81CEEAE2B679}"/>
  </bookViews>
  <sheets>
    <sheet name="LPPT_Prototype" sheetId="5" r:id="rId1"/>
    <sheet name="Sheet0" sheetId="4" r:id="rId2"/>
    <sheet name="ES_pump" sheetId="2" r:id="rId3"/>
    <sheet name="Sheet1" sheetId="1" r:id="rId4"/>
  </sheet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H20" i="5" l="1"/>
  <c r="AQ20" i="5"/>
  <c r="AD5" i="5"/>
  <c r="AF5" i="5"/>
  <c r="AG5" i="5" s="1"/>
  <c r="AJ5" i="5"/>
  <c r="AK5" i="5"/>
  <c r="AD6" i="5"/>
  <c r="AF6" i="5"/>
  <c r="AG6" i="5" s="1"/>
  <c r="AJ6" i="5"/>
  <c r="AD7" i="5"/>
  <c r="AF7" i="5"/>
  <c r="AG7" i="5"/>
  <c r="AJ7" i="5"/>
  <c r="AN7" i="5"/>
  <c r="AC13" i="5"/>
  <c r="AD13" i="5"/>
  <c r="AE13" i="5"/>
  <c r="AF13" i="5"/>
  <c r="AG13" i="5"/>
  <c r="AH13" i="5"/>
  <c r="AI13" i="5"/>
  <c r="AM13" i="5" s="1"/>
  <c r="AK13" i="5"/>
  <c r="AC14" i="5"/>
  <c r="AD14" i="5"/>
  <c r="AK6" i="5" s="1"/>
  <c r="AF14" i="5"/>
  <c r="AH14" i="5"/>
  <c r="AI14" i="5"/>
  <c r="AN6" i="5" s="1"/>
  <c r="AC15" i="5"/>
  <c r="AD15" i="5" s="1"/>
  <c r="AF15" i="5"/>
  <c r="AH15" i="5"/>
  <c r="AI15" i="5"/>
  <c r="AM15" i="5"/>
  <c r="AE20" i="5"/>
  <c r="AC21" i="5"/>
  <c r="AE21" i="5" s="1"/>
  <c r="AC22" i="5"/>
  <c r="AE22" i="5" s="1"/>
  <c r="AC20" i="5"/>
  <c r="AI22" i="5"/>
  <c r="AI21" i="5"/>
  <c r="AI20" i="5"/>
  <c r="AD22" i="5"/>
  <c r="AD21" i="5"/>
  <c r="AD20" i="5"/>
  <c r="AB22" i="5"/>
  <c r="AB21" i="5"/>
  <c r="AB20" i="5"/>
  <c r="AF22" i="5"/>
  <c r="AM22" i="5" s="1"/>
  <c r="AQ22" i="5" s="1"/>
  <c r="AF20" i="5"/>
  <c r="AG20" i="5" s="1"/>
  <c r="AN20" i="5" s="1"/>
  <c r="AF34" i="5"/>
  <c r="AF33" i="5"/>
  <c r="AF32" i="5"/>
  <c r="AD33" i="5"/>
  <c r="AD34" i="5"/>
  <c r="AD32" i="5"/>
  <c r="AE27" i="5"/>
  <c r="AE28" i="5"/>
  <c r="AE26" i="5"/>
  <c r="AD27" i="5"/>
  <c r="AD28" i="5"/>
  <c r="AD26" i="5"/>
  <c r="AK7" i="5" l="1"/>
  <c r="AE15" i="5"/>
  <c r="AG15" i="5" s="1"/>
  <c r="AK15" i="5" s="1"/>
  <c r="AF21" i="5"/>
  <c r="AM20" i="5"/>
  <c r="AJ20" i="5"/>
  <c r="AP20" i="5" s="1"/>
  <c r="AE14" i="5"/>
  <c r="AG14" i="5" s="1"/>
  <c r="AK14" i="5" s="1"/>
  <c r="AN5" i="5"/>
  <c r="AM14" i="5"/>
  <c r="AG22" i="5"/>
  <c r="AN22" i="5" s="1"/>
  <c r="AH22" i="5"/>
  <c r="AJ22" i="5" s="1"/>
  <c r="AG21" i="5"/>
  <c r="AN21" i="5" s="1"/>
  <c r="H80" i="5"/>
  <c r="I80" i="5" s="1"/>
  <c r="E80" i="5"/>
  <c r="F80" i="5" s="1"/>
  <c r="AH21" i="5" l="1"/>
  <c r="AJ21" i="5" s="1"/>
  <c r="AP21" i="5" s="1"/>
  <c r="AM21" i="5"/>
  <c r="AQ21" i="5" s="1"/>
  <c r="AK20" i="5"/>
  <c r="AP22" i="5"/>
  <c r="AK22" i="5"/>
  <c r="B80" i="5"/>
  <c r="C80" i="5" s="1"/>
  <c r="AK21" i="5" l="1"/>
  <c r="A6" i="5"/>
  <c r="A7" i="5"/>
  <c r="A8" i="5"/>
  <c r="A9" i="5"/>
  <c r="A10" i="5"/>
  <c r="A11" i="5"/>
  <c r="A12" i="5"/>
  <c r="A13" i="5"/>
  <c r="A14" i="5"/>
  <c r="A15" i="5"/>
  <c r="A16" i="5"/>
  <c r="A17" i="5"/>
  <c r="A18" i="5"/>
  <c r="A19" i="5"/>
  <c r="A20" i="5"/>
  <c r="A21" i="5"/>
  <c r="A22" i="5"/>
  <c r="A23" i="5"/>
  <c r="A24" i="5"/>
  <c r="A25" i="5"/>
  <c r="A26" i="5"/>
  <c r="A27" i="5"/>
  <c r="A28" i="5"/>
  <c r="A29" i="5"/>
  <c r="A30" i="5"/>
  <c r="A31" i="5"/>
  <c r="A32" i="5"/>
  <c r="A33" i="5"/>
  <c r="A34" i="5"/>
  <c r="A5" i="5"/>
  <c r="AF69" i="2"/>
  <c r="AF70" i="2"/>
  <c r="AF68" i="2"/>
  <c r="AA63" i="2"/>
  <c r="AA64" i="2"/>
  <c r="AA62" i="2"/>
  <c r="Z64" i="2"/>
  <c r="Z63" i="2"/>
  <c r="Z62" i="2"/>
  <c r="AA37" i="2"/>
  <c r="H89" i="2" l="1"/>
  <c r="H90" i="2"/>
  <c r="H91" i="2"/>
  <c r="H93" i="2"/>
  <c r="H94" i="2"/>
  <c r="H95" i="2"/>
  <c r="H96" i="2"/>
  <c r="H88" i="2"/>
  <c r="AG36" i="2"/>
  <c r="AE36" i="2"/>
  <c r="AF36" i="2"/>
  <c r="AD36" i="2"/>
  <c r="AD37" i="2"/>
  <c r="AD38" i="2"/>
  <c r="AG38" i="2" s="1"/>
  <c r="AD39" i="2"/>
  <c r="AG39" i="2" s="1"/>
  <c r="AD40" i="2"/>
  <c r="AG40" i="2" s="1"/>
  <c r="AD41" i="2"/>
  <c r="AG41" i="2" s="1"/>
  <c r="AD42" i="2"/>
  <c r="AG42" i="2" s="1"/>
  <c r="AD43" i="2"/>
  <c r="AG43" i="2" s="1"/>
  <c r="AD44" i="2"/>
  <c r="AG44" i="2" s="1"/>
  <c r="AD45" i="2"/>
  <c r="AG45" i="2" s="1"/>
  <c r="AD46" i="2"/>
  <c r="AG46" i="2" s="1"/>
  <c r="AD47" i="2"/>
  <c r="AG47" i="2" s="1"/>
  <c r="AD48" i="2"/>
  <c r="AG48" i="2" s="1"/>
  <c r="AD49" i="2"/>
  <c r="AG49" i="2" s="1"/>
  <c r="AD50" i="2"/>
  <c r="AG50" i="2" s="1"/>
  <c r="AD51" i="2"/>
  <c r="AG51" i="2" s="1"/>
  <c r="AD52" i="2"/>
  <c r="AG52" i="2" s="1"/>
  <c r="AD53" i="2"/>
  <c r="AG53" i="2" s="1"/>
  <c r="AD54" i="2"/>
  <c r="AG54" i="2" s="1"/>
  <c r="AD55" i="2"/>
  <c r="AG55" i="2" s="1"/>
  <c r="AB36" i="2"/>
  <c r="AB37" i="2"/>
  <c r="AB38" i="2"/>
  <c r="AE38" i="2" s="1"/>
  <c r="AB39" i="2"/>
  <c r="AE39" i="2" s="1"/>
  <c r="AB40" i="2"/>
  <c r="AE40" i="2" s="1"/>
  <c r="AB41" i="2"/>
  <c r="AE41" i="2" s="1"/>
  <c r="AB42" i="2"/>
  <c r="AE42" i="2" s="1"/>
  <c r="AB43" i="2"/>
  <c r="AE43" i="2" s="1"/>
  <c r="AB44" i="2"/>
  <c r="AE44" i="2" s="1"/>
  <c r="AB45" i="2"/>
  <c r="AE45" i="2" s="1"/>
  <c r="AB46" i="2"/>
  <c r="AE46" i="2" s="1"/>
  <c r="AB47" i="2"/>
  <c r="AE47" i="2" s="1"/>
  <c r="AB48" i="2"/>
  <c r="AE48" i="2" s="1"/>
  <c r="AB49" i="2"/>
  <c r="AE49" i="2" s="1"/>
  <c r="AB50" i="2"/>
  <c r="AE50" i="2" s="1"/>
  <c r="AB51" i="2"/>
  <c r="AE51" i="2" s="1"/>
  <c r="AC37" i="2"/>
  <c r="AF37" i="2" s="1"/>
  <c r="AC38" i="2"/>
  <c r="AF38" i="2" s="1"/>
  <c r="AC39" i="2"/>
  <c r="AF39" i="2" s="1"/>
  <c r="AC40" i="2"/>
  <c r="AF40" i="2" s="1"/>
  <c r="AC41" i="2"/>
  <c r="AF41" i="2" s="1"/>
  <c r="AC42" i="2"/>
  <c r="AF42" i="2" s="1"/>
  <c r="AC43" i="2"/>
  <c r="AF43" i="2" s="1"/>
  <c r="AC44" i="2"/>
  <c r="AF44" i="2" s="1"/>
  <c r="AC45" i="2"/>
  <c r="AF45" i="2" s="1"/>
  <c r="AC46" i="2"/>
  <c r="AF46" i="2" s="1"/>
  <c r="AC47" i="2"/>
  <c r="AF47" i="2" s="1"/>
  <c r="AC48" i="2"/>
  <c r="AF48" i="2" s="1"/>
  <c r="AC49" i="2"/>
  <c r="AF49" i="2" s="1"/>
  <c r="AC50" i="2"/>
  <c r="AF50" i="2" s="1"/>
  <c r="AC51" i="2"/>
  <c r="AF51" i="2" s="1"/>
  <c r="AC52" i="2"/>
  <c r="AF52" i="2" s="1"/>
  <c r="AC53" i="2"/>
  <c r="AF53" i="2" s="1"/>
  <c r="AC36" i="2"/>
  <c r="Z36" i="2"/>
  <c r="AA36" i="2"/>
  <c r="Z37" i="2"/>
  <c r="Z38" i="2"/>
  <c r="AA38" i="2"/>
  <c r="Z39" i="2"/>
  <c r="AA39" i="2"/>
  <c r="Z40" i="2"/>
  <c r="AA40" i="2"/>
  <c r="Z41" i="2"/>
  <c r="AA41" i="2"/>
  <c r="Z42" i="2"/>
  <c r="AA42" i="2"/>
  <c r="Z43" i="2"/>
  <c r="AA43" i="2"/>
  <c r="Z44" i="2"/>
  <c r="AA44" i="2"/>
  <c r="Z45" i="2"/>
  <c r="AA45" i="2"/>
  <c r="Z46" i="2"/>
  <c r="AA46" i="2"/>
  <c r="Z47" i="2"/>
  <c r="AA47" i="2"/>
  <c r="Z48" i="2"/>
  <c r="AA48" i="2"/>
  <c r="Z49" i="2"/>
  <c r="AA49" i="2"/>
  <c r="Z50" i="2"/>
  <c r="AA50" i="2"/>
  <c r="Z51" i="2"/>
  <c r="AA51" i="2"/>
  <c r="Z52" i="2"/>
  <c r="AA52" i="2"/>
  <c r="Z53" i="2"/>
  <c r="AA53" i="2"/>
  <c r="Z54" i="2"/>
  <c r="AA54" i="2"/>
  <c r="Z55" i="2"/>
  <c r="AA55" i="2"/>
  <c r="Y37" i="2"/>
  <c r="Y38" i="2"/>
  <c r="Y39" i="2"/>
  <c r="Y40" i="2"/>
  <c r="Y41" i="2"/>
  <c r="Y42" i="2"/>
  <c r="Y43" i="2"/>
  <c r="Y44" i="2"/>
  <c r="Y45" i="2"/>
  <c r="Y46" i="2"/>
  <c r="Y47" i="2"/>
  <c r="Y48" i="2"/>
  <c r="Y49" i="2"/>
  <c r="Y50" i="2"/>
  <c r="Y51" i="2"/>
  <c r="Y52" i="2"/>
  <c r="Y53" i="2"/>
  <c r="Y54" i="2"/>
  <c r="Y55" i="2"/>
  <c r="Y36" i="2"/>
  <c r="V37" i="2"/>
  <c r="V38" i="2"/>
  <c r="V39" i="2"/>
  <c r="V40" i="2"/>
  <c r="V41" i="2"/>
  <c r="V42" i="2"/>
  <c r="V43" i="2"/>
  <c r="V44" i="2"/>
  <c r="V45" i="2"/>
  <c r="V46" i="2"/>
  <c r="V47" i="2"/>
  <c r="V48" i="2"/>
  <c r="V49" i="2"/>
  <c r="V50" i="2"/>
  <c r="V51" i="2"/>
  <c r="V52" i="2"/>
  <c r="V53" i="2"/>
  <c r="V54" i="2"/>
  <c r="V55" i="2"/>
  <c r="V56" i="2"/>
  <c r="V57" i="2"/>
  <c r="V58" i="2"/>
  <c r="V59" i="2"/>
  <c r="V60" i="2"/>
  <c r="V61" i="2"/>
  <c r="V62" i="2"/>
  <c r="V63" i="2"/>
  <c r="V64" i="2"/>
  <c r="V65" i="2"/>
  <c r="V66" i="2"/>
  <c r="V67" i="2"/>
  <c r="V68" i="2"/>
  <c r="V69" i="2"/>
  <c r="V70" i="2"/>
  <c r="V71" i="2"/>
  <c r="V72" i="2"/>
  <c r="V36" i="2"/>
  <c r="Q37" i="2"/>
  <c r="Q38" i="2"/>
  <c r="Q39" i="2"/>
  <c r="Q40" i="2"/>
  <c r="Q41" i="2"/>
  <c r="Q42" i="2"/>
  <c r="Q43" i="2"/>
  <c r="Q44" i="2"/>
  <c r="Q45" i="2"/>
  <c r="Q46" i="2"/>
  <c r="Q47" i="2"/>
  <c r="Q48" i="2"/>
  <c r="Q49" i="2"/>
  <c r="Q50" i="2"/>
  <c r="Q51" i="2"/>
  <c r="Q52" i="2"/>
  <c r="Q53" i="2"/>
  <c r="Q54" i="2"/>
  <c r="Q55" i="2"/>
  <c r="Q56" i="2"/>
  <c r="Q57" i="2"/>
  <c r="Q58" i="2"/>
  <c r="Q59" i="2"/>
  <c r="Q60" i="2"/>
  <c r="Q61" i="2"/>
  <c r="Q62" i="2"/>
  <c r="Q63" i="2"/>
  <c r="Q64" i="2"/>
  <c r="Q65" i="2"/>
  <c r="Q66" i="2"/>
  <c r="Q67" i="2"/>
  <c r="Q68" i="2"/>
  <c r="Q69" i="2"/>
  <c r="Q70" i="2"/>
  <c r="Q71" i="2"/>
  <c r="Q72" i="2"/>
  <c r="Q36" i="2"/>
  <c r="T37" i="2"/>
  <c r="T38" i="2"/>
  <c r="T39" i="2"/>
  <c r="T40" i="2"/>
  <c r="T41" i="2"/>
  <c r="T42" i="2"/>
  <c r="T43" i="2"/>
  <c r="T44" i="2"/>
  <c r="T45" i="2"/>
  <c r="T46" i="2"/>
  <c r="T47" i="2"/>
  <c r="T48" i="2"/>
  <c r="T49" i="2"/>
  <c r="T50" i="2"/>
  <c r="T51" i="2"/>
  <c r="T52" i="2"/>
  <c r="T53" i="2"/>
  <c r="T54" i="2"/>
  <c r="T55" i="2"/>
  <c r="T56" i="2"/>
  <c r="T57" i="2"/>
  <c r="T58" i="2"/>
  <c r="T59" i="2"/>
  <c r="T60" i="2"/>
  <c r="T61" i="2"/>
  <c r="T62" i="2"/>
  <c r="T63" i="2"/>
  <c r="T64" i="2"/>
  <c r="T65" i="2"/>
  <c r="T66" i="2"/>
  <c r="T67" i="2"/>
  <c r="T68" i="2"/>
  <c r="T69" i="2"/>
  <c r="T70" i="2"/>
  <c r="T71" i="2"/>
  <c r="T72" i="2"/>
  <c r="C37" i="2"/>
  <c r="R37" i="2" s="1"/>
  <c r="C38" i="2"/>
  <c r="R38" i="2" s="1"/>
  <c r="C39" i="2"/>
  <c r="R39" i="2" s="1"/>
  <c r="C40" i="2"/>
  <c r="R40" i="2" s="1"/>
  <c r="C41" i="2"/>
  <c r="R41" i="2" s="1"/>
  <c r="C42" i="2"/>
  <c r="R42" i="2" s="1"/>
  <c r="C43" i="2"/>
  <c r="R43" i="2" s="1"/>
  <c r="C44" i="2"/>
  <c r="R44" i="2" s="1"/>
  <c r="C45" i="2"/>
  <c r="R45" i="2" s="1"/>
  <c r="C46" i="2"/>
  <c r="R46" i="2" s="1"/>
  <c r="C47" i="2"/>
  <c r="R47" i="2" s="1"/>
  <c r="C48" i="2"/>
  <c r="R48" i="2" s="1"/>
  <c r="C49" i="2"/>
  <c r="R49" i="2" s="1"/>
  <c r="C50" i="2"/>
  <c r="R50" i="2" s="1"/>
  <c r="C51" i="2"/>
  <c r="R51" i="2" s="1"/>
  <c r="C52" i="2"/>
  <c r="R52" i="2" s="1"/>
  <c r="C53" i="2"/>
  <c r="R53" i="2" s="1"/>
  <c r="C54" i="2"/>
  <c r="R54" i="2" s="1"/>
  <c r="C55" i="2"/>
  <c r="R55" i="2" s="1"/>
  <c r="C56" i="2"/>
  <c r="R56" i="2" s="1"/>
  <c r="C57" i="2"/>
  <c r="R57" i="2" s="1"/>
  <c r="C58" i="2"/>
  <c r="R58" i="2" s="1"/>
  <c r="C59" i="2"/>
  <c r="R59" i="2" s="1"/>
  <c r="C60" i="2"/>
  <c r="R60" i="2" s="1"/>
  <c r="C61" i="2"/>
  <c r="R61" i="2" s="1"/>
  <c r="C62" i="2"/>
  <c r="R62" i="2" s="1"/>
  <c r="C63" i="2"/>
  <c r="R63" i="2" s="1"/>
  <c r="C64" i="2"/>
  <c r="R64" i="2" s="1"/>
  <c r="C65" i="2"/>
  <c r="R65" i="2" s="1"/>
  <c r="C66" i="2"/>
  <c r="R66" i="2" s="1"/>
  <c r="C67" i="2"/>
  <c r="R67" i="2" s="1"/>
  <c r="C68" i="2"/>
  <c r="R68" i="2" s="1"/>
  <c r="C69" i="2"/>
  <c r="R69" i="2" s="1"/>
  <c r="C70" i="2"/>
  <c r="R70" i="2" s="1"/>
  <c r="C71" i="2"/>
  <c r="R71" i="2" s="1"/>
  <c r="C72" i="2"/>
  <c r="R72" i="2" s="1"/>
  <c r="C36" i="2"/>
  <c r="R36" i="2" s="1"/>
  <c r="T36" i="2"/>
  <c r="AJ49" i="2"/>
  <c r="AJ50" i="2"/>
  <c r="AJ51" i="2"/>
  <c r="AJ52" i="2"/>
  <c r="AJ53" i="2"/>
  <c r="AJ54" i="2"/>
  <c r="AJ55" i="2"/>
  <c r="AJ56" i="2"/>
  <c r="AJ57" i="2"/>
  <c r="AJ58" i="2"/>
  <c r="AC58" i="2" l="1" a="1"/>
  <c r="AC58" i="2" s="1"/>
  <c r="AF59" i="2" a="1"/>
  <c r="AF59" i="2" s="1"/>
  <c r="AF58" i="2" a="1"/>
  <c r="AF58" i="2" s="1"/>
  <c r="AE37" i="2"/>
  <c r="Z58" i="2" a="1"/>
  <c r="Z58" i="2" s="1"/>
  <c r="AC59" i="2" a="1"/>
  <c r="AC59" i="2" s="1"/>
  <c r="AG37" i="2"/>
  <c r="Z59" i="2" a="1"/>
  <c r="Z59" i="2" s="1"/>
  <c r="AM64" i="2" l="1"/>
  <c r="AM65" i="2"/>
  <c r="AM66" i="2"/>
  <c r="AM67" i="2"/>
  <c r="AM68" i="2"/>
  <c r="AM69" i="2"/>
  <c r="AM70" i="2"/>
  <c r="AM71" i="2"/>
  <c r="AM72" i="2"/>
  <c r="AJ72" i="2"/>
  <c r="AL72" i="2" s="1"/>
  <c r="AO72" i="2" s="1"/>
  <c r="AJ71" i="2"/>
  <c r="AN71" i="2" s="1"/>
  <c r="AJ70" i="2"/>
  <c r="AL70" i="2" s="1"/>
  <c r="AO70" i="2" s="1"/>
  <c r="AJ69" i="2"/>
  <c r="AN69" i="2" s="1"/>
  <c r="AJ68" i="2"/>
  <c r="AN68" i="2" s="1"/>
  <c r="AJ67" i="2"/>
  <c r="AL67" i="2" s="1"/>
  <c r="AO67" i="2" s="1"/>
  <c r="AJ66" i="2"/>
  <c r="AL66" i="2" s="1"/>
  <c r="AO66" i="2" s="1"/>
  <c r="AJ65" i="2"/>
  <c r="AL65" i="2" s="1"/>
  <c r="AO65" i="2" s="1"/>
  <c r="AJ64" i="2"/>
  <c r="AN64" i="2" s="1"/>
  <c r="AM50" i="2"/>
  <c r="AM51" i="2"/>
  <c r="AM52" i="2"/>
  <c r="AM53" i="2"/>
  <c r="AM54" i="2"/>
  <c r="AM55" i="2"/>
  <c r="AM56" i="2"/>
  <c r="AM57" i="2"/>
  <c r="AM58" i="2"/>
  <c r="AM59" i="2"/>
  <c r="AM60" i="2"/>
  <c r="AM61" i="2"/>
  <c r="AM62" i="2"/>
  <c r="AM63" i="2"/>
  <c r="AM49" i="2"/>
  <c r="AL50" i="2"/>
  <c r="AO50" i="2" s="1"/>
  <c r="AL51" i="2"/>
  <c r="AO51" i="2" s="1"/>
  <c r="AL52" i="2"/>
  <c r="AO52" i="2" s="1"/>
  <c r="AN53" i="2"/>
  <c r="AL54" i="2"/>
  <c r="AO54" i="2" s="1"/>
  <c r="AN55" i="2"/>
  <c r="AN56" i="2"/>
  <c r="AN57" i="2"/>
  <c r="AL58" i="2"/>
  <c r="AO58" i="2" s="1"/>
  <c r="AJ59" i="2"/>
  <c r="AL59" i="2" s="1"/>
  <c r="AO59" i="2" s="1"/>
  <c r="AJ60" i="2"/>
  <c r="AN60" i="2" s="1"/>
  <c r="AJ61" i="2"/>
  <c r="AN61" i="2" s="1"/>
  <c r="AJ62" i="2"/>
  <c r="AL62" i="2" s="1"/>
  <c r="AO62" i="2" s="1"/>
  <c r="AJ63" i="2"/>
  <c r="AN63" i="2" s="1"/>
  <c r="AN49" i="2"/>
  <c r="S4" i="2"/>
  <c r="S5" i="2"/>
  <c r="S3" i="2"/>
  <c r="R4" i="2"/>
  <c r="R5" i="2"/>
  <c r="R3" i="2"/>
  <c r="O4" i="2"/>
  <c r="O5" i="2"/>
  <c r="O3" i="2"/>
  <c r="N5" i="4"/>
  <c r="N4" i="4"/>
  <c r="M5" i="4"/>
  <c r="M4" i="4"/>
  <c r="S20" i="4"/>
  <c r="S23" i="4"/>
  <c r="S17" i="4"/>
  <c r="T14" i="4"/>
  <c r="T13" i="4"/>
  <c r="T12" i="4"/>
  <c r="E5" i="4"/>
  <c r="D5" i="4"/>
  <c r="E4" i="4"/>
  <c r="D4" i="4"/>
  <c r="E3" i="4"/>
  <c r="D3" i="4"/>
  <c r="S18" i="2"/>
  <c r="S21" i="2"/>
  <c r="S24" i="2"/>
  <c r="T24" i="2"/>
  <c r="T21" i="2"/>
  <c r="T18" i="2"/>
  <c r="T13" i="2"/>
  <c r="T14" i="2"/>
  <c r="T12" i="2"/>
  <c r="G4" i="2"/>
  <c r="L4" i="2" s="1"/>
  <c r="G5" i="2"/>
  <c r="L5" i="2" s="1"/>
  <c r="G3" i="2"/>
  <c r="L3" i="2" s="1"/>
  <c r="E5" i="2"/>
  <c r="D5" i="2"/>
  <c r="E4" i="2"/>
  <c r="D4" i="2"/>
  <c r="E3" i="2"/>
  <c r="D3" i="2"/>
  <c r="P11" i="1"/>
  <c r="P12" i="1"/>
  <c r="P10" i="1"/>
  <c r="P4" i="1"/>
  <c r="P5" i="1"/>
  <c r="P3" i="1"/>
  <c r="H19" i="1"/>
  <c r="M4" i="1"/>
  <c r="M5" i="1"/>
  <c r="M3" i="1"/>
  <c r="J4" i="1"/>
  <c r="J5" i="1"/>
  <c r="J3" i="1"/>
  <c r="K4" i="1"/>
  <c r="K5" i="1"/>
  <c r="K3" i="1"/>
  <c r="C3" i="1"/>
  <c r="C5" i="1" s="1"/>
  <c r="AN58" i="2" l="1"/>
  <c r="AN50" i="2"/>
  <c r="AN65" i="2"/>
  <c r="AN52" i="2"/>
  <c r="AL69" i="2"/>
  <c r="AO69" i="2" s="1"/>
  <c r="AL68" i="2"/>
  <c r="AO68" i="2" s="1"/>
  <c r="AL61" i="2"/>
  <c r="AO61" i="2" s="1"/>
  <c r="AL60" i="2"/>
  <c r="AO60" i="2" s="1"/>
  <c r="AN67" i="2"/>
  <c r="AL53" i="2"/>
  <c r="AO53" i="2" s="1"/>
  <c r="AN66" i="2"/>
  <c r="AN62" i="2"/>
  <c r="AN54" i="2"/>
  <c r="AN70" i="2"/>
  <c r="AL49" i="2"/>
  <c r="AO49" i="2" s="1"/>
  <c r="AL57" i="2"/>
  <c r="AO57" i="2" s="1"/>
  <c r="AL64" i="2"/>
  <c r="AO64" i="2" s="1"/>
  <c r="AL56" i="2"/>
  <c r="AO56" i="2" s="1"/>
  <c r="AL71" i="2"/>
  <c r="AO71" i="2" s="1"/>
  <c r="AL63" i="2"/>
  <c r="AO63" i="2" s="1"/>
  <c r="AL55" i="2"/>
  <c r="AO55" i="2" s="1"/>
  <c r="AN59" i="2"/>
  <c r="AN51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<sst xmlns="http://schemas.openxmlformats.org/spreadsheetml/2006/main" count="201" uniqueCount="97">
  <si>
    <t>a</t>
  </si>
  <si>
    <t>h</t>
  </si>
  <si>
    <t>t</t>
  </si>
  <si>
    <t>v</t>
  </si>
  <si>
    <t>LPPT</t>
  </si>
  <si>
    <t>sims</t>
  </si>
  <si>
    <t>exp pressure</t>
  </si>
  <si>
    <t>p up</t>
  </si>
  <si>
    <t>E^2</t>
  </si>
  <si>
    <t>V</t>
  </si>
  <si>
    <t>Experiment PFPE ES pump</t>
  </si>
  <si>
    <t>Sims PFPE</t>
  </si>
  <si>
    <t>Sims SO</t>
  </si>
  <si>
    <t>E_int = (sqrt(down(es.Er)^2+down(es.Ez)^2 + es.tEr^2+es.tEz^2))</t>
  </si>
  <si>
    <t>E_int^2 = (sqrt(down(es.Er)^2+down(es.Ez)^2 + es.tEr^2+es.tEz^2))^2</t>
  </si>
  <si>
    <t>P_int = 0.5*epsilon0_const*(PFPE_epsilon-1)*(PFPE_epsilon*(sqrt(down(es.Er)^2+down(es.Ez)^2)^2+(sqrt(es.tEr^2+es.tEz^2))^2))</t>
  </si>
  <si>
    <t>P_hydro</t>
  </si>
  <si>
    <t>error</t>
  </si>
  <si>
    <t>includes 2*pi*r factor in all values</t>
  </si>
  <si>
    <t>E</t>
  </si>
  <si>
    <t>Experiment PFPE LPPT</t>
  </si>
  <si>
    <t xml:space="preserve">evaluate at </t>
  </si>
  <si>
    <t>E_n</t>
  </si>
  <si>
    <t>E_t</t>
  </si>
  <si>
    <t>sims @ -4.95</t>
  </si>
  <si>
    <t>h_sim (mm)</t>
  </si>
  <si>
    <t>Efield_sim</t>
  </si>
  <si>
    <t>interface area at rest</t>
  </si>
  <si>
    <t>Force max</t>
  </si>
  <si>
    <t>p_grav</t>
  </si>
  <si>
    <t>#p_hydro [Pa]</t>
  </si>
  <si>
    <t>v (mm/s)</t>
  </si>
  <si>
    <t>p_ES</t>
  </si>
  <si>
    <t>p_hydro</t>
  </si>
  <si>
    <t>m</t>
  </si>
  <si>
    <t>p_ES [Pa]</t>
  </si>
  <si>
    <t>h [m]</t>
  </si>
  <si>
    <t>sim</t>
  </si>
  <si>
    <t>fitting</t>
  </si>
  <si>
    <t>p</t>
  </si>
  <si>
    <t>p_n</t>
  </si>
  <si>
    <t>p_t</t>
  </si>
  <si>
    <t>z</t>
  </si>
  <si>
    <t>E_n^2</t>
  </si>
  <si>
    <t>E_t^2</t>
  </si>
  <si>
    <t>z [mm]</t>
  </si>
  <si>
    <t>#h [m]</t>
  </si>
  <si>
    <t>#Delta p [Pa]</t>
  </si>
  <si>
    <t>#z [mm]</t>
  </si>
  <si>
    <t>8kV</t>
  </si>
  <si>
    <t>6.5 kV</t>
  </si>
  <si>
    <t>9.5 kV</t>
  </si>
  <si>
    <t>#9.5kV p_ES [Pa]</t>
  </si>
  <si>
    <t>#6.5kV p_ES [Pa]</t>
  </si>
  <si>
    <t>#8.0kV p_ES [Pa]</t>
  </si>
  <si>
    <t>#v [m/s]</t>
  </si>
  <si>
    <t>#Fr = v/(sqrt(g L)) - inertial/gravitational</t>
  </si>
  <si>
    <t>Silicone oil</t>
  </si>
  <si>
    <t>h [mm]</t>
  </si>
  <si>
    <t>slope</t>
  </si>
  <si>
    <t>inter</t>
  </si>
  <si>
    <t>slope [m^2/s]</t>
  </si>
  <si>
    <t>h_max [mm]</t>
  </si>
  <si>
    <t>p_ES_max</t>
  </si>
  <si>
    <t>h_ini</t>
  </si>
  <si>
    <t>p_exp</t>
  </si>
  <si>
    <t>ratio</t>
  </si>
  <si>
    <t>Efield</t>
  </si>
  <si>
    <t>Pa</t>
  </si>
  <si>
    <t>V/m</t>
  </si>
  <si>
    <t>z_absolute [mm]</t>
  </si>
  <si>
    <t>m_dot</t>
  </si>
  <si>
    <t>V^2</t>
  </si>
  <si>
    <t>tip at -3.3</t>
  </si>
  <si>
    <t>m_dot exp</t>
  </si>
  <si>
    <t>EFFICIENCY</t>
  </si>
  <si>
    <t>p_HP</t>
  </si>
  <si>
    <t>growth rate</t>
  </si>
  <si>
    <t>feeding conduit</t>
  </si>
  <si>
    <t>Delta t [s]</t>
  </si>
  <si>
    <t>m_bit [ug]</t>
  </si>
  <si>
    <t>m_dot exp max [ug/s]</t>
  </si>
  <si>
    <t>p_HP [Pa]</t>
  </si>
  <si>
    <t>v_max at exit</t>
  </si>
  <si>
    <t>v_average</t>
  </si>
  <si>
    <t>v_growth</t>
  </si>
  <si>
    <t>min p_ES</t>
  </si>
  <si>
    <t>v_a</t>
  </si>
  <si>
    <t>from mass flow rate</t>
  </si>
  <si>
    <t>flow to top</t>
  </si>
  <si>
    <t>A</t>
  </si>
  <si>
    <t>from pressure</t>
  </si>
  <si>
    <t>measured</t>
  </si>
  <si>
    <t>intiial mass bit outside of conduit</t>
  </si>
  <si>
    <t>A_cond</t>
  </si>
  <si>
    <t>From basic mass flow rate formula m = A v \rho</t>
  </si>
  <si>
    <t>p_elec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</si>
</sst>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"/>
    <numFmt numFmtId="165" formatCode="0.000"/>
    <numFmt numFmtId="166" formatCode="0.0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0">
    <xf numFmtId="0" fontId="0" fillId="0" borderId="0" xfId="0"/>
    <xf numFmtId="0" fontId="0" fillId="0" borderId="0" xfId="0" applyNumberFormat="1"/>
    <xf numFmtId="11" fontId="0" fillId="0" borderId="0" xfId="0" applyNumberFormat="1"/>
    <xf numFmtId="0" fontId="0" fillId="0" borderId="0" xfId="0" applyAlignment="1">
      <alignment vertical="center" wrapText="1"/>
    </xf>
    <xf numFmtId="164" fontId="0" fillId="0" borderId="0" xfId="0" applyNumberFormat="1"/>
    <xf numFmtId="165" fontId="0" fillId="0" borderId="0" xfId="0" applyNumberFormat="1"/>
    <xf numFmtId="2" fontId="0" fillId="0" borderId="0" xfId="0" applyNumberFormat="1"/>
    <xf numFmtId="1" fontId="0" fillId="0" borderId="0" xfId="0" applyNumberFormat="1"/>
    <xf numFmtId="11" fontId="0" fillId="0" borderId="0" xfId="0" applyNumberFormat="1" applyAlignment="1">
      <alignment vertical="center" wrapText="1"/>
    </xf>
    <xf numFmtId="0" fontId="0" fillId="0" borderId="0" xfId="0" applyNumberFormat="1" applyAlignment="1">
      <alignment vertical="center" wrapText="1"/>
    </xf>
    <xf numFmtId="1" fontId="0" fillId="0" borderId="0" xfId="0" applyNumberFormat="1" applyAlignment="1">
      <alignment vertical="center" wrapText="1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2" fontId="0" fillId="0" borderId="0" xfId="0" applyNumberFormat="1" applyAlignment="1">
      <alignment vertical="center" wrapText="1"/>
    </xf>
    <xf numFmtId="9" fontId="0" fillId="0" borderId="0" xfId="1" applyFont="1"/>
    <xf numFmtId="0" fontId="0" fillId="0" borderId="0" xfId="1" applyNumberFormat="1" applyFont="1"/>
    <xf numFmtId="0" fontId="0" fillId="0" borderId="0" xfId="0" applyAlignment="1">
      <alignment vertical="center"/>
    </xf>
    <xf numFmtId="0" fontId="0" fillId="0" borderId="0" xfId="0" applyAlignment="1"/>
    <xf numFmtId="11" fontId="0" fillId="0" borderId="0" xfId="0" applyNumberFormat="1" applyAlignment="1">
      <alignment vertical="center"/>
    </xf>
    <xf numFmtId="9" fontId="0" fillId="0" borderId="0" xfId="1" applyFont="1" applyAlignment="1"/>
    <xf numFmtId="165" fontId="0" fillId="0" borderId="0" xfId="0" applyNumberFormat="1" applyAlignment="1"/>
    <xf numFmtId="2" fontId="0" fillId="0" borderId="0" xfId="0" applyNumberFormat="1" applyAlignment="1"/>
    <xf numFmtId="2" fontId="0" fillId="0" borderId="0" xfId="1" applyNumberFormat="1" applyFont="1" applyAlignment="1"/>
    <xf numFmtId="165" fontId="0" fillId="0" borderId="0" xfId="0" applyNumberFormat="1" applyAlignment="1">
      <alignment vertical="center"/>
    </xf>
    <xf numFmtId="11" fontId="0" fillId="0" borderId="0" xfId="0" applyNumberFormat="1" applyAlignment="1"/>
    <xf numFmtId="2" fontId="0" fillId="0" borderId="0" xfId="0" applyNumberFormat="1" applyAlignment="1">
      <alignment vertical="center"/>
    </xf>
    <xf numFmtId="166" fontId="0" fillId="0" borderId="0" xfId="0" applyNumberFormat="1" applyAlignment="1"/>
    <xf numFmtId="164" fontId="0" fillId="0" borderId="0" xfId="0" applyNumberFormat="1" applyAlignment="1">
      <alignment vertical="center"/>
    </xf>
    <xf numFmtId="1" fontId="0" fillId="0" borderId="0" xfId="0" applyNumberFormat="1" applyAlignment="1"/>
    <xf numFmtId="0" fontId="0" fillId="0" borderId="0" xfId="1" applyNumberFormat="1" applyFont="1" applyAlignment="1"/>
    <xf numFmtId="166" fontId="0" fillId="0" borderId="0" xfId="1" applyNumberFormat="1" applyFont="1" applyAlignment="1"/>
    <xf numFmtId="9" fontId="0" fillId="0" borderId="0" xfId="1" applyFont="1" applyAlignment="1">
      <alignment vertical="center"/>
    </xf>
    <xf numFmtId="0" fontId="0" fillId="0" borderId="0" xfId="1" applyNumberFormat="1" applyFont="1" applyAlignment="1">
      <alignment vertical="center"/>
    </xf>
    <xf numFmtId="0" fontId="0" fillId="0" borderId="0" xfId="0" applyNumberFormat="1" applyAlignment="1"/>
    <xf numFmtId="10" fontId="0" fillId="0" borderId="0" xfId="0" applyNumberFormat="1" applyAlignment="1"/>
    <xf numFmtId="11" fontId="0" fillId="0" borderId="0" xfId="1" applyNumberFormat="1" applyFont="1" applyAlignme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LPPT_Prototype!$L$57:$L$59</c:f>
              <c:numCache>
                <c:formatCode>General</c:formatCode>
                <c:ptCount val="3"/>
              </c:numCache>
            </c:numRef>
          </c:xVal>
          <c:yVal>
            <c:numRef>
              <c:f>LPPT_Prototype!$M$57:$M$59</c:f>
              <c:numCache>
                <c:formatCode>General</c:formatCode>
                <c:ptCount val="3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CF7-4DC1-9E62-1F800EF8EE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63324175"/>
        <c:axId val="1463325423"/>
      </c:scatterChart>
      <c:valAx>
        <c:axId val="146332417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63325423"/>
        <c:crosses val="autoZero"/>
        <c:crossBetween val="midCat"/>
      </c:valAx>
      <c:valAx>
        <c:axId val="14633254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6332417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2.1128171478565178E-2"/>
                  <c:y val="-4.8806138815981337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LPPT_Prototype!$I$42:$I$44</c:f>
              <c:numCache>
                <c:formatCode>General</c:formatCode>
                <c:ptCount val="3"/>
              </c:numCache>
            </c:numRef>
          </c:xVal>
          <c:yVal>
            <c:numRef>
              <c:f>LPPT_Prototype!$R$42:$R$44</c:f>
              <c:numCache>
                <c:formatCode>0.000</c:formatCode>
                <c:ptCount val="3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E0C-42E6-8F3A-56E40675FC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20363183"/>
        <c:axId val="1220366511"/>
      </c:scatterChart>
      <c:valAx>
        <c:axId val="122036318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20366511"/>
        <c:crosses val="autoZero"/>
        <c:crossBetween val="midCat"/>
      </c:valAx>
      <c:valAx>
        <c:axId val="12203665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2036318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wer"/>
            <c:dispRSqr val="1"/>
            <c:dispEq val="1"/>
            <c:trendlineLbl>
              <c:layout>
                <c:manualLayout>
                  <c:x val="-2.1456255468066492E-2"/>
                  <c:y val="-0.43903579760863226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600" baseline="0"/>
                      <a:t>y = 0.0002x</a:t>
                    </a:r>
                    <a:r>
                      <a:rPr lang="en-US" sz="1600" baseline="30000"/>
                      <a:t>-1.623</a:t>
                    </a:r>
                    <a:br>
                      <a:rPr lang="en-US" sz="1600" baseline="0"/>
                    </a:br>
                    <a:r>
                      <a:rPr lang="en-US" sz="1600" baseline="0"/>
                      <a:t>R² = 0.9992</a:t>
                    </a:r>
                    <a:endParaRPr lang="en-US" sz="1600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ES_pump!$AJ$49:$AJ$63</c:f>
              <c:numCache>
                <c:formatCode>0.00E+00</c:formatCode>
                <c:ptCount val="15"/>
                <c:pt idx="0">
                  <c:v>1.1099999999999977E-4</c:v>
                </c:pt>
                <c:pt idx="1">
                  <c:v>1.2600000000000033E-4</c:v>
                </c:pt>
                <c:pt idx="2">
                  <c:v>1.5099999999999979E-4</c:v>
                </c:pt>
                <c:pt idx="3">
                  <c:v>1.7600000000000016E-4</c:v>
                </c:pt>
                <c:pt idx="4">
                  <c:v>2.0099999999999963E-4</c:v>
                </c:pt>
                <c:pt idx="5">
                  <c:v>2.2599999999999999E-4</c:v>
                </c:pt>
                <c:pt idx="6">
                  <c:v>2.5100000000000035E-4</c:v>
                </c:pt>
                <c:pt idx="7">
                  <c:v>2.7599999999999982E-4</c:v>
                </c:pt>
                <c:pt idx="8">
                  <c:v>3.0100000000000016E-4</c:v>
                </c:pt>
                <c:pt idx="9">
                  <c:v>3.5099999999999997E-4</c:v>
                </c:pt>
                <c:pt idx="10">
                  <c:v>4.0099999999999983E-4</c:v>
                </c:pt>
                <c:pt idx="11">
                  <c:v>4.5099999999999963E-4</c:v>
                </c:pt>
                <c:pt idx="12">
                  <c:v>5.0100000000000036E-4</c:v>
                </c:pt>
                <c:pt idx="13">
                  <c:v>5.5100000000000017E-4</c:v>
                </c:pt>
                <c:pt idx="14">
                  <c:v>6.0099999999999997E-4</c:v>
                </c:pt>
              </c:numCache>
            </c:numRef>
          </c:xVal>
          <c:yVal>
            <c:numRef>
              <c:f>ES_pump!$AK$49:$AK$63</c:f>
              <c:numCache>
                <c:formatCode>General</c:formatCode>
                <c:ptCount val="15"/>
                <c:pt idx="0">
                  <c:v>430.98</c:v>
                </c:pt>
                <c:pt idx="1">
                  <c:v>353.03</c:v>
                </c:pt>
                <c:pt idx="2">
                  <c:v>268.23</c:v>
                </c:pt>
                <c:pt idx="3">
                  <c:v>211.45</c:v>
                </c:pt>
                <c:pt idx="4">
                  <c:v>173.98</c:v>
                </c:pt>
                <c:pt idx="5">
                  <c:v>144.99</c:v>
                </c:pt>
                <c:pt idx="6">
                  <c:v>122.12</c:v>
                </c:pt>
                <c:pt idx="7">
                  <c:v>104.75</c:v>
                </c:pt>
                <c:pt idx="8">
                  <c:v>90.826999999999998</c:v>
                </c:pt>
                <c:pt idx="9">
                  <c:v>70.162999999999997</c:v>
                </c:pt>
                <c:pt idx="10">
                  <c:v>55.828000000000003</c:v>
                </c:pt>
                <c:pt idx="11">
                  <c:v>45.564</c:v>
                </c:pt>
                <c:pt idx="12">
                  <c:v>38.067999999999998</c:v>
                </c:pt>
                <c:pt idx="13">
                  <c:v>32.265999999999998</c:v>
                </c:pt>
                <c:pt idx="14">
                  <c:v>27.905000000000001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3C2-4B00-B176-F16BB6422A5D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ES_pump!$AJ$49:$AJ$63</c:f>
              <c:numCache>
                <c:formatCode>0.00E+00</c:formatCode>
                <c:ptCount val="15"/>
                <c:pt idx="0">
                  <c:v>1.1099999999999977E-4</c:v>
                </c:pt>
                <c:pt idx="1">
                  <c:v>1.2600000000000033E-4</c:v>
                </c:pt>
                <c:pt idx="2">
                  <c:v>1.5099999999999979E-4</c:v>
                </c:pt>
                <c:pt idx="3">
                  <c:v>1.7600000000000016E-4</c:v>
                </c:pt>
                <c:pt idx="4">
                  <c:v>2.0099999999999963E-4</c:v>
                </c:pt>
                <c:pt idx="5">
                  <c:v>2.2599999999999999E-4</c:v>
                </c:pt>
                <c:pt idx="6">
                  <c:v>2.5100000000000035E-4</c:v>
                </c:pt>
                <c:pt idx="7">
                  <c:v>2.7599999999999982E-4</c:v>
                </c:pt>
                <c:pt idx="8">
                  <c:v>3.0100000000000016E-4</c:v>
                </c:pt>
                <c:pt idx="9">
                  <c:v>3.5099999999999997E-4</c:v>
                </c:pt>
                <c:pt idx="10">
                  <c:v>4.0099999999999983E-4</c:v>
                </c:pt>
                <c:pt idx="11">
                  <c:v>4.5099999999999963E-4</c:v>
                </c:pt>
                <c:pt idx="12">
                  <c:v>5.0100000000000036E-4</c:v>
                </c:pt>
                <c:pt idx="13">
                  <c:v>5.5100000000000017E-4</c:v>
                </c:pt>
                <c:pt idx="14">
                  <c:v>6.0099999999999997E-4</c:v>
                </c:pt>
              </c:numCache>
            </c:numRef>
          </c:xVal>
          <c:yVal>
            <c:numRef>
              <c:f>ES_pump!$AN$49:$AN$63</c:f>
              <c:numCache>
                <c:formatCode>0.00</c:formatCode>
                <c:ptCount val="15"/>
                <c:pt idx="0">
                  <c:v>91.126070999999996</c:v>
                </c:pt>
                <c:pt idx="1">
                  <c:v>90.846485999999999</c:v>
                </c:pt>
                <c:pt idx="2">
                  <c:v>90.380510999999998</c:v>
                </c:pt>
                <c:pt idx="3">
                  <c:v>89.914535999999998</c:v>
                </c:pt>
                <c:pt idx="4">
                  <c:v>89.448561000000012</c:v>
                </c:pt>
                <c:pt idx="5">
                  <c:v>88.982586000000012</c:v>
                </c:pt>
                <c:pt idx="6">
                  <c:v>88.516610999999997</c:v>
                </c:pt>
                <c:pt idx="7">
                  <c:v>88.050635999999997</c:v>
                </c:pt>
                <c:pt idx="8">
                  <c:v>87.584660999999997</c:v>
                </c:pt>
                <c:pt idx="9">
                  <c:v>86.652711000000011</c:v>
                </c:pt>
                <c:pt idx="10">
                  <c:v>85.72076100000001</c:v>
                </c:pt>
                <c:pt idx="11">
                  <c:v>84.788810999999995</c:v>
                </c:pt>
                <c:pt idx="12">
                  <c:v>83.856860999999995</c:v>
                </c:pt>
                <c:pt idx="13">
                  <c:v>82.924910999999994</c:v>
                </c:pt>
                <c:pt idx="14">
                  <c:v>81.992961000000008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3C2-4B00-B176-F16BB6422A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13708943"/>
        <c:axId val="1213710607"/>
      </c:scatterChart>
      <c:valAx>
        <c:axId val="121370894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13710607"/>
        <c:crosses val="autoZero"/>
        <c:crossBetween val="midCat"/>
      </c:valAx>
      <c:valAx>
        <c:axId val="12137106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1370894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ES_pump!$Q$36:$Q$72</c:f>
              <c:numCache>
                <c:formatCode>General</c:formatCode>
                <c:ptCount val="37"/>
                <c:pt idx="0">
                  <c:v>-8.5</c:v>
                </c:pt>
                <c:pt idx="1">
                  <c:v>-8</c:v>
                </c:pt>
                <c:pt idx="2">
                  <c:v>-7.5</c:v>
                </c:pt>
                <c:pt idx="3">
                  <c:v>-7</c:v>
                </c:pt>
                <c:pt idx="4">
                  <c:v>-6.5</c:v>
                </c:pt>
                <c:pt idx="5">
                  <c:v>-6</c:v>
                </c:pt>
                <c:pt idx="6">
                  <c:v>-5.5</c:v>
                </c:pt>
                <c:pt idx="7">
                  <c:v>-5.4</c:v>
                </c:pt>
                <c:pt idx="8">
                  <c:v>-5.3</c:v>
                </c:pt>
                <c:pt idx="9">
                  <c:v>-5.2</c:v>
                </c:pt>
                <c:pt idx="10">
                  <c:v>-5.0999999999999996</c:v>
                </c:pt>
                <c:pt idx="11">
                  <c:v>-5.05</c:v>
                </c:pt>
                <c:pt idx="12">
                  <c:v>-5.01</c:v>
                </c:pt>
                <c:pt idx="13">
                  <c:v>-4.99</c:v>
                </c:pt>
                <c:pt idx="14">
                  <c:v>-4.9749999999999996</c:v>
                </c:pt>
                <c:pt idx="15">
                  <c:v>-4.95</c:v>
                </c:pt>
                <c:pt idx="16">
                  <c:v>-4.9249999999999998</c:v>
                </c:pt>
                <c:pt idx="17">
                  <c:v>-4.9000000000000004</c:v>
                </c:pt>
                <c:pt idx="18">
                  <c:v>-4.875</c:v>
                </c:pt>
                <c:pt idx="19">
                  <c:v>-4.8499999999999996</c:v>
                </c:pt>
                <c:pt idx="20">
                  <c:v>-4.8250000000000002</c:v>
                </c:pt>
                <c:pt idx="21">
                  <c:v>-4.8</c:v>
                </c:pt>
                <c:pt idx="22">
                  <c:v>-4.75</c:v>
                </c:pt>
                <c:pt idx="23">
                  <c:v>-4.7</c:v>
                </c:pt>
                <c:pt idx="24">
                  <c:v>-4.6500000000000004</c:v>
                </c:pt>
                <c:pt idx="25">
                  <c:v>-4.5999999999999996</c:v>
                </c:pt>
                <c:pt idx="26">
                  <c:v>-4.55</c:v>
                </c:pt>
                <c:pt idx="27">
                  <c:v>-4.5</c:v>
                </c:pt>
                <c:pt idx="28">
                  <c:v>-4</c:v>
                </c:pt>
                <c:pt idx="29">
                  <c:v>-3.5</c:v>
                </c:pt>
                <c:pt idx="30">
                  <c:v>-3</c:v>
                </c:pt>
                <c:pt idx="31">
                  <c:v>-2.5</c:v>
                </c:pt>
                <c:pt idx="32">
                  <c:v>-2</c:v>
                </c:pt>
                <c:pt idx="33">
                  <c:v>-1.5</c:v>
                </c:pt>
                <c:pt idx="34">
                  <c:v>-1</c:v>
                </c:pt>
                <c:pt idx="35">
                  <c:v>-0.5</c:v>
                </c:pt>
                <c:pt idx="36">
                  <c:v>0</c:v>
                </c:pt>
              </c:numCache>
            </c:numRef>
          </c:xVal>
          <c:yVal>
            <c:numRef>
              <c:f>ES_pump!$S$36:$S$72</c:f>
              <c:numCache>
                <c:formatCode>General</c:formatCode>
                <c:ptCount val="37"/>
                <c:pt idx="0">
                  <c:v>446.18</c:v>
                </c:pt>
                <c:pt idx="1">
                  <c:v>465.78</c:v>
                </c:pt>
                <c:pt idx="2">
                  <c:v>490.05</c:v>
                </c:pt>
                <c:pt idx="3">
                  <c:v>525.11</c:v>
                </c:pt>
                <c:pt idx="4">
                  <c:v>562.80999999999995</c:v>
                </c:pt>
                <c:pt idx="5">
                  <c:v>583.75</c:v>
                </c:pt>
                <c:pt idx="6">
                  <c:v>573.24</c:v>
                </c:pt>
                <c:pt idx="7">
                  <c:v>561.78</c:v>
                </c:pt>
                <c:pt idx="8">
                  <c:v>544.08000000000004</c:v>
                </c:pt>
                <c:pt idx="9">
                  <c:v>515.54</c:v>
                </c:pt>
                <c:pt idx="10">
                  <c:v>466.01</c:v>
                </c:pt>
                <c:pt idx="11">
                  <c:v>422.52</c:v>
                </c:pt>
                <c:pt idx="12">
                  <c:v>358.98</c:v>
                </c:pt>
                <c:pt idx="13">
                  <c:v>284.52</c:v>
                </c:pt>
                <c:pt idx="14">
                  <c:v>233.05</c:v>
                </c:pt>
                <c:pt idx="15">
                  <c:v>177.07</c:v>
                </c:pt>
                <c:pt idx="16">
                  <c:v>139.59</c:v>
                </c:pt>
                <c:pt idx="17">
                  <c:v>114.86</c:v>
                </c:pt>
                <c:pt idx="18">
                  <c:v>95.713999999999999</c:v>
                </c:pt>
                <c:pt idx="19">
                  <c:v>80.620999999999995</c:v>
                </c:pt>
                <c:pt idx="20">
                  <c:v>69.150999999999996</c:v>
                </c:pt>
                <c:pt idx="21">
                  <c:v>59.96</c:v>
                </c:pt>
                <c:pt idx="22">
                  <c:v>46.317999999999998</c:v>
                </c:pt>
                <c:pt idx="23">
                  <c:v>36.854999999999997</c:v>
                </c:pt>
                <c:pt idx="24">
                  <c:v>30.079000000000001</c:v>
                </c:pt>
                <c:pt idx="25">
                  <c:v>25.13</c:v>
                </c:pt>
                <c:pt idx="26">
                  <c:v>21.300999999999998</c:v>
                </c:pt>
                <c:pt idx="27">
                  <c:v>18.422000000000001</c:v>
                </c:pt>
                <c:pt idx="28">
                  <c:v>7.431</c:v>
                </c:pt>
                <c:pt idx="29">
                  <c:v>4.8177000000000003</c:v>
                </c:pt>
                <c:pt idx="30">
                  <c:v>3.6543999999999999</c:v>
                </c:pt>
                <c:pt idx="31">
                  <c:v>2.9371</c:v>
                </c:pt>
                <c:pt idx="32">
                  <c:v>2.3982000000000001</c:v>
                </c:pt>
                <c:pt idx="33">
                  <c:v>1.9329000000000001</c:v>
                </c:pt>
                <c:pt idx="34">
                  <c:v>1.4899</c:v>
                </c:pt>
                <c:pt idx="35">
                  <c:v>1.0626</c:v>
                </c:pt>
                <c:pt idx="36">
                  <c:v>0.68174999999999997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885-442D-8C1A-C64C3A8C0148}"/>
            </c:ext>
          </c:extLst>
        </c:ser>
        <c:ser>
          <c:idx val="1"/>
          <c:order val="1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ES_pump!$Q$36:$Q$72</c:f>
              <c:numCache>
                <c:formatCode>General</c:formatCode>
                <c:ptCount val="37"/>
                <c:pt idx="0">
                  <c:v>-8.5</c:v>
                </c:pt>
                <c:pt idx="1">
                  <c:v>-8</c:v>
                </c:pt>
                <c:pt idx="2">
                  <c:v>-7.5</c:v>
                </c:pt>
                <c:pt idx="3">
                  <c:v>-7</c:v>
                </c:pt>
                <c:pt idx="4">
                  <c:v>-6.5</c:v>
                </c:pt>
                <c:pt idx="5">
                  <c:v>-6</c:v>
                </c:pt>
                <c:pt idx="6">
                  <c:v>-5.5</c:v>
                </c:pt>
                <c:pt idx="7">
                  <c:v>-5.4</c:v>
                </c:pt>
                <c:pt idx="8">
                  <c:v>-5.3</c:v>
                </c:pt>
                <c:pt idx="9">
                  <c:v>-5.2</c:v>
                </c:pt>
                <c:pt idx="10">
                  <c:v>-5.0999999999999996</c:v>
                </c:pt>
                <c:pt idx="11">
                  <c:v>-5.05</c:v>
                </c:pt>
                <c:pt idx="12">
                  <c:v>-5.01</c:v>
                </c:pt>
                <c:pt idx="13">
                  <c:v>-4.99</c:v>
                </c:pt>
                <c:pt idx="14">
                  <c:v>-4.9749999999999996</c:v>
                </c:pt>
                <c:pt idx="15">
                  <c:v>-4.95</c:v>
                </c:pt>
                <c:pt idx="16">
                  <c:v>-4.9249999999999998</c:v>
                </c:pt>
                <c:pt idx="17">
                  <c:v>-4.9000000000000004</c:v>
                </c:pt>
                <c:pt idx="18">
                  <c:v>-4.875</c:v>
                </c:pt>
                <c:pt idx="19">
                  <c:v>-4.8499999999999996</c:v>
                </c:pt>
                <c:pt idx="20">
                  <c:v>-4.8250000000000002</c:v>
                </c:pt>
                <c:pt idx="21">
                  <c:v>-4.8</c:v>
                </c:pt>
                <c:pt idx="22">
                  <c:v>-4.75</c:v>
                </c:pt>
                <c:pt idx="23">
                  <c:v>-4.7</c:v>
                </c:pt>
                <c:pt idx="24">
                  <c:v>-4.6500000000000004</c:v>
                </c:pt>
                <c:pt idx="25">
                  <c:v>-4.5999999999999996</c:v>
                </c:pt>
                <c:pt idx="26">
                  <c:v>-4.55</c:v>
                </c:pt>
                <c:pt idx="27">
                  <c:v>-4.5</c:v>
                </c:pt>
                <c:pt idx="28">
                  <c:v>-4</c:v>
                </c:pt>
                <c:pt idx="29">
                  <c:v>-3.5</c:v>
                </c:pt>
                <c:pt idx="30">
                  <c:v>-3</c:v>
                </c:pt>
                <c:pt idx="31">
                  <c:v>-2.5</c:v>
                </c:pt>
                <c:pt idx="32">
                  <c:v>-2</c:v>
                </c:pt>
                <c:pt idx="33">
                  <c:v>-1.5</c:v>
                </c:pt>
                <c:pt idx="34">
                  <c:v>-1</c:v>
                </c:pt>
                <c:pt idx="35">
                  <c:v>-0.5</c:v>
                </c:pt>
                <c:pt idx="36">
                  <c:v>0</c:v>
                </c:pt>
              </c:numCache>
            </c:numRef>
          </c:xVal>
          <c:yVal>
            <c:numRef>
              <c:f>ES_pump!$T$36:$T$72</c:f>
              <c:numCache>
                <c:formatCode>General</c:formatCode>
                <c:ptCount val="37"/>
                <c:pt idx="0">
                  <c:v>675.87</c:v>
                </c:pt>
                <c:pt idx="1">
                  <c:v>705.56</c:v>
                </c:pt>
                <c:pt idx="2">
                  <c:v>742.32</c:v>
                </c:pt>
                <c:pt idx="3">
                  <c:v>795.44</c:v>
                </c:pt>
                <c:pt idx="4">
                  <c:v>852.54</c:v>
                </c:pt>
                <c:pt idx="5">
                  <c:v>884.27</c:v>
                </c:pt>
                <c:pt idx="6">
                  <c:v>868.34</c:v>
                </c:pt>
                <c:pt idx="7">
                  <c:v>850.97</c:v>
                </c:pt>
                <c:pt idx="8">
                  <c:v>824.17</c:v>
                </c:pt>
                <c:pt idx="9">
                  <c:v>780.93</c:v>
                </c:pt>
                <c:pt idx="10">
                  <c:v>705.9</c:v>
                </c:pt>
                <c:pt idx="11">
                  <c:v>640.03</c:v>
                </c:pt>
                <c:pt idx="12">
                  <c:v>543.78</c:v>
                </c:pt>
                <c:pt idx="13">
                  <c:v>430.98</c:v>
                </c:pt>
                <c:pt idx="14">
                  <c:v>353.03</c:v>
                </c:pt>
                <c:pt idx="15">
                  <c:v>268.23</c:v>
                </c:pt>
                <c:pt idx="16">
                  <c:v>211.45</c:v>
                </c:pt>
                <c:pt idx="17">
                  <c:v>173.98</c:v>
                </c:pt>
                <c:pt idx="18">
                  <c:v>144.99</c:v>
                </c:pt>
                <c:pt idx="19">
                  <c:v>122.12</c:v>
                </c:pt>
                <c:pt idx="20">
                  <c:v>104.75</c:v>
                </c:pt>
                <c:pt idx="21">
                  <c:v>90.826999999999998</c:v>
                </c:pt>
                <c:pt idx="22">
                  <c:v>70.162999999999997</c:v>
                </c:pt>
                <c:pt idx="23">
                  <c:v>55.828000000000003</c:v>
                </c:pt>
                <c:pt idx="24">
                  <c:v>45.564</c:v>
                </c:pt>
                <c:pt idx="25">
                  <c:v>38.067999999999998</c:v>
                </c:pt>
                <c:pt idx="26">
                  <c:v>32.265999999999998</c:v>
                </c:pt>
                <c:pt idx="27">
                  <c:v>27.905000000000001</c:v>
                </c:pt>
                <c:pt idx="28">
                  <c:v>11.256</c:v>
                </c:pt>
                <c:pt idx="29">
                  <c:v>7.2977999999999996</c:v>
                </c:pt>
                <c:pt idx="30">
                  <c:v>5.5355999999999996</c:v>
                </c:pt>
                <c:pt idx="31">
                  <c:v>4.4492000000000003</c:v>
                </c:pt>
                <c:pt idx="32">
                  <c:v>3.6326999999999998</c:v>
                </c:pt>
                <c:pt idx="33">
                  <c:v>2.9279999999999999</c:v>
                </c:pt>
                <c:pt idx="34">
                  <c:v>2.2568999999999999</c:v>
                </c:pt>
                <c:pt idx="35">
                  <c:v>1.6095999999999999</c:v>
                </c:pt>
                <c:pt idx="36">
                  <c:v>1.0327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885-442D-8C1A-C64C3A8C0148}"/>
            </c:ext>
          </c:extLst>
        </c:ser>
        <c:ser>
          <c:idx val="2"/>
          <c:order val="2"/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ES_pump!$Q$36:$Q$72</c:f>
              <c:numCache>
                <c:formatCode>General</c:formatCode>
                <c:ptCount val="37"/>
                <c:pt idx="0">
                  <c:v>-8.5</c:v>
                </c:pt>
                <c:pt idx="1">
                  <c:v>-8</c:v>
                </c:pt>
                <c:pt idx="2">
                  <c:v>-7.5</c:v>
                </c:pt>
                <c:pt idx="3">
                  <c:v>-7</c:v>
                </c:pt>
                <c:pt idx="4">
                  <c:v>-6.5</c:v>
                </c:pt>
                <c:pt idx="5">
                  <c:v>-6</c:v>
                </c:pt>
                <c:pt idx="6">
                  <c:v>-5.5</c:v>
                </c:pt>
                <c:pt idx="7">
                  <c:v>-5.4</c:v>
                </c:pt>
                <c:pt idx="8">
                  <c:v>-5.3</c:v>
                </c:pt>
                <c:pt idx="9">
                  <c:v>-5.2</c:v>
                </c:pt>
                <c:pt idx="10">
                  <c:v>-5.0999999999999996</c:v>
                </c:pt>
                <c:pt idx="11">
                  <c:v>-5.05</c:v>
                </c:pt>
                <c:pt idx="12">
                  <c:v>-5.01</c:v>
                </c:pt>
                <c:pt idx="13">
                  <c:v>-4.99</c:v>
                </c:pt>
                <c:pt idx="14">
                  <c:v>-4.9749999999999996</c:v>
                </c:pt>
                <c:pt idx="15">
                  <c:v>-4.95</c:v>
                </c:pt>
                <c:pt idx="16">
                  <c:v>-4.9249999999999998</c:v>
                </c:pt>
                <c:pt idx="17">
                  <c:v>-4.9000000000000004</c:v>
                </c:pt>
                <c:pt idx="18">
                  <c:v>-4.875</c:v>
                </c:pt>
                <c:pt idx="19">
                  <c:v>-4.8499999999999996</c:v>
                </c:pt>
                <c:pt idx="20">
                  <c:v>-4.8250000000000002</c:v>
                </c:pt>
                <c:pt idx="21">
                  <c:v>-4.8</c:v>
                </c:pt>
                <c:pt idx="22">
                  <c:v>-4.75</c:v>
                </c:pt>
                <c:pt idx="23">
                  <c:v>-4.7</c:v>
                </c:pt>
                <c:pt idx="24">
                  <c:v>-4.6500000000000004</c:v>
                </c:pt>
                <c:pt idx="25">
                  <c:v>-4.5999999999999996</c:v>
                </c:pt>
                <c:pt idx="26">
                  <c:v>-4.55</c:v>
                </c:pt>
                <c:pt idx="27">
                  <c:v>-4.5</c:v>
                </c:pt>
                <c:pt idx="28">
                  <c:v>-4</c:v>
                </c:pt>
                <c:pt idx="29">
                  <c:v>-3.5</c:v>
                </c:pt>
                <c:pt idx="30">
                  <c:v>-3</c:v>
                </c:pt>
                <c:pt idx="31">
                  <c:v>-2.5</c:v>
                </c:pt>
                <c:pt idx="32">
                  <c:v>-2</c:v>
                </c:pt>
                <c:pt idx="33">
                  <c:v>-1.5</c:v>
                </c:pt>
                <c:pt idx="34">
                  <c:v>-1</c:v>
                </c:pt>
                <c:pt idx="35">
                  <c:v>-0.5</c:v>
                </c:pt>
                <c:pt idx="36">
                  <c:v>0</c:v>
                </c:pt>
              </c:numCache>
            </c:numRef>
          </c:xVal>
          <c:yVal>
            <c:numRef>
              <c:f>ES_pump!$U$36:$U$72</c:f>
              <c:numCache>
                <c:formatCode>General</c:formatCode>
                <c:ptCount val="37"/>
                <c:pt idx="0">
                  <c:v>953.08</c:v>
                </c:pt>
                <c:pt idx="1">
                  <c:v>994.95</c:v>
                </c:pt>
                <c:pt idx="2">
                  <c:v>1046.8</c:v>
                </c:pt>
                <c:pt idx="3">
                  <c:v>1121.7</c:v>
                </c:pt>
                <c:pt idx="4">
                  <c:v>1202.2</c:v>
                </c:pt>
                <c:pt idx="5">
                  <c:v>1247</c:v>
                </c:pt>
                <c:pt idx="6">
                  <c:v>1224.5</c:v>
                </c:pt>
                <c:pt idx="7">
                  <c:v>1200</c:v>
                </c:pt>
                <c:pt idx="8">
                  <c:v>1162.2</c:v>
                </c:pt>
                <c:pt idx="9">
                  <c:v>1101.2</c:v>
                </c:pt>
                <c:pt idx="10">
                  <c:v>995.43</c:v>
                </c:pt>
                <c:pt idx="11">
                  <c:v>902.54</c:v>
                </c:pt>
                <c:pt idx="12">
                  <c:v>766.81</c:v>
                </c:pt>
                <c:pt idx="13">
                  <c:v>607.75</c:v>
                </c:pt>
                <c:pt idx="14">
                  <c:v>497.82</c:v>
                </c:pt>
                <c:pt idx="15">
                  <c:v>378.25</c:v>
                </c:pt>
                <c:pt idx="16">
                  <c:v>298.18</c:v>
                </c:pt>
                <c:pt idx="17">
                  <c:v>245.34</c:v>
                </c:pt>
                <c:pt idx="18">
                  <c:v>204.45</c:v>
                </c:pt>
                <c:pt idx="19">
                  <c:v>172.21</c:v>
                </c:pt>
                <c:pt idx="20">
                  <c:v>147.71</c:v>
                </c:pt>
                <c:pt idx="21">
                  <c:v>128.08000000000001</c:v>
                </c:pt>
                <c:pt idx="22">
                  <c:v>98.941000000000003</c:v>
                </c:pt>
                <c:pt idx="23">
                  <c:v>78.725999999999999</c:v>
                </c:pt>
                <c:pt idx="24">
                  <c:v>64.251999999999995</c:v>
                </c:pt>
                <c:pt idx="25">
                  <c:v>53.680999999999997</c:v>
                </c:pt>
                <c:pt idx="26">
                  <c:v>45.5</c:v>
                </c:pt>
                <c:pt idx="27">
                  <c:v>39.350999999999999</c:v>
                </c:pt>
                <c:pt idx="28">
                  <c:v>15.872999999999999</c:v>
                </c:pt>
                <c:pt idx="29">
                  <c:v>10.291</c:v>
                </c:pt>
                <c:pt idx="30">
                  <c:v>7.8060999999999998</c:v>
                </c:pt>
                <c:pt idx="31">
                  <c:v>6.274</c:v>
                </c:pt>
                <c:pt idx="32">
                  <c:v>5.1227</c:v>
                </c:pt>
                <c:pt idx="33">
                  <c:v>4.1288999999999998</c:v>
                </c:pt>
                <c:pt idx="34">
                  <c:v>3.1825999999999999</c:v>
                </c:pt>
                <c:pt idx="35">
                  <c:v>2.2698</c:v>
                </c:pt>
                <c:pt idx="36">
                  <c:v>1.4562999999999999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885-442D-8C1A-C64C3A8C0148}"/>
            </c:ext>
          </c:extLst>
        </c:ser>
        <c:ser>
          <c:idx val="3"/>
          <c:order val="3"/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ES_pump!$Q$36:$Q$72</c:f>
              <c:numCache>
                <c:formatCode>General</c:formatCode>
                <c:ptCount val="37"/>
                <c:pt idx="0">
                  <c:v>-8.5</c:v>
                </c:pt>
                <c:pt idx="1">
                  <c:v>-8</c:v>
                </c:pt>
                <c:pt idx="2">
                  <c:v>-7.5</c:v>
                </c:pt>
                <c:pt idx="3">
                  <c:v>-7</c:v>
                </c:pt>
                <c:pt idx="4">
                  <c:v>-6.5</c:v>
                </c:pt>
                <c:pt idx="5">
                  <c:v>-6</c:v>
                </c:pt>
                <c:pt idx="6">
                  <c:v>-5.5</c:v>
                </c:pt>
                <c:pt idx="7">
                  <c:v>-5.4</c:v>
                </c:pt>
                <c:pt idx="8">
                  <c:v>-5.3</c:v>
                </c:pt>
                <c:pt idx="9">
                  <c:v>-5.2</c:v>
                </c:pt>
                <c:pt idx="10">
                  <c:v>-5.0999999999999996</c:v>
                </c:pt>
                <c:pt idx="11">
                  <c:v>-5.05</c:v>
                </c:pt>
                <c:pt idx="12">
                  <c:v>-5.01</c:v>
                </c:pt>
                <c:pt idx="13">
                  <c:v>-4.99</c:v>
                </c:pt>
                <c:pt idx="14">
                  <c:v>-4.9749999999999996</c:v>
                </c:pt>
                <c:pt idx="15">
                  <c:v>-4.95</c:v>
                </c:pt>
                <c:pt idx="16">
                  <c:v>-4.9249999999999998</c:v>
                </c:pt>
                <c:pt idx="17">
                  <c:v>-4.9000000000000004</c:v>
                </c:pt>
                <c:pt idx="18">
                  <c:v>-4.875</c:v>
                </c:pt>
                <c:pt idx="19">
                  <c:v>-4.8499999999999996</c:v>
                </c:pt>
                <c:pt idx="20">
                  <c:v>-4.8250000000000002</c:v>
                </c:pt>
                <c:pt idx="21">
                  <c:v>-4.8</c:v>
                </c:pt>
                <c:pt idx="22">
                  <c:v>-4.75</c:v>
                </c:pt>
                <c:pt idx="23">
                  <c:v>-4.7</c:v>
                </c:pt>
                <c:pt idx="24">
                  <c:v>-4.6500000000000004</c:v>
                </c:pt>
                <c:pt idx="25">
                  <c:v>-4.5999999999999996</c:v>
                </c:pt>
                <c:pt idx="26">
                  <c:v>-4.55</c:v>
                </c:pt>
                <c:pt idx="27">
                  <c:v>-4.5</c:v>
                </c:pt>
                <c:pt idx="28">
                  <c:v>-4</c:v>
                </c:pt>
                <c:pt idx="29">
                  <c:v>-3.5</c:v>
                </c:pt>
                <c:pt idx="30">
                  <c:v>-3</c:v>
                </c:pt>
                <c:pt idx="31">
                  <c:v>-2.5</c:v>
                </c:pt>
                <c:pt idx="32">
                  <c:v>-2</c:v>
                </c:pt>
                <c:pt idx="33">
                  <c:v>-1.5</c:v>
                </c:pt>
                <c:pt idx="34">
                  <c:v>-1</c:v>
                </c:pt>
                <c:pt idx="35">
                  <c:v>-0.5</c:v>
                </c:pt>
                <c:pt idx="36">
                  <c:v>0</c:v>
                </c:pt>
              </c:numCache>
            </c:numRef>
          </c:xVal>
          <c:yVal>
            <c:numRef>
              <c:f>ES_pump!$V$36:$V$72</c:f>
              <c:numCache>
                <c:formatCode>General</c:formatCode>
                <c:ptCount val="37"/>
                <c:pt idx="0">
                  <c:v>158.4315</c:v>
                </c:pt>
                <c:pt idx="1">
                  <c:v>149.11199999999999</c:v>
                </c:pt>
                <c:pt idx="2">
                  <c:v>139.79249999999999</c:v>
                </c:pt>
                <c:pt idx="3">
                  <c:v>130.47300000000001</c:v>
                </c:pt>
                <c:pt idx="4">
                  <c:v>121.15350000000001</c:v>
                </c:pt>
                <c:pt idx="5">
                  <c:v>111.834</c:v>
                </c:pt>
                <c:pt idx="6">
                  <c:v>102.5145</c:v>
                </c:pt>
                <c:pt idx="7">
                  <c:v>100.65060000000001</c:v>
                </c:pt>
                <c:pt idx="8">
                  <c:v>98.786699999999996</c:v>
                </c:pt>
                <c:pt idx="9">
                  <c:v>96.922800000000009</c:v>
                </c:pt>
                <c:pt idx="10">
                  <c:v>95.058899999999994</c:v>
                </c:pt>
                <c:pt idx="11">
                  <c:v>94.126949999999994</c:v>
                </c:pt>
                <c:pt idx="12">
                  <c:v>93.381389999999996</c:v>
                </c:pt>
                <c:pt idx="13">
                  <c:v>93.008610000000004</c:v>
                </c:pt>
                <c:pt idx="14">
                  <c:v>92.729024999999993</c:v>
                </c:pt>
                <c:pt idx="15">
                  <c:v>92.263050000000007</c:v>
                </c:pt>
                <c:pt idx="16">
                  <c:v>91.797074999999992</c:v>
                </c:pt>
                <c:pt idx="17">
                  <c:v>91.331100000000006</c:v>
                </c:pt>
                <c:pt idx="18">
                  <c:v>90.865125000000006</c:v>
                </c:pt>
                <c:pt idx="19">
                  <c:v>90.399149999999992</c:v>
                </c:pt>
                <c:pt idx="20">
                  <c:v>89.933175000000006</c:v>
                </c:pt>
                <c:pt idx="21">
                  <c:v>89.467200000000005</c:v>
                </c:pt>
                <c:pt idx="22">
                  <c:v>88.535250000000005</c:v>
                </c:pt>
                <c:pt idx="23">
                  <c:v>87.603300000000004</c:v>
                </c:pt>
                <c:pt idx="24">
                  <c:v>86.671350000000004</c:v>
                </c:pt>
                <c:pt idx="25">
                  <c:v>85.739399999999989</c:v>
                </c:pt>
                <c:pt idx="26">
                  <c:v>84.807450000000003</c:v>
                </c:pt>
                <c:pt idx="27">
                  <c:v>83.875500000000002</c:v>
                </c:pt>
                <c:pt idx="28">
                  <c:v>74.555999999999997</c:v>
                </c:pt>
                <c:pt idx="29">
                  <c:v>65.236500000000007</c:v>
                </c:pt>
                <c:pt idx="30">
                  <c:v>55.917000000000002</c:v>
                </c:pt>
                <c:pt idx="31">
                  <c:v>46.597500000000004</c:v>
                </c:pt>
                <c:pt idx="32">
                  <c:v>37.277999999999999</c:v>
                </c:pt>
                <c:pt idx="33">
                  <c:v>27.958500000000001</c:v>
                </c:pt>
                <c:pt idx="34">
                  <c:v>18.638999999999999</c:v>
                </c:pt>
                <c:pt idx="35">
                  <c:v>9.3194999999999997</c:v>
                </c:pt>
                <c:pt idx="36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5885-442D-8C1A-C64C3A8C01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22710559"/>
        <c:axId val="1122708063"/>
      </c:scatterChart>
      <c:valAx>
        <c:axId val="112271055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2708063"/>
        <c:crosses val="autoZero"/>
        <c:crossBetween val="midCat"/>
      </c:valAx>
      <c:valAx>
        <c:axId val="1122708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2710559"/>
        <c:crossesAt val="-9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Fr vs z</a:t>
            </a:r>
            <a:r>
              <a:rPr lang="en-GB" baseline="0"/>
              <a:t> position</a:t>
            </a:r>
            <a:endParaRPr lang="en-GB"/>
          </a:p>
        </c:rich>
      </c:tx>
      <c:layout>
        <c:manualLayout>
          <c:xMode val="edge"/>
          <c:yMode val="edge"/>
          <c:x val="0.37061111111111111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ES_pump!$Q$36:$Q$58</c:f>
              <c:numCache>
                <c:formatCode>General</c:formatCode>
                <c:ptCount val="23"/>
                <c:pt idx="0">
                  <c:v>-8.5</c:v>
                </c:pt>
                <c:pt idx="1">
                  <c:v>-8</c:v>
                </c:pt>
                <c:pt idx="2">
                  <c:v>-7.5</c:v>
                </c:pt>
                <c:pt idx="3">
                  <c:v>-7</c:v>
                </c:pt>
                <c:pt idx="4">
                  <c:v>-6.5</c:v>
                </c:pt>
                <c:pt idx="5">
                  <c:v>-6</c:v>
                </c:pt>
                <c:pt idx="6">
                  <c:v>-5.5</c:v>
                </c:pt>
                <c:pt idx="7">
                  <c:v>-5.4</c:v>
                </c:pt>
                <c:pt idx="8">
                  <c:v>-5.3</c:v>
                </c:pt>
                <c:pt idx="9">
                  <c:v>-5.2</c:v>
                </c:pt>
                <c:pt idx="10">
                  <c:v>-5.0999999999999996</c:v>
                </c:pt>
                <c:pt idx="11">
                  <c:v>-5.05</c:v>
                </c:pt>
                <c:pt idx="12">
                  <c:v>-5.01</c:v>
                </c:pt>
                <c:pt idx="13">
                  <c:v>-4.99</c:v>
                </c:pt>
                <c:pt idx="14">
                  <c:v>-4.9749999999999996</c:v>
                </c:pt>
                <c:pt idx="15">
                  <c:v>-4.95</c:v>
                </c:pt>
                <c:pt idx="16">
                  <c:v>-4.9249999999999998</c:v>
                </c:pt>
                <c:pt idx="17">
                  <c:v>-4.9000000000000004</c:v>
                </c:pt>
                <c:pt idx="18">
                  <c:v>-4.875</c:v>
                </c:pt>
                <c:pt idx="19">
                  <c:v>-4.8499999999999996</c:v>
                </c:pt>
                <c:pt idx="20">
                  <c:v>-4.8250000000000002</c:v>
                </c:pt>
                <c:pt idx="21">
                  <c:v>-4.8</c:v>
                </c:pt>
                <c:pt idx="22">
                  <c:v>-4.75</c:v>
                </c:pt>
              </c:numCache>
            </c:numRef>
          </c:xVal>
          <c:yVal>
            <c:numRef>
              <c:f>ES_pump!$AF$36:$AF$59</c:f>
              <c:numCache>
                <c:formatCode>0.00</c:formatCode>
                <c:ptCount val="24"/>
                <c:pt idx="0">
                  <c:v>2.5557807835574358</c:v>
                </c:pt>
                <c:pt idx="1">
                  <c:v>2.6280819273840561</c:v>
                </c:pt>
                <c:pt idx="2">
                  <c:v>2.7149334703978178</c:v>
                </c:pt>
                <c:pt idx="3">
                  <c:v>2.8357428421253936</c:v>
                </c:pt>
                <c:pt idx="4">
                  <c:v>2.9601104233599145</c:v>
                </c:pt>
                <c:pt idx="5">
                  <c:v>3.0270126158402562</c:v>
                </c:pt>
                <c:pt idx="6">
                  <c:v>2.9936113648193676</c:v>
                </c:pt>
                <c:pt idx="7">
                  <c:v>2.9567607998444947</c:v>
                </c:pt>
                <c:pt idx="8">
                  <c:v>2.8989856619125396</c:v>
                </c:pt>
                <c:pt idx="9">
                  <c:v>2.8032600346630026</c:v>
                </c:pt>
                <c:pt idx="10">
                  <c:v>2.6288983800820129</c:v>
                </c:pt>
                <c:pt idx="11">
                  <c:v>2.4656804606439029</c:v>
                </c:pt>
                <c:pt idx="12">
                  <c:v>2.2055711239338227</c:v>
                </c:pt>
                <c:pt idx="13">
                  <c:v>1.8548813256386176</c:v>
                </c:pt>
                <c:pt idx="14">
                  <c:v>1.5673427342405346</c:v>
                </c:pt>
                <c:pt idx="15">
                  <c:v>1.1773143413024938</c:v>
                </c:pt>
                <c:pt idx="16">
                  <c:v>0.81810293186654248</c:v>
                </c:pt>
                <c:pt idx="17">
                  <c:v>0.44303545163799785</c:v>
                </c:pt>
                <c:pt idx="20" formatCode="General">
                  <c:v>9</c:v>
                </c:pt>
                <c:pt idx="21" formatCode="General">
                  <c:v>0</c:v>
                </c:pt>
                <c:pt idx="22" formatCode="General">
                  <c:v>65.639683558114925</c:v>
                </c:pt>
                <c:pt idx="23" formatCode="General">
                  <c:v>5.5681670387422513E-2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518-47CE-8B7B-0AB279A331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13983583"/>
        <c:axId val="1213979007"/>
      </c:scatterChart>
      <c:valAx>
        <c:axId val="121398358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13979007"/>
        <c:crosses val="autoZero"/>
        <c:crossBetween val="midCat"/>
      </c:valAx>
      <c:valAx>
        <c:axId val="12139790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1398358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166687</xdr:colOff>
      <xdr:row>60</xdr:row>
      <xdr:rowOff>100012</xdr:rowOff>
    </xdr:from>
    <xdr:to>
      <xdr:col>17</xdr:col>
      <xdr:colOff>442912</xdr:colOff>
      <xdr:row>74</xdr:row>
      <xdr:rowOff>176212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C800BCD9-4506-4D63-98F7-C3BDCE45E87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25</xdr:col>
      <xdr:colOff>109537</xdr:colOff>
      <xdr:row>36</xdr:row>
      <xdr:rowOff>138112</xdr:rowOff>
    </xdr:from>
    <xdr:to>
      <xdr:col>31</xdr:col>
      <xdr:colOff>509587</xdr:colOff>
      <xdr:row>51</xdr:row>
      <xdr:rowOff>23812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E158EBD2-ECB0-4F72-8E0D-2A79AF9E7D3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34</xdr:col>
      <xdr:colOff>254168</xdr:colOff>
      <xdr:row>9</xdr:row>
      <xdr:rowOff>76200</xdr:rowOff>
    </xdr:from>
    <xdr:to>
      <xdr:col>44</xdr:col>
      <xdr:colOff>164521</xdr:colOff>
      <xdr:row>28</xdr:row>
      <xdr:rowOff>164727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F015719E-8910-4A70-8C6F-544EAF18A85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291352</xdr:colOff>
      <xdr:row>18</xdr:row>
      <xdr:rowOff>169209</xdr:rowOff>
    </xdr:from>
    <xdr:to>
      <xdr:col>13</xdr:col>
      <xdr:colOff>582706</xdr:colOff>
      <xdr:row>33</xdr:row>
      <xdr:rowOff>54909</xdr:rowOff>
    </xdr:to>
    <xdr:graphicFrame macro="">
      <xdr:nvGraphicFramePr>
        <xdr:cNvPr id="21" name="Chart 20">
          <a:extLst>
            <a:ext uri="{FF2B5EF4-FFF2-40B4-BE49-F238E27FC236}">
              <a16:creationId xmlns:a16="http://schemas.microsoft.com/office/drawing/2014/main" id="{1B70B751-6175-425F-BB31-D3E1C087131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20</xdr:col>
      <xdr:colOff>296712</xdr:colOff>
      <xdr:row>17</xdr:row>
      <xdr:rowOff>98563</xdr:rowOff>
    </xdr:from>
    <xdr:to>
      <xdr:col>27</xdr:col>
      <xdr:colOff>464800</xdr:colOff>
      <xdr:row>31</xdr:row>
      <xdr:rowOff>174763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4DB304ED-822E-48D6-A37B-2329352D04D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DAB6F-88F8-4ED6-ADD6-0ACC6FA707A7}">
  <dimension ref="A1:AQ112"/>
  <sheetViews>
    <sheetView tabSelected="1" topLeftCell="Q1" workbookViewId="0">
      <selection activeCell="AH24" sqref="AH24"/>
    </sheetView>
  </sheetViews>
  <sheetFormatPr defaultRowHeight="15" x14ac:dyDescent="0.25"/>
  <cols>
    <col min="1" max="5" width="9.140625" style="21"/>
    <col min="6" max="6" width="10.42578125" style="21" customWidth="1"/>
    <col min="7" max="13" width="9.140625" style="21"/>
    <col min="14" max="14" width="11.5703125" style="21" bestFit="1" customWidth="1"/>
    <col min="15" max="15" width="9.140625" style="21"/>
    <col min="16" max="16" width="9.5703125" style="21" bestFit="1" customWidth="1"/>
    <col min="17" max="17" width="9.140625" style="21"/>
    <col min="18" max="18" width="10" style="21" bestFit="1" customWidth="1"/>
    <col min="19" max="20" width="9.140625" style="21"/>
    <col min="21" max="21" width="11.5703125" style="21" bestFit="1" customWidth="1"/>
    <col min="22" max="22" width="10" style="21" customWidth="1"/>
    <col min="23" max="27" width="9.140625" style="21"/>
    <col min="28" max="29" width="12" style="21" bestFit="1" customWidth="1"/>
    <col min="30" max="30" width="9.140625" style="21"/>
    <col min="31" max="31" width="12" style="21" bestFit="1" customWidth="1"/>
    <col min="32" max="32" width="9.140625" style="21"/>
    <col min="33" max="33" width="9.5703125" style="21" bestFit="1" customWidth="1"/>
    <col min="34" max="34" width="12" style="21" bestFit="1" customWidth="1"/>
    <col min="35" max="16384" width="9.140625" style="21"/>
  </cols>
  <sheetData>
    <row r="1" spans="1:41" x14ac:dyDescent="0.25">
      <c r="A1" s="21" t="s">
        <v>73</v>
      </c>
    </row>
    <row r="3" spans="1:41" x14ac:dyDescent="0.25">
      <c r="A3" s="21" t="s">
        <v>67</v>
      </c>
      <c r="C3" s="21">
        <v>-4.5</v>
      </c>
      <c r="E3" s="21" t="s">
        <v>69</v>
      </c>
      <c r="F3" s="21" t="s">
        <v>68</v>
      </c>
      <c r="J3" s="21">
        <v>-6</v>
      </c>
      <c r="Q3" s="21">
        <v>-7.5</v>
      </c>
      <c r="AA3" s="21" t="s">
        <v>77</v>
      </c>
      <c r="AC3" s="21" t="s">
        <v>92</v>
      </c>
    </row>
    <row r="4" spans="1:41" x14ac:dyDescent="0.25">
      <c r="A4" s="21" t="s">
        <v>70</v>
      </c>
      <c r="B4" s="21" t="s">
        <v>42</v>
      </c>
      <c r="C4" s="21" t="s">
        <v>19</v>
      </c>
      <c r="D4" s="21" t="s">
        <v>22</v>
      </c>
      <c r="E4" s="21" t="s">
        <v>23</v>
      </c>
      <c r="F4" s="21" t="s">
        <v>39</v>
      </c>
      <c r="G4" s="21" t="s">
        <v>40</v>
      </c>
      <c r="H4" s="21" t="s">
        <v>41</v>
      </c>
      <c r="J4" s="21" t="s">
        <v>19</v>
      </c>
      <c r="K4" s="21" t="s">
        <v>22</v>
      </c>
      <c r="L4" s="21" t="s">
        <v>23</v>
      </c>
      <c r="M4" s="21" t="s">
        <v>39</v>
      </c>
      <c r="N4" s="21" t="s">
        <v>40</v>
      </c>
      <c r="O4" s="21" t="s">
        <v>41</v>
      </c>
      <c r="Q4" s="21" t="s">
        <v>19</v>
      </c>
      <c r="R4" s="21" t="s">
        <v>22</v>
      </c>
      <c r="S4" s="21" t="s">
        <v>23</v>
      </c>
      <c r="T4" s="21" t="s">
        <v>39</v>
      </c>
      <c r="U4" s="21" t="s">
        <v>40</v>
      </c>
      <c r="V4" s="21" t="s">
        <v>41</v>
      </c>
      <c r="AA4" s="21" t="s">
        <v>72</v>
      </c>
      <c r="AB4" s="21" t="s">
        <v>74</v>
      </c>
      <c r="AC4" s="21" t="s">
        <v>87</v>
      </c>
      <c r="AD4" s="21" t="s">
        <v>1</v>
      </c>
      <c r="AK4" s="21" t="s">
        <v>88</v>
      </c>
    </row>
    <row r="5" spans="1:41" x14ac:dyDescent="0.25">
      <c r="A5" s="20">
        <f>2.7-B5</f>
        <v>2.93</v>
      </c>
      <c r="B5" s="20">
        <v>-0.23</v>
      </c>
      <c r="C5" s="22">
        <v>5580500</v>
      </c>
      <c r="D5" s="22">
        <v>4014700</v>
      </c>
      <c r="E5" s="22">
        <v>3871000</v>
      </c>
      <c r="F5" s="20">
        <v>377.23</v>
      </c>
      <c r="G5" s="20">
        <v>267.99</v>
      </c>
      <c r="H5" s="20">
        <v>124.65</v>
      </c>
      <c r="J5" s="22">
        <v>6913300</v>
      </c>
      <c r="K5" s="22">
        <v>4973500</v>
      </c>
      <c r="L5" s="22">
        <v>4795600</v>
      </c>
      <c r="M5" s="20">
        <v>580.57000000000005</v>
      </c>
      <c r="N5" s="20">
        <v>412.46</v>
      </c>
      <c r="O5" s="20">
        <v>191.84</v>
      </c>
      <c r="Q5" s="22">
        <v>8246300</v>
      </c>
      <c r="R5" s="22">
        <v>5932400</v>
      </c>
      <c r="S5" s="22">
        <v>5720300</v>
      </c>
      <c r="T5" s="20">
        <v>827.61</v>
      </c>
      <c r="U5" s="20">
        <v>587.99</v>
      </c>
      <c r="V5" s="20">
        <v>273.48</v>
      </c>
      <c r="AA5" s="21">
        <v>42.25</v>
      </c>
      <c r="AB5" s="21">
        <v>55.49</v>
      </c>
      <c r="AC5" s="28">
        <v>5.9280876317650073E-4</v>
      </c>
      <c r="AD5" s="28">
        <f>0.000124/2</f>
        <v>6.2000000000000003E-5</v>
      </c>
      <c r="AE5" s="25"/>
      <c r="AF5" s="25">
        <f>AC5*1000</f>
        <v>0.59280876317650077</v>
      </c>
      <c r="AG5" s="25">
        <f>AF5*(SQRT((0.16^2)+(0.03^2)))</f>
        <v>9.6502275035460147E-2</v>
      </c>
      <c r="AH5" s="23"/>
      <c r="AI5" s="23"/>
      <c r="AJ5" s="39">
        <f>AB5*0.000000001/(AD26*1900)</f>
        <v>1.9643576165390461E-5</v>
      </c>
      <c r="AK5" s="23">
        <f>AB5/AD13</f>
        <v>4.455296555296543E-2</v>
      </c>
      <c r="AL5" s="39"/>
      <c r="AM5" s="30"/>
      <c r="AN5" s="23">
        <f>AC5/AI13</f>
        <v>0.64506375785650338</v>
      </c>
      <c r="AO5" s="39"/>
    </row>
    <row r="6" spans="1:41" x14ac:dyDescent="0.25">
      <c r="A6" s="20">
        <f t="shared" ref="A6:A34" si="0">2.7-B6</f>
        <v>2.9200000000000004</v>
      </c>
      <c r="B6" s="20">
        <v>-0.22</v>
      </c>
      <c r="C6" s="22">
        <v>5316900</v>
      </c>
      <c r="D6" s="22">
        <v>3828700</v>
      </c>
      <c r="E6" s="22">
        <v>3683300</v>
      </c>
      <c r="F6" s="20">
        <v>324.62</v>
      </c>
      <c r="G6" s="20">
        <v>230.5</v>
      </c>
      <c r="H6" s="20">
        <v>107.21</v>
      </c>
      <c r="J6" s="22">
        <v>6585400</v>
      </c>
      <c r="K6" s="22">
        <v>4742100</v>
      </c>
      <c r="L6" s="22">
        <v>4562100</v>
      </c>
      <c r="M6" s="20">
        <v>499.33</v>
      </c>
      <c r="N6" s="20">
        <v>354.57</v>
      </c>
      <c r="O6" s="20">
        <v>164.92</v>
      </c>
      <c r="Q6" s="22">
        <v>7854100</v>
      </c>
      <c r="R6" s="22">
        <v>5655600</v>
      </c>
      <c r="S6" s="22">
        <v>5441000</v>
      </c>
      <c r="T6" s="20">
        <v>711.53</v>
      </c>
      <c r="U6" s="20">
        <v>505.27</v>
      </c>
      <c r="V6" s="20">
        <v>235.01</v>
      </c>
      <c r="AA6" s="21">
        <v>64</v>
      </c>
      <c r="AB6" s="21">
        <v>149.58000000000001</v>
      </c>
      <c r="AC6" s="28">
        <v>6.4935378959505121E-4</v>
      </c>
      <c r="AD6" s="28">
        <f>0.000124/2</f>
        <v>6.2000000000000003E-5</v>
      </c>
      <c r="AE6" s="25"/>
      <c r="AF6" s="25">
        <f>AC6*1000</f>
        <v>0.64935378959505119</v>
      </c>
      <c r="AG6" s="25">
        <f>AF6*(SQRT((0.13^2)+(0.03^2)))</f>
        <v>8.6634601195445471E-2</v>
      </c>
      <c r="AH6" s="23"/>
      <c r="AI6" s="23"/>
      <c r="AJ6" s="39">
        <f>AB6*0.000000001/(AD27*1900)</f>
        <v>3.1557708755307024E-5</v>
      </c>
      <c r="AK6" s="23">
        <f>AB6/AD14</f>
        <v>0.11795929788857806</v>
      </c>
      <c r="AL6" s="39"/>
      <c r="AM6" s="30"/>
      <c r="AN6" s="23">
        <f>AC6/AI14</f>
        <v>0.27369059724413636</v>
      </c>
      <c r="AO6" s="23"/>
    </row>
    <row r="7" spans="1:41" x14ac:dyDescent="0.25">
      <c r="A7" s="20">
        <f t="shared" si="0"/>
        <v>2.91</v>
      </c>
      <c r="B7" s="20">
        <v>-0.21</v>
      </c>
      <c r="C7" s="22">
        <v>5074000</v>
      </c>
      <c r="D7" s="22">
        <v>3656700</v>
      </c>
      <c r="E7" s="22">
        <v>3511400</v>
      </c>
      <c r="F7" s="20">
        <v>283.91000000000003</v>
      </c>
      <c r="G7" s="20">
        <v>201.46</v>
      </c>
      <c r="H7" s="20">
        <v>93.7</v>
      </c>
      <c r="J7" s="22">
        <v>6283200</v>
      </c>
      <c r="K7" s="22">
        <v>4528000</v>
      </c>
      <c r="L7" s="22">
        <v>4348200</v>
      </c>
      <c r="M7" s="20">
        <v>436.47</v>
      </c>
      <c r="N7" s="20">
        <v>309.72000000000003</v>
      </c>
      <c r="O7" s="20">
        <v>144.05000000000001</v>
      </c>
      <c r="Q7" s="22">
        <v>7492500</v>
      </c>
      <c r="R7" s="22">
        <v>5399400</v>
      </c>
      <c r="S7" s="22">
        <v>5185100</v>
      </c>
      <c r="T7" s="20">
        <v>621.72</v>
      </c>
      <c r="U7" s="20">
        <v>441.19</v>
      </c>
      <c r="V7" s="20">
        <v>205.2</v>
      </c>
      <c r="AA7" s="21">
        <v>90.25</v>
      </c>
      <c r="AB7" s="21">
        <v>333.35</v>
      </c>
      <c r="AC7" s="28">
        <v>6.9707475801373067E-4</v>
      </c>
      <c r="AD7" s="28">
        <f>0.000124/2</f>
        <v>6.2000000000000003E-5</v>
      </c>
      <c r="AE7" s="25"/>
      <c r="AF7" s="25">
        <f>AC7*1000</f>
        <v>0.69707475801373064</v>
      </c>
      <c r="AG7" s="25">
        <f>AF7*(SQRT((0.12^2)+(0.03^2)))</f>
        <v>8.6223385687274459E-2</v>
      </c>
      <c r="AH7" s="23"/>
      <c r="AI7" s="23"/>
      <c r="AJ7" s="39">
        <f>AB7*0.000000001/(AD28*1900)</f>
        <v>4.9189456291916434E-5</v>
      </c>
      <c r="AK7" s="23">
        <f>AB7/AD15</f>
        <v>0.12563951367781168</v>
      </c>
      <c r="AL7" s="39"/>
      <c r="AM7" s="30"/>
      <c r="AN7" s="23">
        <f>AC7/AI15</f>
        <v>0.21635135082055787</v>
      </c>
      <c r="AO7" s="23"/>
    </row>
    <row r="8" spans="1:41" x14ac:dyDescent="0.25">
      <c r="A8" s="20">
        <f t="shared" si="0"/>
        <v>2.9000000000000004</v>
      </c>
      <c r="B8" s="20">
        <v>-0.2</v>
      </c>
      <c r="C8" s="22">
        <v>4850800</v>
      </c>
      <c r="D8" s="22">
        <v>3497900</v>
      </c>
      <c r="E8" s="22">
        <v>3353800</v>
      </c>
      <c r="F8" s="20">
        <v>251.43</v>
      </c>
      <c r="G8" s="20">
        <v>178.31</v>
      </c>
      <c r="H8" s="20">
        <v>82.936000000000007</v>
      </c>
      <c r="J8" s="22">
        <v>6005300</v>
      </c>
      <c r="K8" s="22">
        <v>4330400</v>
      </c>
      <c r="L8" s="22">
        <v>4152100</v>
      </c>
      <c r="M8" s="20">
        <v>386.31</v>
      </c>
      <c r="N8" s="20">
        <v>273.98</v>
      </c>
      <c r="O8" s="20">
        <v>127.43</v>
      </c>
      <c r="Q8" s="22">
        <v>7160100</v>
      </c>
      <c r="R8" s="22">
        <v>5163000</v>
      </c>
      <c r="S8" s="22">
        <v>4950500</v>
      </c>
      <c r="T8" s="20">
        <v>550.07000000000005</v>
      </c>
      <c r="U8" s="20">
        <v>390.14</v>
      </c>
      <c r="V8" s="20">
        <v>181.46</v>
      </c>
    </row>
    <row r="9" spans="1:41" x14ac:dyDescent="0.25">
      <c r="A9" s="20">
        <f t="shared" si="0"/>
        <v>2.89</v>
      </c>
      <c r="B9" s="20">
        <v>-0.19</v>
      </c>
      <c r="C9" s="22">
        <v>4644000</v>
      </c>
      <c r="D9" s="22">
        <v>3350400</v>
      </c>
      <c r="E9" s="22">
        <v>3208700</v>
      </c>
      <c r="F9" s="20">
        <v>224.59</v>
      </c>
      <c r="G9" s="20">
        <v>159.16999999999999</v>
      </c>
      <c r="H9" s="20">
        <v>74.033000000000001</v>
      </c>
      <c r="J9" s="22">
        <v>5748000</v>
      </c>
      <c r="K9" s="22">
        <v>4146800</v>
      </c>
      <c r="L9" s="22">
        <v>3971600</v>
      </c>
      <c r="M9" s="20">
        <v>344.88</v>
      </c>
      <c r="N9" s="20">
        <v>244.43</v>
      </c>
      <c r="O9" s="20">
        <v>113.69</v>
      </c>
      <c r="Q9" s="22">
        <v>6852100</v>
      </c>
      <c r="R9" s="22">
        <v>4943300</v>
      </c>
      <c r="S9" s="22">
        <v>4734600</v>
      </c>
      <c r="T9" s="20">
        <v>490.9</v>
      </c>
      <c r="U9" s="20">
        <v>347.93</v>
      </c>
      <c r="V9" s="20">
        <v>161.83000000000001</v>
      </c>
    </row>
    <row r="10" spans="1:41" x14ac:dyDescent="0.25">
      <c r="A10" s="20">
        <f t="shared" si="0"/>
        <v>2.8800000000000003</v>
      </c>
      <c r="B10" s="20">
        <v>-0.18</v>
      </c>
      <c r="C10" s="22">
        <v>4453600</v>
      </c>
      <c r="D10" s="22">
        <v>3214700</v>
      </c>
      <c r="E10" s="22">
        <v>3074900</v>
      </c>
      <c r="F10" s="20">
        <v>202.31</v>
      </c>
      <c r="G10" s="20">
        <v>143.33000000000001</v>
      </c>
      <c r="H10" s="20">
        <v>66.667000000000002</v>
      </c>
      <c r="J10" s="22">
        <v>5511100</v>
      </c>
      <c r="K10" s="22">
        <v>3977800</v>
      </c>
      <c r="L10" s="22">
        <v>3805100</v>
      </c>
      <c r="M10" s="20">
        <v>310.49</v>
      </c>
      <c r="N10" s="20">
        <v>219.99</v>
      </c>
      <c r="O10" s="20">
        <v>102.32</v>
      </c>
      <c r="Q10" s="22">
        <v>6568700</v>
      </c>
      <c r="R10" s="22">
        <v>4741100</v>
      </c>
      <c r="S10" s="22">
        <v>4535400</v>
      </c>
      <c r="T10" s="20">
        <v>441.77</v>
      </c>
      <c r="U10" s="20">
        <v>313.02</v>
      </c>
      <c r="V10" s="20">
        <v>145.59</v>
      </c>
    </row>
    <row r="11" spans="1:41" x14ac:dyDescent="0.25">
      <c r="A11" s="20">
        <f t="shared" si="0"/>
        <v>2.87</v>
      </c>
      <c r="B11" s="20">
        <v>-0.17</v>
      </c>
      <c r="C11" s="22">
        <v>4277100</v>
      </c>
      <c r="D11" s="22">
        <v>3088800</v>
      </c>
      <c r="E11" s="22">
        <v>2951000</v>
      </c>
      <c r="F11" s="20">
        <v>183.3</v>
      </c>
      <c r="G11" s="20">
        <v>129.82</v>
      </c>
      <c r="H11" s="20">
        <v>60.383000000000003</v>
      </c>
      <c r="J11" s="22">
        <v>5291200</v>
      </c>
      <c r="K11" s="22">
        <v>3821100</v>
      </c>
      <c r="L11" s="22">
        <v>3650800</v>
      </c>
      <c r="M11" s="20">
        <v>281.14</v>
      </c>
      <c r="N11" s="20">
        <v>199.13</v>
      </c>
      <c r="O11" s="20">
        <v>92.62</v>
      </c>
      <c r="Q11" s="22">
        <v>6305600</v>
      </c>
      <c r="R11" s="22">
        <v>4553500</v>
      </c>
      <c r="S11" s="22">
        <v>4350800</v>
      </c>
      <c r="T11" s="20">
        <v>399.86</v>
      </c>
      <c r="U11" s="20">
        <v>283.23</v>
      </c>
      <c r="V11" s="20">
        <v>131.72999999999999</v>
      </c>
      <c r="AA11" s="21" t="s">
        <v>78</v>
      </c>
      <c r="AK11" s="21" t="s">
        <v>91</v>
      </c>
    </row>
    <row r="12" spans="1:41" x14ac:dyDescent="0.25">
      <c r="A12" s="20">
        <f t="shared" si="0"/>
        <v>2.8600000000000003</v>
      </c>
      <c r="B12" s="20">
        <v>-0.16</v>
      </c>
      <c r="C12" s="22">
        <v>4112400</v>
      </c>
      <c r="D12" s="22">
        <v>2971300</v>
      </c>
      <c r="E12" s="22">
        <v>2835600</v>
      </c>
      <c r="F12" s="20">
        <v>166.93</v>
      </c>
      <c r="G12" s="20">
        <v>118.21</v>
      </c>
      <c r="H12" s="20">
        <v>54.981999999999999</v>
      </c>
      <c r="J12" s="22">
        <v>5086300</v>
      </c>
      <c r="K12" s="22">
        <v>3674700</v>
      </c>
      <c r="L12" s="22">
        <v>3507200</v>
      </c>
      <c r="M12" s="20">
        <v>255.89</v>
      </c>
      <c r="N12" s="20">
        <v>181.22</v>
      </c>
      <c r="O12" s="20">
        <v>84.287000000000006</v>
      </c>
      <c r="Q12" s="22">
        <v>6060300</v>
      </c>
      <c r="R12" s="22">
        <v>4378400</v>
      </c>
      <c r="S12" s="22">
        <v>4178900</v>
      </c>
      <c r="T12" s="20">
        <v>363.8</v>
      </c>
      <c r="U12" s="20">
        <v>257.64</v>
      </c>
      <c r="V12" s="20">
        <v>119.83</v>
      </c>
      <c r="AA12" s="21" t="s">
        <v>72</v>
      </c>
      <c r="AB12" s="21" t="s">
        <v>80</v>
      </c>
      <c r="AC12" s="21" t="s">
        <v>79</v>
      </c>
      <c r="AD12" s="21" t="s">
        <v>81</v>
      </c>
      <c r="AE12" s="21" t="s">
        <v>82</v>
      </c>
      <c r="AF12" s="21" t="s">
        <v>29</v>
      </c>
      <c r="AG12" s="21" t="s">
        <v>86</v>
      </c>
      <c r="AH12" s="21" t="s">
        <v>83</v>
      </c>
      <c r="AI12" s="21" t="s">
        <v>84</v>
      </c>
      <c r="AK12" s="21" t="s">
        <v>89</v>
      </c>
    </row>
    <row r="13" spans="1:41" x14ac:dyDescent="0.25">
      <c r="A13" s="20">
        <f t="shared" si="0"/>
        <v>2.85</v>
      </c>
      <c r="B13" s="20">
        <v>-0.15</v>
      </c>
      <c r="C13" s="22">
        <v>3958500</v>
      </c>
      <c r="D13" s="22">
        <v>2860800</v>
      </c>
      <c r="E13" s="22">
        <v>2728400</v>
      </c>
      <c r="F13" s="20">
        <v>152.58000000000001</v>
      </c>
      <c r="G13" s="20">
        <v>107.99</v>
      </c>
      <c r="H13" s="20">
        <v>50.228000000000002</v>
      </c>
      <c r="J13" s="22">
        <v>4894600</v>
      </c>
      <c r="K13" s="22">
        <v>3537100</v>
      </c>
      <c r="L13" s="22">
        <v>3373800</v>
      </c>
      <c r="M13" s="20">
        <v>233.74</v>
      </c>
      <c r="N13" s="20">
        <v>165.44</v>
      </c>
      <c r="O13" s="20">
        <v>76.948999999999998</v>
      </c>
      <c r="Q13" s="22">
        <v>5830800</v>
      </c>
      <c r="R13" s="22">
        <v>4213600</v>
      </c>
      <c r="S13" s="22">
        <v>4019300</v>
      </c>
      <c r="T13" s="20">
        <v>332.17</v>
      </c>
      <c r="U13" s="20">
        <v>235.12</v>
      </c>
      <c r="V13" s="20">
        <v>109.36</v>
      </c>
      <c r="AA13" s="21">
        <v>42.25</v>
      </c>
      <c r="AB13" s="21">
        <v>77.22</v>
      </c>
      <c r="AC13" s="21">
        <f>3-2.938</f>
        <v>6.1999999999999833E-2</v>
      </c>
      <c r="AD13" s="21">
        <f>AB13/AC13</f>
        <v>1245.4838709677454</v>
      </c>
      <c r="AE13" s="25">
        <f>(8*0.000276*0.0027*AD13*0.000000001)/(PI()*(0.00035)^4)</f>
        <v>157.49939537374226</v>
      </c>
      <c r="AF13" s="21">
        <f>9.81*1900*0.0027</f>
        <v>50.325300000000006</v>
      </c>
      <c r="AG13" s="25">
        <f>AE13+AF13</f>
        <v>207.82469537374226</v>
      </c>
      <c r="AH13" s="28">
        <f>((3*AB13*0.000000001/(2*PI()*1900))^0.3333)/AC13</f>
        <v>4.3378171436575103E-3</v>
      </c>
      <c r="AI13" s="28">
        <f>0.0027/2.938</f>
        <v>9.1899251191286592E-4</v>
      </c>
      <c r="AJ13" s="23"/>
      <c r="AK13" s="23">
        <f>1-(AF13/AG13)</f>
        <v>0.75784735346539389</v>
      </c>
      <c r="AL13" s="18"/>
      <c r="AM13" s="19">
        <f>AI13*1000000</f>
        <v>918.99251191286589</v>
      </c>
      <c r="AN13" s="23"/>
    </row>
    <row r="14" spans="1:41" x14ac:dyDescent="0.25">
      <c r="A14" s="20">
        <f t="shared" si="0"/>
        <v>2.7750000000000004</v>
      </c>
      <c r="B14" s="20">
        <v>-7.4999999999999997E-2</v>
      </c>
      <c r="C14" s="22">
        <v>3076800</v>
      </c>
      <c r="D14" s="22">
        <v>2227600</v>
      </c>
      <c r="E14" s="22">
        <v>2115300</v>
      </c>
      <c r="F14" s="20">
        <v>86.363</v>
      </c>
      <c r="G14" s="20">
        <v>60.988</v>
      </c>
      <c r="H14" s="20">
        <v>28.366</v>
      </c>
      <c r="J14" s="22">
        <v>3796000</v>
      </c>
      <c r="K14" s="22">
        <v>2748000</v>
      </c>
      <c r="L14" s="22">
        <v>2610000</v>
      </c>
      <c r="M14" s="20">
        <v>131.62</v>
      </c>
      <c r="N14" s="20">
        <v>92.956000000000003</v>
      </c>
      <c r="O14" s="20">
        <v>43.234999999999999</v>
      </c>
      <c r="Q14" s="22">
        <v>4515400</v>
      </c>
      <c r="R14" s="22">
        <v>3268600</v>
      </c>
      <c r="S14" s="22">
        <v>3104900</v>
      </c>
      <c r="T14" s="20">
        <v>186.4</v>
      </c>
      <c r="U14" s="20">
        <v>131.65</v>
      </c>
      <c r="V14" s="20">
        <v>61.232999999999997</v>
      </c>
      <c r="AA14" s="21">
        <v>64</v>
      </c>
      <c r="AB14" s="21">
        <v>78.62</v>
      </c>
      <c r="AC14" s="21">
        <f>1.2-1.138</f>
        <v>6.2000000000000055E-2</v>
      </c>
      <c r="AD14" s="21">
        <f>AB14/AC14</f>
        <v>1268.0645161290313</v>
      </c>
      <c r="AE14" s="25">
        <f>(8*0.000276*0.0027*AD14*0.000000001)/(PI()*(0.00035)^4)</f>
        <v>160.35486226733454</v>
      </c>
      <c r="AF14" s="21">
        <f>9.81*1900*0.0027</f>
        <v>50.325300000000006</v>
      </c>
      <c r="AG14" s="25">
        <f>AE14+AF14</f>
        <v>210.68016226733454</v>
      </c>
      <c r="AH14" s="28">
        <f>((3*AB14*0.000000001/(2*PI()*1900))^0.3333)/AC14</f>
        <v>4.3638725823156232E-3</v>
      </c>
      <c r="AI14" s="28">
        <f>0.0027/1.138</f>
        <v>2.372583479789104E-3</v>
      </c>
      <c r="AJ14" s="23"/>
      <c r="AK14" s="23">
        <f>1-(AF14/AG14)</f>
        <v>0.76112938466346136</v>
      </c>
      <c r="AL14" s="18"/>
      <c r="AM14" s="19">
        <f>AI14*1000000</f>
        <v>2372.5834797891039</v>
      </c>
      <c r="AN14" s="23"/>
    </row>
    <row r="15" spans="1:41" x14ac:dyDescent="0.25">
      <c r="A15" s="20">
        <f t="shared" si="0"/>
        <v>2.7</v>
      </c>
      <c r="B15" s="20">
        <v>0</v>
      </c>
      <c r="C15" s="22">
        <v>2515700</v>
      </c>
      <c r="D15" s="22">
        <v>1824600</v>
      </c>
      <c r="E15" s="22">
        <v>1725400</v>
      </c>
      <c r="F15" s="20">
        <v>55.872</v>
      </c>
      <c r="G15" s="20">
        <v>39.408999999999999</v>
      </c>
      <c r="H15" s="20">
        <v>18.329999999999998</v>
      </c>
      <c r="J15" s="22">
        <v>3095800</v>
      </c>
      <c r="K15" s="22">
        <v>2245000</v>
      </c>
      <c r="L15" s="22">
        <v>2123700</v>
      </c>
      <c r="M15" s="20">
        <v>84.643000000000001</v>
      </c>
      <c r="N15" s="20">
        <v>59.706000000000003</v>
      </c>
      <c r="O15" s="20">
        <v>27.77</v>
      </c>
      <c r="Q15" s="22">
        <v>3676100</v>
      </c>
      <c r="R15" s="22">
        <v>2665600</v>
      </c>
      <c r="S15" s="22">
        <v>2522100</v>
      </c>
      <c r="T15" s="20">
        <v>119.39</v>
      </c>
      <c r="U15" s="20">
        <v>84.218000000000004</v>
      </c>
      <c r="V15" s="20">
        <v>39.170999999999999</v>
      </c>
      <c r="AA15" s="21">
        <v>90.25</v>
      </c>
      <c r="AB15" s="21">
        <v>164.5</v>
      </c>
      <c r="AC15" s="21">
        <f>0.9-0.838</f>
        <v>6.2000000000000055E-2</v>
      </c>
      <c r="AD15" s="21">
        <f>AB15/AC15</f>
        <v>2653.2258064516104</v>
      </c>
      <c r="AE15" s="25">
        <f>(8*0.000276*0.0027*AD15*0.000000001)/(PI()*(0.00035)^4)</f>
        <v>335.51735999715754</v>
      </c>
      <c r="AF15" s="21">
        <f>9.81*1900*0.0027</f>
        <v>50.325300000000006</v>
      </c>
      <c r="AG15" s="25">
        <f>AE15+AF15</f>
        <v>385.84265999715757</v>
      </c>
      <c r="AH15" s="28">
        <f>((3*AB15*0.000000001/(2*PI()*1900))^0.3333)/AC15</f>
        <v>5.5813466217875321E-3</v>
      </c>
      <c r="AI15" s="28">
        <f>0.0027/0.838</f>
        <v>3.2219570405727926E-3</v>
      </c>
      <c r="AJ15" s="23"/>
      <c r="AK15" s="23">
        <f>1-(AF15/AG15)</f>
        <v>0.86957040986507106</v>
      </c>
      <c r="AL15" s="18"/>
      <c r="AM15" s="19">
        <f>AI15*1000000</f>
        <v>3221.9570405727927</v>
      </c>
      <c r="AN15" s="23"/>
    </row>
    <row r="16" spans="1:41" x14ac:dyDescent="0.25">
      <c r="A16" s="20">
        <f t="shared" si="0"/>
        <v>2.625</v>
      </c>
      <c r="B16" s="20">
        <v>7.4999999999999997E-2</v>
      </c>
      <c r="C16" s="22">
        <v>2145200</v>
      </c>
      <c r="D16" s="22">
        <v>1558600</v>
      </c>
      <c r="E16" s="22">
        <v>1468100</v>
      </c>
      <c r="F16" s="20">
        <v>40.042999999999999</v>
      </c>
      <c r="G16" s="20">
        <v>28.210999999999999</v>
      </c>
      <c r="H16" s="20">
        <v>13.121</v>
      </c>
      <c r="J16" s="22">
        <v>2632400</v>
      </c>
      <c r="K16" s="22">
        <v>1912300</v>
      </c>
      <c r="L16" s="22">
        <v>1802000</v>
      </c>
      <c r="M16" s="20">
        <v>60.277999999999999</v>
      </c>
      <c r="N16" s="20">
        <v>42.469000000000001</v>
      </c>
      <c r="O16" s="20">
        <v>19.753</v>
      </c>
      <c r="Q16" s="22">
        <v>3119900</v>
      </c>
      <c r="R16" s="22">
        <v>2266100</v>
      </c>
      <c r="S16" s="22">
        <v>2136100</v>
      </c>
      <c r="T16" s="20">
        <v>84.653000000000006</v>
      </c>
      <c r="U16" s="20">
        <v>59.645000000000003</v>
      </c>
      <c r="V16" s="20">
        <v>27.742000000000001</v>
      </c>
    </row>
    <row r="17" spans="1:43" x14ac:dyDescent="0.25">
      <c r="A17" s="20">
        <f t="shared" si="0"/>
        <v>2.5500000000000003</v>
      </c>
      <c r="B17" s="20">
        <v>0.15</v>
      </c>
      <c r="C17" s="22">
        <v>1896100</v>
      </c>
      <c r="D17" s="22">
        <v>1380100</v>
      </c>
      <c r="E17" s="22">
        <v>1294500</v>
      </c>
      <c r="F17" s="20">
        <v>31.181999999999999</v>
      </c>
      <c r="G17" s="20">
        <v>21.951000000000001</v>
      </c>
      <c r="H17" s="20">
        <v>10.210000000000001</v>
      </c>
      <c r="J17" s="22">
        <v>2320100</v>
      </c>
      <c r="K17" s="22">
        <v>1688300</v>
      </c>
      <c r="L17" s="22">
        <v>1584500</v>
      </c>
      <c r="M17" s="20">
        <v>46.651000000000003</v>
      </c>
      <c r="N17" s="20">
        <v>32.841999999999999</v>
      </c>
      <c r="O17" s="20">
        <v>15.275</v>
      </c>
      <c r="Q17" s="22">
        <v>2744300</v>
      </c>
      <c r="R17" s="22">
        <v>1996800</v>
      </c>
      <c r="S17" s="22">
        <v>1874600</v>
      </c>
      <c r="T17" s="20">
        <v>65.238</v>
      </c>
      <c r="U17" s="20">
        <v>45.927999999999997</v>
      </c>
      <c r="V17" s="20">
        <v>21.361999999999998</v>
      </c>
      <c r="AD17" s="37"/>
      <c r="AE17" s="25"/>
    </row>
    <row r="18" spans="1:43" x14ac:dyDescent="0.25">
      <c r="A18" s="20">
        <f t="shared" si="0"/>
        <v>2.4750000000000001</v>
      </c>
      <c r="B18" s="20">
        <v>0.22500000000000001</v>
      </c>
      <c r="C18" s="22">
        <v>1726100</v>
      </c>
      <c r="D18" s="22">
        <v>1258100</v>
      </c>
      <c r="E18" s="22">
        <v>1176200</v>
      </c>
      <c r="F18" s="20">
        <v>25.88</v>
      </c>
      <c r="G18" s="20">
        <v>18.204999999999998</v>
      </c>
      <c r="H18" s="20">
        <v>8.4674999999999994</v>
      </c>
      <c r="J18" s="22">
        <v>2106200</v>
      </c>
      <c r="K18" s="22">
        <v>1534800</v>
      </c>
      <c r="L18" s="22">
        <v>1435600</v>
      </c>
      <c r="M18" s="20">
        <v>38.502000000000002</v>
      </c>
      <c r="N18" s="20">
        <v>27.085000000000001</v>
      </c>
      <c r="O18" s="20">
        <v>12.598000000000001</v>
      </c>
      <c r="Q18" s="22">
        <v>2486500</v>
      </c>
      <c r="R18" s="22">
        <v>1811700</v>
      </c>
      <c r="S18" s="22">
        <v>1695100</v>
      </c>
      <c r="T18" s="20">
        <v>53.633000000000003</v>
      </c>
      <c r="U18" s="20">
        <v>37.729999999999997</v>
      </c>
      <c r="V18" s="20">
        <v>17.548999999999999</v>
      </c>
      <c r="AA18" s="21" t="s">
        <v>95</v>
      </c>
      <c r="AD18" s="37"/>
      <c r="AE18" s="25"/>
      <c r="AK18" s="23"/>
    </row>
    <row r="19" spans="1:43" x14ac:dyDescent="0.25">
      <c r="A19" s="20">
        <f t="shared" si="0"/>
        <v>2.4000000000000004</v>
      </c>
      <c r="B19" s="20">
        <v>0.3</v>
      </c>
      <c r="C19" s="22">
        <v>1609100</v>
      </c>
      <c r="D19" s="22">
        <v>1174100</v>
      </c>
      <c r="E19" s="22">
        <v>1094600</v>
      </c>
      <c r="F19" s="20">
        <v>22.542999999999999</v>
      </c>
      <c r="G19" s="20">
        <v>15.852</v>
      </c>
      <c r="H19" s="20">
        <v>7.3731999999999998</v>
      </c>
      <c r="J19" s="22">
        <v>1958400</v>
      </c>
      <c r="K19" s="22">
        <v>1428800</v>
      </c>
      <c r="L19" s="22">
        <v>1332600</v>
      </c>
      <c r="M19" s="20">
        <v>33.377000000000002</v>
      </c>
      <c r="N19" s="20">
        <v>23.471</v>
      </c>
      <c r="O19" s="20">
        <v>10.917</v>
      </c>
      <c r="Q19" s="22">
        <v>2308000</v>
      </c>
      <c r="R19" s="22">
        <v>1683700</v>
      </c>
      <c r="S19" s="22">
        <v>1570800</v>
      </c>
      <c r="T19" s="20">
        <v>46.338000000000001</v>
      </c>
      <c r="U19" s="20">
        <v>32.585999999999999</v>
      </c>
      <c r="V19" s="20">
        <v>15.156000000000001</v>
      </c>
      <c r="AA19" s="21" t="s">
        <v>72</v>
      </c>
      <c r="AB19" s="28" t="s">
        <v>94</v>
      </c>
      <c r="AD19" s="21" t="s">
        <v>84</v>
      </c>
      <c r="AF19" s="33" t="s">
        <v>71</v>
      </c>
      <c r="AG19" s="25"/>
      <c r="AH19" s="21" t="s">
        <v>76</v>
      </c>
      <c r="AI19" s="21" t="s">
        <v>29</v>
      </c>
      <c r="AJ19" s="21" t="s">
        <v>96</v>
      </c>
      <c r="AK19" s="23"/>
    </row>
    <row r="20" spans="1:43" x14ac:dyDescent="0.25">
      <c r="A20" s="20">
        <f t="shared" si="0"/>
        <v>2.3250000000000002</v>
      </c>
      <c r="B20" s="20">
        <v>0.375</v>
      </c>
      <c r="C20" s="22">
        <v>1527900</v>
      </c>
      <c r="D20" s="22">
        <v>1115600</v>
      </c>
      <c r="E20" s="22">
        <v>1038400</v>
      </c>
      <c r="F20" s="20">
        <v>20.356000000000002</v>
      </c>
      <c r="G20" s="20">
        <v>14.31</v>
      </c>
      <c r="H20" s="20">
        <v>6.6557000000000004</v>
      </c>
      <c r="J20" s="22">
        <v>1855600</v>
      </c>
      <c r="K20" s="22">
        <v>1354700</v>
      </c>
      <c r="L20" s="22">
        <v>1261300</v>
      </c>
      <c r="M20" s="20">
        <v>30.016999999999999</v>
      </c>
      <c r="N20" s="20">
        <v>21.102</v>
      </c>
      <c r="O20" s="20">
        <v>9.8148</v>
      </c>
      <c r="Q20" s="22">
        <v>2183500</v>
      </c>
      <c r="R20" s="22">
        <v>1593900</v>
      </c>
      <c r="S20" s="22">
        <v>1484400</v>
      </c>
      <c r="T20" s="20">
        <v>41.555999999999997</v>
      </c>
      <c r="U20" s="20">
        <v>29.213000000000001</v>
      </c>
      <c r="V20" s="20">
        <v>13.587999999999999</v>
      </c>
      <c r="Z20" s="23"/>
      <c r="AA20" s="21">
        <v>42.25</v>
      </c>
      <c r="AB20" s="21">
        <f>PI()*(0.00035)^2</f>
        <v>3.8484510006474966E-7</v>
      </c>
      <c r="AC20" s="21">
        <f>AB20*(0.00003/0.00035)</f>
        <v>3.2986722862692826E-8</v>
      </c>
      <c r="AD20" s="28">
        <f>0.0027/2.938</f>
        <v>9.1899251191286592E-4</v>
      </c>
      <c r="AE20" s="28">
        <f>AD20*(SQRT((0.02/2.7)^2)+(0.03)^2)</f>
        <v>7.6344452008168826E-6</v>
      </c>
      <c r="AF20" s="28">
        <f>AI13*AF32*1900</f>
        <v>6.7197255389113874E-7</v>
      </c>
      <c r="AG20" s="28">
        <f>AF20*SQRT((AE20/AD20)^2+(AC20/AB20)^2)</f>
        <v>5.786753514526175E-8</v>
      </c>
      <c r="AH20" s="25">
        <f>(8*0.000276*0.0027*AF20)/(PI()*(0.00035)^4)</f>
        <v>84.975224017449051</v>
      </c>
      <c r="AI20" s="21">
        <f>9.81*1900*0.0027</f>
        <v>50.325300000000006</v>
      </c>
      <c r="AJ20" s="25">
        <f>AI20+AH20</f>
        <v>135.30052401744905</v>
      </c>
      <c r="AK20" s="26">
        <f>AJ20*AG20/AF20</f>
        <v>11.651529193289738</v>
      </c>
      <c r="AM20" s="30">
        <f t="shared" ref="AM20:AN22" si="1">AF20*1000000000</f>
        <v>671.97255389113877</v>
      </c>
      <c r="AN20" s="30">
        <f t="shared" si="1"/>
        <v>57.867535145261748</v>
      </c>
      <c r="AP20" s="23">
        <f>1-(AI20/AJ20)</f>
        <v>0.62804800376449543</v>
      </c>
      <c r="AQ20" s="23">
        <f>AB5/AM20</f>
        <v>8.2577777438495675E-2</v>
      </c>
    </row>
    <row r="21" spans="1:43" x14ac:dyDescent="0.25">
      <c r="A21" s="20">
        <f t="shared" si="0"/>
        <v>2.25</v>
      </c>
      <c r="B21" s="20">
        <v>0.45</v>
      </c>
      <c r="C21" s="22">
        <v>1471300</v>
      </c>
      <c r="D21" s="22">
        <v>1074700</v>
      </c>
      <c r="E21" s="22">
        <v>999190</v>
      </c>
      <c r="F21" s="20">
        <v>18.878</v>
      </c>
      <c r="G21" s="20">
        <v>13.271000000000001</v>
      </c>
      <c r="H21" s="20">
        <v>6.1723999999999997</v>
      </c>
      <c r="J21" s="22">
        <v>1783600</v>
      </c>
      <c r="K21" s="22">
        <v>1302800</v>
      </c>
      <c r="L21" s="22">
        <v>1211400</v>
      </c>
      <c r="M21" s="20">
        <v>27.748000000000001</v>
      </c>
      <c r="N21" s="20">
        <v>19.504999999999999</v>
      </c>
      <c r="O21" s="20">
        <v>9.0722000000000005</v>
      </c>
      <c r="Q21" s="22">
        <v>2096200</v>
      </c>
      <c r="R21" s="22">
        <v>1531000</v>
      </c>
      <c r="S21" s="22">
        <v>1423800</v>
      </c>
      <c r="T21" s="20">
        <v>38.323999999999998</v>
      </c>
      <c r="U21" s="20">
        <v>26.94</v>
      </c>
      <c r="V21" s="20">
        <v>12.53</v>
      </c>
      <c r="Z21" s="23"/>
      <c r="AA21" s="21">
        <v>64</v>
      </c>
      <c r="AB21" s="21">
        <f>PI()*(0.00035)^2</f>
        <v>3.8484510006474966E-7</v>
      </c>
      <c r="AC21" s="21">
        <f>AB21*(0.00003/0.00035)</f>
        <v>3.2986722862692826E-8</v>
      </c>
      <c r="AD21" s="28">
        <f>0.0027/1.138</f>
        <v>2.372583479789104E-3</v>
      </c>
      <c r="AE21" s="28">
        <f>AD21*(SQRT((AC21/AB21)^2+(0.02/2.7)^2)+(0.03)^2)</f>
        <v>2.0625761108890634E-4</v>
      </c>
      <c r="AF21" s="28">
        <f>AI14*AF33*1900</f>
        <v>1.7348465407136784E-6</v>
      </c>
      <c r="AG21" s="28">
        <f>AF21*SQRT((AE21/AD21)^2+(AC21/AB21)^2)</f>
        <v>2.1179640081091019E-7</v>
      </c>
      <c r="AH21" s="25">
        <f>(8*0.000276*0.0027*AF21)/(PI()*(0.00035)^4)</f>
        <v>219.38243248090103</v>
      </c>
      <c r="AI21" s="21">
        <f>9.81*1900*0.0027</f>
        <v>50.325300000000006</v>
      </c>
      <c r="AJ21" s="25">
        <f>AI21+AH21</f>
        <v>269.70773248090103</v>
      </c>
      <c r="AK21" s="26">
        <f>AJ21*AG21/AF21</f>
        <v>32.926904870114583</v>
      </c>
      <c r="AM21" s="30">
        <f t="shared" si="1"/>
        <v>1734.8465407136785</v>
      </c>
      <c r="AN21" s="30">
        <f t="shared" si="1"/>
        <v>211.7964008109102</v>
      </c>
      <c r="AP21" s="23">
        <f>1-(AI21/AJ21)</f>
        <v>0.81340801935085894</v>
      </c>
      <c r="AQ21" s="23">
        <f>AB6/AM21</f>
        <v>8.6220882648482572E-2</v>
      </c>
    </row>
    <row r="22" spans="1:43" x14ac:dyDescent="0.25">
      <c r="A22" s="20">
        <f t="shared" si="0"/>
        <v>2.1750000000000003</v>
      </c>
      <c r="B22" s="20">
        <v>0.52500000000000002</v>
      </c>
      <c r="C22" s="22">
        <v>1431500</v>
      </c>
      <c r="D22" s="22">
        <v>1045900</v>
      </c>
      <c r="E22" s="22">
        <v>971950</v>
      </c>
      <c r="F22" s="20">
        <v>17.859000000000002</v>
      </c>
      <c r="G22" s="20">
        <v>12.553000000000001</v>
      </c>
      <c r="H22" s="20">
        <v>5.8387000000000002</v>
      </c>
      <c r="J22" s="22">
        <v>1733000</v>
      </c>
      <c r="K22" s="22">
        <v>1266100</v>
      </c>
      <c r="L22" s="22">
        <v>1176700</v>
      </c>
      <c r="M22" s="20">
        <v>26.18</v>
      </c>
      <c r="N22" s="20">
        <v>18.402000000000001</v>
      </c>
      <c r="O22" s="20">
        <v>8.5591000000000008</v>
      </c>
      <c r="Q22" s="22">
        <v>2034600</v>
      </c>
      <c r="R22" s="22">
        <v>1486400</v>
      </c>
      <c r="S22" s="22">
        <v>1381500</v>
      </c>
      <c r="T22" s="20">
        <v>36.091999999999999</v>
      </c>
      <c r="U22" s="20">
        <v>25.369</v>
      </c>
      <c r="V22" s="20">
        <v>11.8</v>
      </c>
      <c r="Z22" s="23"/>
      <c r="AA22" s="21">
        <v>90.25</v>
      </c>
      <c r="AB22" s="21">
        <f>PI()*(0.00035)^2</f>
        <v>3.8484510006474966E-7</v>
      </c>
      <c r="AC22" s="21">
        <f>AB22*(0.00003/0.00035)</f>
        <v>3.2986722862692826E-8</v>
      </c>
      <c r="AD22" s="28">
        <f>0.0027/0.838</f>
        <v>3.2219570405727926E-3</v>
      </c>
      <c r="AE22" s="28">
        <f>AD22*(SQRT((AC22/AB22)^2+(0.02/2.7)^2)+(0.03)^2)</f>
        <v>2.800968513355315E-4</v>
      </c>
      <c r="AF22" s="28">
        <f>AI15*AF34*1900</f>
        <v>2.3559133213987663E-6</v>
      </c>
      <c r="AG22" s="28">
        <f>AF22*SQRT((AE22/AD22)^2+(AC22/AB22)^2)</f>
        <v>2.8761850133987567E-7</v>
      </c>
      <c r="AH22" s="25">
        <f>(8*0.000276*0.0027*AF22)/(PI()*(0.00035)^4)</f>
        <v>297.92029613754823</v>
      </c>
      <c r="AI22" s="21">
        <f>9.81*1900*0.0027</f>
        <v>50.325300000000006</v>
      </c>
      <c r="AJ22" s="25">
        <f>AI22+AH22</f>
        <v>348.24559613754826</v>
      </c>
      <c r="AK22" s="26">
        <f>AJ22*AG22/AF22</f>
        <v>42.515094061195995</v>
      </c>
      <c r="AM22" s="30">
        <f t="shared" si="1"/>
        <v>2355.9133213987661</v>
      </c>
      <c r="AN22" s="30">
        <f t="shared" si="1"/>
        <v>287.61850133987565</v>
      </c>
      <c r="AP22" s="23">
        <f>1-(AI22/AJ22)</f>
        <v>0.85548905554537791</v>
      </c>
      <c r="AQ22" s="23">
        <f>AB7/AM22</f>
        <v>0.14149501892628272</v>
      </c>
    </row>
    <row r="23" spans="1:43" x14ac:dyDescent="0.25">
      <c r="A23" s="20">
        <f t="shared" si="0"/>
        <v>2.1</v>
      </c>
      <c r="B23" s="20">
        <v>0.6</v>
      </c>
      <c r="C23" s="22">
        <v>1403700</v>
      </c>
      <c r="D23" s="22">
        <v>1025600</v>
      </c>
      <c r="E23" s="22">
        <v>953000</v>
      </c>
      <c r="F23" s="20">
        <v>17.148</v>
      </c>
      <c r="G23" s="20">
        <v>12.053000000000001</v>
      </c>
      <c r="H23" s="20">
        <v>5.6063000000000001</v>
      </c>
      <c r="J23" s="22">
        <v>1697500</v>
      </c>
      <c r="K23" s="22">
        <v>1240200</v>
      </c>
      <c r="L23" s="22">
        <v>1152400</v>
      </c>
      <c r="M23" s="20">
        <v>25.085000000000001</v>
      </c>
      <c r="N23" s="20">
        <v>17.632000000000001</v>
      </c>
      <c r="O23" s="20">
        <v>8.2011000000000003</v>
      </c>
      <c r="Q23" s="22">
        <v>1991300</v>
      </c>
      <c r="R23" s="22">
        <v>1454900</v>
      </c>
      <c r="S23" s="22">
        <v>1351900</v>
      </c>
      <c r="T23" s="20">
        <v>34.530999999999999</v>
      </c>
      <c r="U23" s="20">
        <v>24.271000000000001</v>
      </c>
      <c r="V23" s="20">
        <v>11.289</v>
      </c>
    </row>
    <row r="24" spans="1:43" x14ac:dyDescent="0.25">
      <c r="A24" s="20">
        <f t="shared" si="0"/>
        <v>2.0250000000000004</v>
      </c>
      <c r="B24" s="20">
        <v>0.67500000000000004</v>
      </c>
      <c r="C24" s="22">
        <v>1384600</v>
      </c>
      <c r="D24" s="22">
        <v>1011500</v>
      </c>
      <c r="E24" s="22">
        <v>940060</v>
      </c>
      <c r="F24" s="20">
        <v>16.652999999999999</v>
      </c>
      <c r="G24" s="20">
        <v>11.705</v>
      </c>
      <c r="H24" s="20">
        <v>5.4443000000000001</v>
      </c>
      <c r="J24" s="22">
        <v>1672900</v>
      </c>
      <c r="K24" s="22">
        <v>1222200</v>
      </c>
      <c r="L24" s="22">
        <v>1135800</v>
      </c>
      <c r="M24" s="20">
        <v>24.323</v>
      </c>
      <c r="N24" s="20">
        <v>17.096</v>
      </c>
      <c r="O24" s="20">
        <v>7.9515000000000002</v>
      </c>
      <c r="Q24" s="22">
        <v>1961400</v>
      </c>
      <c r="R24" s="22">
        <v>1432900</v>
      </c>
      <c r="S24" s="22">
        <v>1331700</v>
      </c>
      <c r="T24" s="20">
        <v>33.442</v>
      </c>
      <c r="U24" s="20">
        <v>23.504999999999999</v>
      </c>
      <c r="V24" s="20">
        <v>10.933</v>
      </c>
    </row>
    <row r="25" spans="1:43" x14ac:dyDescent="0.25">
      <c r="A25" s="20">
        <f t="shared" si="0"/>
        <v>1.9500000000000002</v>
      </c>
      <c r="B25" s="20">
        <v>0.75</v>
      </c>
      <c r="C25" s="22">
        <v>1371600</v>
      </c>
      <c r="D25" s="22">
        <v>1001900</v>
      </c>
      <c r="E25" s="22">
        <v>931420</v>
      </c>
      <c r="F25" s="20">
        <v>16.312000000000001</v>
      </c>
      <c r="G25" s="20">
        <v>11.465</v>
      </c>
      <c r="H25" s="20">
        <v>5.3326000000000002</v>
      </c>
      <c r="J25" s="22">
        <v>1656200</v>
      </c>
      <c r="K25" s="22">
        <v>1209900</v>
      </c>
      <c r="L25" s="22">
        <v>1124700</v>
      </c>
      <c r="M25" s="20">
        <v>23.794</v>
      </c>
      <c r="N25" s="20">
        <v>16.724</v>
      </c>
      <c r="O25" s="20">
        <v>7.7786999999999997</v>
      </c>
      <c r="Q25" s="22">
        <v>1940900</v>
      </c>
      <c r="R25" s="22">
        <v>1417800</v>
      </c>
      <c r="S25" s="22">
        <v>1318000</v>
      </c>
      <c r="T25" s="20">
        <v>32.686999999999998</v>
      </c>
      <c r="U25" s="20">
        <v>22.974</v>
      </c>
      <c r="V25" s="20">
        <v>10.686</v>
      </c>
      <c r="AA25" s="21" t="s">
        <v>0</v>
      </c>
      <c r="AB25" s="28" t="s">
        <v>1</v>
      </c>
      <c r="AC25" s="21" t="s">
        <v>74</v>
      </c>
      <c r="AD25" s="28" t="s">
        <v>90</v>
      </c>
      <c r="AE25" s="21" t="s">
        <v>85</v>
      </c>
      <c r="AF25" s="28"/>
      <c r="AG25" s="28"/>
      <c r="AH25" s="28"/>
      <c r="AI25" s="28"/>
      <c r="AJ25" s="23"/>
      <c r="AL25" s="28"/>
      <c r="AM25" s="28"/>
      <c r="AN25" s="23"/>
      <c r="AO25" s="23"/>
    </row>
    <row r="26" spans="1:43" x14ac:dyDescent="0.25">
      <c r="A26" s="20">
        <f t="shared" si="0"/>
        <v>1.8750000000000002</v>
      </c>
      <c r="B26" s="20">
        <v>0.82499999999999996</v>
      </c>
      <c r="C26" s="22">
        <v>1363200</v>
      </c>
      <c r="D26" s="22">
        <v>995720</v>
      </c>
      <c r="E26" s="22">
        <v>925770</v>
      </c>
      <c r="F26" s="20">
        <v>16.081</v>
      </c>
      <c r="G26" s="20">
        <v>11.304</v>
      </c>
      <c r="H26" s="20">
        <v>5.2577999999999996</v>
      </c>
      <c r="J26" s="22">
        <v>1645300</v>
      </c>
      <c r="K26" s="22">
        <v>1201800</v>
      </c>
      <c r="L26" s="22">
        <v>1117400</v>
      </c>
      <c r="M26" s="20">
        <v>23.437000000000001</v>
      </c>
      <c r="N26" s="20">
        <v>16.474</v>
      </c>
      <c r="O26" s="20">
        <v>7.6624999999999996</v>
      </c>
      <c r="Q26" s="22">
        <v>1927600</v>
      </c>
      <c r="R26" s="22">
        <v>1408000</v>
      </c>
      <c r="S26" s="22">
        <v>1309000</v>
      </c>
      <c r="T26" s="20">
        <v>32.174999999999997</v>
      </c>
      <c r="U26" s="20">
        <v>22.616</v>
      </c>
      <c r="V26" s="20">
        <v>10.519</v>
      </c>
      <c r="AA26" s="21">
        <v>6.7120000000000005E-4</v>
      </c>
      <c r="AB26" s="21">
        <v>1.5079999999999998E-4</v>
      </c>
      <c r="AC26" s="21">
        <v>55.49</v>
      </c>
      <c r="AD26" s="21">
        <f>PI()*(AA26^2+AB26^2)</f>
        <v>1.486758974638782E-6</v>
      </c>
      <c r="AE26" s="28">
        <f>AC26*0.000000001/(1900*AD26)</f>
        <v>1.9643576165390461E-5</v>
      </c>
      <c r="AF26" s="25"/>
      <c r="AG26" s="23"/>
      <c r="AI26" s="37"/>
      <c r="AJ26" s="25"/>
      <c r="AK26" s="34"/>
      <c r="AL26" s="23"/>
      <c r="AM26" s="28"/>
      <c r="AN26" s="23"/>
      <c r="AO26" s="23"/>
    </row>
    <row r="27" spans="1:43" x14ac:dyDescent="0.25">
      <c r="A27" s="20">
        <f t="shared" si="0"/>
        <v>1.8000000000000003</v>
      </c>
      <c r="B27" s="20">
        <v>0.9</v>
      </c>
      <c r="C27" s="22">
        <v>1357800</v>
      </c>
      <c r="D27" s="22">
        <v>991730</v>
      </c>
      <c r="E27" s="22">
        <v>922280</v>
      </c>
      <c r="F27" s="20">
        <v>15.926</v>
      </c>
      <c r="G27" s="20">
        <v>11.196</v>
      </c>
      <c r="H27" s="20">
        <v>5.2073</v>
      </c>
      <c r="J27" s="22">
        <v>1638400</v>
      </c>
      <c r="K27" s="22">
        <v>1196700</v>
      </c>
      <c r="L27" s="22">
        <v>1112900</v>
      </c>
      <c r="M27" s="20">
        <v>23.195</v>
      </c>
      <c r="N27" s="20">
        <v>16.305</v>
      </c>
      <c r="O27" s="20">
        <v>7.5838999999999999</v>
      </c>
      <c r="Q27" s="22">
        <v>1919000</v>
      </c>
      <c r="R27" s="22">
        <v>1401600</v>
      </c>
      <c r="S27" s="22">
        <v>1303400</v>
      </c>
      <c r="T27" s="20">
        <v>31.827999999999999</v>
      </c>
      <c r="U27" s="20">
        <v>22.373000000000001</v>
      </c>
      <c r="V27" s="20">
        <v>10.406000000000001</v>
      </c>
      <c r="AA27" s="21">
        <v>8.5549999999999992E-4</v>
      </c>
      <c r="AB27" s="21">
        <v>2.4939999999999999E-4</v>
      </c>
      <c r="AC27" s="21">
        <v>149.58000000000001</v>
      </c>
      <c r="AD27" s="21">
        <f>PI()*(AA27^2+AB27^2)</f>
        <v>2.4946778107341012E-6</v>
      </c>
      <c r="AE27" s="28">
        <f>AC27*0.000000001/(1900*AD27)</f>
        <v>3.1557708755307024E-5</v>
      </c>
      <c r="AF27" s="25"/>
      <c r="AG27" s="23"/>
      <c r="AI27" s="37"/>
      <c r="AJ27" s="25"/>
      <c r="AK27" s="34"/>
      <c r="AL27" s="23"/>
      <c r="AM27" s="28"/>
      <c r="AN27" s="23"/>
      <c r="AO27" s="23"/>
    </row>
    <row r="28" spans="1:43" x14ac:dyDescent="0.25">
      <c r="A28" s="20">
        <f t="shared" si="0"/>
        <v>1.7250000000000001</v>
      </c>
      <c r="B28" s="20">
        <v>0.97499999999999998</v>
      </c>
      <c r="C28" s="22">
        <v>1354900</v>
      </c>
      <c r="D28" s="22">
        <v>989570</v>
      </c>
      <c r="E28" s="22">
        <v>920320</v>
      </c>
      <c r="F28" s="20">
        <v>15.831</v>
      </c>
      <c r="G28" s="20">
        <v>11.131</v>
      </c>
      <c r="H28" s="20">
        <v>5.1769999999999996</v>
      </c>
      <c r="J28" s="22">
        <v>1634600</v>
      </c>
      <c r="K28" s="22">
        <v>1193800</v>
      </c>
      <c r="L28" s="22">
        <v>1110300</v>
      </c>
      <c r="M28" s="20">
        <v>23.045999999999999</v>
      </c>
      <c r="N28" s="20">
        <v>16.202999999999999</v>
      </c>
      <c r="O28" s="20">
        <v>7.5362999999999998</v>
      </c>
      <c r="Q28" s="22">
        <v>1914300</v>
      </c>
      <c r="R28" s="22">
        <v>1398100</v>
      </c>
      <c r="S28" s="22">
        <v>1300300</v>
      </c>
      <c r="T28" s="20">
        <v>31.614000000000001</v>
      </c>
      <c r="U28" s="20">
        <v>22.225999999999999</v>
      </c>
      <c r="V28" s="20">
        <v>10.337999999999999</v>
      </c>
      <c r="AA28" s="21">
        <v>1.0223000000000001E-3</v>
      </c>
      <c r="AB28" s="21">
        <v>3.0039999999999998E-4</v>
      </c>
      <c r="AC28" s="21">
        <v>333.35</v>
      </c>
      <c r="AD28" s="21">
        <f>PI()*(AA28^2+AB28^2)</f>
        <v>3.5667677922653694E-6</v>
      </c>
      <c r="AE28" s="28">
        <f>AC28*0.000000001/(1900*AD28)</f>
        <v>4.9189456291916434E-5</v>
      </c>
      <c r="AF28" s="25"/>
      <c r="AG28" s="23"/>
      <c r="AI28" s="37"/>
      <c r="AJ28" s="25"/>
      <c r="AK28" s="34"/>
      <c r="AL28" s="23"/>
    </row>
    <row r="29" spans="1:43" x14ac:dyDescent="0.25">
      <c r="A29" s="20">
        <f t="shared" si="0"/>
        <v>1.6500000000000001</v>
      </c>
      <c r="B29" s="20">
        <v>1.05</v>
      </c>
      <c r="C29" s="22">
        <v>1353100</v>
      </c>
      <c r="D29" s="22">
        <v>988150</v>
      </c>
      <c r="E29" s="22">
        <v>919190</v>
      </c>
      <c r="F29" s="20">
        <v>15.763999999999999</v>
      </c>
      <c r="G29" s="20">
        <v>11.084</v>
      </c>
      <c r="H29" s="20">
        <v>5.1554000000000002</v>
      </c>
      <c r="J29" s="22">
        <v>1632200</v>
      </c>
      <c r="K29" s="22">
        <v>1192000</v>
      </c>
      <c r="L29" s="22">
        <v>1108800</v>
      </c>
      <c r="M29" s="20">
        <v>22.943000000000001</v>
      </c>
      <c r="N29" s="20">
        <v>16.131</v>
      </c>
      <c r="O29" s="20">
        <v>7.5026999999999999</v>
      </c>
      <c r="Q29" s="22">
        <v>1911400</v>
      </c>
      <c r="R29" s="22">
        <v>1395800</v>
      </c>
      <c r="S29" s="22">
        <v>1298500</v>
      </c>
      <c r="T29" s="20">
        <v>31.465</v>
      </c>
      <c r="U29" s="20">
        <v>22.122</v>
      </c>
      <c r="V29" s="20">
        <v>10.289</v>
      </c>
    </row>
    <row r="30" spans="1:43" x14ac:dyDescent="0.25">
      <c r="A30" s="20">
        <f t="shared" si="0"/>
        <v>1.5750000000000002</v>
      </c>
      <c r="B30" s="20">
        <v>1.125</v>
      </c>
      <c r="C30" s="22">
        <v>1352300</v>
      </c>
      <c r="D30" s="22">
        <v>987610</v>
      </c>
      <c r="E30" s="22">
        <v>918670</v>
      </c>
      <c r="F30" s="20">
        <v>15.726000000000001</v>
      </c>
      <c r="G30" s="20">
        <v>11.058999999999999</v>
      </c>
      <c r="H30" s="20">
        <v>5.1436999999999999</v>
      </c>
      <c r="J30" s="22">
        <v>1631200</v>
      </c>
      <c r="K30" s="22">
        <v>1191300</v>
      </c>
      <c r="L30" s="22">
        <v>1108100</v>
      </c>
      <c r="M30" s="20">
        <v>22.882999999999999</v>
      </c>
      <c r="N30" s="20">
        <v>16.091999999999999</v>
      </c>
      <c r="O30" s="20">
        <v>7.4844999999999997</v>
      </c>
      <c r="Q30" s="22">
        <v>1910100</v>
      </c>
      <c r="R30" s="22">
        <v>1394900</v>
      </c>
      <c r="S30" s="22">
        <v>1297600</v>
      </c>
      <c r="T30" s="20">
        <v>31.38</v>
      </c>
      <c r="U30" s="20">
        <v>22.065999999999999</v>
      </c>
      <c r="V30" s="20">
        <v>10.263</v>
      </c>
      <c r="AA30" s="21" t="s">
        <v>93</v>
      </c>
      <c r="AE30" s="24"/>
    </row>
    <row r="31" spans="1:43" x14ac:dyDescent="0.25">
      <c r="A31" s="20">
        <f t="shared" si="0"/>
        <v>1.5000000000000002</v>
      </c>
      <c r="B31" s="20">
        <v>1.2</v>
      </c>
      <c r="C31" s="22">
        <v>1352100</v>
      </c>
      <c r="D31" s="22">
        <v>987520</v>
      </c>
      <c r="E31" s="22">
        <v>918450</v>
      </c>
      <c r="F31" s="20">
        <v>15.704000000000001</v>
      </c>
      <c r="G31" s="20">
        <v>11.045</v>
      </c>
      <c r="H31" s="20">
        <v>5.1374000000000004</v>
      </c>
      <c r="J31" s="22">
        <v>1631000</v>
      </c>
      <c r="K31" s="22">
        <v>1191200</v>
      </c>
      <c r="L31" s="22">
        <v>1107900</v>
      </c>
      <c r="M31" s="20">
        <v>22.850999999999999</v>
      </c>
      <c r="N31" s="20">
        <v>16.071999999999999</v>
      </c>
      <c r="O31" s="20">
        <v>7.4752000000000001</v>
      </c>
      <c r="Q31" s="22">
        <v>1909900</v>
      </c>
      <c r="R31" s="22">
        <v>1394900</v>
      </c>
      <c r="S31" s="22">
        <v>1297400</v>
      </c>
      <c r="T31" s="20">
        <v>31.334</v>
      </c>
      <c r="U31" s="20">
        <v>22.038</v>
      </c>
      <c r="V31" s="20">
        <v>10.25</v>
      </c>
      <c r="AA31" s="21" t="s">
        <v>0</v>
      </c>
      <c r="AB31" s="28" t="s">
        <v>1</v>
      </c>
      <c r="AC31" s="28" t="s">
        <v>74</v>
      </c>
      <c r="AD31" s="21" t="s">
        <v>90</v>
      </c>
      <c r="AE31" s="20"/>
      <c r="AF31" s="28" t="s">
        <v>94</v>
      </c>
      <c r="AG31" s="28"/>
      <c r="AH31" s="28"/>
      <c r="AI31" s="28"/>
      <c r="AJ31" s="28"/>
      <c r="AK31" s="28"/>
      <c r="AM31" s="23"/>
    </row>
    <row r="32" spans="1:43" x14ac:dyDescent="0.25">
      <c r="A32" s="20">
        <f t="shared" si="0"/>
        <v>1.0000000000000002</v>
      </c>
      <c r="B32" s="20">
        <v>1.7</v>
      </c>
      <c r="C32" s="22">
        <v>1337200</v>
      </c>
      <c r="D32" s="22">
        <v>977400</v>
      </c>
      <c r="E32" s="22">
        <v>907530</v>
      </c>
      <c r="F32" s="20">
        <v>15.332000000000001</v>
      </c>
      <c r="G32" s="20">
        <v>10.795</v>
      </c>
      <c r="H32" s="20">
        <v>5.0209000000000001</v>
      </c>
      <c r="J32" s="22">
        <v>1614000</v>
      </c>
      <c r="K32" s="22">
        <v>1179700</v>
      </c>
      <c r="L32" s="22">
        <v>1095400</v>
      </c>
      <c r="M32" s="20">
        <v>22.332999999999998</v>
      </c>
      <c r="N32" s="20">
        <v>15.724</v>
      </c>
      <c r="O32" s="20">
        <v>7.3132999999999999</v>
      </c>
      <c r="Q32" s="22">
        <v>1890800</v>
      </c>
      <c r="R32" s="22">
        <v>1382000</v>
      </c>
      <c r="S32" s="22">
        <v>1283300</v>
      </c>
      <c r="T32" s="20">
        <v>30.646000000000001</v>
      </c>
      <c r="U32" s="20">
        <v>21.576000000000001</v>
      </c>
      <c r="V32" s="20">
        <v>10.035</v>
      </c>
      <c r="AA32" s="21">
        <v>5.3366666666666666E-4</v>
      </c>
      <c r="AB32" s="21">
        <v>9.0000000000000006E-5</v>
      </c>
      <c r="AC32" s="28">
        <v>55.49</v>
      </c>
      <c r="AD32" s="21">
        <f>PI()*(AA32^2+AB32^2)</f>
        <v>9.2017283730230091E-7</v>
      </c>
      <c r="AE32" s="24"/>
      <c r="AF32" s="21">
        <f>PI()*(0.00035)^2</f>
        <v>3.8484510006474966E-7</v>
      </c>
      <c r="AG32" s="28"/>
      <c r="AH32" s="39"/>
      <c r="AI32" s="28"/>
      <c r="AJ32" s="28"/>
      <c r="AK32" s="23"/>
      <c r="AM32" s="23"/>
    </row>
    <row r="33" spans="1:39" x14ac:dyDescent="0.25">
      <c r="A33" s="20">
        <f t="shared" si="0"/>
        <v>0.5</v>
      </c>
      <c r="B33" s="20">
        <v>2.2000000000000002</v>
      </c>
      <c r="C33" s="22">
        <v>1283000</v>
      </c>
      <c r="D33" s="22">
        <v>938850</v>
      </c>
      <c r="E33" s="22">
        <v>869200</v>
      </c>
      <c r="F33" s="20">
        <v>14.164999999999999</v>
      </c>
      <c r="G33" s="20">
        <v>9.9821000000000009</v>
      </c>
      <c r="H33" s="20">
        <v>4.6428000000000003</v>
      </c>
      <c r="J33" s="22">
        <v>1549200</v>
      </c>
      <c r="K33" s="22">
        <v>1133700</v>
      </c>
      <c r="L33" s="22">
        <v>1049600</v>
      </c>
      <c r="M33" s="20">
        <v>20.652000000000001</v>
      </c>
      <c r="N33" s="20">
        <v>14.553000000000001</v>
      </c>
      <c r="O33" s="20">
        <v>6.7690000000000001</v>
      </c>
      <c r="Q33" s="22">
        <v>1815500</v>
      </c>
      <c r="R33" s="22">
        <v>1328500</v>
      </c>
      <c r="S33" s="22">
        <v>1230000</v>
      </c>
      <c r="T33" s="20">
        <v>28.358000000000001</v>
      </c>
      <c r="U33" s="20">
        <v>19.984000000000002</v>
      </c>
      <c r="V33" s="20">
        <v>9.2948000000000004</v>
      </c>
      <c r="AA33" s="21">
        <v>5.3206666666666663E-4</v>
      </c>
      <c r="AB33" s="21">
        <v>9.2133333333333328E-5</v>
      </c>
      <c r="AC33" s="28">
        <v>149.58000000000001</v>
      </c>
      <c r="AD33" s="21">
        <f>PI()*(AA33^2+AB33^2)</f>
        <v>9.1603654660141426E-7</v>
      </c>
      <c r="AE33" s="24"/>
      <c r="AF33" s="21">
        <f>PI()*(0.00035)^2</f>
        <v>3.8484510006474966E-7</v>
      </c>
      <c r="AG33" s="28"/>
      <c r="AH33" s="39"/>
      <c r="AI33" s="28"/>
      <c r="AJ33" s="28"/>
      <c r="AK33" s="23"/>
      <c r="AM33" s="23"/>
    </row>
    <row r="34" spans="1:39" x14ac:dyDescent="0.25">
      <c r="A34" s="20">
        <f t="shared" si="0"/>
        <v>0</v>
      </c>
      <c r="B34" s="20">
        <v>2.7</v>
      </c>
      <c r="C34" s="22">
        <v>1171800</v>
      </c>
      <c r="D34" s="22">
        <v>863680</v>
      </c>
      <c r="E34" s="22">
        <v>785040</v>
      </c>
      <c r="F34" s="20">
        <v>11.898999999999999</v>
      </c>
      <c r="G34" s="20">
        <v>8.4489999999999998</v>
      </c>
      <c r="H34" s="20">
        <v>3.9298000000000002</v>
      </c>
      <c r="J34" s="22">
        <v>1414500</v>
      </c>
      <c r="K34" s="22">
        <v>1042600</v>
      </c>
      <c r="L34" s="22">
        <v>947670</v>
      </c>
      <c r="M34" s="20">
        <v>17.34</v>
      </c>
      <c r="N34" s="20">
        <v>12.313000000000001</v>
      </c>
      <c r="O34" s="20">
        <v>5.7271000000000001</v>
      </c>
      <c r="Q34" s="22">
        <v>1657300</v>
      </c>
      <c r="R34" s="22">
        <v>1221600</v>
      </c>
      <c r="S34" s="22">
        <v>1110300</v>
      </c>
      <c r="T34" s="20">
        <v>23.803000000000001</v>
      </c>
      <c r="U34" s="20">
        <v>16.904</v>
      </c>
      <c r="V34" s="20">
        <v>7.8621999999999996</v>
      </c>
      <c r="AA34" s="21">
        <v>6.713E-4</v>
      </c>
      <c r="AB34" s="21">
        <v>1.2100000000000003E-4</v>
      </c>
      <c r="AC34" s="28">
        <v>333.35</v>
      </c>
      <c r="AD34" s="21">
        <f>PI()*(AA34^2+AB34^2)</f>
        <v>1.4617349639318042E-6</v>
      </c>
      <c r="AE34" s="24"/>
      <c r="AF34" s="21">
        <f>PI()*(0.00035)^2</f>
        <v>3.8484510006474966E-7</v>
      </c>
      <c r="AH34" s="39"/>
      <c r="AI34" s="28"/>
      <c r="AK34" s="23"/>
    </row>
    <row r="35" spans="1:39" x14ac:dyDescent="0.25">
      <c r="L35" s="20"/>
      <c r="O35" s="22"/>
      <c r="P35" s="22"/>
    </row>
    <row r="36" spans="1:39" x14ac:dyDescent="0.25">
      <c r="L36" s="20"/>
      <c r="AI36" s="24"/>
    </row>
    <row r="37" spans="1:39" x14ac:dyDescent="0.25">
      <c r="G37" s="20"/>
      <c r="H37" s="20"/>
      <c r="L37" s="20"/>
      <c r="AI37" s="24"/>
    </row>
    <row r="38" spans="1:39" x14ac:dyDescent="0.25">
      <c r="AI38" s="24"/>
    </row>
    <row r="40" spans="1:39" x14ac:dyDescent="0.25">
      <c r="O40" s="20"/>
      <c r="P40" s="22"/>
    </row>
    <row r="41" spans="1:39" x14ac:dyDescent="0.25">
      <c r="O41" s="20"/>
      <c r="T41" s="23"/>
      <c r="AB41" s="2"/>
    </row>
    <row r="42" spans="1:39" x14ac:dyDescent="0.25">
      <c r="K42" s="35"/>
      <c r="L42" s="25"/>
      <c r="M42" s="27"/>
      <c r="N42" s="28"/>
      <c r="O42" s="22"/>
      <c r="P42" s="20"/>
      <c r="R42" s="24"/>
      <c r="S42" s="35"/>
      <c r="U42" s="25"/>
      <c r="V42" s="26"/>
      <c r="W42" s="26"/>
      <c r="AB42" s="2"/>
      <c r="AE42" s="24"/>
      <c r="AF42" s="24"/>
      <c r="AI42" s="24"/>
    </row>
    <row r="43" spans="1:39" x14ac:dyDescent="0.25">
      <c r="K43" s="35"/>
      <c r="L43" s="25"/>
      <c r="M43" s="27"/>
      <c r="N43" s="28"/>
      <c r="O43" s="22"/>
      <c r="P43" s="20"/>
      <c r="R43" s="24"/>
      <c r="S43" s="35"/>
      <c r="U43" s="25"/>
      <c r="V43" s="26"/>
      <c r="W43" s="26"/>
      <c r="AB43" s="2"/>
      <c r="AE43" s="24"/>
      <c r="AF43" s="24"/>
      <c r="AI43" s="24"/>
    </row>
    <row r="44" spans="1:39" x14ac:dyDescent="0.25">
      <c r="B44" s="20"/>
      <c r="K44" s="35"/>
      <c r="L44" s="25"/>
      <c r="M44" s="27"/>
      <c r="N44" s="28"/>
      <c r="O44" s="22"/>
      <c r="P44" s="20"/>
      <c r="R44" s="24"/>
      <c r="S44" s="35"/>
      <c r="U44" s="25"/>
      <c r="V44" s="26"/>
      <c r="W44" s="26"/>
      <c r="AE44" s="24"/>
      <c r="AF44" s="24"/>
      <c r="AI44" s="24"/>
    </row>
    <row r="45" spans="1:39" x14ac:dyDescent="0.25">
      <c r="B45" s="20"/>
    </row>
    <row r="46" spans="1:39" x14ac:dyDescent="0.25">
      <c r="B46" s="20"/>
      <c r="D46" s="20"/>
      <c r="F46" s="20"/>
      <c r="G46" s="20"/>
      <c r="U46" s="20"/>
      <c r="V46" s="20"/>
    </row>
    <row r="47" spans="1:39" x14ac:dyDescent="0.25">
      <c r="D47" s="20"/>
      <c r="F47" s="28"/>
      <c r="G47" s="28"/>
      <c r="K47" s="36"/>
      <c r="M47" s="28"/>
      <c r="N47" s="28"/>
      <c r="O47" s="28"/>
      <c r="T47" s="23"/>
      <c r="U47" s="20"/>
      <c r="V47" s="35"/>
    </row>
    <row r="48" spans="1:39" x14ac:dyDescent="0.25">
      <c r="D48" s="20"/>
      <c r="F48" s="28"/>
      <c r="G48" s="28"/>
      <c r="K48" s="36"/>
      <c r="M48" s="28"/>
      <c r="N48" s="28"/>
      <c r="O48" s="28"/>
      <c r="S48" s="24"/>
      <c r="T48" s="23"/>
      <c r="U48" s="22"/>
      <c r="V48" s="35"/>
    </row>
    <row r="49" spans="3:26" x14ac:dyDescent="0.25">
      <c r="D49" s="20"/>
      <c r="F49" s="28"/>
      <c r="G49" s="28"/>
      <c r="K49" s="36"/>
      <c r="M49" s="28"/>
      <c r="N49" s="28"/>
      <c r="O49" s="28"/>
      <c r="S49" s="24"/>
      <c r="T49" s="23"/>
      <c r="U49" s="22"/>
      <c r="V49" s="35"/>
    </row>
    <row r="50" spans="3:26" x14ac:dyDescent="0.25">
      <c r="O50" s="20"/>
      <c r="Q50" s="28"/>
      <c r="R50" s="28"/>
      <c r="S50" s="24"/>
      <c r="U50" s="22"/>
      <c r="V50" s="29"/>
    </row>
    <row r="51" spans="3:26" x14ac:dyDescent="0.25">
      <c r="U51" s="20"/>
      <c r="V51" s="20"/>
    </row>
    <row r="52" spans="3:26" x14ac:dyDescent="0.25">
      <c r="U52" s="20"/>
      <c r="V52" s="20"/>
    </row>
    <row r="53" spans="3:26" x14ac:dyDescent="0.25">
      <c r="U53" s="20"/>
      <c r="X53" s="20"/>
      <c r="Z53" s="38"/>
    </row>
    <row r="54" spans="3:26" x14ac:dyDescent="0.25">
      <c r="U54" s="20"/>
      <c r="X54" s="20"/>
      <c r="Z54" s="38"/>
    </row>
    <row r="55" spans="3:26" x14ac:dyDescent="0.25">
      <c r="G55" s="20"/>
      <c r="H55" s="20"/>
      <c r="L55" s="20"/>
      <c r="M55" s="20"/>
      <c r="N55" s="22"/>
      <c r="O55" s="22"/>
      <c r="P55" s="22"/>
      <c r="U55" s="20"/>
      <c r="X55" s="20"/>
      <c r="Z55" s="38"/>
    </row>
    <row r="56" spans="3:26" x14ac:dyDescent="0.25">
      <c r="N56" s="20"/>
      <c r="U56" s="20"/>
      <c r="Z56" s="38"/>
    </row>
    <row r="57" spans="3:26" x14ac:dyDescent="0.25">
      <c r="C57" s="25"/>
      <c r="F57" s="25"/>
      <c r="I57" s="30"/>
      <c r="N57" s="27"/>
      <c r="R57" s="28"/>
      <c r="S57" s="28"/>
      <c r="T57" s="28"/>
      <c r="U57" s="31"/>
      <c r="Z57" s="38"/>
    </row>
    <row r="58" spans="3:26" x14ac:dyDescent="0.25">
      <c r="C58" s="25"/>
      <c r="F58" s="25"/>
      <c r="I58" s="30"/>
      <c r="N58" s="27"/>
      <c r="Q58" s="32"/>
      <c r="R58" s="28"/>
      <c r="S58" s="28"/>
      <c r="T58" s="28"/>
      <c r="U58" s="31"/>
      <c r="Z58" s="38"/>
    </row>
    <row r="59" spans="3:26" x14ac:dyDescent="0.25">
      <c r="C59" s="25"/>
      <c r="F59" s="25"/>
      <c r="I59" s="30"/>
      <c r="N59" s="27"/>
      <c r="Q59" s="32"/>
      <c r="R59" s="28"/>
      <c r="S59" s="28"/>
      <c r="T59" s="28"/>
      <c r="U59" s="31"/>
      <c r="Z59" s="38"/>
    </row>
    <row r="60" spans="3:26" x14ac:dyDescent="0.25">
      <c r="C60" s="25"/>
      <c r="F60" s="25"/>
      <c r="I60" s="30"/>
      <c r="L60" s="20"/>
      <c r="M60" s="20"/>
      <c r="Q60" s="32"/>
      <c r="R60" s="24"/>
      <c r="U60" s="20"/>
      <c r="Z60" s="38"/>
    </row>
    <row r="61" spans="3:26" x14ac:dyDescent="0.25">
      <c r="C61" s="25"/>
      <c r="F61" s="25"/>
      <c r="I61" s="30"/>
      <c r="L61" s="20"/>
      <c r="M61" s="20"/>
      <c r="Q61" s="32"/>
      <c r="R61" s="24"/>
      <c r="U61" s="20"/>
      <c r="Z61" s="38"/>
    </row>
    <row r="62" spans="3:26" x14ac:dyDescent="0.25">
      <c r="C62" s="25"/>
      <c r="F62" s="25"/>
      <c r="I62" s="30"/>
      <c r="L62" s="20"/>
      <c r="M62" s="20"/>
      <c r="Q62" s="32"/>
      <c r="R62" s="24"/>
      <c r="U62" s="20"/>
      <c r="Z62" s="38"/>
    </row>
    <row r="63" spans="3:26" x14ac:dyDescent="0.25">
      <c r="C63" s="25"/>
      <c r="F63" s="25"/>
      <c r="I63" s="30"/>
      <c r="L63" s="20"/>
      <c r="M63" s="20"/>
      <c r="U63" s="20"/>
      <c r="Z63" s="38"/>
    </row>
    <row r="64" spans="3:26" x14ac:dyDescent="0.25">
      <c r="C64" s="25"/>
      <c r="F64" s="25"/>
      <c r="I64" s="30"/>
      <c r="L64" s="20"/>
      <c r="M64" s="20"/>
      <c r="U64" s="20"/>
      <c r="V64" s="20"/>
    </row>
    <row r="65" spans="1:22" x14ac:dyDescent="0.25">
      <c r="C65" s="25"/>
      <c r="F65" s="25"/>
      <c r="I65" s="30"/>
      <c r="L65" s="20"/>
      <c r="M65" s="20"/>
      <c r="U65" s="20"/>
      <c r="V65" s="20"/>
    </row>
    <row r="66" spans="1:22" x14ac:dyDescent="0.25">
      <c r="C66" s="25"/>
      <c r="F66" s="25"/>
      <c r="I66" s="30"/>
      <c r="L66" s="20"/>
      <c r="M66" s="20"/>
      <c r="R66" s="28"/>
      <c r="S66" s="25"/>
      <c r="U66" s="20"/>
      <c r="V66" s="20"/>
    </row>
    <row r="67" spans="1:22" x14ac:dyDescent="0.25">
      <c r="C67" s="25"/>
      <c r="F67" s="25"/>
      <c r="I67" s="30"/>
      <c r="L67" s="20"/>
      <c r="M67" s="20"/>
      <c r="R67" s="28"/>
      <c r="S67" s="25"/>
      <c r="U67" s="20"/>
      <c r="V67" s="20"/>
    </row>
    <row r="68" spans="1:22" x14ac:dyDescent="0.25">
      <c r="C68" s="25"/>
      <c r="F68" s="25"/>
      <c r="I68" s="30"/>
      <c r="L68" s="20"/>
      <c r="M68" s="20"/>
      <c r="R68" s="28"/>
      <c r="S68" s="25"/>
      <c r="U68" s="20"/>
      <c r="V68" s="20"/>
    </row>
    <row r="69" spans="1:22" x14ac:dyDescent="0.25">
      <c r="C69" s="25"/>
      <c r="F69" s="25"/>
      <c r="I69" s="30"/>
      <c r="L69" s="20"/>
      <c r="M69" s="20"/>
      <c r="R69" s="28"/>
      <c r="S69" s="25"/>
      <c r="U69" s="20"/>
      <c r="V69" s="20"/>
    </row>
    <row r="70" spans="1:22" x14ac:dyDescent="0.25">
      <c r="C70" s="25"/>
      <c r="F70" s="25"/>
      <c r="I70" s="30"/>
      <c r="L70" s="20"/>
      <c r="M70" s="20"/>
      <c r="R70" s="28"/>
      <c r="S70" s="25"/>
      <c r="U70" s="20"/>
      <c r="V70" s="20"/>
    </row>
    <row r="71" spans="1:22" x14ac:dyDescent="0.25">
      <c r="C71" s="25"/>
      <c r="F71" s="25"/>
      <c r="I71" s="30"/>
      <c r="L71" s="20"/>
      <c r="M71" s="20"/>
      <c r="R71" s="28"/>
      <c r="S71" s="25"/>
      <c r="U71" s="20"/>
      <c r="V71" s="20"/>
    </row>
    <row r="72" spans="1:22" x14ac:dyDescent="0.25">
      <c r="C72" s="25"/>
      <c r="F72" s="25"/>
      <c r="I72" s="30"/>
      <c r="L72" s="20"/>
      <c r="M72" s="20"/>
      <c r="R72" s="28"/>
      <c r="S72" s="25"/>
      <c r="U72" s="20"/>
      <c r="V72" s="20"/>
    </row>
    <row r="73" spans="1:22" x14ac:dyDescent="0.25">
      <c r="C73" s="25"/>
      <c r="F73" s="25"/>
      <c r="I73" s="30"/>
      <c r="L73" s="20"/>
      <c r="M73" s="20"/>
      <c r="R73" s="28"/>
      <c r="S73" s="25"/>
      <c r="U73" s="20"/>
      <c r="V73" s="20"/>
    </row>
    <row r="74" spans="1:22" x14ac:dyDescent="0.25">
      <c r="C74" s="25"/>
      <c r="F74" s="25"/>
      <c r="I74" s="30"/>
      <c r="L74" s="20"/>
      <c r="M74" s="20"/>
      <c r="R74" s="28"/>
      <c r="S74" s="25"/>
      <c r="U74" s="20"/>
      <c r="V74" s="20"/>
    </row>
    <row r="75" spans="1:22" x14ac:dyDescent="0.25">
      <c r="C75" s="25"/>
      <c r="F75" s="25"/>
      <c r="I75" s="30"/>
      <c r="L75" s="20"/>
      <c r="M75" s="20"/>
      <c r="R75" s="28"/>
      <c r="S75" s="25"/>
      <c r="U75" s="20"/>
      <c r="V75" s="20"/>
    </row>
    <row r="76" spans="1:22" x14ac:dyDescent="0.25">
      <c r="C76" s="25"/>
      <c r="F76" s="25"/>
      <c r="I76" s="30"/>
      <c r="L76" s="20"/>
      <c r="M76" s="20"/>
    </row>
    <row r="77" spans="1:22" x14ac:dyDescent="0.25">
      <c r="C77" s="25"/>
      <c r="F77" s="25"/>
      <c r="I77" s="30"/>
      <c r="L77" s="20"/>
      <c r="M77" s="20"/>
    </row>
    <row r="78" spans="1:22" x14ac:dyDescent="0.25">
      <c r="C78" s="25"/>
      <c r="F78" s="25"/>
      <c r="I78" s="30"/>
      <c r="L78" s="20"/>
      <c r="M78" s="20"/>
    </row>
    <row r="79" spans="1:22" x14ac:dyDescent="0.25">
      <c r="C79" s="25"/>
      <c r="F79" s="25"/>
      <c r="I79" s="30"/>
      <c r="L79" s="20"/>
      <c r="M79" s="20"/>
    </row>
    <row r="80" spans="1:22" x14ac:dyDescent="0.25">
      <c r="A80" s="21">
        <v>5.3</v>
      </c>
      <c r="B80" s="21">
        <f>((3.14159265*((0.00035)^4)*(62.513)*(A80-2.938))/(8*0.0027*276*0.00001))*10^9</f>
        <v>116.76413082908593</v>
      </c>
      <c r="C80" s="25">
        <f>B80/(A80-2.938)</f>
        <v>49.434433035176099</v>
      </c>
      <c r="D80" s="21">
        <v>3.8</v>
      </c>
      <c r="E80" s="21">
        <f>((3.14159265*((0.00035)^4)*(95.455)*(D80-1.138))/(8*0.0027*276*0.00001))*10^9</f>
        <v>200.93979252159099</v>
      </c>
      <c r="F80" s="25">
        <f>E80/(D80-1.138)</f>
        <v>75.484520105781741</v>
      </c>
      <c r="G80" s="21">
        <v>3.8</v>
      </c>
      <c r="H80" s="21">
        <f>((3.14159265*((0.00035)^4)*(161.15)*(G80-0.838))/(8*0.0027*276*0.00001))*10^9</f>
        <v>377.46316787353629</v>
      </c>
      <c r="I80" s="30">
        <f>H80/(G80-0.838)</f>
        <v>127.4352356088914</v>
      </c>
      <c r="L80" s="20"/>
      <c r="M80" s="20"/>
    </row>
    <row r="81" spans="1:16" x14ac:dyDescent="0.25">
      <c r="G81" s="20"/>
      <c r="H81" s="20"/>
      <c r="L81" s="20"/>
      <c r="M81" s="20"/>
    </row>
    <row r="82" spans="1:16" x14ac:dyDescent="0.25">
      <c r="G82" s="20"/>
      <c r="H82" s="20"/>
      <c r="L82" s="20"/>
      <c r="M82" s="20"/>
    </row>
    <row r="83" spans="1:16" x14ac:dyDescent="0.25">
      <c r="G83" s="20"/>
      <c r="H83" s="20"/>
      <c r="L83" s="20"/>
      <c r="M83" s="20"/>
    </row>
    <row r="84" spans="1:16" x14ac:dyDescent="0.25">
      <c r="A84" s="21" t="s">
        <v>75</v>
      </c>
      <c r="K84" s="20"/>
      <c r="L84" s="20"/>
      <c r="M84" s="20"/>
    </row>
    <row r="85" spans="1:16" x14ac:dyDescent="0.25">
      <c r="C85" s="21" t="s">
        <v>72</v>
      </c>
      <c r="D85" s="21" t="s">
        <v>71</v>
      </c>
      <c r="E85" s="21" t="s">
        <v>65</v>
      </c>
      <c r="K85" s="20"/>
      <c r="L85" s="20"/>
      <c r="M85" s="20"/>
    </row>
    <row r="86" spans="1:16" x14ac:dyDescent="0.25">
      <c r="C86" s="21">
        <v>42.25</v>
      </c>
      <c r="D86" s="21">
        <v>55.49</v>
      </c>
      <c r="E86" s="24">
        <v>58.641821643495376</v>
      </c>
      <c r="K86" s="20"/>
      <c r="L86" s="20"/>
      <c r="M86" s="20"/>
      <c r="N86" s="20"/>
      <c r="O86" s="20"/>
      <c r="P86" s="22"/>
    </row>
    <row r="87" spans="1:16" x14ac:dyDescent="0.25">
      <c r="C87" s="21">
        <v>64</v>
      </c>
      <c r="D87" s="21">
        <v>149.58000000000001</v>
      </c>
      <c r="E87" s="24">
        <v>72.743488996828944</v>
      </c>
      <c r="K87" s="20"/>
      <c r="L87" s="20"/>
      <c r="M87" s="20"/>
      <c r="N87" s="20"/>
      <c r="O87" s="20"/>
      <c r="P87" s="22"/>
    </row>
    <row r="88" spans="1:16" x14ac:dyDescent="0.25">
      <c r="C88" s="21">
        <v>90.25</v>
      </c>
      <c r="D88" s="21">
        <v>333.35</v>
      </c>
      <c r="E88" s="24">
        <v>100.28587829985912</v>
      </c>
      <c r="K88" s="20"/>
      <c r="L88" s="20"/>
      <c r="M88" s="20"/>
      <c r="N88" s="20"/>
      <c r="O88" s="20"/>
      <c r="P88" s="22"/>
    </row>
    <row r="89" spans="1:16" x14ac:dyDescent="0.25">
      <c r="K89" s="20"/>
      <c r="L89" s="20"/>
      <c r="M89" s="20"/>
      <c r="N89" s="20"/>
      <c r="O89" s="20"/>
      <c r="P89" s="22"/>
    </row>
    <row r="90" spans="1:16" x14ac:dyDescent="0.25">
      <c r="K90" s="20"/>
      <c r="L90" s="20"/>
      <c r="M90" s="20"/>
      <c r="N90" s="20"/>
      <c r="O90" s="20"/>
      <c r="P90" s="22"/>
    </row>
    <row r="91" spans="1:16" x14ac:dyDescent="0.25">
      <c r="G91" s="27"/>
      <c r="H91" s="28"/>
      <c r="I91" s="22"/>
      <c r="J91" s="20"/>
      <c r="L91" s="24"/>
      <c r="M91" s="23"/>
      <c r="O91" s="25"/>
      <c r="P91" s="22"/>
    </row>
    <row r="92" spans="1:16" x14ac:dyDescent="0.25">
      <c r="G92" s="27"/>
      <c r="H92" s="28"/>
      <c r="I92" s="22"/>
      <c r="J92" s="20"/>
      <c r="L92" s="24"/>
      <c r="M92" s="23"/>
      <c r="O92" s="25"/>
      <c r="P92" s="22"/>
    </row>
    <row r="93" spans="1:16" x14ac:dyDescent="0.25">
      <c r="G93" s="27"/>
      <c r="H93" s="28"/>
      <c r="I93" s="22"/>
      <c r="J93" s="20"/>
      <c r="L93" s="24"/>
      <c r="M93" s="23"/>
      <c r="O93" s="25"/>
      <c r="P93" s="22"/>
    </row>
    <row r="94" spans="1:16" x14ac:dyDescent="0.25">
      <c r="K94" s="20"/>
      <c r="L94" s="20"/>
      <c r="M94" s="20"/>
      <c r="N94" s="20"/>
      <c r="O94" s="20"/>
      <c r="P94" s="22"/>
    </row>
    <row r="95" spans="1:16" x14ac:dyDescent="0.25">
      <c r="K95" s="20"/>
      <c r="L95" s="20"/>
      <c r="M95" s="20"/>
      <c r="N95" s="20"/>
      <c r="O95" s="20"/>
      <c r="P95" s="22"/>
    </row>
    <row r="96" spans="1:16" x14ac:dyDescent="0.25">
      <c r="K96" s="20"/>
      <c r="L96" s="20"/>
      <c r="M96" s="20"/>
      <c r="N96" s="20"/>
      <c r="O96" s="20"/>
      <c r="P96" s="22"/>
    </row>
    <row r="97" spans="11:16" x14ac:dyDescent="0.25">
      <c r="K97" s="20"/>
      <c r="L97" s="20"/>
      <c r="M97" s="20"/>
      <c r="N97" s="20"/>
      <c r="O97" s="20"/>
      <c r="P97" s="22"/>
    </row>
    <row r="98" spans="11:16" x14ac:dyDescent="0.25">
      <c r="L98" s="20"/>
      <c r="M98" s="20"/>
      <c r="N98" s="22"/>
      <c r="O98" s="22"/>
      <c r="P98" s="22"/>
    </row>
    <row r="99" spans="11:16" x14ac:dyDescent="0.25">
      <c r="L99" s="20"/>
      <c r="M99" s="20"/>
      <c r="N99" s="22"/>
      <c r="O99" s="22"/>
      <c r="P99" s="22"/>
    </row>
    <row r="100" spans="11:16" x14ac:dyDescent="0.25">
      <c r="L100" s="20"/>
      <c r="M100" s="20"/>
      <c r="N100" s="22"/>
      <c r="O100" s="22"/>
      <c r="P100" s="22"/>
    </row>
    <row r="101" spans="11:16" x14ac:dyDescent="0.25">
      <c r="L101" s="20"/>
      <c r="M101" s="20"/>
      <c r="N101" s="22"/>
      <c r="O101" s="22"/>
      <c r="P101" s="22"/>
    </row>
    <row r="102" spans="11:16" x14ac:dyDescent="0.25">
      <c r="L102" s="20"/>
      <c r="M102" s="20"/>
      <c r="N102" s="22"/>
      <c r="O102" s="22"/>
      <c r="P102" s="22"/>
    </row>
    <row r="103" spans="11:16" x14ac:dyDescent="0.25">
      <c r="L103" s="20"/>
      <c r="M103" s="20"/>
      <c r="N103" s="22"/>
      <c r="O103" s="22"/>
      <c r="P103" s="22"/>
    </row>
    <row r="104" spans="11:16" x14ac:dyDescent="0.25">
      <c r="L104" s="20"/>
      <c r="M104" s="20"/>
      <c r="N104" s="22"/>
      <c r="O104" s="22"/>
      <c r="P104" s="22"/>
    </row>
    <row r="105" spans="11:16" x14ac:dyDescent="0.25">
      <c r="L105" s="20"/>
      <c r="M105" s="20"/>
      <c r="N105" s="22"/>
      <c r="O105" s="22"/>
      <c r="P105" s="22"/>
    </row>
    <row r="106" spans="11:16" x14ac:dyDescent="0.25">
      <c r="L106" s="20"/>
      <c r="M106" s="20"/>
      <c r="N106" s="22"/>
      <c r="O106" s="22"/>
      <c r="P106" s="22"/>
    </row>
    <row r="107" spans="11:16" x14ac:dyDescent="0.25">
      <c r="L107" s="20"/>
      <c r="M107" s="20"/>
      <c r="N107" s="22"/>
      <c r="O107" s="22"/>
      <c r="P107" s="22"/>
    </row>
    <row r="108" spans="11:16" x14ac:dyDescent="0.25">
      <c r="L108" s="20"/>
      <c r="M108" s="20"/>
      <c r="N108" s="22"/>
      <c r="O108" s="22"/>
      <c r="P108" s="22"/>
    </row>
    <row r="109" spans="11:16" x14ac:dyDescent="0.25">
      <c r="L109" s="20"/>
      <c r="M109" s="20"/>
      <c r="N109" s="22"/>
      <c r="O109" s="22"/>
      <c r="P109" s="22"/>
    </row>
    <row r="110" spans="11:16" x14ac:dyDescent="0.25">
      <c r="L110" s="20"/>
      <c r="M110" s="20"/>
      <c r="N110" s="22"/>
      <c r="O110" s="22"/>
      <c r="P110" s="22"/>
    </row>
    <row r="111" spans="11:16" x14ac:dyDescent="0.25">
      <c r="L111" s="20"/>
      <c r="M111" s="20"/>
      <c r="N111" s="22"/>
      <c r="O111" s="22"/>
      <c r="P111" s="22"/>
    </row>
    <row r="112" spans="11:16" x14ac:dyDescent="0.25">
      <c r="L112" s="20"/>
      <c r="M112" s="20"/>
      <c r="N112" s="22"/>
      <c r="O112" s="22"/>
      <c r="P112" s="22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4080B5-2C37-4319-83BA-C0DB06D45810}">
  <dimension ref="A1:X35"/>
  <sheetViews>
    <sheetView topLeftCell="A7" workbookViewId="0">
      <selection activeCell="L32" sqref="L32"/>
    </sheetView>
  </sheetViews>
  <sheetFormatPr defaultRowHeight="15" x14ac:dyDescent="0.25"/>
  <cols>
    <col min="1" max="1" width="11.42578125" customWidth="1"/>
    <col min="15" max="15" width="12" bestFit="1" customWidth="1"/>
    <col min="18" max="18" width="9.5703125" customWidth="1"/>
    <col min="19" max="19" width="9.5703125" bestFit="1" customWidth="1"/>
    <col min="20" max="20" width="10.5703125" bestFit="1" customWidth="1"/>
    <col min="21" max="21" width="11.5703125" bestFit="1" customWidth="1"/>
  </cols>
  <sheetData>
    <row r="1" spans="1:24" x14ac:dyDescent="0.25">
      <c r="A1" t="s">
        <v>20</v>
      </c>
    </row>
    <row r="2" spans="1:24" x14ac:dyDescent="0.25">
      <c r="B2" t="s">
        <v>1</v>
      </c>
      <c r="C2" t="s">
        <v>2</v>
      </c>
      <c r="D2" t="s">
        <v>3</v>
      </c>
      <c r="E2" t="s">
        <v>0</v>
      </c>
      <c r="G2" t="s">
        <v>16</v>
      </c>
      <c r="H2" t="s">
        <v>17</v>
      </c>
      <c r="J2" t="s">
        <v>21</v>
      </c>
    </row>
    <row r="3" spans="1:24" x14ac:dyDescent="0.25">
      <c r="B3">
        <v>7.24</v>
      </c>
      <c r="C3">
        <v>228</v>
      </c>
      <c r="D3">
        <f>B3/C3</f>
        <v>3.1754385964912285E-2</v>
      </c>
      <c r="E3">
        <f>B3/C3^2</f>
        <v>1.3927362265312405E-4</v>
      </c>
      <c r="G3" s="7">
        <v>100</v>
      </c>
      <c r="H3">
        <v>4</v>
      </c>
      <c r="J3" s="3">
        <v>177.07</v>
      </c>
      <c r="L3" s="7"/>
      <c r="M3">
        <v>-3.3</v>
      </c>
      <c r="N3" s="2">
        <v>-3.3</v>
      </c>
    </row>
    <row r="4" spans="1:24" x14ac:dyDescent="0.25">
      <c r="B4">
        <v>11.78</v>
      </c>
      <c r="C4">
        <v>266</v>
      </c>
      <c r="D4">
        <f>B4/C4</f>
        <v>4.4285714285714282E-2</v>
      </c>
      <c r="E4">
        <f>B4/C4^2</f>
        <v>1.664876476906552E-4</v>
      </c>
      <c r="G4" s="7">
        <v>179</v>
      </c>
      <c r="H4">
        <v>9</v>
      </c>
      <c r="J4" s="3">
        <v>268.23</v>
      </c>
      <c r="L4" s="7"/>
      <c r="M4">
        <f>-2.7-0.23</f>
        <v>-2.93</v>
      </c>
      <c r="N4" s="2">
        <f>-2.7-0.15</f>
        <v>-2.85</v>
      </c>
    </row>
    <row r="5" spans="1:24" x14ac:dyDescent="0.25">
      <c r="B5">
        <v>18.079999999999998</v>
      </c>
      <c r="C5">
        <v>767</v>
      </c>
      <c r="D5">
        <f>B5/C5</f>
        <v>2.3572359843546282E-2</v>
      </c>
      <c r="E5">
        <f>B5/C5^2</f>
        <v>3.0733194059382372E-5</v>
      </c>
      <c r="G5" s="7">
        <v>241</v>
      </c>
      <c r="H5">
        <v>21</v>
      </c>
      <c r="J5" s="3">
        <v>378.25</v>
      </c>
      <c r="L5" s="7"/>
      <c r="M5">
        <f>M3-M4</f>
        <v>-0.36999999999999966</v>
      </c>
      <c r="N5" s="2">
        <f>N3-N4</f>
        <v>-0.44999999999999973</v>
      </c>
    </row>
    <row r="7" spans="1:24" x14ac:dyDescent="0.25">
      <c r="A7" t="s">
        <v>11</v>
      </c>
      <c r="B7" t="s">
        <v>18</v>
      </c>
    </row>
    <row r="8" spans="1:24" x14ac:dyDescent="0.25">
      <c r="B8" s="11" t="s">
        <v>1</v>
      </c>
      <c r="C8" s="12">
        <v>-4.9000000000000004</v>
      </c>
      <c r="D8" s="12">
        <v>-4.8</v>
      </c>
      <c r="E8" s="12">
        <v>-4.9000000000000004</v>
      </c>
      <c r="F8" s="12"/>
      <c r="G8" s="13">
        <v>-4.8</v>
      </c>
      <c r="J8" s="3"/>
      <c r="K8" s="3"/>
      <c r="L8" s="3"/>
      <c r="M8" s="3"/>
      <c r="N8" s="3"/>
      <c r="O8" s="3"/>
      <c r="P8" s="3"/>
      <c r="Q8" s="8"/>
    </row>
    <row r="9" spans="1:24" x14ac:dyDescent="0.25">
      <c r="B9" s="14" t="s">
        <v>9</v>
      </c>
      <c r="C9" t="s">
        <v>15</v>
      </c>
      <c r="D9" t="s">
        <v>15</v>
      </c>
      <c r="E9" t="s">
        <v>13</v>
      </c>
      <c r="F9" t="s">
        <v>14</v>
      </c>
      <c r="G9" t="s">
        <v>13</v>
      </c>
      <c r="H9" t="s">
        <v>14</v>
      </c>
      <c r="J9" s="3"/>
      <c r="K9" s="3"/>
      <c r="L9" s="3"/>
      <c r="M9" s="3"/>
      <c r="N9" s="3"/>
      <c r="O9" s="3"/>
      <c r="P9" s="3"/>
      <c r="Q9" s="8"/>
      <c r="R9" s="3"/>
      <c r="S9" s="3"/>
    </row>
    <row r="10" spans="1:24" x14ac:dyDescent="0.25">
      <c r="B10" s="15">
        <v>-6.5</v>
      </c>
      <c r="C10" s="3">
        <v>153.12</v>
      </c>
      <c r="D10" s="3">
        <v>79.932000000000002</v>
      </c>
      <c r="E10" s="8">
        <v>3518900</v>
      </c>
      <c r="F10" s="8">
        <v>13989000000000</v>
      </c>
      <c r="G10" s="8">
        <v>2643300</v>
      </c>
      <c r="H10" s="8">
        <v>7302400000000</v>
      </c>
      <c r="J10" s="3"/>
      <c r="K10" s="3"/>
      <c r="L10" s="3"/>
      <c r="M10" s="3"/>
      <c r="N10" s="3"/>
      <c r="O10" s="3"/>
      <c r="P10" s="3"/>
      <c r="Q10" s="8"/>
      <c r="R10" s="3"/>
      <c r="S10" s="3"/>
    </row>
    <row r="11" spans="1:24" x14ac:dyDescent="0.25">
      <c r="B11" s="15">
        <v>-8</v>
      </c>
      <c r="C11" s="3">
        <v>231.95</v>
      </c>
      <c r="D11" s="3">
        <v>121.08</v>
      </c>
      <c r="E11" s="8">
        <v>4331000</v>
      </c>
      <c r="F11" s="8">
        <v>21190000000000</v>
      </c>
      <c r="G11" s="8">
        <v>3253300</v>
      </c>
      <c r="H11" s="8">
        <v>11062000000000</v>
      </c>
      <c r="I11" s="3"/>
      <c r="J11" s="8"/>
      <c r="R11" s="3"/>
      <c r="S11" s="3"/>
    </row>
    <row r="12" spans="1:24" x14ac:dyDescent="0.25">
      <c r="B12" s="16">
        <v>-9.5</v>
      </c>
      <c r="C12" s="3">
        <v>327.08</v>
      </c>
      <c r="D12" s="3">
        <v>170.74</v>
      </c>
      <c r="E12" s="8">
        <v>5143000</v>
      </c>
      <c r="F12" s="8">
        <v>29881000000000</v>
      </c>
      <c r="G12" s="8">
        <v>3863300</v>
      </c>
      <c r="H12" s="8">
        <v>15599000000000</v>
      </c>
      <c r="I12" s="3"/>
      <c r="J12" s="8"/>
      <c r="N12" s="3">
        <v>-6500</v>
      </c>
      <c r="O12" s="3">
        <v>-4.95</v>
      </c>
      <c r="P12" s="3">
        <v>177.07</v>
      </c>
      <c r="Q12" s="8">
        <v>21540000000000</v>
      </c>
      <c r="R12" s="6"/>
      <c r="S12" s="3">
        <v>135</v>
      </c>
      <c r="T12" s="17">
        <f>P12/S12</f>
        <v>1.3116296296296295</v>
      </c>
      <c r="V12" s="6"/>
      <c r="X12" s="2"/>
    </row>
    <row r="13" spans="1:24" x14ac:dyDescent="0.25">
      <c r="C13" s="3"/>
      <c r="H13" s="3"/>
      <c r="I13" s="3"/>
      <c r="J13" s="8"/>
      <c r="N13" s="3">
        <v>-8000</v>
      </c>
      <c r="O13" s="3">
        <v>-4.95</v>
      </c>
      <c r="P13" s="3">
        <v>268.23</v>
      </c>
      <c r="Q13" s="8">
        <v>32629000000000</v>
      </c>
      <c r="R13" s="6"/>
      <c r="S13" s="3">
        <v>220</v>
      </c>
      <c r="T13" s="17">
        <f>P13/S13</f>
        <v>1.2192272727272728</v>
      </c>
      <c r="V13" s="6"/>
      <c r="X13" s="2"/>
    </row>
    <row r="14" spans="1:24" x14ac:dyDescent="0.25">
      <c r="N14" s="3">
        <v>-9500</v>
      </c>
      <c r="O14" s="3">
        <v>-4.95</v>
      </c>
      <c r="P14" s="3">
        <v>378.25</v>
      </c>
      <c r="Q14" s="8">
        <v>46012000000000</v>
      </c>
      <c r="R14" s="6"/>
      <c r="S14" s="3">
        <v>337</v>
      </c>
      <c r="T14" s="17">
        <f>P14/S14</f>
        <v>1.1224035608308605</v>
      </c>
      <c r="V14" s="6"/>
    </row>
    <row r="15" spans="1:24" x14ac:dyDescent="0.25">
      <c r="A15" t="s">
        <v>12</v>
      </c>
      <c r="B15" t="s">
        <v>18</v>
      </c>
      <c r="N15" s="3"/>
      <c r="O15" s="3"/>
      <c r="P15" s="3"/>
      <c r="Q15" s="3"/>
      <c r="R15" s="3"/>
      <c r="S15" s="3"/>
      <c r="T15" s="17"/>
      <c r="U15" s="3"/>
    </row>
    <row r="16" spans="1:24" x14ac:dyDescent="0.25">
      <c r="B16" s="11" t="s">
        <v>1</v>
      </c>
      <c r="C16" s="12">
        <v>-4.9000000000000004</v>
      </c>
      <c r="D16" s="12"/>
      <c r="E16" s="12">
        <v>-4.9000000000000004</v>
      </c>
      <c r="F16" s="12"/>
      <c r="G16" s="13"/>
      <c r="U16" s="3"/>
    </row>
    <row r="17" spans="2:24" x14ac:dyDescent="0.25">
      <c r="B17" s="14" t="s">
        <v>9</v>
      </c>
      <c r="C17" t="s">
        <v>15</v>
      </c>
      <c r="D17" t="s">
        <v>15</v>
      </c>
      <c r="E17" t="s">
        <v>13</v>
      </c>
      <c r="F17" t="s">
        <v>14</v>
      </c>
      <c r="N17" s="3">
        <v>-4500</v>
      </c>
      <c r="O17" s="3">
        <v>-0.15</v>
      </c>
      <c r="P17" s="3">
        <v>40.718000000000004</v>
      </c>
      <c r="Q17" s="3">
        <v>133.53</v>
      </c>
      <c r="R17" s="3">
        <v>100</v>
      </c>
      <c r="S17" s="6">
        <f>Q17/R17</f>
        <v>1.3352999999999999</v>
      </c>
      <c r="U17" s="3"/>
    </row>
    <row r="18" spans="2:24" x14ac:dyDescent="0.25">
      <c r="B18" s="15">
        <v>-6.5</v>
      </c>
      <c r="C18" s="3">
        <v>282.95999999999998</v>
      </c>
      <c r="D18" s="3"/>
      <c r="E18" s="8">
        <v>3570800</v>
      </c>
      <c r="F18" s="8">
        <v>13925000000000</v>
      </c>
      <c r="G18" s="8"/>
      <c r="H18" s="8"/>
      <c r="N18" s="3">
        <v>-4500</v>
      </c>
      <c r="O18" s="3">
        <v>-7.4999999999999997E-2</v>
      </c>
      <c r="P18" s="3">
        <v>24.641999999999999</v>
      </c>
      <c r="Q18" s="3">
        <v>74.271000000000001</v>
      </c>
      <c r="R18" s="3"/>
      <c r="S18" s="6"/>
      <c r="U18" s="3"/>
    </row>
    <row r="19" spans="2:24" x14ac:dyDescent="0.25">
      <c r="B19" s="16">
        <v>-9.5</v>
      </c>
      <c r="C19" s="3">
        <v>604.42999999999995</v>
      </c>
      <c r="D19" s="3"/>
      <c r="E19" s="8">
        <v>5218900</v>
      </c>
      <c r="F19" s="8">
        <v>29745000000000</v>
      </c>
      <c r="G19" s="8"/>
      <c r="H19" s="8"/>
      <c r="I19" s="3"/>
      <c r="J19" s="8"/>
      <c r="N19" s="3">
        <v>-4500</v>
      </c>
      <c r="O19" s="3">
        <v>0</v>
      </c>
      <c r="P19" s="3">
        <v>17.048999999999999</v>
      </c>
      <c r="Q19" s="3">
        <v>47.622999999999998</v>
      </c>
      <c r="R19" s="3"/>
      <c r="S19" s="6"/>
      <c r="T19" s="17"/>
      <c r="U19" s="3"/>
    </row>
    <row r="20" spans="2:24" x14ac:dyDescent="0.25">
      <c r="B20" s="3"/>
      <c r="C20" s="3"/>
      <c r="D20" s="3"/>
      <c r="E20" s="3"/>
      <c r="F20" s="3"/>
      <c r="G20" s="3"/>
      <c r="H20" s="3"/>
      <c r="I20" s="3"/>
      <c r="J20" s="8"/>
      <c r="N20" s="3">
        <v>-6000</v>
      </c>
      <c r="O20" s="3">
        <v>-0.15</v>
      </c>
      <c r="P20" s="3">
        <v>62.128999999999998</v>
      </c>
      <c r="Q20" s="3">
        <v>204.57</v>
      </c>
      <c r="R20" s="3">
        <v>179</v>
      </c>
      <c r="S20" s="6">
        <f>Q20/R20</f>
        <v>1.1428491620111731</v>
      </c>
      <c r="T20" s="17"/>
      <c r="U20" s="3"/>
    </row>
    <row r="21" spans="2:24" x14ac:dyDescent="0.25">
      <c r="C21" s="3"/>
      <c r="D21" s="8"/>
      <c r="E21" s="8"/>
      <c r="F21" s="8"/>
      <c r="G21" s="8"/>
      <c r="H21" s="3"/>
      <c r="I21" s="3"/>
      <c r="J21" s="3"/>
      <c r="K21" s="8"/>
      <c r="N21" s="3">
        <v>-6000</v>
      </c>
      <c r="O21" s="3">
        <v>-7.4999999999999997E-2</v>
      </c>
      <c r="P21" s="3">
        <v>37.404000000000003</v>
      </c>
      <c r="Q21" s="3">
        <v>113.17</v>
      </c>
      <c r="R21" s="3"/>
      <c r="S21" s="6"/>
      <c r="U21" s="3"/>
      <c r="V21" s="3"/>
      <c r="W21" s="3"/>
      <c r="X21" s="3"/>
    </row>
    <row r="22" spans="2:24" x14ac:dyDescent="0.25">
      <c r="B22" s="3">
        <v>-6500</v>
      </c>
      <c r="C22" s="3">
        <v>-4.9000000000000004</v>
      </c>
      <c r="D22" s="3"/>
      <c r="E22" s="3"/>
      <c r="F22" s="3"/>
      <c r="G22" s="3"/>
      <c r="H22" s="3"/>
      <c r="I22" s="8"/>
      <c r="J22" s="3">
        <v>115</v>
      </c>
      <c r="K22" s="3">
        <v>81.858999999999995</v>
      </c>
      <c r="L22" s="3">
        <v>33.145000000000003</v>
      </c>
      <c r="N22" s="3">
        <v>-6000</v>
      </c>
      <c r="O22" s="3">
        <v>0</v>
      </c>
      <c r="P22" s="3">
        <v>25.754000000000001</v>
      </c>
      <c r="Q22" s="3">
        <v>72.099000000000004</v>
      </c>
      <c r="R22" s="3"/>
      <c r="S22" s="6"/>
      <c r="T22" s="3"/>
      <c r="U22" s="3"/>
      <c r="V22" s="3"/>
      <c r="W22" s="3"/>
      <c r="X22" s="3"/>
    </row>
    <row r="23" spans="2:24" x14ac:dyDescent="0.25">
      <c r="B23" s="3">
        <v>-8000</v>
      </c>
      <c r="C23" s="3">
        <v>-4.9000000000000004</v>
      </c>
      <c r="D23" s="3"/>
      <c r="E23" s="3"/>
      <c r="F23" s="3"/>
      <c r="G23" s="3"/>
      <c r="H23" s="3"/>
      <c r="I23" s="8"/>
      <c r="J23" s="3">
        <v>174.21</v>
      </c>
      <c r="K23" s="3">
        <v>124</v>
      </c>
      <c r="L23" s="3">
        <v>50.207999999999998</v>
      </c>
      <c r="N23" s="3">
        <v>-7500</v>
      </c>
      <c r="O23" s="3">
        <v>-0.15</v>
      </c>
      <c r="P23" s="3">
        <v>88.05</v>
      </c>
      <c r="Q23" s="3">
        <v>290.73</v>
      </c>
      <c r="R23" s="3">
        <v>241</v>
      </c>
      <c r="S23" s="6">
        <f>Q23/R23</f>
        <v>1.2063485477178424</v>
      </c>
    </row>
    <row r="24" spans="2:24" x14ac:dyDescent="0.25">
      <c r="B24" s="3">
        <v>-9500</v>
      </c>
      <c r="C24" s="3">
        <v>-4.9000000000000004</v>
      </c>
      <c r="D24" s="3"/>
      <c r="E24" s="3"/>
      <c r="F24" s="3"/>
      <c r="G24" s="3"/>
      <c r="H24" s="3"/>
      <c r="I24" s="8"/>
      <c r="J24" s="3">
        <v>245.66</v>
      </c>
      <c r="K24" s="3">
        <v>174.86</v>
      </c>
      <c r="L24" s="3">
        <v>70.801000000000002</v>
      </c>
      <c r="N24" s="3">
        <v>-7500</v>
      </c>
      <c r="O24" s="3">
        <v>-7.4999999999999997E-2</v>
      </c>
      <c r="P24" s="3">
        <v>52.822000000000003</v>
      </c>
      <c r="Q24" s="3">
        <v>160.25</v>
      </c>
      <c r="R24" s="3"/>
      <c r="U24" s="3"/>
    </row>
    <row r="25" spans="2:24" x14ac:dyDescent="0.25">
      <c r="N25" s="3">
        <v>-7500</v>
      </c>
      <c r="O25" s="3">
        <v>0</v>
      </c>
      <c r="P25" s="3">
        <v>36.247</v>
      </c>
      <c r="Q25" s="3">
        <v>101.65</v>
      </c>
      <c r="R25" s="3"/>
    </row>
    <row r="27" spans="2:24" x14ac:dyDescent="0.25">
      <c r="N27" s="3">
        <v>-4500</v>
      </c>
      <c r="O27" s="3">
        <v>-0.15</v>
      </c>
      <c r="P27" s="3">
        <v>40.718000000000004</v>
      </c>
      <c r="Q27" s="3">
        <v>133.53</v>
      </c>
    </row>
    <row r="28" spans="2:24" x14ac:dyDescent="0.25">
      <c r="N28" s="3">
        <v>-4500</v>
      </c>
      <c r="O28" s="3">
        <v>-7.4999999999999997E-2</v>
      </c>
      <c r="P28" s="3">
        <v>24.641999999999999</v>
      </c>
      <c r="Q28" s="3">
        <v>74.271000000000001</v>
      </c>
    </row>
    <row r="29" spans="2:24" x14ac:dyDescent="0.25">
      <c r="N29" s="3">
        <v>-4500</v>
      </c>
      <c r="O29" s="3">
        <v>0</v>
      </c>
      <c r="P29" s="3">
        <v>17.048999999999999</v>
      </c>
      <c r="Q29" s="3">
        <v>47.622999999999998</v>
      </c>
    </row>
    <row r="30" spans="2:24" x14ac:dyDescent="0.25">
      <c r="N30" s="3">
        <v>-6000</v>
      </c>
      <c r="O30" s="3">
        <v>-0.15</v>
      </c>
      <c r="P30" s="3">
        <v>62.128999999999998</v>
      </c>
      <c r="Q30" s="3">
        <v>204.57</v>
      </c>
      <c r="R30" s="8">
        <v>2879800</v>
      </c>
      <c r="S30" s="8">
        <v>3172800</v>
      </c>
    </row>
    <row r="31" spans="2:24" x14ac:dyDescent="0.25">
      <c r="N31" s="3">
        <v>-6000</v>
      </c>
      <c r="O31" s="3">
        <v>-7.4999999999999997E-2</v>
      </c>
      <c r="P31" s="3">
        <v>37.404000000000003</v>
      </c>
      <c r="Q31" s="3">
        <v>113.17</v>
      </c>
      <c r="R31" s="8">
        <v>3544400</v>
      </c>
      <c r="S31" s="8">
        <v>3905000</v>
      </c>
    </row>
    <row r="32" spans="2:24" x14ac:dyDescent="0.25">
      <c r="N32" s="3">
        <v>-6000</v>
      </c>
      <c r="O32" s="3">
        <v>0</v>
      </c>
      <c r="P32" s="3">
        <v>25.754000000000001</v>
      </c>
      <c r="Q32" s="3">
        <v>72.099000000000004</v>
      </c>
      <c r="R32" s="8">
        <v>4208900</v>
      </c>
      <c r="S32" s="8">
        <v>4637200</v>
      </c>
    </row>
    <row r="33" spans="14:17" x14ac:dyDescent="0.25">
      <c r="N33" s="3">
        <v>-7500</v>
      </c>
      <c r="O33" s="3">
        <v>-0.15</v>
      </c>
      <c r="P33" s="3">
        <v>88.05</v>
      </c>
      <c r="Q33" s="3">
        <v>290.73</v>
      </c>
    </row>
    <row r="34" spans="14:17" x14ac:dyDescent="0.25">
      <c r="N34" s="3">
        <v>-7500</v>
      </c>
      <c r="O34" s="3">
        <v>-7.4999999999999997E-2</v>
      </c>
      <c r="P34" s="3">
        <v>52.822000000000003</v>
      </c>
      <c r="Q34" s="3">
        <v>160.25</v>
      </c>
    </row>
    <row r="35" spans="14:17" x14ac:dyDescent="0.25">
      <c r="N35" s="3">
        <v>-7500</v>
      </c>
      <c r="O35" s="3">
        <v>0</v>
      </c>
      <c r="P35" s="3">
        <v>36.247</v>
      </c>
      <c r="Q35" s="3">
        <v>101.65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54E631-1BB5-4BA6-9736-EE4754654A62}">
  <dimension ref="A1:AO135"/>
  <sheetViews>
    <sheetView topLeftCell="A16" zoomScale="70" zoomScaleNormal="70" workbookViewId="0">
      <selection activeCell="W43" sqref="W43"/>
    </sheetView>
  </sheetViews>
  <sheetFormatPr defaultRowHeight="15" x14ac:dyDescent="0.25"/>
  <cols>
    <col min="1" max="1" width="11.42578125" customWidth="1"/>
    <col min="3" max="4" width="11.5703125" bestFit="1" customWidth="1"/>
    <col min="5" max="5" width="12" bestFit="1" customWidth="1"/>
    <col min="9" max="9" width="12.140625" bestFit="1" customWidth="1"/>
    <col min="15" max="15" width="12" bestFit="1" customWidth="1"/>
    <col min="18" max="18" width="9.5703125" customWidth="1"/>
    <col min="19" max="19" width="9.5703125" bestFit="1" customWidth="1"/>
    <col min="20" max="20" width="12.28515625" bestFit="1" customWidth="1"/>
    <col min="21" max="21" width="11.5703125" bestFit="1" customWidth="1"/>
    <col min="24" max="24" width="9.28515625" bestFit="1" customWidth="1"/>
    <col min="25" max="26" width="9.42578125" bestFit="1" customWidth="1"/>
    <col min="27" max="27" width="10.5703125" bestFit="1" customWidth="1"/>
    <col min="28" max="33" width="9.28515625" bestFit="1" customWidth="1"/>
  </cols>
  <sheetData>
    <row r="1" spans="1:24" x14ac:dyDescent="0.25">
      <c r="A1" t="s">
        <v>10</v>
      </c>
    </row>
    <row r="2" spans="1:24" x14ac:dyDescent="0.25">
      <c r="B2" t="s">
        <v>1</v>
      </c>
      <c r="C2" t="s">
        <v>2</v>
      </c>
      <c r="D2" t="s">
        <v>31</v>
      </c>
      <c r="E2" t="s">
        <v>0</v>
      </c>
      <c r="G2" t="s">
        <v>16</v>
      </c>
      <c r="H2" t="s">
        <v>17</v>
      </c>
      <c r="J2" t="s">
        <v>24</v>
      </c>
      <c r="N2" t="s">
        <v>26</v>
      </c>
      <c r="O2" t="s">
        <v>25</v>
      </c>
      <c r="Q2" t="s">
        <v>27</v>
      </c>
      <c r="R2" t="s">
        <v>28</v>
      </c>
      <c r="S2" t="s">
        <v>29</v>
      </c>
    </row>
    <row r="3" spans="1:24" x14ac:dyDescent="0.25">
      <c r="B3">
        <v>7.24</v>
      </c>
      <c r="C3">
        <v>228</v>
      </c>
      <c r="D3">
        <f>B3/C3</f>
        <v>3.1754385964912285E-2</v>
      </c>
      <c r="E3" s="2">
        <f>B3/C3^2</f>
        <v>1.3927362265312405E-4</v>
      </c>
      <c r="G3" s="7">
        <f>1900*9.81*B3*0.001</f>
        <v>134.94636000000003</v>
      </c>
      <c r="H3">
        <v>4</v>
      </c>
      <c r="J3" s="3">
        <v>177.07</v>
      </c>
      <c r="L3" s="6">
        <f>J3/(G3+H3)</f>
        <v>1.2743766731276729</v>
      </c>
      <c r="N3" s="8">
        <v>4165600</v>
      </c>
      <c r="O3" s="5">
        <f>1000*J3/(9.81*1900)</f>
        <v>9.4999731745265308</v>
      </c>
      <c r="Q3" s="8">
        <v>1.1041999999999999E-6</v>
      </c>
      <c r="R3" s="2">
        <f>J3*Q3</f>
        <v>1.9552069399999999E-4</v>
      </c>
      <c r="S3" s="2">
        <f>Q3*1900*9.81*B3*0.001</f>
        <v>1.4900777071199999E-4</v>
      </c>
    </row>
    <row r="4" spans="1:24" x14ac:dyDescent="0.25">
      <c r="B4">
        <v>11.78</v>
      </c>
      <c r="C4">
        <v>266</v>
      </c>
      <c r="D4">
        <f>B4/C4</f>
        <v>4.4285714285714282E-2</v>
      </c>
      <c r="E4" s="2">
        <f>B4/C4^2</f>
        <v>1.664876476906552E-4</v>
      </c>
      <c r="G4" s="7">
        <f>1900*9.81*B4*0.001</f>
        <v>219.56742</v>
      </c>
      <c r="H4">
        <v>9</v>
      </c>
      <c r="J4" s="3">
        <v>268.23</v>
      </c>
      <c r="L4" s="6">
        <f>J4/(G4+H4)</f>
        <v>1.1735268307267939</v>
      </c>
      <c r="N4" s="8">
        <v>5126900</v>
      </c>
      <c r="O4" s="5">
        <f>1000*J4/(9.81*1900)</f>
        <v>14.39079349750523</v>
      </c>
      <c r="Q4" s="8">
        <v>1.1041999999999999E-6</v>
      </c>
      <c r="R4" s="2">
        <f>J4*Q4</f>
        <v>2.96179566E-4</v>
      </c>
      <c r="S4" s="2">
        <f>Q4*1900*9.81*B4*0.001</f>
        <v>2.42446345164E-4</v>
      </c>
    </row>
    <row r="5" spans="1:24" x14ac:dyDescent="0.25">
      <c r="B5">
        <v>18.079999999999998</v>
      </c>
      <c r="C5">
        <v>767</v>
      </c>
      <c r="D5">
        <f>B5/C5</f>
        <v>2.3572359843546282E-2</v>
      </c>
      <c r="E5" s="2">
        <f>B5/C5^2</f>
        <v>3.0733194059382372E-5</v>
      </c>
      <c r="G5" s="7">
        <f>1900*9.81*B5*0.001</f>
        <v>336.99311999999998</v>
      </c>
      <c r="H5">
        <v>21</v>
      </c>
      <c r="J5" s="3">
        <v>378.25</v>
      </c>
      <c r="L5" s="6">
        <f>J5/(G5+H5)</f>
        <v>1.0565845511220999</v>
      </c>
      <c r="N5" s="8">
        <v>6088200</v>
      </c>
      <c r="O5" s="5">
        <f>1000*J5/(9.81*1900)</f>
        <v>20.293470679757498</v>
      </c>
      <c r="Q5" s="8">
        <v>1.1041999999999999E-6</v>
      </c>
      <c r="R5" s="2">
        <f>J5*Q5</f>
        <v>4.1766364999999998E-4</v>
      </c>
      <c r="S5" s="2">
        <f>Q5*1900*9.81*B5*0.001</f>
        <v>3.7210780310399996E-4</v>
      </c>
    </row>
    <row r="7" spans="1:24" x14ac:dyDescent="0.25">
      <c r="A7" t="s">
        <v>11</v>
      </c>
      <c r="B7" t="s">
        <v>18</v>
      </c>
    </row>
    <row r="8" spans="1:24" x14ac:dyDescent="0.25">
      <c r="B8" s="11" t="s">
        <v>1</v>
      </c>
      <c r="C8" s="12">
        <v>-4.95</v>
      </c>
      <c r="D8" s="12">
        <v>-4.9000000000000004</v>
      </c>
      <c r="E8" s="12">
        <v>-4.95</v>
      </c>
      <c r="F8" s="12"/>
      <c r="G8" s="13">
        <v>-4.95</v>
      </c>
      <c r="J8" s="3"/>
      <c r="K8" s="3"/>
      <c r="L8" s="3"/>
      <c r="M8" s="3"/>
      <c r="N8" s="3"/>
      <c r="O8" s="3"/>
      <c r="P8" s="3"/>
      <c r="Q8" s="3"/>
      <c r="R8" s="8"/>
      <c r="T8" s="2"/>
    </row>
    <row r="9" spans="1:24" x14ac:dyDescent="0.25">
      <c r="B9" s="14" t="s">
        <v>9</v>
      </c>
      <c r="C9" t="s">
        <v>15</v>
      </c>
      <c r="D9" t="s">
        <v>15</v>
      </c>
      <c r="E9" t="s">
        <v>13</v>
      </c>
      <c r="F9" t="s">
        <v>14</v>
      </c>
      <c r="G9" t="s">
        <v>13</v>
      </c>
      <c r="H9" t="s">
        <v>14</v>
      </c>
      <c r="J9" s="3"/>
      <c r="K9" s="3"/>
      <c r="L9" s="3"/>
      <c r="M9" s="3"/>
      <c r="N9" s="3"/>
      <c r="O9" s="3"/>
      <c r="P9" s="3"/>
      <c r="Q9" s="8"/>
      <c r="R9" s="3"/>
      <c r="S9" s="3"/>
    </row>
    <row r="10" spans="1:24" x14ac:dyDescent="0.25">
      <c r="B10" s="15">
        <v>-6.5</v>
      </c>
      <c r="C10" s="3">
        <v>153.12</v>
      </c>
      <c r="D10" s="3">
        <v>79.932000000000002</v>
      </c>
      <c r="E10" s="8">
        <v>3518900</v>
      </c>
      <c r="F10" s="8">
        <v>13989000000000</v>
      </c>
      <c r="G10" s="8">
        <v>2643300</v>
      </c>
      <c r="H10" s="8">
        <v>7302400000000</v>
      </c>
      <c r="J10" s="3"/>
      <c r="K10" s="3"/>
      <c r="L10" s="3"/>
      <c r="M10" s="3"/>
      <c r="N10" s="3"/>
      <c r="O10" s="8"/>
      <c r="P10" s="8"/>
      <c r="Q10" s="8"/>
      <c r="R10" s="8"/>
      <c r="S10" s="8"/>
    </row>
    <row r="11" spans="1:24" x14ac:dyDescent="0.25">
      <c r="B11" s="15">
        <v>-8</v>
      </c>
      <c r="C11" s="3">
        <v>231.95</v>
      </c>
      <c r="D11" s="3">
        <v>121.08</v>
      </c>
      <c r="E11" s="8">
        <v>4331000</v>
      </c>
      <c r="F11" s="8">
        <v>21190000000000</v>
      </c>
      <c r="G11" s="8">
        <v>3253300</v>
      </c>
      <c r="H11" s="8">
        <v>11062000000000</v>
      </c>
      <c r="I11" s="3"/>
      <c r="J11" s="8"/>
      <c r="R11" s="3"/>
      <c r="S11" s="3"/>
    </row>
    <row r="12" spans="1:24" x14ac:dyDescent="0.25">
      <c r="B12" s="16">
        <v>-9.5</v>
      </c>
      <c r="C12" s="3">
        <v>327.08</v>
      </c>
      <c r="D12" s="3">
        <v>170.74</v>
      </c>
      <c r="E12" s="8">
        <v>5143000</v>
      </c>
      <c r="F12" s="8">
        <v>29881000000000</v>
      </c>
      <c r="G12" s="8">
        <v>3863300</v>
      </c>
      <c r="H12" s="8">
        <v>15599000000000</v>
      </c>
      <c r="I12" s="3"/>
      <c r="J12" s="8"/>
      <c r="N12" s="3">
        <v>-6500</v>
      </c>
      <c r="O12" s="3">
        <v>-4.95</v>
      </c>
      <c r="P12" s="3">
        <v>177.07</v>
      </c>
      <c r="Q12" s="8">
        <v>21540000000000</v>
      </c>
      <c r="R12" s="6"/>
      <c r="S12" s="3">
        <v>135</v>
      </c>
      <c r="T12" s="17">
        <f>P12/S12</f>
        <v>1.3116296296296295</v>
      </c>
      <c r="V12" s="6"/>
      <c r="X12" s="2"/>
    </row>
    <row r="13" spans="1:24" x14ac:dyDescent="0.25">
      <c r="C13" s="3"/>
      <c r="H13" s="3"/>
      <c r="I13" s="3"/>
      <c r="J13" s="8"/>
      <c r="N13" s="3">
        <v>-8000</v>
      </c>
      <c r="O13" s="3">
        <v>-4.95</v>
      </c>
      <c r="P13" s="3">
        <v>268.23</v>
      </c>
      <c r="Q13" s="8">
        <v>32629000000000</v>
      </c>
      <c r="R13" s="6"/>
      <c r="S13" s="3">
        <v>220</v>
      </c>
      <c r="T13" s="17">
        <f>P13/S13</f>
        <v>1.2192272727272728</v>
      </c>
      <c r="V13" s="6"/>
      <c r="X13" s="2"/>
    </row>
    <row r="14" spans="1:24" x14ac:dyDescent="0.25">
      <c r="N14" s="3">
        <v>-9500</v>
      </c>
      <c r="O14" s="3">
        <v>-4.95</v>
      </c>
      <c r="P14" s="3">
        <v>378.25</v>
      </c>
      <c r="Q14" s="8">
        <v>46012000000000</v>
      </c>
      <c r="R14" s="6"/>
      <c r="S14" s="3">
        <v>337</v>
      </c>
      <c r="T14" s="17">
        <f>P14/S14</f>
        <v>1.1224035608308605</v>
      </c>
      <c r="V14" s="6"/>
    </row>
    <row r="15" spans="1:24" x14ac:dyDescent="0.25">
      <c r="A15" t="s">
        <v>12</v>
      </c>
      <c r="B15" t="s">
        <v>18</v>
      </c>
      <c r="N15" s="3"/>
      <c r="O15" s="3"/>
      <c r="P15" s="3"/>
      <c r="Q15" s="3"/>
      <c r="R15" s="3"/>
      <c r="S15" s="3"/>
      <c r="T15" s="17"/>
      <c r="U15" s="3"/>
    </row>
    <row r="16" spans="1:24" x14ac:dyDescent="0.25">
      <c r="B16" s="11" t="s">
        <v>1</v>
      </c>
      <c r="C16" s="12">
        <v>-4.9000000000000004</v>
      </c>
      <c r="D16" s="12"/>
      <c r="E16" s="12">
        <v>-4.9000000000000004</v>
      </c>
      <c r="F16" s="12"/>
      <c r="G16" s="13"/>
      <c r="U16" s="3"/>
    </row>
    <row r="17" spans="1:24" x14ac:dyDescent="0.25">
      <c r="B17" s="14" t="s">
        <v>9</v>
      </c>
      <c r="C17" t="s">
        <v>15</v>
      </c>
      <c r="D17" t="s">
        <v>15</v>
      </c>
      <c r="E17" t="s">
        <v>13</v>
      </c>
      <c r="F17" t="s">
        <v>14</v>
      </c>
      <c r="N17" s="3">
        <v>-6500</v>
      </c>
      <c r="O17" s="3">
        <v>-4.95</v>
      </c>
      <c r="P17" s="3">
        <v>177.07</v>
      </c>
      <c r="Q17" s="3">
        <v>126.13</v>
      </c>
      <c r="R17" s="3">
        <v>50.942999999999998</v>
      </c>
      <c r="U17" s="3"/>
    </row>
    <row r="18" spans="1:24" x14ac:dyDescent="0.25">
      <c r="B18" s="15">
        <v>-6.5</v>
      </c>
      <c r="C18" s="3">
        <v>282.95999999999998</v>
      </c>
      <c r="D18" s="3"/>
      <c r="E18" s="8">
        <v>3570800</v>
      </c>
      <c r="F18" s="8">
        <v>13925000000000</v>
      </c>
      <c r="G18" s="8"/>
      <c r="H18" s="8"/>
      <c r="N18" s="3">
        <v>-6500</v>
      </c>
      <c r="O18" s="3">
        <v>-4.9249999999999998</v>
      </c>
      <c r="P18" s="3">
        <v>139.59</v>
      </c>
      <c r="Q18" s="3">
        <v>99.353999999999999</v>
      </c>
      <c r="R18" s="3">
        <v>40.235999999999997</v>
      </c>
      <c r="S18">
        <f>AVERAGE(P17:P19)</f>
        <v>143.84</v>
      </c>
      <c r="T18">
        <f>P17-P19</f>
        <v>62.209999999999994</v>
      </c>
      <c r="U18" s="3"/>
    </row>
    <row r="19" spans="1:24" x14ac:dyDescent="0.25">
      <c r="B19" s="16">
        <v>-9.5</v>
      </c>
      <c r="C19" s="3">
        <v>604.42999999999995</v>
      </c>
      <c r="D19" s="3"/>
      <c r="E19" s="8">
        <v>5218900</v>
      </c>
      <c r="F19" s="8">
        <v>29745000000000</v>
      </c>
      <c r="G19" s="8"/>
      <c r="H19" s="8"/>
      <c r="I19" s="3"/>
      <c r="J19" s="8"/>
      <c r="N19" s="3">
        <v>-6500</v>
      </c>
      <c r="O19" s="3">
        <v>-4.9000000000000004</v>
      </c>
      <c r="P19" s="3">
        <v>114.86</v>
      </c>
      <c r="Q19" s="3">
        <v>81.712999999999994</v>
      </c>
      <c r="R19" s="3">
        <v>33.143000000000001</v>
      </c>
      <c r="S19" s="3"/>
      <c r="T19" s="17"/>
      <c r="U19" s="3"/>
    </row>
    <row r="20" spans="1:24" x14ac:dyDescent="0.25">
      <c r="B20" s="3"/>
      <c r="C20" s="3"/>
      <c r="D20" s="3"/>
      <c r="E20" s="3"/>
      <c r="F20" s="3"/>
      <c r="G20" s="3"/>
      <c r="H20" s="3"/>
      <c r="I20" s="3"/>
      <c r="J20" s="8"/>
      <c r="N20" s="3">
        <v>-8000</v>
      </c>
      <c r="O20" s="3">
        <v>-4.95</v>
      </c>
      <c r="P20" s="3">
        <v>268.23</v>
      </c>
      <c r="Q20" s="3">
        <v>191.06</v>
      </c>
      <c r="R20" s="3">
        <v>77.168000000000006</v>
      </c>
      <c r="S20" s="3"/>
      <c r="T20" s="17"/>
      <c r="U20" s="3"/>
    </row>
    <row r="21" spans="1:24" x14ac:dyDescent="0.25">
      <c r="C21" s="3"/>
      <c r="D21" s="8"/>
      <c r="E21" s="8"/>
      <c r="F21" s="8"/>
      <c r="G21" s="8"/>
      <c r="H21" s="3"/>
      <c r="I21" s="3"/>
      <c r="J21" s="3"/>
      <c r="K21" s="8"/>
      <c r="N21" s="3">
        <v>-8000</v>
      </c>
      <c r="O21" s="3">
        <v>-4.9249999999999998</v>
      </c>
      <c r="P21" s="3">
        <v>211.45</v>
      </c>
      <c r="Q21" s="3">
        <v>150.5</v>
      </c>
      <c r="R21" s="3">
        <v>60.948999999999998</v>
      </c>
      <c r="S21">
        <f>AVERAGE(P20:P22)</f>
        <v>217.88666666666666</v>
      </c>
      <c r="T21">
        <f>P20-P22</f>
        <v>94.250000000000028</v>
      </c>
      <c r="U21" s="3"/>
      <c r="V21" s="3"/>
      <c r="W21" s="3"/>
      <c r="X21" s="3"/>
    </row>
    <row r="22" spans="1:24" x14ac:dyDescent="0.25">
      <c r="B22" s="3">
        <v>-6500</v>
      </c>
      <c r="C22" s="3">
        <v>-4.9000000000000004</v>
      </c>
      <c r="D22" s="3"/>
      <c r="E22" s="3"/>
      <c r="F22" s="3"/>
      <c r="G22" s="3"/>
      <c r="H22" s="3"/>
      <c r="I22" s="8"/>
      <c r="J22" s="3"/>
      <c r="K22" s="3"/>
      <c r="L22" s="3"/>
      <c r="N22" s="3">
        <v>-8000</v>
      </c>
      <c r="O22" s="3">
        <v>-4.9000000000000004</v>
      </c>
      <c r="P22" s="3">
        <v>173.98</v>
      </c>
      <c r="Q22" s="3">
        <v>123.78</v>
      </c>
      <c r="R22" s="3">
        <v>50.204000000000001</v>
      </c>
      <c r="S22" s="3"/>
      <c r="T22" s="3"/>
      <c r="U22" s="3"/>
      <c r="V22" s="3"/>
      <c r="W22" s="3"/>
      <c r="X22" s="3"/>
    </row>
    <row r="23" spans="1:24" x14ac:dyDescent="0.25">
      <c r="B23" s="3">
        <v>-8000</v>
      </c>
      <c r="C23" s="3">
        <v>-4.9000000000000004</v>
      </c>
      <c r="D23" s="3"/>
      <c r="E23" s="3"/>
      <c r="F23" s="3"/>
      <c r="G23" s="3"/>
      <c r="H23" s="3"/>
      <c r="I23" s="8"/>
      <c r="J23" s="3"/>
      <c r="K23" s="3"/>
      <c r="L23" s="3"/>
      <c r="N23" s="3">
        <v>-9500</v>
      </c>
      <c r="O23" s="3">
        <v>-4.95</v>
      </c>
      <c r="P23" s="3">
        <v>378.25</v>
      </c>
      <c r="Q23" s="3">
        <v>269.43</v>
      </c>
      <c r="R23" s="3">
        <v>108.82</v>
      </c>
    </row>
    <row r="24" spans="1:24" x14ac:dyDescent="0.25">
      <c r="B24" s="3">
        <v>-9500</v>
      </c>
      <c r="C24" s="3">
        <v>-4.9000000000000004</v>
      </c>
      <c r="D24" s="3"/>
      <c r="E24" s="3"/>
      <c r="F24" s="3"/>
      <c r="G24" s="3"/>
      <c r="H24" s="3"/>
      <c r="I24" s="8"/>
      <c r="J24" s="3"/>
      <c r="K24" s="3"/>
      <c r="L24" s="3"/>
      <c r="N24" s="3">
        <v>-9500</v>
      </c>
      <c r="O24" s="3">
        <v>-4.9249999999999998</v>
      </c>
      <c r="P24" s="3">
        <v>298.18</v>
      </c>
      <c r="Q24" s="3">
        <v>212.23</v>
      </c>
      <c r="R24" s="3">
        <v>85.947000000000003</v>
      </c>
      <c r="S24">
        <f>AVERAGE(P23:P25)</f>
        <v>307.25666666666672</v>
      </c>
      <c r="T24">
        <f>P23-P25</f>
        <v>132.91</v>
      </c>
      <c r="U24" s="3"/>
    </row>
    <row r="25" spans="1:24" x14ac:dyDescent="0.25">
      <c r="N25" s="3">
        <v>-9500</v>
      </c>
      <c r="O25" s="3">
        <v>-4.9000000000000004</v>
      </c>
      <c r="P25" s="3">
        <v>245.34</v>
      </c>
      <c r="Q25" s="3">
        <v>174.55</v>
      </c>
      <c r="R25" s="3">
        <v>70.796000000000006</v>
      </c>
    </row>
    <row r="29" spans="1:24" x14ac:dyDescent="0.25">
      <c r="A29" s="6"/>
      <c r="B29" s="6"/>
      <c r="C29" s="17"/>
      <c r="D29" s="17"/>
      <c r="E29" s="17"/>
      <c r="F29" s="2"/>
      <c r="G29" s="6"/>
      <c r="H29" s="17"/>
      <c r="O29" t="s">
        <v>19</v>
      </c>
      <c r="P29" t="s">
        <v>8</v>
      </c>
      <c r="Q29" t="s">
        <v>22</v>
      </c>
      <c r="R29" t="s">
        <v>23</v>
      </c>
    </row>
    <row r="30" spans="1:24" x14ac:dyDescent="0.25">
      <c r="A30" s="17"/>
      <c r="B30" s="6"/>
      <c r="C30" s="17"/>
      <c r="D30" s="17"/>
      <c r="E30" s="17"/>
      <c r="F30" s="2"/>
      <c r="G30" s="6"/>
      <c r="H30" s="17"/>
      <c r="N30" s="3">
        <v>-6500</v>
      </c>
      <c r="O30" s="8">
        <v>4165600</v>
      </c>
      <c r="P30" s="8">
        <v>21540000000000</v>
      </c>
      <c r="Q30" s="8">
        <v>3003700</v>
      </c>
      <c r="R30" s="8">
        <v>2879800</v>
      </c>
      <c r="S30" s="8"/>
    </row>
    <row r="31" spans="1:24" x14ac:dyDescent="0.25">
      <c r="A31" s="17"/>
      <c r="B31" s="6"/>
      <c r="C31" s="17"/>
      <c r="D31" s="17"/>
      <c r="E31" s="17"/>
      <c r="F31" s="2"/>
      <c r="G31" s="6"/>
      <c r="H31" s="17"/>
      <c r="L31" s="2"/>
      <c r="N31" s="3">
        <v>-8000</v>
      </c>
      <c r="O31" s="8">
        <v>5126900</v>
      </c>
      <c r="P31" s="8">
        <v>32629000000000</v>
      </c>
      <c r="Q31" s="8">
        <v>3696900</v>
      </c>
      <c r="R31" s="8">
        <v>3544400</v>
      </c>
      <c r="S31" s="8"/>
    </row>
    <row r="32" spans="1:24" x14ac:dyDescent="0.25">
      <c r="A32" s="17"/>
      <c r="B32" s="6"/>
      <c r="C32" s="17"/>
      <c r="D32" s="17"/>
      <c r="E32" s="17"/>
      <c r="F32" s="2"/>
      <c r="G32" s="6"/>
      <c r="H32" s="17"/>
      <c r="N32" s="3">
        <v>-9500</v>
      </c>
      <c r="O32" s="8">
        <v>6088200</v>
      </c>
      <c r="P32" s="8">
        <v>46012000000000</v>
      </c>
      <c r="Q32" s="8">
        <v>4390100</v>
      </c>
      <c r="R32" s="8">
        <v>4208900</v>
      </c>
      <c r="S32" s="8"/>
    </row>
    <row r="33" spans="1:40" x14ac:dyDescent="0.25">
      <c r="A33" s="17"/>
      <c r="B33" s="6"/>
      <c r="C33" s="17"/>
      <c r="D33" s="17"/>
      <c r="E33" s="17"/>
      <c r="G33" s="6"/>
      <c r="H33" s="17"/>
    </row>
    <row r="34" spans="1:40" x14ac:dyDescent="0.25">
      <c r="A34" s="17"/>
      <c r="B34" s="6"/>
      <c r="C34" s="17"/>
      <c r="D34" s="17" t="s">
        <v>49</v>
      </c>
      <c r="E34" s="17"/>
      <c r="G34" s="6"/>
      <c r="H34" s="17"/>
      <c r="J34" t="s">
        <v>50</v>
      </c>
      <c r="M34" t="s">
        <v>51</v>
      </c>
      <c r="Y34" t="s">
        <v>47</v>
      </c>
      <c r="AB34" t="s">
        <v>55</v>
      </c>
      <c r="AE34" t="s">
        <v>56</v>
      </c>
    </row>
    <row r="35" spans="1:40" x14ac:dyDescent="0.25">
      <c r="B35" t="s">
        <v>45</v>
      </c>
      <c r="C35" t="s">
        <v>34</v>
      </c>
      <c r="D35" t="s">
        <v>39</v>
      </c>
      <c r="E35" t="s">
        <v>40</v>
      </c>
      <c r="F35" t="s">
        <v>41</v>
      </c>
      <c r="G35" t="s">
        <v>8</v>
      </c>
      <c r="H35" t="s">
        <v>43</v>
      </c>
      <c r="I35" t="s">
        <v>44</v>
      </c>
      <c r="J35" t="s">
        <v>39</v>
      </c>
      <c r="K35" t="s">
        <v>40</v>
      </c>
      <c r="L35" t="s">
        <v>41</v>
      </c>
      <c r="M35" t="s">
        <v>39</v>
      </c>
      <c r="N35" t="s">
        <v>40</v>
      </c>
      <c r="O35" t="s">
        <v>41</v>
      </c>
      <c r="Q35" t="s">
        <v>48</v>
      </c>
      <c r="R35" t="s">
        <v>46</v>
      </c>
      <c r="S35" t="s">
        <v>53</v>
      </c>
      <c r="T35" t="s">
        <v>54</v>
      </c>
      <c r="U35" t="s">
        <v>52</v>
      </c>
      <c r="V35" t="s">
        <v>30</v>
      </c>
      <c r="X35" t="s">
        <v>48</v>
      </c>
      <c r="Y35" t="s">
        <v>53</v>
      </c>
      <c r="Z35" t="s">
        <v>54</v>
      </c>
      <c r="AA35" t="s">
        <v>52</v>
      </c>
      <c r="AB35" t="s">
        <v>53</v>
      </c>
      <c r="AC35" t="s">
        <v>54</v>
      </c>
      <c r="AD35" t="s">
        <v>52</v>
      </c>
      <c r="AE35" t="s">
        <v>53</v>
      </c>
      <c r="AF35" t="s">
        <v>54</v>
      </c>
      <c r="AG35" t="s">
        <v>52</v>
      </c>
    </row>
    <row r="36" spans="1:40" x14ac:dyDescent="0.25">
      <c r="A36" s="3"/>
      <c r="B36" s="3">
        <v>-8.5</v>
      </c>
      <c r="C36" s="4">
        <f t="shared" ref="C36:C72" si="0">(0.0085-(SQRT(B36^2))*0.001)</f>
        <v>0</v>
      </c>
      <c r="D36" s="3">
        <v>675.87</v>
      </c>
      <c r="E36" s="3">
        <v>481.39</v>
      </c>
      <c r="F36" s="3">
        <v>194.47</v>
      </c>
      <c r="G36" s="8">
        <v>82177000000000</v>
      </c>
      <c r="H36" s="8">
        <v>43979000000000</v>
      </c>
      <c r="I36" s="8">
        <v>38198000000000</v>
      </c>
      <c r="J36" s="3">
        <v>446.18</v>
      </c>
      <c r="K36" s="3">
        <v>317.79000000000002</v>
      </c>
      <c r="L36" s="3">
        <v>128.38</v>
      </c>
      <c r="M36" s="3">
        <v>953.08</v>
      </c>
      <c r="N36" s="3">
        <v>678.84</v>
      </c>
      <c r="O36" s="3">
        <v>274.24</v>
      </c>
      <c r="Q36">
        <f t="shared" ref="Q36:Q72" si="1">B36</f>
        <v>-8.5</v>
      </c>
      <c r="R36" s="4">
        <f t="shared" ref="R36:R72" si="2">C36</f>
        <v>0</v>
      </c>
      <c r="S36" s="3">
        <v>446.18</v>
      </c>
      <c r="T36">
        <f t="shared" ref="T36:T72" si="3">D36</f>
        <v>675.87</v>
      </c>
      <c r="U36" s="3">
        <v>953.08</v>
      </c>
      <c r="V36">
        <f>1900*9.81*(0-Q36)*0.001</f>
        <v>158.4315</v>
      </c>
      <c r="X36" s="6">
        <v>-8.5</v>
      </c>
      <c r="Y36" s="6">
        <f>S36-$V$36</f>
        <v>287.74850000000004</v>
      </c>
      <c r="Z36" s="6">
        <f t="shared" ref="Z36:AA51" si="4">T36-$V$36</f>
        <v>517.43849999999998</v>
      </c>
      <c r="AA36" s="6">
        <f t="shared" si="4"/>
        <v>794.64850000000001</v>
      </c>
      <c r="AB36" s="6">
        <f>SQRT(2*Y36/1900)</f>
        <v>0.55035730021026963</v>
      </c>
      <c r="AC36" s="6">
        <f>SQRT(2*Z36/1900)</f>
        <v>0.73801904126056117</v>
      </c>
      <c r="AD36" s="6">
        <f>SQRT(2*AA36/1900)</f>
        <v>0.91458848957504268</v>
      </c>
      <c r="AE36" s="6">
        <f>AB36/(SQRT(9.81*(0-$X$36)*0.001))</f>
        <v>1.9059028742204953</v>
      </c>
      <c r="AF36" s="6">
        <f>AC36/(SQRT(9.81*(0-$X$36)*0.001))</f>
        <v>2.5557807835574358</v>
      </c>
      <c r="AG36" s="6">
        <f>AD36/(SQRT(9.81*(0-$X$36)*0.001))</f>
        <v>3.1672457698736434</v>
      </c>
    </row>
    <row r="37" spans="1:40" x14ac:dyDescent="0.25">
      <c r="A37" s="3"/>
      <c r="B37" s="3">
        <v>-8</v>
      </c>
      <c r="C37" s="4">
        <f t="shared" si="0"/>
        <v>5.0000000000000044E-4</v>
      </c>
      <c r="D37" s="3">
        <v>705.56</v>
      </c>
      <c r="E37" s="3">
        <v>502.67</v>
      </c>
      <c r="F37" s="3">
        <v>202.9</v>
      </c>
      <c r="G37" s="8">
        <v>85775000000000</v>
      </c>
      <c r="H37" s="8">
        <v>45922000000000</v>
      </c>
      <c r="I37" s="8">
        <v>39852000000000</v>
      </c>
      <c r="J37" s="3">
        <v>465.78</v>
      </c>
      <c r="K37" s="3">
        <v>331.84</v>
      </c>
      <c r="L37" s="3">
        <v>133.94</v>
      </c>
      <c r="M37" s="3">
        <v>994.95</v>
      </c>
      <c r="N37" s="3">
        <v>708.84</v>
      </c>
      <c r="O37" s="3">
        <v>286.11</v>
      </c>
      <c r="Q37">
        <f t="shared" si="1"/>
        <v>-8</v>
      </c>
      <c r="R37" s="4">
        <f t="shared" si="2"/>
        <v>5.0000000000000044E-4</v>
      </c>
      <c r="S37" s="3">
        <v>465.78</v>
      </c>
      <c r="T37">
        <f t="shared" si="3"/>
        <v>705.56</v>
      </c>
      <c r="U37" s="3">
        <v>994.95</v>
      </c>
      <c r="V37">
        <f t="shared" ref="V37:V72" si="5">1900*9.81*(0-Q37)*0.001</f>
        <v>149.11199999999999</v>
      </c>
      <c r="X37" s="6">
        <v>-8</v>
      </c>
      <c r="Y37" s="6">
        <f t="shared" ref="Y37:Y55" si="6">S37-$V$36</f>
        <v>307.34849999999994</v>
      </c>
      <c r="Z37" s="6">
        <f t="shared" si="4"/>
        <v>547.12849999999992</v>
      </c>
      <c r="AA37" s="6">
        <f>U37-$V$36</f>
        <v>836.51850000000002</v>
      </c>
      <c r="AB37" s="6">
        <f t="shared" ref="AB37:AD55" si="7">SQRT(2*Y37/1900)</f>
        <v>0.56879234949329727</v>
      </c>
      <c r="AC37" s="6">
        <f t="shared" si="7"/>
        <v>0.75889705286165476</v>
      </c>
      <c r="AD37" s="6">
        <f t="shared" si="7"/>
        <v>0.93837401363938266</v>
      </c>
      <c r="AE37" s="6">
        <f t="shared" ref="AE37:AG55" si="8">AB37/(SQRT(9.81*(0-$X$36)*0.001))</f>
        <v>1.9697439705437294</v>
      </c>
      <c r="AF37" s="6">
        <f t="shared" si="8"/>
        <v>2.6280819273840561</v>
      </c>
      <c r="AG37" s="6">
        <f t="shared" si="8"/>
        <v>3.249615711476574</v>
      </c>
    </row>
    <row r="38" spans="1:40" x14ac:dyDescent="0.25">
      <c r="A38" s="3"/>
      <c r="B38" s="3">
        <v>-7.5</v>
      </c>
      <c r="C38" s="4">
        <f t="shared" si="0"/>
        <v>1.0000000000000009E-3</v>
      </c>
      <c r="D38" s="3">
        <v>742.32</v>
      </c>
      <c r="E38" s="3">
        <v>528.38</v>
      </c>
      <c r="F38" s="3">
        <v>213.95</v>
      </c>
      <c r="G38" s="8">
        <v>90295000000000</v>
      </c>
      <c r="H38" s="8">
        <v>48271000000000</v>
      </c>
      <c r="I38" s="8">
        <v>42023000000000</v>
      </c>
      <c r="J38" s="3">
        <v>490.05</v>
      </c>
      <c r="K38" s="3">
        <v>348.81</v>
      </c>
      <c r="L38" s="3">
        <v>141.24</v>
      </c>
      <c r="M38" s="3">
        <v>1046.8</v>
      </c>
      <c r="N38" s="3">
        <v>745.09</v>
      </c>
      <c r="O38" s="3">
        <v>301.7</v>
      </c>
      <c r="Q38">
        <f t="shared" si="1"/>
        <v>-7.5</v>
      </c>
      <c r="R38" s="4">
        <f t="shared" si="2"/>
        <v>1.0000000000000009E-3</v>
      </c>
      <c r="S38" s="3">
        <v>490.05</v>
      </c>
      <c r="T38">
        <f t="shared" si="3"/>
        <v>742.32</v>
      </c>
      <c r="U38" s="3">
        <v>1046.8</v>
      </c>
      <c r="V38">
        <f t="shared" si="5"/>
        <v>139.79249999999999</v>
      </c>
      <c r="X38" s="6">
        <v>-7.5</v>
      </c>
      <c r="Y38" s="6">
        <f t="shared" si="6"/>
        <v>331.61850000000004</v>
      </c>
      <c r="Z38" s="6">
        <f t="shared" si="4"/>
        <v>583.88850000000002</v>
      </c>
      <c r="AA38" s="6">
        <f t="shared" si="4"/>
        <v>888.36849999999993</v>
      </c>
      <c r="AB38" s="6">
        <f t="shared" si="7"/>
        <v>0.59082324367204608</v>
      </c>
      <c r="AC38" s="6">
        <f t="shared" si="7"/>
        <v>0.78397670480965853</v>
      </c>
      <c r="AD38" s="6">
        <f t="shared" si="7"/>
        <v>0.96701847802516427</v>
      </c>
      <c r="AE38" s="6">
        <f t="shared" si="8"/>
        <v>2.0460375792973204</v>
      </c>
      <c r="AF38" s="6">
        <f t="shared" si="8"/>
        <v>2.7149334703978178</v>
      </c>
      <c r="AG38" s="6">
        <f t="shared" si="8"/>
        <v>3.3488123006423938</v>
      </c>
    </row>
    <row r="39" spans="1:40" x14ac:dyDescent="0.25">
      <c r="A39" s="3"/>
      <c r="B39" s="3">
        <v>-7</v>
      </c>
      <c r="C39" s="4">
        <f t="shared" si="0"/>
        <v>1.5000000000000005E-3</v>
      </c>
      <c r="D39" s="3">
        <v>795.44</v>
      </c>
      <c r="E39" s="3">
        <v>565.72</v>
      </c>
      <c r="F39" s="3">
        <v>229.72</v>
      </c>
      <c r="G39" s="8">
        <v>96804000000000</v>
      </c>
      <c r="H39" s="8">
        <v>51683000000000</v>
      </c>
      <c r="I39" s="8">
        <v>45122000000000</v>
      </c>
      <c r="J39" s="3">
        <v>525.11</v>
      </c>
      <c r="K39" s="3">
        <v>373.46</v>
      </c>
      <c r="L39" s="3">
        <v>151.65</v>
      </c>
      <c r="M39" s="3">
        <v>1121.7</v>
      </c>
      <c r="N39" s="3">
        <v>797.75</v>
      </c>
      <c r="O39" s="3">
        <v>323.94</v>
      </c>
      <c r="Q39">
        <f t="shared" si="1"/>
        <v>-7</v>
      </c>
      <c r="R39" s="4">
        <f t="shared" si="2"/>
        <v>1.5000000000000005E-3</v>
      </c>
      <c r="S39" s="3">
        <v>525.11</v>
      </c>
      <c r="T39">
        <f t="shared" si="3"/>
        <v>795.44</v>
      </c>
      <c r="U39" s="3">
        <v>1121.7</v>
      </c>
      <c r="V39">
        <f t="shared" si="5"/>
        <v>130.47300000000001</v>
      </c>
      <c r="X39" s="6">
        <v>-7</v>
      </c>
      <c r="Y39" s="6">
        <f t="shared" si="6"/>
        <v>366.67849999999999</v>
      </c>
      <c r="Z39" s="6">
        <f t="shared" si="4"/>
        <v>637.00850000000003</v>
      </c>
      <c r="AA39" s="6">
        <f t="shared" si="4"/>
        <v>963.26850000000002</v>
      </c>
      <c r="AB39" s="6">
        <f t="shared" si="7"/>
        <v>0.62127076900579559</v>
      </c>
      <c r="AC39" s="6">
        <f t="shared" si="7"/>
        <v>0.81886217592333255</v>
      </c>
      <c r="AD39" s="6">
        <f t="shared" si="7"/>
        <v>1.0069592057800869</v>
      </c>
      <c r="AE39" s="6">
        <f t="shared" si="8"/>
        <v>2.1514782194493156</v>
      </c>
      <c r="AF39" s="6">
        <f t="shared" si="8"/>
        <v>2.8357428421253936</v>
      </c>
      <c r="AG39" s="6">
        <f t="shared" si="8"/>
        <v>3.4871281688928586</v>
      </c>
    </row>
    <row r="40" spans="1:40" x14ac:dyDescent="0.25">
      <c r="A40" s="3"/>
      <c r="B40" s="3">
        <v>-6.5</v>
      </c>
      <c r="C40" s="4">
        <f t="shared" si="0"/>
        <v>2E-3</v>
      </c>
      <c r="D40" s="3">
        <v>852.54</v>
      </c>
      <c r="E40" s="3">
        <v>602.86</v>
      </c>
      <c r="F40" s="3">
        <v>249.68</v>
      </c>
      <c r="G40" s="8">
        <v>104120000000000</v>
      </c>
      <c r="H40" s="8">
        <v>55076000000000</v>
      </c>
      <c r="I40" s="8">
        <v>49041000000000</v>
      </c>
      <c r="J40" s="3">
        <v>562.80999999999995</v>
      </c>
      <c r="K40" s="3">
        <v>397.98</v>
      </c>
      <c r="L40" s="3">
        <v>164.83</v>
      </c>
      <c r="M40" s="3">
        <v>1202.2</v>
      </c>
      <c r="N40" s="3">
        <v>850.13</v>
      </c>
      <c r="O40" s="3">
        <v>352.08</v>
      </c>
      <c r="Q40">
        <f t="shared" si="1"/>
        <v>-6.5</v>
      </c>
      <c r="R40" s="4">
        <f t="shared" si="2"/>
        <v>2E-3</v>
      </c>
      <c r="S40" s="3">
        <v>562.80999999999995</v>
      </c>
      <c r="T40">
        <f t="shared" si="3"/>
        <v>852.54</v>
      </c>
      <c r="U40" s="3">
        <v>1202.2</v>
      </c>
      <c r="V40">
        <f t="shared" si="5"/>
        <v>121.15350000000001</v>
      </c>
      <c r="X40" s="6">
        <v>-6.5</v>
      </c>
      <c r="Y40" s="6">
        <f t="shared" si="6"/>
        <v>404.37849999999992</v>
      </c>
      <c r="Z40" s="6">
        <f t="shared" si="4"/>
        <v>694.10849999999994</v>
      </c>
      <c r="AA40" s="6">
        <f t="shared" si="4"/>
        <v>1043.7685000000001</v>
      </c>
      <c r="AB40" s="6">
        <f t="shared" si="7"/>
        <v>0.6524274510988699</v>
      </c>
      <c r="AC40" s="6">
        <f t="shared" si="7"/>
        <v>0.8547751320176491</v>
      </c>
      <c r="AD40" s="6">
        <f t="shared" si="7"/>
        <v>1.0481906716864668</v>
      </c>
      <c r="AE40" s="6">
        <f t="shared" si="8"/>
        <v>2.259374689487375</v>
      </c>
      <c r="AF40" s="6">
        <f t="shared" si="8"/>
        <v>2.9601104233599145</v>
      </c>
      <c r="AG40" s="6">
        <f t="shared" si="8"/>
        <v>3.6299138998157892</v>
      </c>
    </row>
    <row r="41" spans="1:40" x14ac:dyDescent="0.25">
      <c r="A41" s="3"/>
      <c r="B41" s="3">
        <v>-6</v>
      </c>
      <c r="C41" s="4">
        <f t="shared" si="0"/>
        <v>2.5000000000000005E-3</v>
      </c>
      <c r="D41" s="3">
        <v>884.27</v>
      </c>
      <c r="E41" s="3">
        <v>619.30999999999995</v>
      </c>
      <c r="F41" s="3">
        <v>264.95</v>
      </c>
      <c r="G41" s="8">
        <v>108620000000000</v>
      </c>
      <c r="H41" s="8">
        <v>56579000000000</v>
      </c>
      <c r="I41" s="8">
        <v>52042000000000</v>
      </c>
      <c r="J41" s="3">
        <v>583.75</v>
      </c>
      <c r="K41" s="3">
        <v>408.84</v>
      </c>
      <c r="L41" s="3">
        <v>174.91</v>
      </c>
      <c r="M41" s="3">
        <v>1247</v>
      </c>
      <c r="N41" s="3">
        <v>873.33</v>
      </c>
      <c r="O41" s="3">
        <v>373.62</v>
      </c>
      <c r="Q41">
        <f t="shared" si="1"/>
        <v>-6</v>
      </c>
      <c r="R41" s="4">
        <f t="shared" si="2"/>
        <v>2.5000000000000005E-3</v>
      </c>
      <c r="S41" s="3">
        <v>583.75</v>
      </c>
      <c r="T41">
        <f t="shared" si="3"/>
        <v>884.27</v>
      </c>
      <c r="U41" s="3">
        <v>1247</v>
      </c>
      <c r="V41">
        <f t="shared" si="5"/>
        <v>111.834</v>
      </c>
      <c r="X41" s="6">
        <v>-6</v>
      </c>
      <c r="Y41" s="6">
        <f t="shared" si="6"/>
        <v>425.31849999999997</v>
      </c>
      <c r="Z41" s="6">
        <f t="shared" si="4"/>
        <v>725.83849999999995</v>
      </c>
      <c r="AA41" s="6">
        <f t="shared" si="4"/>
        <v>1088.5685000000001</v>
      </c>
      <c r="AB41" s="6">
        <f t="shared" si="7"/>
        <v>0.66910663142022908</v>
      </c>
      <c r="AC41" s="6">
        <f t="shared" si="7"/>
        <v>0.87409411753871757</v>
      </c>
      <c r="AD41" s="6">
        <f t="shared" si="7"/>
        <v>1.07044924164921</v>
      </c>
      <c r="AE41" s="6">
        <f t="shared" si="8"/>
        <v>2.3171351620058189</v>
      </c>
      <c r="AF41" s="6">
        <f t="shared" si="8"/>
        <v>3.0270126158402562</v>
      </c>
      <c r="AG41" s="6">
        <f t="shared" si="8"/>
        <v>3.7069959562395378</v>
      </c>
    </row>
    <row r="42" spans="1:40" x14ac:dyDescent="0.25">
      <c r="A42" s="3"/>
      <c r="B42" s="3">
        <v>-5.5</v>
      </c>
      <c r="C42" s="4">
        <f t="shared" si="0"/>
        <v>3.0000000000000009E-3</v>
      </c>
      <c r="D42" s="3">
        <v>868.34</v>
      </c>
      <c r="E42" s="3">
        <v>598.44000000000005</v>
      </c>
      <c r="F42" s="3">
        <v>269.89</v>
      </c>
      <c r="G42" s="8">
        <v>107680000000000</v>
      </c>
      <c r="H42" s="8">
        <v>54672000000000</v>
      </c>
      <c r="I42" s="8">
        <v>53012000000000</v>
      </c>
      <c r="J42" s="3">
        <v>573.24</v>
      </c>
      <c r="K42" s="3">
        <v>395.07</v>
      </c>
      <c r="L42" s="3">
        <v>178.17</v>
      </c>
      <c r="M42" s="3">
        <v>1224.5</v>
      </c>
      <c r="N42" s="3">
        <v>843.9</v>
      </c>
      <c r="O42" s="3">
        <v>380.59</v>
      </c>
      <c r="Q42">
        <f t="shared" si="1"/>
        <v>-5.5</v>
      </c>
      <c r="R42" s="4">
        <f t="shared" si="2"/>
        <v>3.0000000000000009E-3</v>
      </c>
      <c r="S42" s="3">
        <v>573.24</v>
      </c>
      <c r="T42">
        <f t="shared" si="3"/>
        <v>868.34</v>
      </c>
      <c r="U42" s="3">
        <v>1224.5</v>
      </c>
      <c r="V42">
        <f t="shared" si="5"/>
        <v>102.5145</v>
      </c>
      <c r="X42" s="6">
        <v>-5.5</v>
      </c>
      <c r="Y42" s="6">
        <f t="shared" si="6"/>
        <v>414.80849999999998</v>
      </c>
      <c r="Z42" s="6">
        <f t="shared" si="4"/>
        <v>709.9085</v>
      </c>
      <c r="AA42" s="6">
        <f t="shared" si="4"/>
        <v>1066.0685000000001</v>
      </c>
      <c r="AB42" s="6">
        <f t="shared" si="7"/>
        <v>0.66078780732984888</v>
      </c>
      <c r="AC42" s="6">
        <f t="shared" si="7"/>
        <v>0.86444901831349075</v>
      </c>
      <c r="AD42" s="6">
        <f t="shared" si="7"/>
        <v>1.0593287348226954</v>
      </c>
      <c r="AE42" s="6">
        <f t="shared" si="8"/>
        <v>2.2883268392345339</v>
      </c>
      <c r="AF42" s="6">
        <f t="shared" si="8"/>
        <v>2.9936113648193676</v>
      </c>
      <c r="AG42" s="6">
        <f t="shared" si="8"/>
        <v>3.6684853270258522</v>
      </c>
    </row>
    <row r="43" spans="1:40" x14ac:dyDescent="0.25">
      <c r="A43" s="3"/>
      <c r="B43" s="3">
        <v>-5.4</v>
      </c>
      <c r="C43" s="4">
        <f t="shared" si="0"/>
        <v>3.1000000000000003E-3</v>
      </c>
      <c r="D43" s="3">
        <v>850.97</v>
      </c>
      <c r="E43" s="3">
        <v>584.02</v>
      </c>
      <c r="F43" s="3">
        <v>266.95</v>
      </c>
      <c r="G43" s="8">
        <v>105790000000000</v>
      </c>
      <c r="H43" s="8">
        <v>53355000000000</v>
      </c>
      <c r="I43" s="8">
        <v>52435000000000</v>
      </c>
      <c r="J43" s="3">
        <v>561.78</v>
      </c>
      <c r="K43" s="3">
        <v>385.54</v>
      </c>
      <c r="L43" s="3">
        <v>176.23</v>
      </c>
      <c r="M43" s="3">
        <v>1200</v>
      </c>
      <c r="N43" s="3">
        <v>823.56</v>
      </c>
      <c r="O43" s="3">
        <v>376.45</v>
      </c>
      <c r="Q43">
        <f t="shared" si="1"/>
        <v>-5.4</v>
      </c>
      <c r="R43" s="4">
        <f t="shared" si="2"/>
        <v>3.1000000000000003E-3</v>
      </c>
      <c r="S43" s="3">
        <v>561.78</v>
      </c>
      <c r="T43">
        <f t="shared" si="3"/>
        <v>850.97</v>
      </c>
      <c r="U43" s="3">
        <v>1200</v>
      </c>
      <c r="V43">
        <f t="shared" si="5"/>
        <v>100.65060000000001</v>
      </c>
      <c r="X43" s="6">
        <v>-5.4</v>
      </c>
      <c r="Y43" s="6">
        <f t="shared" si="6"/>
        <v>403.34849999999994</v>
      </c>
      <c r="Z43" s="6">
        <f t="shared" si="4"/>
        <v>692.5385</v>
      </c>
      <c r="AA43" s="6">
        <f t="shared" si="4"/>
        <v>1041.5685000000001</v>
      </c>
      <c r="AB43" s="6">
        <f t="shared" si="7"/>
        <v>0.65159601627162567</v>
      </c>
      <c r="AC43" s="6">
        <f t="shared" si="7"/>
        <v>0.85380787928950508</v>
      </c>
      <c r="AD43" s="6">
        <f t="shared" si="7"/>
        <v>1.0470854285763136</v>
      </c>
      <c r="AE43" s="6">
        <f t="shared" si="8"/>
        <v>2.2564954071986389</v>
      </c>
      <c r="AF43" s="6">
        <f t="shared" si="8"/>
        <v>2.9567607998444947</v>
      </c>
      <c r="AG43" s="6">
        <f t="shared" si="8"/>
        <v>3.6260864117102463</v>
      </c>
    </row>
    <row r="44" spans="1:40" x14ac:dyDescent="0.25">
      <c r="A44" s="3"/>
      <c r="B44" s="3">
        <v>-5.3</v>
      </c>
      <c r="C44" s="4">
        <f t="shared" si="0"/>
        <v>3.2000000000000006E-3</v>
      </c>
      <c r="D44" s="3">
        <v>824.17</v>
      </c>
      <c r="E44" s="3">
        <v>563.76</v>
      </c>
      <c r="F44" s="3">
        <v>260.39999999999998</v>
      </c>
      <c r="G44" s="8">
        <v>102650000000000</v>
      </c>
      <c r="H44" s="8">
        <v>51504000000000</v>
      </c>
      <c r="I44" s="8">
        <v>51148000000000</v>
      </c>
      <c r="J44" s="3">
        <v>544.08000000000004</v>
      </c>
      <c r="K44" s="3">
        <v>372.17</v>
      </c>
      <c r="L44" s="3">
        <v>171.91</v>
      </c>
      <c r="M44" s="3">
        <v>1162.2</v>
      </c>
      <c r="N44" s="3">
        <v>794.99</v>
      </c>
      <c r="O44" s="3">
        <v>367.21</v>
      </c>
      <c r="Q44">
        <f t="shared" si="1"/>
        <v>-5.3</v>
      </c>
      <c r="R44" s="4">
        <f t="shared" si="2"/>
        <v>3.2000000000000006E-3</v>
      </c>
      <c r="S44" s="3">
        <v>544.08000000000004</v>
      </c>
      <c r="T44">
        <f t="shared" si="3"/>
        <v>824.17</v>
      </c>
      <c r="U44" s="3">
        <v>1162.2</v>
      </c>
      <c r="V44">
        <f t="shared" si="5"/>
        <v>98.786699999999996</v>
      </c>
      <c r="X44" s="6">
        <v>-5.3</v>
      </c>
      <c r="Y44" s="6">
        <f t="shared" si="6"/>
        <v>385.64850000000001</v>
      </c>
      <c r="Z44" s="6">
        <f t="shared" si="4"/>
        <v>665.73849999999993</v>
      </c>
      <c r="AA44" s="6">
        <f t="shared" si="4"/>
        <v>1003.7685</v>
      </c>
      <c r="AB44" s="6">
        <f t="shared" si="7"/>
        <v>0.63713875213620796</v>
      </c>
      <c r="AC44" s="6">
        <f t="shared" si="7"/>
        <v>0.8371244641157326</v>
      </c>
      <c r="AD44" s="6">
        <f t="shared" si="7"/>
        <v>1.0279097339030463</v>
      </c>
      <c r="AE44" s="6">
        <f t="shared" si="8"/>
        <v>2.2064294931850879</v>
      </c>
      <c r="AF44" s="6">
        <f t="shared" si="8"/>
        <v>2.8989856619125396</v>
      </c>
      <c r="AG44" s="6">
        <f t="shared" si="8"/>
        <v>3.5596804394827646</v>
      </c>
    </row>
    <row r="45" spans="1:40" x14ac:dyDescent="0.25">
      <c r="A45" s="3"/>
      <c r="B45" s="3">
        <v>-5.2</v>
      </c>
      <c r="C45" s="4">
        <f t="shared" si="0"/>
        <v>3.3E-3</v>
      </c>
      <c r="D45" s="3">
        <v>780.93</v>
      </c>
      <c r="E45" s="3">
        <v>533.4</v>
      </c>
      <c r="F45" s="3">
        <v>247.53</v>
      </c>
      <c r="G45" s="8">
        <v>97351000000000</v>
      </c>
      <c r="H45" s="8">
        <v>48730000000000</v>
      </c>
      <c r="I45" s="8">
        <v>48621000000000</v>
      </c>
      <c r="J45" s="3">
        <v>515.54</v>
      </c>
      <c r="K45" s="3">
        <v>352.13</v>
      </c>
      <c r="L45" s="3">
        <v>163.41</v>
      </c>
      <c r="M45" s="3">
        <v>1101.2</v>
      </c>
      <c r="N45" s="3">
        <v>752.18</v>
      </c>
      <c r="O45" s="3">
        <v>349.06</v>
      </c>
      <c r="Q45">
        <f t="shared" si="1"/>
        <v>-5.2</v>
      </c>
      <c r="R45" s="4">
        <f t="shared" si="2"/>
        <v>3.3E-3</v>
      </c>
      <c r="S45" s="3">
        <v>515.54</v>
      </c>
      <c r="T45">
        <f t="shared" si="3"/>
        <v>780.93</v>
      </c>
      <c r="U45" s="3">
        <v>1101.2</v>
      </c>
      <c r="V45">
        <f t="shared" si="5"/>
        <v>96.922800000000009</v>
      </c>
      <c r="X45" s="6">
        <v>-5.2</v>
      </c>
      <c r="Y45" s="6">
        <f t="shared" si="6"/>
        <v>357.10849999999994</v>
      </c>
      <c r="Z45" s="6">
        <f t="shared" si="4"/>
        <v>622.49849999999992</v>
      </c>
      <c r="AA45" s="6">
        <f t="shared" si="4"/>
        <v>942.76850000000002</v>
      </c>
      <c r="AB45" s="6">
        <f t="shared" si="7"/>
        <v>0.61310984677341973</v>
      </c>
      <c r="AC45" s="6">
        <f t="shared" si="7"/>
        <v>0.8094822906941006</v>
      </c>
      <c r="AD45" s="6">
        <f t="shared" si="7"/>
        <v>0.99618667665093874</v>
      </c>
      <c r="AE45" s="6">
        <f t="shared" si="8"/>
        <v>2.1232167152718793</v>
      </c>
      <c r="AF45" s="6">
        <f t="shared" si="8"/>
        <v>2.8032600346630026</v>
      </c>
      <c r="AG45" s="6">
        <f t="shared" si="8"/>
        <v>3.4498225962729929</v>
      </c>
    </row>
    <row r="46" spans="1:40" x14ac:dyDescent="0.25">
      <c r="A46" s="3"/>
      <c r="B46" s="3">
        <v>-5.0999999999999996</v>
      </c>
      <c r="C46" s="4">
        <f t="shared" si="0"/>
        <v>3.4000000000000011E-3</v>
      </c>
      <c r="D46" s="3">
        <v>705.9</v>
      </c>
      <c r="E46" s="3">
        <v>484.35</v>
      </c>
      <c r="F46" s="3">
        <v>221.55</v>
      </c>
      <c r="G46" s="8">
        <v>87766000000000</v>
      </c>
      <c r="H46" s="8">
        <v>44249000000000</v>
      </c>
      <c r="I46" s="8">
        <v>43517000000000</v>
      </c>
      <c r="J46" s="3">
        <v>466.01</v>
      </c>
      <c r="K46" s="3">
        <v>319.75</v>
      </c>
      <c r="L46" s="3">
        <v>146.26</v>
      </c>
      <c r="M46" s="3">
        <v>995.43</v>
      </c>
      <c r="N46" s="3">
        <v>683.01</v>
      </c>
      <c r="O46" s="3">
        <v>312.42</v>
      </c>
      <c r="Q46">
        <f t="shared" si="1"/>
        <v>-5.0999999999999996</v>
      </c>
      <c r="R46" s="4">
        <f t="shared" si="2"/>
        <v>3.4000000000000011E-3</v>
      </c>
      <c r="S46" s="3">
        <v>466.01</v>
      </c>
      <c r="T46">
        <f t="shared" si="3"/>
        <v>705.9</v>
      </c>
      <c r="U46" s="3">
        <v>995.43</v>
      </c>
      <c r="V46">
        <f t="shared" si="5"/>
        <v>95.058899999999994</v>
      </c>
      <c r="X46" s="6">
        <v>-5.0999999999999996</v>
      </c>
      <c r="Y46" s="6">
        <f t="shared" si="6"/>
        <v>307.57849999999996</v>
      </c>
      <c r="Z46" s="6">
        <f t="shared" si="4"/>
        <v>547.46849999999995</v>
      </c>
      <c r="AA46" s="6">
        <f t="shared" si="4"/>
        <v>836.99849999999992</v>
      </c>
      <c r="AB46" s="6">
        <f t="shared" si="7"/>
        <v>0.56900513363700256</v>
      </c>
      <c r="AC46" s="6">
        <f t="shared" si="7"/>
        <v>0.75913281550658007</v>
      </c>
      <c r="AD46" s="6">
        <f t="shared" si="7"/>
        <v>0.93864319772295735</v>
      </c>
      <c r="AE46" s="6">
        <f t="shared" si="8"/>
        <v>1.9704808480429858</v>
      </c>
      <c r="AF46" s="6">
        <f t="shared" si="8"/>
        <v>2.6288983800820129</v>
      </c>
      <c r="AG46" s="6">
        <f t="shared" si="8"/>
        <v>3.2505479035604861</v>
      </c>
    </row>
    <row r="47" spans="1:40" x14ac:dyDescent="0.25">
      <c r="A47" s="3"/>
      <c r="B47" s="3">
        <v>-5.05</v>
      </c>
      <c r="C47" s="4">
        <f t="shared" si="0"/>
        <v>3.4500000000000008E-3</v>
      </c>
      <c r="D47" s="3">
        <v>640.03</v>
      </c>
      <c r="E47" s="3">
        <v>443.29</v>
      </c>
      <c r="F47" s="3">
        <v>196.74</v>
      </c>
      <c r="G47" s="8">
        <v>79142000000000</v>
      </c>
      <c r="H47" s="8">
        <v>40498000000000</v>
      </c>
      <c r="I47" s="8">
        <v>38644000000000</v>
      </c>
      <c r="J47" s="3">
        <v>422.52</v>
      </c>
      <c r="K47" s="3">
        <v>292.64</v>
      </c>
      <c r="L47" s="3">
        <v>129.88</v>
      </c>
      <c r="M47" s="3">
        <v>902.54</v>
      </c>
      <c r="N47" s="3">
        <v>625.11</v>
      </c>
      <c r="O47" s="3">
        <v>277.44</v>
      </c>
      <c r="Q47">
        <f t="shared" si="1"/>
        <v>-5.05</v>
      </c>
      <c r="R47" s="4">
        <f t="shared" si="2"/>
        <v>3.4500000000000008E-3</v>
      </c>
      <c r="S47" s="3">
        <v>422.52</v>
      </c>
      <c r="T47">
        <f t="shared" si="3"/>
        <v>640.03</v>
      </c>
      <c r="U47" s="3">
        <v>902.54</v>
      </c>
      <c r="V47">
        <f t="shared" si="5"/>
        <v>94.126949999999994</v>
      </c>
      <c r="X47" s="6">
        <v>-5.05</v>
      </c>
      <c r="Y47" s="6">
        <f t="shared" si="6"/>
        <v>264.08849999999995</v>
      </c>
      <c r="Z47" s="6">
        <f t="shared" si="4"/>
        <v>481.59849999999994</v>
      </c>
      <c r="AA47" s="6">
        <f t="shared" si="4"/>
        <v>744.10849999999994</v>
      </c>
      <c r="AB47" s="6">
        <f t="shared" si="7"/>
        <v>0.52724557346348777</v>
      </c>
      <c r="AC47" s="6">
        <f t="shared" si="7"/>
        <v>0.71200125665175917</v>
      </c>
      <c r="AD47" s="6">
        <f t="shared" si="7"/>
        <v>0.88502661274289252</v>
      </c>
      <c r="AE47" s="6">
        <f t="shared" si="8"/>
        <v>1.8258663117581442</v>
      </c>
      <c r="AF47" s="6">
        <f t="shared" si="8"/>
        <v>2.4656804606439029</v>
      </c>
      <c r="AG47" s="6">
        <f t="shared" si="8"/>
        <v>3.0648721554958183</v>
      </c>
      <c r="AI47" s="3"/>
      <c r="AK47" t="s">
        <v>37</v>
      </c>
      <c r="AL47" t="s">
        <v>38</v>
      </c>
      <c r="AM47" t="s">
        <v>38</v>
      </c>
    </row>
    <row r="48" spans="1:40" x14ac:dyDescent="0.25">
      <c r="A48" s="3"/>
      <c r="B48" s="3">
        <v>-5.01</v>
      </c>
      <c r="C48" s="4">
        <f t="shared" si="0"/>
        <v>3.4900000000000009E-3</v>
      </c>
      <c r="D48" s="3">
        <v>543.78</v>
      </c>
      <c r="E48" s="3">
        <v>384.53</v>
      </c>
      <c r="F48" s="3">
        <v>159.25</v>
      </c>
      <c r="G48" s="8">
        <v>66409000000000</v>
      </c>
      <c r="H48" s="8">
        <v>35129000000000</v>
      </c>
      <c r="I48" s="8">
        <v>31280000000000</v>
      </c>
      <c r="J48" s="3">
        <v>358.98</v>
      </c>
      <c r="K48" s="3">
        <v>253.85</v>
      </c>
      <c r="L48" s="3">
        <v>105.13</v>
      </c>
      <c r="M48" s="3">
        <v>766.81</v>
      </c>
      <c r="N48" s="3">
        <v>542.24</v>
      </c>
      <c r="O48" s="3">
        <v>224.57</v>
      </c>
      <c r="Q48">
        <f t="shared" si="1"/>
        <v>-5.01</v>
      </c>
      <c r="R48" s="4">
        <f t="shared" si="2"/>
        <v>3.4900000000000009E-3</v>
      </c>
      <c r="S48" s="3">
        <v>358.98</v>
      </c>
      <c r="T48">
        <f t="shared" si="3"/>
        <v>543.78</v>
      </c>
      <c r="U48" s="3">
        <v>766.81</v>
      </c>
      <c r="V48">
        <f t="shared" si="5"/>
        <v>93.381389999999996</v>
      </c>
      <c r="X48" s="6">
        <v>-5.01</v>
      </c>
      <c r="Y48" s="6">
        <f t="shared" si="6"/>
        <v>200.54850000000002</v>
      </c>
      <c r="Z48" s="6">
        <f t="shared" si="4"/>
        <v>385.34849999999994</v>
      </c>
      <c r="AA48" s="6">
        <f t="shared" si="4"/>
        <v>608.37849999999992</v>
      </c>
      <c r="AB48" s="6">
        <f t="shared" si="7"/>
        <v>0.45946020960527839</v>
      </c>
      <c r="AC48" s="6">
        <f t="shared" si="7"/>
        <v>0.63689088547411321</v>
      </c>
      <c r="AD48" s="6">
        <f t="shared" si="7"/>
        <v>0.80024897441523246</v>
      </c>
      <c r="AE48" s="6">
        <f t="shared" si="8"/>
        <v>1.5911236822734729</v>
      </c>
      <c r="AF48" s="6">
        <f t="shared" si="8"/>
        <v>2.2055711239338227</v>
      </c>
      <c r="AG48" s="6">
        <f t="shared" si="8"/>
        <v>2.7712847996152283</v>
      </c>
      <c r="AI48" s="3"/>
      <c r="AJ48" t="s">
        <v>36</v>
      </c>
      <c r="AK48" t="s">
        <v>35</v>
      </c>
      <c r="AL48" t="s">
        <v>35</v>
      </c>
      <c r="AM48" t="s">
        <v>1</v>
      </c>
      <c r="AN48" t="s">
        <v>33</v>
      </c>
    </row>
    <row r="49" spans="1:41" x14ac:dyDescent="0.25">
      <c r="A49" s="3"/>
      <c r="B49" s="3">
        <v>-4.99</v>
      </c>
      <c r="C49" s="4">
        <f t="shared" si="0"/>
        <v>3.5100000000000001E-3</v>
      </c>
      <c r="D49" s="3">
        <v>430.98</v>
      </c>
      <c r="E49" s="3">
        <v>307.7</v>
      </c>
      <c r="F49" s="3">
        <v>123.28</v>
      </c>
      <c r="G49" s="8">
        <v>52325000000000</v>
      </c>
      <c r="H49" s="8">
        <v>28111000000000</v>
      </c>
      <c r="I49" s="8">
        <v>24214000000000</v>
      </c>
      <c r="J49" s="3">
        <v>284.52</v>
      </c>
      <c r="K49" s="3">
        <v>203.13</v>
      </c>
      <c r="L49" s="3">
        <v>81.382999999999996</v>
      </c>
      <c r="M49" s="3">
        <v>607.75</v>
      </c>
      <c r="N49" s="3">
        <v>433.91</v>
      </c>
      <c r="O49" s="3">
        <v>173.84</v>
      </c>
      <c r="Q49">
        <f t="shared" si="1"/>
        <v>-4.99</v>
      </c>
      <c r="R49" s="4">
        <f t="shared" si="2"/>
        <v>3.5100000000000001E-3</v>
      </c>
      <c r="S49" s="3">
        <v>284.52</v>
      </c>
      <c r="T49">
        <f t="shared" si="3"/>
        <v>430.98</v>
      </c>
      <c r="U49" s="3">
        <v>607.75</v>
      </c>
      <c r="V49">
        <f t="shared" si="5"/>
        <v>93.008610000000004</v>
      </c>
      <c r="X49" s="6">
        <v>-4.99</v>
      </c>
      <c r="Y49" s="6">
        <f t="shared" si="6"/>
        <v>126.08849999999998</v>
      </c>
      <c r="Z49" s="6">
        <f t="shared" si="4"/>
        <v>272.54849999999999</v>
      </c>
      <c r="AA49" s="6">
        <f t="shared" si="4"/>
        <v>449.31849999999997</v>
      </c>
      <c r="AB49" s="6">
        <f t="shared" si="7"/>
        <v>0.36431406347011264</v>
      </c>
      <c r="AC49" s="6">
        <f t="shared" si="7"/>
        <v>0.53562408263140748</v>
      </c>
      <c r="AD49" s="6">
        <f t="shared" si="7"/>
        <v>0.68772584807120862</v>
      </c>
      <c r="AE49" s="6">
        <f t="shared" si="8"/>
        <v>1.2616298910205301</v>
      </c>
      <c r="AF49" s="6">
        <f t="shared" si="8"/>
        <v>1.8548813256386176</v>
      </c>
      <c r="AG49" s="6">
        <f t="shared" si="8"/>
        <v>2.3816140351256596</v>
      </c>
      <c r="AI49" s="3">
        <v>-4.99</v>
      </c>
      <c r="AJ49" s="2">
        <f>(5.101-SQRT(AI49^2))*0.001</f>
        <v>1.1099999999999977E-4</v>
      </c>
      <c r="AK49" s="3">
        <v>430.98</v>
      </c>
      <c r="AL49" s="2">
        <f>0.000165/(AJ49^(1.623))</f>
        <v>432.43889570439325</v>
      </c>
      <c r="AM49" s="2">
        <f>(0.000165/AK49)^(1/1.623)</f>
        <v>1.1123136080082947E-4</v>
      </c>
      <c r="AN49" s="6">
        <f>1900*9.81*(0.005-AJ49)</f>
        <v>91.126070999999996</v>
      </c>
      <c r="AO49" s="6">
        <f>AL49/AK49</f>
        <v>1.0033850659065229</v>
      </c>
    </row>
    <row r="50" spans="1:41" x14ac:dyDescent="0.25">
      <c r="A50" s="3"/>
      <c r="B50" s="3">
        <v>-4.9749999999999996</v>
      </c>
      <c r="C50" s="4">
        <f t="shared" si="0"/>
        <v>3.5250000000000012E-3</v>
      </c>
      <c r="D50" s="3">
        <v>353.03</v>
      </c>
      <c r="E50" s="3">
        <v>251.76</v>
      </c>
      <c r="F50" s="3">
        <v>101.27</v>
      </c>
      <c r="G50" s="8">
        <v>42891000000000</v>
      </c>
      <c r="H50" s="8">
        <v>23000000000000</v>
      </c>
      <c r="I50" s="8">
        <v>19891000000000</v>
      </c>
      <c r="J50" s="3">
        <v>233.05</v>
      </c>
      <c r="K50" s="3">
        <v>166.2</v>
      </c>
      <c r="L50" s="3">
        <v>66.850999999999999</v>
      </c>
      <c r="M50" s="3">
        <v>497.82</v>
      </c>
      <c r="N50" s="3">
        <v>355.02</v>
      </c>
      <c r="O50" s="3">
        <v>142.80000000000001</v>
      </c>
      <c r="Q50">
        <f t="shared" si="1"/>
        <v>-4.9749999999999996</v>
      </c>
      <c r="R50" s="4">
        <f t="shared" si="2"/>
        <v>3.5250000000000012E-3</v>
      </c>
      <c r="S50" s="3">
        <v>233.05</v>
      </c>
      <c r="T50">
        <f t="shared" si="3"/>
        <v>353.03</v>
      </c>
      <c r="U50" s="3">
        <v>497.82</v>
      </c>
      <c r="V50">
        <f t="shared" si="5"/>
        <v>92.729024999999993</v>
      </c>
      <c r="X50" s="6">
        <v>-4.9749999999999996</v>
      </c>
      <c r="Y50" s="6">
        <f t="shared" si="6"/>
        <v>74.618500000000012</v>
      </c>
      <c r="Z50" s="6">
        <f t="shared" si="4"/>
        <v>194.59849999999997</v>
      </c>
      <c r="AA50" s="6">
        <f t="shared" si="4"/>
        <v>339.38850000000002</v>
      </c>
      <c r="AB50" s="6">
        <f t="shared" si="7"/>
        <v>0.28026021742959562</v>
      </c>
      <c r="AC50" s="6">
        <f t="shared" si="7"/>
        <v>0.45259311342064124</v>
      </c>
      <c r="AD50" s="6">
        <f t="shared" si="7"/>
        <v>0.59770482065278596</v>
      </c>
      <c r="AE50" s="6">
        <f t="shared" si="8"/>
        <v>0.97054904827218658</v>
      </c>
      <c r="AF50" s="6">
        <f t="shared" si="8"/>
        <v>1.5673427342405346</v>
      </c>
      <c r="AG50" s="6">
        <f t="shared" si="8"/>
        <v>2.0698686747361394</v>
      </c>
      <c r="AI50" s="3">
        <v>-4.9749999999999996</v>
      </c>
      <c r="AJ50" s="2">
        <f t="shared" ref="AJ50:AJ72" si="9">(5.101-SQRT(AI50^2))*0.001</f>
        <v>1.2600000000000033E-4</v>
      </c>
      <c r="AK50" s="3">
        <v>353.03</v>
      </c>
      <c r="AL50" s="2">
        <f t="shared" ref="AL50:AL72" si="10">0.000165/(AJ50^(1.623))</f>
        <v>352.03232949261673</v>
      </c>
      <c r="AM50" s="2">
        <f t="shared" ref="AM50:AM72" si="11">(0.000165/AK50)^(1/1.623)</f>
        <v>1.2578048543115391E-4</v>
      </c>
      <c r="AN50" s="6">
        <f t="shared" ref="AN50:AN71" si="12">1900*9.81*(0.005-AJ50)</f>
        <v>90.846485999999999</v>
      </c>
      <c r="AO50" s="6">
        <f t="shared" ref="AO50:AO72" si="13">AL50/AK50</f>
        <v>0.99717397811125608</v>
      </c>
    </row>
    <row r="51" spans="1:41" x14ac:dyDescent="0.25">
      <c r="A51" s="3"/>
      <c r="B51" s="3">
        <v>-4.95</v>
      </c>
      <c r="C51" s="4">
        <f t="shared" si="0"/>
        <v>3.5500000000000002E-3</v>
      </c>
      <c r="D51" s="3">
        <v>268.23</v>
      </c>
      <c r="E51" s="3">
        <v>191.06</v>
      </c>
      <c r="F51" s="3">
        <v>77.168000000000006</v>
      </c>
      <c r="G51" s="8">
        <v>32612000000000</v>
      </c>
      <c r="H51" s="8">
        <v>17455000000000</v>
      </c>
      <c r="I51" s="8">
        <v>15157000000000</v>
      </c>
      <c r="J51" s="3">
        <v>177.07</v>
      </c>
      <c r="K51" s="3">
        <v>126.13</v>
      </c>
      <c r="L51" s="3">
        <v>50.942999999999998</v>
      </c>
      <c r="M51" s="3">
        <v>378.25</v>
      </c>
      <c r="N51" s="3">
        <v>269.43</v>
      </c>
      <c r="O51" s="3">
        <v>108.82</v>
      </c>
      <c r="Q51">
        <f t="shared" si="1"/>
        <v>-4.95</v>
      </c>
      <c r="R51" s="4">
        <f t="shared" si="2"/>
        <v>3.5500000000000002E-3</v>
      </c>
      <c r="S51" s="3">
        <v>177.07</v>
      </c>
      <c r="T51">
        <f t="shared" si="3"/>
        <v>268.23</v>
      </c>
      <c r="U51" s="3">
        <v>378.25</v>
      </c>
      <c r="V51">
        <f t="shared" si="5"/>
        <v>92.263050000000007</v>
      </c>
      <c r="X51" s="6">
        <v>-4.95</v>
      </c>
      <c r="Y51" s="6">
        <f t="shared" si="6"/>
        <v>18.638499999999993</v>
      </c>
      <c r="Z51" s="6">
        <f t="shared" si="4"/>
        <v>109.79850000000002</v>
      </c>
      <c r="AA51" s="6">
        <f t="shared" si="4"/>
        <v>219.8185</v>
      </c>
      <c r="AB51" s="6">
        <f t="shared" si="7"/>
        <v>0.14006953160559407</v>
      </c>
      <c r="AC51" s="6">
        <f t="shared" si="7"/>
        <v>0.33996671663716238</v>
      </c>
      <c r="AD51" s="6">
        <f t="shared" si="7"/>
        <v>0.48102795629447787</v>
      </c>
      <c r="AE51" s="6">
        <f t="shared" si="8"/>
        <v>0.48506474389605786</v>
      </c>
      <c r="AF51" s="6">
        <f t="shared" si="8"/>
        <v>1.1773143413024938</v>
      </c>
      <c r="AG51" s="6">
        <f t="shared" si="8"/>
        <v>1.6658133981902052</v>
      </c>
      <c r="AI51" s="3">
        <v>-4.95</v>
      </c>
      <c r="AJ51" s="2">
        <f t="shared" si="9"/>
        <v>1.5099999999999979E-4</v>
      </c>
      <c r="AK51" s="3">
        <v>268.23</v>
      </c>
      <c r="AL51" s="2">
        <f t="shared" si="10"/>
        <v>262.42448812475016</v>
      </c>
      <c r="AM51" s="2">
        <f t="shared" si="11"/>
        <v>1.4897786514188088E-4</v>
      </c>
      <c r="AN51" s="6">
        <f t="shared" si="12"/>
        <v>90.380510999999998</v>
      </c>
      <c r="AO51" s="6">
        <f t="shared" si="13"/>
        <v>0.97835621714480159</v>
      </c>
    </row>
    <row r="52" spans="1:41" x14ac:dyDescent="0.25">
      <c r="A52" s="3"/>
      <c r="B52" s="3">
        <v>-4.9249999999999998</v>
      </c>
      <c r="C52" s="4">
        <f t="shared" si="0"/>
        <v>3.5750000000000009E-3</v>
      </c>
      <c r="D52" s="3">
        <v>211.45</v>
      </c>
      <c r="E52" s="3">
        <v>150.5</v>
      </c>
      <c r="F52" s="3">
        <v>60.948999999999998</v>
      </c>
      <c r="G52" s="8">
        <v>25721000000000</v>
      </c>
      <c r="H52" s="8">
        <v>13749000000000</v>
      </c>
      <c r="I52" s="8">
        <v>11972000000000</v>
      </c>
      <c r="J52" s="3">
        <v>139.59</v>
      </c>
      <c r="K52" s="3">
        <v>99.353999999999999</v>
      </c>
      <c r="L52" s="3">
        <v>40.235999999999997</v>
      </c>
      <c r="M52" s="3">
        <v>298.18</v>
      </c>
      <c r="N52" s="3">
        <v>212.23</v>
      </c>
      <c r="O52" s="3">
        <v>85.947000000000003</v>
      </c>
      <c r="Q52">
        <f t="shared" si="1"/>
        <v>-4.9249999999999998</v>
      </c>
      <c r="R52" s="4">
        <f t="shared" si="2"/>
        <v>3.5750000000000009E-3</v>
      </c>
      <c r="S52" s="3">
        <v>139.59</v>
      </c>
      <c r="T52">
        <f t="shared" si="3"/>
        <v>211.45</v>
      </c>
      <c r="U52" s="3">
        <v>298.18</v>
      </c>
      <c r="V52">
        <f t="shared" si="5"/>
        <v>91.797074999999992</v>
      </c>
      <c r="X52" s="6">
        <v>-4.9249999999999998</v>
      </c>
      <c r="Y52" s="6">
        <f t="shared" si="6"/>
        <v>-18.841499999999996</v>
      </c>
      <c r="Z52" s="6">
        <f t="shared" ref="Z52:AA55" si="14">T52-$V$36</f>
        <v>53.018499999999989</v>
      </c>
      <c r="AA52" s="6">
        <f t="shared" si="14"/>
        <v>139.74850000000001</v>
      </c>
      <c r="AB52" s="6"/>
      <c r="AC52" s="6">
        <f t="shared" si="7"/>
        <v>0.23623917407665698</v>
      </c>
      <c r="AD52" s="6">
        <f t="shared" si="7"/>
        <v>0.38354098113568819</v>
      </c>
      <c r="AE52" s="6"/>
      <c r="AF52" s="6">
        <f t="shared" si="8"/>
        <v>0.81810293186654248</v>
      </c>
      <c r="AG52" s="6">
        <f t="shared" si="8"/>
        <v>1.328213249917052</v>
      </c>
      <c r="AI52" s="3">
        <v>-4.9249999999999998</v>
      </c>
      <c r="AJ52" s="2">
        <f t="shared" si="9"/>
        <v>1.7600000000000016E-4</v>
      </c>
      <c r="AK52" s="3">
        <v>211.45</v>
      </c>
      <c r="AL52" s="2">
        <f t="shared" si="10"/>
        <v>204.65241992422068</v>
      </c>
      <c r="AM52" s="2">
        <f t="shared" si="11"/>
        <v>1.7249205782801885E-4</v>
      </c>
      <c r="AN52" s="6">
        <f t="shared" si="12"/>
        <v>89.914535999999998</v>
      </c>
      <c r="AO52" s="6">
        <f t="shared" si="13"/>
        <v>0.96785254161371814</v>
      </c>
    </row>
    <row r="53" spans="1:41" x14ac:dyDescent="0.25">
      <c r="A53" s="3"/>
      <c r="B53" s="3">
        <v>-4.9000000000000004</v>
      </c>
      <c r="C53" s="4">
        <f t="shared" si="0"/>
        <v>3.5999999999999999E-3</v>
      </c>
      <c r="D53" s="3">
        <v>173.98</v>
      </c>
      <c r="E53" s="3">
        <v>123.78</v>
      </c>
      <c r="F53" s="3">
        <v>50.204000000000001</v>
      </c>
      <c r="G53" s="8">
        <v>21169000000000</v>
      </c>
      <c r="H53" s="8">
        <v>11308000000000</v>
      </c>
      <c r="I53" s="8">
        <v>9861000000000</v>
      </c>
      <c r="J53" s="3">
        <v>114.86</v>
      </c>
      <c r="K53" s="3">
        <v>81.712999999999994</v>
      </c>
      <c r="L53" s="3">
        <v>33.143000000000001</v>
      </c>
      <c r="M53" s="3">
        <v>245.34</v>
      </c>
      <c r="N53" s="3">
        <v>174.55</v>
      </c>
      <c r="O53" s="3">
        <v>70.796000000000006</v>
      </c>
      <c r="Q53">
        <f t="shared" si="1"/>
        <v>-4.9000000000000004</v>
      </c>
      <c r="R53" s="4">
        <f t="shared" si="2"/>
        <v>3.5999999999999999E-3</v>
      </c>
      <c r="S53" s="3">
        <v>114.86</v>
      </c>
      <c r="T53">
        <f t="shared" si="3"/>
        <v>173.98</v>
      </c>
      <c r="U53" s="3">
        <v>245.34</v>
      </c>
      <c r="V53">
        <f t="shared" si="5"/>
        <v>91.331100000000006</v>
      </c>
      <c r="X53" s="6">
        <v>-4.9000000000000004</v>
      </c>
      <c r="Y53" s="6">
        <f t="shared" si="6"/>
        <v>-43.5715</v>
      </c>
      <c r="Z53" s="6">
        <f t="shared" si="14"/>
        <v>15.54849999999999</v>
      </c>
      <c r="AA53" s="6">
        <f t="shared" si="14"/>
        <v>86.908500000000004</v>
      </c>
      <c r="AB53" s="6"/>
      <c r="AC53" s="6">
        <f t="shared" si="7"/>
        <v>0.12793295941727897</v>
      </c>
      <c r="AD53" s="6">
        <f t="shared" si="7"/>
        <v>0.3024609587681481</v>
      </c>
      <c r="AE53" s="6"/>
      <c r="AF53" s="6">
        <f t="shared" si="8"/>
        <v>0.44303545163799785</v>
      </c>
      <c r="AG53" s="6">
        <f t="shared" si="8"/>
        <v>1.047430842537125</v>
      </c>
      <c r="AI53" s="3">
        <v>-4.9000000000000004</v>
      </c>
      <c r="AJ53" s="2">
        <f t="shared" si="9"/>
        <v>2.0099999999999963E-4</v>
      </c>
      <c r="AK53" s="3">
        <v>173.98</v>
      </c>
      <c r="AL53" s="2">
        <f t="shared" si="10"/>
        <v>164.9668732780959</v>
      </c>
      <c r="AM53" s="2">
        <f t="shared" si="11"/>
        <v>1.9451879188337929E-4</v>
      </c>
      <c r="AN53" s="6">
        <f t="shared" si="12"/>
        <v>89.448561000000012</v>
      </c>
      <c r="AO53" s="6">
        <f t="shared" si="13"/>
        <v>0.94819446647945693</v>
      </c>
    </row>
    <row r="54" spans="1:41" x14ac:dyDescent="0.25">
      <c r="A54" s="3"/>
      <c r="B54" s="3">
        <v>-4.875</v>
      </c>
      <c r="C54" s="4">
        <f t="shared" si="0"/>
        <v>3.6250000000000006E-3</v>
      </c>
      <c r="D54" s="3">
        <v>144.99</v>
      </c>
      <c r="E54" s="3">
        <v>103.12</v>
      </c>
      <c r="F54" s="3">
        <v>41.866</v>
      </c>
      <c r="G54" s="8">
        <v>17644000000000</v>
      </c>
      <c r="H54" s="8">
        <v>9420800000000</v>
      </c>
      <c r="I54" s="8">
        <v>8223400000000</v>
      </c>
      <c r="J54" s="3">
        <v>95.713999999999999</v>
      </c>
      <c r="K54" s="3">
        <v>68.075000000000003</v>
      </c>
      <c r="L54" s="3">
        <v>27.638000000000002</v>
      </c>
      <c r="M54" s="3">
        <v>204.45</v>
      </c>
      <c r="N54" s="3">
        <v>145.41999999999999</v>
      </c>
      <c r="O54" s="3">
        <v>59.037999999999997</v>
      </c>
      <c r="Q54">
        <f t="shared" si="1"/>
        <v>-4.875</v>
      </c>
      <c r="R54" s="4">
        <f t="shared" si="2"/>
        <v>3.6250000000000006E-3</v>
      </c>
      <c r="S54" s="3">
        <v>95.713999999999999</v>
      </c>
      <c r="T54">
        <f t="shared" si="3"/>
        <v>144.99</v>
      </c>
      <c r="U54" s="3">
        <v>204.45</v>
      </c>
      <c r="V54">
        <f t="shared" si="5"/>
        <v>90.865125000000006</v>
      </c>
      <c r="X54" s="6">
        <v>-4.875</v>
      </c>
      <c r="Y54" s="6">
        <f t="shared" si="6"/>
        <v>-62.717500000000001</v>
      </c>
      <c r="Z54" s="6">
        <f t="shared" si="14"/>
        <v>-13.441499999999991</v>
      </c>
      <c r="AA54" s="6">
        <f t="shared" si="14"/>
        <v>46.018499999999989</v>
      </c>
      <c r="AB54" s="6"/>
      <c r="AC54" s="6"/>
      <c r="AD54" s="6">
        <f t="shared" si="7"/>
        <v>0.22009208599081762</v>
      </c>
      <c r="AE54" s="6"/>
      <c r="AF54" s="6"/>
      <c r="AG54" s="6">
        <f t="shared" si="8"/>
        <v>0.76218510978744047</v>
      </c>
      <c r="AI54" s="3">
        <v>-4.875</v>
      </c>
      <c r="AJ54" s="2">
        <f t="shared" si="9"/>
        <v>2.2599999999999999E-4</v>
      </c>
      <c r="AK54" s="3">
        <v>144.99</v>
      </c>
      <c r="AL54" s="2">
        <f t="shared" si="10"/>
        <v>136.38479255935619</v>
      </c>
      <c r="AM54" s="2">
        <f t="shared" si="11"/>
        <v>2.1763875142337232E-4</v>
      </c>
      <c r="AN54" s="6">
        <f t="shared" si="12"/>
        <v>88.982586000000012</v>
      </c>
      <c r="AO54" s="6">
        <f t="shared" si="13"/>
        <v>0.94064964866098477</v>
      </c>
    </row>
    <row r="55" spans="1:41" x14ac:dyDescent="0.25">
      <c r="A55" s="3"/>
      <c r="B55" s="3">
        <v>-4.8499999999999996</v>
      </c>
      <c r="C55" s="4">
        <f t="shared" si="0"/>
        <v>3.6500000000000005E-3</v>
      </c>
      <c r="D55" s="3">
        <v>122.12</v>
      </c>
      <c r="E55" s="3">
        <v>86.846000000000004</v>
      </c>
      <c r="F55" s="3">
        <v>35.279000000000003</v>
      </c>
      <c r="G55" s="8">
        <v>14863000000000</v>
      </c>
      <c r="H55" s="8">
        <v>7934000000000</v>
      </c>
      <c r="I55" s="8">
        <v>6929400000000</v>
      </c>
      <c r="J55" s="3">
        <v>80.620999999999995</v>
      </c>
      <c r="K55" s="3">
        <v>57.332000000000001</v>
      </c>
      <c r="L55" s="3">
        <v>23.289000000000001</v>
      </c>
      <c r="M55" s="3">
        <v>172.21</v>
      </c>
      <c r="N55" s="3">
        <v>122.47</v>
      </c>
      <c r="O55" s="3">
        <v>49.747999999999998</v>
      </c>
      <c r="Q55">
        <f t="shared" si="1"/>
        <v>-4.8499999999999996</v>
      </c>
      <c r="R55" s="4">
        <f t="shared" si="2"/>
        <v>3.6500000000000005E-3</v>
      </c>
      <c r="S55" s="3">
        <v>80.620999999999995</v>
      </c>
      <c r="T55">
        <f t="shared" si="3"/>
        <v>122.12</v>
      </c>
      <c r="U55" s="3">
        <v>172.21</v>
      </c>
      <c r="V55">
        <f t="shared" si="5"/>
        <v>90.399149999999992</v>
      </c>
      <c r="X55" s="6">
        <v>-4.8499999999999996</v>
      </c>
      <c r="Y55" s="6">
        <f t="shared" si="6"/>
        <v>-77.810500000000005</v>
      </c>
      <c r="Z55" s="6">
        <f t="shared" si="14"/>
        <v>-36.311499999999995</v>
      </c>
      <c r="AA55" s="6">
        <f t="shared" si="14"/>
        <v>13.778500000000008</v>
      </c>
      <c r="AB55" s="6"/>
      <c r="AC55" s="6"/>
      <c r="AD55" s="6">
        <f t="shared" si="7"/>
        <v>0.12043124266786558</v>
      </c>
      <c r="AE55" s="6"/>
      <c r="AF55" s="6"/>
      <c r="AG55" s="6">
        <f t="shared" si="8"/>
        <v>0.41705679466582268</v>
      </c>
      <c r="AI55" s="3">
        <v>-4.8499999999999996</v>
      </c>
      <c r="AJ55" s="2">
        <f t="shared" si="9"/>
        <v>2.5100000000000035E-4</v>
      </c>
      <c r="AK55" s="3">
        <v>122.12</v>
      </c>
      <c r="AL55" s="2">
        <f t="shared" si="10"/>
        <v>115.03062891599538</v>
      </c>
      <c r="AM55" s="2">
        <f t="shared" si="11"/>
        <v>2.419192654051445E-4</v>
      </c>
      <c r="AN55" s="6">
        <f t="shared" si="12"/>
        <v>88.516610999999997</v>
      </c>
      <c r="AO55" s="6">
        <f t="shared" si="13"/>
        <v>0.94194750176871422</v>
      </c>
    </row>
    <row r="56" spans="1:41" x14ac:dyDescent="0.25">
      <c r="A56" s="3"/>
      <c r="B56" s="3">
        <v>-4.8250000000000002</v>
      </c>
      <c r="C56" s="4">
        <f t="shared" si="0"/>
        <v>3.6750000000000003E-3</v>
      </c>
      <c r="D56" s="3">
        <v>104.75</v>
      </c>
      <c r="E56" s="3">
        <v>74.486999999999995</v>
      </c>
      <c r="F56" s="3">
        <v>30.263000000000002</v>
      </c>
      <c r="G56" s="8">
        <v>12749000000000</v>
      </c>
      <c r="H56" s="8">
        <v>6804900000000</v>
      </c>
      <c r="I56" s="8">
        <v>5944200000000</v>
      </c>
      <c r="J56" s="3">
        <v>69.150999999999996</v>
      </c>
      <c r="K56" s="3">
        <v>49.173000000000002</v>
      </c>
      <c r="L56" s="3">
        <v>19.978000000000002</v>
      </c>
      <c r="M56" s="3">
        <v>147.71</v>
      </c>
      <c r="N56" s="3">
        <v>105.04</v>
      </c>
      <c r="O56" s="3">
        <v>42.674999999999997</v>
      </c>
      <c r="Q56">
        <f t="shared" si="1"/>
        <v>-4.8250000000000002</v>
      </c>
      <c r="R56" s="4">
        <f t="shared" si="2"/>
        <v>3.6750000000000003E-3</v>
      </c>
      <c r="S56" s="3">
        <v>69.150999999999996</v>
      </c>
      <c r="T56">
        <f t="shared" si="3"/>
        <v>104.75</v>
      </c>
      <c r="U56" s="3">
        <v>147.71</v>
      </c>
      <c r="V56">
        <f t="shared" si="5"/>
        <v>89.933175000000006</v>
      </c>
      <c r="Z56">
        <v>6</v>
      </c>
      <c r="AC56">
        <v>8</v>
      </c>
      <c r="AF56">
        <v>9</v>
      </c>
      <c r="AI56" s="3">
        <v>-4.8250000000000002</v>
      </c>
      <c r="AJ56" s="2">
        <f t="shared" si="9"/>
        <v>2.7599999999999982E-4</v>
      </c>
      <c r="AK56" s="3">
        <v>104.75</v>
      </c>
      <c r="AL56" s="2">
        <f t="shared" si="10"/>
        <v>98.602631160803099</v>
      </c>
      <c r="AM56" s="2">
        <f t="shared" si="11"/>
        <v>2.6590454616736889E-4</v>
      </c>
      <c r="AN56" s="6">
        <f t="shared" si="12"/>
        <v>88.050635999999997</v>
      </c>
      <c r="AO56" s="6">
        <f t="shared" si="13"/>
        <v>0.94131390129644965</v>
      </c>
    </row>
    <row r="57" spans="1:41" x14ac:dyDescent="0.25">
      <c r="A57" s="3"/>
      <c r="B57" s="3">
        <v>-4.8</v>
      </c>
      <c r="C57" s="4">
        <f t="shared" si="0"/>
        <v>3.700000000000001E-3</v>
      </c>
      <c r="D57" s="3">
        <v>90.826999999999998</v>
      </c>
      <c r="E57" s="3">
        <v>64.588999999999999</v>
      </c>
      <c r="F57" s="3">
        <v>26.238</v>
      </c>
      <c r="G57" s="8">
        <v>11054000000000</v>
      </c>
      <c r="H57" s="8">
        <v>5900700000000</v>
      </c>
      <c r="I57" s="8">
        <v>5153600000000</v>
      </c>
      <c r="J57" s="3">
        <v>59.96</v>
      </c>
      <c r="K57" s="3">
        <v>42.639000000000003</v>
      </c>
      <c r="L57" s="3">
        <v>17.321000000000002</v>
      </c>
      <c r="M57" s="3">
        <v>128.08000000000001</v>
      </c>
      <c r="N57" s="3">
        <v>91.08</v>
      </c>
      <c r="O57" s="3">
        <v>36.999000000000002</v>
      </c>
      <c r="Q57">
        <f t="shared" si="1"/>
        <v>-4.8</v>
      </c>
      <c r="R57" s="4">
        <f t="shared" si="2"/>
        <v>3.700000000000001E-3</v>
      </c>
      <c r="S57" s="3">
        <v>59.96</v>
      </c>
      <c r="T57">
        <f t="shared" si="3"/>
        <v>90.826999999999998</v>
      </c>
      <c r="U57" s="3">
        <v>128.08000000000001</v>
      </c>
      <c r="V57">
        <f t="shared" si="5"/>
        <v>89.467200000000005</v>
      </c>
      <c r="Z57" t="s">
        <v>61</v>
      </c>
      <c r="AA57" t="s">
        <v>60</v>
      </c>
      <c r="AC57" t="s">
        <v>59</v>
      </c>
      <c r="AD57" t="s">
        <v>60</v>
      </c>
      <c r="AF57" t="s">
        <v>59</v>
      </c>
      <c r="AG57" t="s">
        <v>60</v>
      </c>
      <c r="AI57" s="3">
        <v>-4.8</v>
      </c>
      <c r="AJ57" s="2">
        <f t="shared" si="9"/>
        <v>3.0100000000000016E-4</v>
      </c>
      <c r="AK57" s="3">
        <v>90.826999999999998</v>
      </c>
      <c r="AL57" s="2">
        <f t="shared" si="10"/>
        <v>85.658511211101001</v>
      </c>
      <c r="AM57" s="2">
        <f t="shared" si="11"/>
        <v>2.9032810440291927E-4</v>
      </c>
      <c r="AN57" s="6">
        <f t="shared" si="12"/>
        <v>87.584660999999997</v>
      </c>
      <c r="AO57" s="6">
        <f t="shared" si="13"/>
        <v>0.94309523832231612</v>
      </c>
    </row>
    <row r="58" spans="1:41" x14ac:dyDescent="0.25">
      <c r="A58" s="3"/>
      <c r="B58" s="3">
        <v>-4.75</v>
      </c>
      <c r="C58" s="4">
        <f t="shared" si="0"/>
        <v>3.7500000000000007E-3</v>
      </c>
      <c r="D58" s="3">
        <v>70.162999999999997</v>
      </c>
      <c r="E58" s="3">
        <v>49.908000000000001</v>
      </c>
      <c r="F58" s="3">
        <v>20.254999999999999</v>
      </c>
      <c r="G58" s="8">
        <v>8537900000000</v>
      </c>
      <c r="H58" s="8">
        <v>4559500000000</v>
      </c>
      <c r="I58" s="8">
        <v>3978500000000</v>
      </c>
      <c r="J58" s="3">
        <v>46.317999999999998</v>
      </c>
      <c r="K58" s="3">
        <v>32.947000000000003</v>
      </c>
      <c r="L58" s="3">
        <v>13.371</v>
      </c>
      <c r="M58" s="3">
        <v>98.941000000000003</v>
      </c>
      <c r="N58" s="3">
        <v>70.378</v>
      </c>
      <c r="O58" s="3">
        <v>28.562999999999999</v>
      </c>
      <c r="Q58">
        <f t="shared" si="1"/>
        <v>-4.75</v>
      </c>
      <c r="R58" s="4">
        <f t="shared" si="2"/>
        <v>3.7500000000000007E-3</v>
      </c>
      <c r="S58" s="3">
        <v>46.317999999999998</v>
      </c>
      <c r="T58">
        <f t="shared" si="3"/>
        <v>70.162999999999997</v>
      </c>
      <c r="U58" s="3">
        <v>98.941000000000003</v>
      </c>
      <c r="V58">
        <f t="shared" si="5"/>
        <v>88.535250000000005</v>
      </c>
      <c r="Z58" cm="1">
        <f t="array" ref="Z58:AA58">LINEST(AB36:AB41,(X36:X41)*0.001)</f>
        <v>50.005684925729405</v>
      </c>
      <c r="AA58">
        <v>0.97133750652828943</v>
      </c>
      <c r="AC58" cm="1">
        <f t="array" ref="AC58:AD58">LINEST(AC36:AC41,(X36:X41)*0.001)</f>
        <v>57.308290855567932</v>
      </c>
      <c r="AD58">
        <v>1.2202558127714633</v>
      </c>
      <c r="AF58" cm="1">
        <f t="array" ref="AF58:AG58">LINEST(AD36:AD41,(X36:X41)*0.001)</f>
        <v>65.639683558114925</v>
      </c>
      <c r="AG58">
        <v>1.4668177225222254</v>
      </c>
      <c r="AI58" s="3">
        <v>-4.75</v>
      </c>
      <c r="AJ58" s="2">
        <f t="shared" si="9"/>
        <v>3.5099999999999997E-4</v>
      </c>
      <c r="AK58" s="3">
        <v>70.162999999999997</v>
      </c>
      <c r="AL58" s="2">
        <f t="shared" si="10"/>
        <v>66.749880754359637</v>
      </c>
      <c r="AM58" s="2">
        <f t="shared" si="11"/>
        <v>3.403791148277573E-4</v>
      </c>
      <c r="AN58" s="6">
        <f t="shared" si="12"/>
        <v>86.652711000000011</v>
      </c>
      <c r="AO58" s="6">
        <f t="shared" si="13"/>
        <v>0.95135442832204498</v>
      </c>
    </row>
    <row r="59" spans="1:41" x14ac:dyDescent="0.25">
      <c r="A59" s="3"/>
      <c r="B59" s="3">
        <v>-4.7</v>
      </c>
      <c r="C59" s="4">
        <f t="shared" si="0"/>
        <v>3.8000000000000004E-3</v>
      </c>
      <c r="D59" s="3">
        <v>55.828000000000003</v>
      </c>
      <c r="E59" s="3">
        <v>39.728999999999999</v>
      </c>
      <c r="F59" s="3">
        <v>16.097999999999999</v>
      </c>
      <c r="G59" s="8">
        <v>6791600000000</v>
      </c>
      <c r="H59" s="8">
        <v>3629600000000</v>
      </c>
      <c r="I59" s="8">
        <v>3162000000000</v>
      </c>
      <c r="J59" s="3">
        <v>36.854999999999997</v>
      </c>
      <c r="K59" s="3">
        <v>26.228000000000002</v>
      </c>
      <c r="L59" s="3">
        <v>10.627000000000001</v>
      </c>
      <c r="M59" s="3">
        <v>78.725999999999999</v>
      </c>
      <c r="N59" s="3">
        <v>56.024999999999999</v>
      </c>
      <c r="O59" s="3">
        <v>22.701000000000001</v>
      </c>
      <c r="Q59">
        <f t="shared" si="1"/>
        <v>-4.7</v>
      </c>
      <c r="R59" s="4">
        <f t="shared" si="2"/>
        <v>3.8000000000000004E-3</v>
      </c>
      <c r="S59" s="3">
        <v>36.854999999999997</v>
      </c>
      <c r="T59">
        <f t="shared" si="3"/>
        <v>55.828000000000003</v>
      </c>
      <c r="U59" s="3">
        <v>78.725999999999999</v>
      </c>
      <c r="V59">
        <f t="shared" si="5"/>
        <v>87.603300000000004</v>
      </c>
      <c r="Z59" cm="1">
        <f t="array" ref="Z59:AA59">LINEST(AB36:AB42,X36:X42)</f>
        <v>4.2394592331387503E-2</v>
      </c>
      <c r="AA59">
        <v>0.91298579663833501</v>
      </c>
      <c r="AC59" cm="1">
        <f t="array" ref="AC59:AD59">LINEST(AC36:AC42,X36:X42)</f>
        <v>4.8605891980064646E-2</v>
      </c>
      <c r="AD59">
        <v>1.1535374213926046</v>
      </c>
      <c r="AF59" cm="1">
        <f t="array" ref="AF59:AG59">LINEST(AD36:AD42,X36:X42)</f>
        <v>5.5681670387422513E-2</v>
      </c>
      <c r="AG59">
        <v>1.3904729548802501</v>
      </c>
      <c r="AI59" s="3">
        <v>-4.7</v>
      </c>
      <c r="AJ59" s="2">
        <f t="shared" si="9"/>
        <v>4.0099999999999983E-4</v>
      </c>
      <c r="AK59" s="3">
        <v>55.828000000000003</v>
      </c>
      <c r="AL59" s="2">
        <f t="shared" si="10"/>
        <v>53.775025803400531</v>
      </c>
      <c r="AM59" s="2">
        <f t="shared" si="11"/>
        <v>3.9184908608451944E-4</v>
      </c>
      <c r="AN59" s="6">
        <f t="shared" si="12"/>
        <v>85.72076100000001</v>
      </c>
      <c r="AO59" s="6">
        <f t="shared" si="13"/>
        <v>0.96322680023286755</v>
      </c>
    </row>
    <row r="60" spans="1:41" x14ac:dyDescent="0.25">
      <c r="A60" s="3"/>
      <c r="B60" s="3">
        <v>-4.6500000000000004</v>
      </c>
      <c r="C60" s="4">
        <f t="shared" si="0"/>
        <v>3.8500000000000001E-3</v>
      </c>
      <c r="D60" s="3">
        <v>45.564</v>
      </c>
      <c r="E60" s="3">
        <v>32.444000000000003</v>
      </c>
      <c r="F60" s="3">
        <v>13.12</v>
      </c>
      <c r="G60" s="8">
        <v>5541000000000</v>
      </c>
      <c r="H60" s="8">
        <v>2964000000000</v>
      </c>
      <c r="I60" s="8">
        <v>2577000000000</v>
      </c>
      <c r="J60" s="3">
        <v>30.079000000000001</v>
      </c>
      <c r="K60" s="3">
        <v>21.417999999999999</v>
      </c>
      <c r="L60" s="3">
        <v>8.6611999999999991</v>
      </c>
      <c r="M60" s="3">
        <v>64.251999999999995</v>
      </c>
      <c r="N60" s="3">
        <v>45.750999999999998</v>
      </c>
      <c r="O60" s="3">
        <v>18.501000000000001</v>
      </c>
      <c r="Q60">
        <f t="shared" si="1"/>
        <v>-4.6500000000000004</v>
      </c>
      <c r="R60" s="4">
        <f t="shared" si="2"/>
        <v>3.8500000000000001E-3</v>
      </c>
      <c r="S60" s="3">
        <v>30.079000000000001</v>
      </c>
      <c r="T60">
        <f t="shared" si="3"/>
        <v>45.564</v>
      </c>
      <c r="U60" s="3">
        <v>64.251999999999995</v>
      </c>
      <c r="V60">
        <f t="shared" si="5"/>
        <v>86.671350000000004</v>
      </c>
      <c r="AI60" s="3">
        <v>-4.6500000000000004</v>
      </c>
      <c r="AJ60" s="2">
        <f t="shared" si="9"/>
        <v>4.5099999999999963E-4</v>
      </c>
      <c r="AK60" s="3">
        <v>45.564</v>
      </c>
      <c r="AL60" s="2">
        <f t="shared" si="10"/>
        <v>44.438093330617896</v>
      </c>
      <c r="AM60" s="2">
        <f t="shared" si="11"/>
        <v>4.4410050792835449E-4</v>
      </c>
      <c r="AN60" s="6">
        <f t="shared" si="12"/>
        <v>84.788810999999995</v>
      </c>
      <c r="AO60" s="6">
        <f t="shared" si="13"/>
        <v>0.97528955602269107</v>
      </c>
    </row>
    <row r="61" spans="1:41" x14ac:dyDescent="0.25">
      <c r="A61" s="3"/>
      <c r="B61" s="3">
        <v>-4.5999999999999996</v>
      </c>
      <c r="C61" s="4">
        <f t="shared" si="0"/>
        <v>3.9000000000000007E-3</v>
      </c>
      <c r="D61" s="3">
        <v>38.067999999999998</v>
      </c>
      <c r="E61" s="3">
        <v>27.123999999999999</v>
      </c>
      <c r="F61" s="3">
        <v>10.944000000000001</v>
      </c>
      <c r="G61" s="8">
        <v>4627500000000</v>
      </c>
      <c r="H61" s="8">
        <v>2478000000000</v>
      </c>
      <c r="I61" s="8">
        <v>2149500000000</v>
      </c>
      <c r="J61" s="3">
        <v>25.13</v>
      </c>
      <c r="K61" s="3">
        <v>17.905999999999999</v>
      </c>
      <c r="L61" s="3">
        <v>7.2244000000000002</v>
      </c>
      <c r="M61" s="3">
        <v>53.680999999999997</v>
      </c>
      <c r="N61" s="3">
        <v>38.249000000000002</v>
      </c>
      <c r="O61" s="3">
        <v>15.432</v>
      </c>
      <c r="Q61">
        <f t="shared" si="1"/>
        <v>-4.5999999999999996</v>
      </c>
      <c r="R61" s="4">
        <f t="shared" si="2"/>
        <v>3.9000000000000007E-3</v>
      </c>
      <c r="S61" s="3">
        <v>25.13</v>
      </c>
      <c r="T61">
        <f t="shared" si="3"/>
        <v>38.067999999999998</v>
      </c>
      <c r="U61" s="3">
        <v>53.680999999999997</v>
      </c>
      <c r="V61">
        <f t="shared" si="5"/>
        <v>85.739399999999989</v>
      </c>
      <c r="Y61" t="s">
        <v>9</v>
      </c>
      <c r="Z61" t="s">
        <v>63</v>
      </c>
      <c r="AA61" t="s">
        <v>62</v>
      </c>
      <c r="AI61" s="3">
        <v>-4.5999999999999996</v>
      </c>
      <c r="AJ61" s="2">
        <f t="shared" si="9"/>
        <v>5.0100000000000036E-4</v>
      </c>
      <c r="AK61" s="3">
        <v>38.067999999999998</v>
      </c>
      <c r="AL61" s="2">
        <f t="shared" si="10"/>
        <v>37.466861518571953</v>
      </c>
      <c r="AM61" s="2">
        <f t="shared" si="11"/>
        <v>4.9611057730312047E-4</v>
      </c>
      <c r="AN61" s="6">
        <f t="shared" si="12"/>
        <v>83.856860999999995</v>
      </c>
      <c r="AO61" s="6">
        <f t="shared" si="13"/>
        <v>0.98420882417179667</v>
      </c>
    </row>
    <row r="62" spans="1:41" x14ac:dyDescent="0.25">
      <c r="A62" s="3"/>
      <c r="B62" s="3">
        <v>-4.55</v>
      </c>
      <c r="C62" s="4">
        <f t="shared" si="0"/>
        <v>3.9500000000000004E-3</v>
      </c>
      <c r="D62" s="3">
        <v>32.265999999999998</v>
      </c>
      <c r="E62" s="3">
        <v>23.007000000000001</v>
      </c>
      <c r="F62" s="3">
        <v>9.2591999999999999</v>
      </c>
      <c r="G62" s="8">
        <v>3920500000000</v>
      </c>
      <c r="H62" s="8">
        <v>2101800000000</v>
      </c>
      <c r="I62" s="8">
        <v>1818700000000</v>
      </c>
      <c r="J62" s="3">
        <v>21.300999999999998</v>
      </c>
      <c r="K62" s="3">
        <v>15.188000000000001</v>
      </c>
      <c r="L62" s="3">
        <v>6.1124999999999998</v>
      </c>
      <c r="M62" s="3">
        <v>45.5</v>
      </c>
      <c r="N62" s="3">
        <v>32.442999999999998</v>
      </c>
      <c r="O62" s="3">
        <v>13.057</v>
      </c>
      <c r="Q62">
        <f t="shared" si="1"/>
        <v>-4.55</v>
      </c>
      <c r="R62" s="4">
        <f t="shared" si="2"/>
        <v>3.9500000000000004E-3</v>
      </c>
      <c r="S62" s="3">
        <v>21.300999999999998</v>
      </c>
      <c r="T62">
        <f t="shared" si="3"/>
        <v>32.265999999999998</v>
      </c>
      <c r="U62" s="3">
        <v>45.5</v>
      </c>
      <c r="V62">
        <f t="shared" si="5"/>
        <v>84.807450000000003</v>
      </c>
      <c r="Y62">
        <v>6.5</v>
      </c>
      <c r="Z62" s="6">
        <f>MAX(Y36:Y55)</f>
        <v>425.31849999999997</v>
      </c>
      <c r="AA62" s="6">
        <f>Z62/(1900*9.81*0.001)</f>
        <v>22.818740275765865</v>
      </c>
      <c r="AB62" s="6"/>
      <c r="AD62" s="6"/>
      <c r="AI62" s="3">
        <v>-4.55</v>
      </c>
      <c r="AJ62" s="2">
        <f t="shared" si="9"/>
        <v>5.5100000000000017E-4</v>
      </c>
      <c r="AK62" s="3">
        <v>32.265999999999998</v>
      </c>
      <c r="AL62" s="2">
        <f t="shared" si="10"/>
        <v>32.106643015772683</v>
      </c>
      <c r="AM62" s="2">
        <f t="shared" si="11"/>
        <v>5.4932169276343307E-4</v>
      </c>
      <c r="AN62" s="6">
        <f t="shared" si="12"/>
        <v>82.924910999999994</v>
      </c>
      <c r="AO62" s="6">
        <f t="shared" si="13"/>
        <v>0.99506114844643545</v>
      </c>
    </row>
    <row r="63" spans="1:41" x14ac:dyDescent="0.25">
      <c r="A63" s="3"/>
      <c r="B63" s="3">
        <v>-4.5</v>
      </c>
      <c r="C63" s="4">
        <f t="shared" si="0"/>
        <v>4.0000000000000001E-3</v>
      </c>
      <c r="D63" s="3">
        <v>27.905000000000001</v>
      </c>
      <c r="E63" s="3">
        <v>19.911999999999999</v>
      </c>
      <c r="F63" s="3">
        <v>7.9935</v>
      </c>
      <c r="G63" s="8">
        <v>3389100000000</v>
      </c>
      <c r="H63" s="8">
        <v>1819100000000</v>
      </c>
      <c r="I63" s="8">
        <v>1570100000000</v>
      </c>
      <c r="J63" s="3">
        <v>18.422000000000001</v>
      </c>
      <c r="K63" s="3">
        <v>13.145</v>
      </c>
      <c r="L63" s="3">
        <v>5.2769000000000004</v>
      </c>
      <c r="M63" s="3">
        <v>39.350999999999999</v>
      </c>
      <c r="N63" s="3">
        <v>28.079000000000001</v>
      </c>
      <c r="O63" s="3">
        <v>11.272</v>
      </c>
      <c r="Q63">
        <f t="shared" si="1"/>
        <v>-4.5</v>
      </c>
      <c r="R63" s="4">
        <f t="shared" si="2"/>
        <v>4.0000000000000001E-3</v>
      </c>
      <c r="S63" s="3">
        <v>18.422000000000001</v>
      </c>
      <c r="T63">
        <f t="shared" si="3"/>
        <v>27.905000000000001</v>
      </c>
      <c r="U63" s="3">
        <v>39.350999999999999</v>
      </c>
      <c r="V63">
        <f t="shared" si="5"/>
        <v>83.875500000000002</v>
      </c>
      <c r="Y63">
        <v>8</v>
      </c>
      <c r="Z63" s="6">
        <f>MAX(Z36:Z55)</f>
        <v>725.83849999999995</v>
      </c>
      <c r="AA63" s="6">
        <f>Z63/(1900*9.81*0.001)</f>
        <v>38.941922849938301</v>
      </c>
      <c r="AD63" s="6"/>
      <c r="AI63" s="3">
        <v>-4.5</v>
      </c>
      <c r="AJ63" s="2">
        <f t="shared" si="9"/>
        <v>6.0099999999999997E-4</v>
      </c>
      <c r="AK63" s="3">
        <v>27.905000000000001</v>
      </c>
      <c r="AL63" s="2">
        <f t="shared" si="10"/>
        <v>27.885001754528879</v>
      </c>
      <c r="AM63" s="2">
        <f t="shared" si="11"/>
        <v>6.007345849339806E-4</v>
      </c>
      <c r="AN63" s="6">
        <f t="shared" si="12"/>
        <v>81.992961000000008</v>
      </c>
      <c r="AO63" s="6">
        <f t="shared" si="13"/>
        <v>0.99928334544092023</v>
      </c>
    </row>
    <row r="64" spans="1:41" x14ac:dyDescent="0.25">
      <c r="A64" s="3"/>
      <c r="B64" s="3">
        <v>-4</v>
      </c>
      <c r="C64" s="4">
        <f t="shared" si="0"/>
        <v>4.5000000000000005E-3</v>
      </c>
      <c r="D64" s="3">
        <v>11.256</v>
      </c>
      <c r="E64" s="3">
        <v>8.0797000000000008</v>
      </c>
      <c r="F64" s="3">
        <v>3.1766000000000001</v>
      </c>
      <c r="G64" s="8">
        <v>1362100000000</v>
      </c>
      <c r="H64" s="8">
        <v>738150000000</v>
      </c>
      <c r="I64" s="8">
        <v>623950000000</v>
      </c>
      <c r="J64" s="3">
        <v>7.431</v>
      </c>
      <c r="K64" s="3">
        <v>5.3338999999999999</v>
      </c>
      <c r="L64" s="3">
        <v>2.0971000000000002</v>
      </c>
      <c r="M64" s="3">
        <v>15.872999999999999</v>
      </c>
      <c r="N64" s="3">
        <v>11.394</v>
      </c>
      <c r="O64" s="3">
        <v>4.4794999999999998</v>
      </c>
      <c r="Q64">
        <f t="shared" si="1"/>
        <v>-4</v>
      </c>
      <c r="R64" s="4">
        <f t="shared" si="2"/>
        <v>4.5000000000000005E-3</v>
      </c>
      <c r="S64" s="3">
        <v>7.431</v>
      </c>
      <c r="T64">
        <f t="shared" si="3"/>
        <v>11.256</v>
      </c>
      <c r="U64" s="3">
        <v>15.872999999999999</v>
      </c>
      <c r="V64">
        <f t="shared" si="5"/>
        <v>74.555999999999997</v>
      </c>
      <c r="Y64">
        <v>9.5</v>
      </c>
      <c r="Z64" s="6">
        <f>MAX(AA36:AA55)</f>
        <v>1088.5685000000001</v>
      </c>
      <c r="AA64" s="6">
        <f>Z64/(1900*9.81*0.001)</f>
        <v>58.402730833199215</v>
      </c>
      <c r="AD64" s="6"/>
      <c r="AI64" s="3">
        <v>-4</v>
      </c>
      <c r="AJ64" s="2">
        <f t="shared" si="9"/>
        <v>1.101E-3</v>
      </c>
      <c r="AK64" s="3">
        <v>11.256</v>
      </c>
      <c r="AL64" s="2">
        <f t="shared" si="10"/>
        <v>10.439101626093519</v>
      </c>
      <c r="AM64" s="2">
        <f t="shared" si="11"/>
        <v>1.0510576341766613E-3</v>
      </c>
      <c r="AN64" s="6">
        <f t="shared" si="12"/>
        <v>72.673461000000003</v>
      </c>
      <c r="AO64" s="6">
        <f t="shared" si="13"/>
        <v>0.92742551759892666</v>
      </c>
    </row>
    <row r="65" spans="1:41" x14ac:dyDescent="0.25">
      <c r="A65" s="3"/>
      <c r="B65" s="3">
        <v>-3.5</v>
      </c>
      <c r="C65" s="4">
        <f t="shared" si="0"/>
        <v>5.000000000000001E-3</v>
      </c>
      <c r="D65" s="3">
        <v>7.2977999999999996</v>
      </c>
      <c r="E65" s="3">
        <v>5.2526000000000002</v>
      </c>
      <c r="F65" s="3">
        <v>2.0451999999999999</v>
      </c>
      <c r="G65" s="8">
        <v>881580000000</v>
      </c>
      <c r="H65" s="8">
        <v>479870000000</v>
      </c>
      <c r="I65" s="8">
        <v>401710000000</v>
      </c>
      <c r="J65" s="3">
        <v>4.8177000000000003</v>
      </c>
      <c r="K65" s="3">
        <v>3.4674999999999998</v>
      </c>
      <c r="L65" s="3">
        <v>1.3501000000000001</v>
      </c>
      <c r="M65" s="3">
        <v>10.291</v>
      </c>
      <c r="N65" s="3">
        <v>7.407</v>
      </c>
      <c r="O65" s="3">
        <v>2.8839999999999999</v>
      </c>
      <c r="Q65">
        <f t="shared" si="1"/>
        <v>-3.5</v>
      </c>
      <c r="R65" s="4">
        <f t="shared" si="2"/>
        <v>5.000000000000001E-3</v>
      </c>
      <c r="S65" s="3">
        <v>4.8177000000000003</v>
      </c>
      <c r="T65">
        <f t="shared" si="3"/>
        <v>7.2977999999999996</v>
      </c>
      <c r="U65" s="3">
        <v>10.291</v>
      </c>
      <c r="V65">
        <f t="shared" si="5"/>
        <v>65.236500000000007</v>
      </c>
      <c r="Z65" s="6"/>
      <c r="AI65" s="3">
        <v>-3.5</v>
      </c>
      <c r="AJ65" s="2">
        <f t="shared" si="9"/>
        <v>1.601E-3</v>
      </c>
      <c r="AK65" s="3">
        <v>7.2977999999999996</v>
      </c>
      <c r="AL65" s="2">
        <f t="shared" si="10"/>
        <v>5.6853448518492691</v>
      </c>
      <c r="AM65" s="2">
        <f t="shared" si="11"/>
        <v>1.3727131136508867E-3</v>
      </c>
      <c r="AN65" s="6">
        <f t="shared" si="12"/>
        <v>63.353961000000005</v>
      </c>
      <c r="AO65" s="6">
        <f t="shared" si="13"/>
        <v>0.77904914520119339</v>
      </c>
    </row>
    <row r="66" spans="1:41" x14ac:dyDescent="0.25">
      <c r="A66" s="3"/>
      <c r="B66" s="3">
        <v>-3</v>
      </c>
      <c r="C66" s="4">
        <f t="shared" si="0"/>
        <v>5.5000000000000005E-3</v>
      </c>
      <c r="D66" s="3">
        <v>5.5355999999999996</v>
      </c>
      <c r="E66" s="3">
        <v>3.9887000000000001</v>
      </c>
      <c r="F66" s="3">
        <v>1.5469999999999999</v>
      </c>
      <c r="G66" s="8">
        <v>668250000000</v>
      </c>
      <c r="H66" s="8">
        <v>364390000000</v>
      </c>
      <c r="I66" s="8">
        <v>303850000000</v>
      </c>
      <c r="J66" s="3">
        <v>3.6543999999999999</v>
      </c>
      <c r="K66" s="3">
        <v>2.6331000000000002</v>
      </c>
      <c r="L66" s="3">
        <v>1.0212000000000001</v>
      </c>
      <c r="M66" s="3">
        <v>7.8060999999999998</v>
      </c>
      <c r="N66" s="3">
        <v>5.6246</v>
      </c>
      <c r="O66" s="3">
        <v>2.1815000000000002</v>
      </c>
      <c r="Q66">
        <f t="shared" si="1"/>
        <v>-3</v>
      </c>
      <c r="R66" s="4">
        <f t="shared" si="2"/>
        <v>5.5000000000000005E-3</v>
      </c>
      <c r="S66" s="3">
        <v>3.6543999999999999</v>
      </c>
      <c r="T66">
        <f t="shared" si="3"/>
        <v>5.5355999999999996</v>
      </c>
      <c r="U66" s="3">
        <v>7.8060999999999998</v>
      </c>
      <c r="V66">
        <f t="shared" si="5"/>
        <v>55.917000000000002</v>
      </c>
      <c r="AI66" s="3">
        <v>-3</v>
      </c>
      <c r="AJ66" s="2">
        <f t="shared" si="9"/>
        <v>2.101E-3</v>
      </c>
      <c r="AK66" s="3">
        <v>5.5355999999999996</v>
      </c>
      <c r="AL66" s="2">
        <f t="shared" si="10"/>
        <v>3.6575179076347251</v>
      </c>
      <c r="AM66" s="2">
        <f t="shared" si="11"/>
        <v>1.627547715636585E-3</v>
      </c>
      <c r="AN66" s="6">
        <f t="shared" si="12"/>
        <v>54.034461</v>
      </c>
      <c r="AO66" s="6">
        <f t="shared" si="13"/>
        <v>0.66072655315317674</v>
      </c>
    </row>
    <row r="67" spans="1:41" x14ac:dyDescent="0.25">
      <c r="A67" s="3"/>
      <c r="B67" s="3">
        <v>-2.5</v>
      </c>
      <c r="C67" s="4">
        <f t="shared" si="0"/>
        <v>6.0000000000000001E-3</v>
      </c>
      <c r="D67" s="3">
        <v>4.4492000000000003</v>
      </c>
      <c r="E67" s="3">
        <v>3.2069000000000001</v>
      </c>
      <c r="F67" s="3">
        <v>1.2422</v>
      </c>
      <c r="G67" s="8">
        <v>536980000000</v>
      </c>
      <c r="H67" s="8">
        <v>292980000000</v>
      </c>
      <c r="I67" s="8">
        <v>244000000000</v>
      </c>
      <c r="J67" s="3">
        <v>2.9371</v>
      </c>
      <c r="K67" s="3">
        <v>2.1171000000000002</v>
      </c>
      <c r="L67" s="3">
        <v>0.82006999999999997</v>
      </c>
      <c r="M67" s="3">
        <v>6.274</v>
      </c>
      <c r="N67" s="3">
        <v>4.5223000000000004</v>
      </c>
      <c r="O67" s="3">
        <v>1.7517</v>
      </c>
      <c r="Q67">
        <f t="shared" si="1"/>
        <v>-2.5</v>
      </c>
      <c r="R67" s="4">
        <f t="shared" si="2"/>
        <v>6.0000000000000001E-3</v>
      </c>
      <c r="S67" s="3">
        <v>2.9371</v>
      </c>
      <c r="T67">
        <f t="shared" si="3"/>
        <v>4.4492000000000003</v>
      </c>
      <c r="U67" s="3">
        <v>6.274</v>
      </c>
      <c r="V67">
        <f t="shared" si="5"/>
        <v>46.597500000000004</v>
      </c>
      <c r="Y67" t="s">
        <v>9</v>
      </c>
      <c r="Z67" t="s">
        <v>64</v>
      </c>
      <c r="AA67" t="s">
        <v>32</v>
      </c>
      <c r="AB67" t="s">
        <v>40</v>
      </c>
      <c r="AC67" t="s">
        <v>41</v>
      </c>
      <c r="AD67" t="s">
        <v>65</v>
      </c>
      <c r="AF67" t="s">
        <v>66</v>
      </c>
      <c r="AI67" s="3">
        <v>-2.5</v>
      </c>
      <c r="AJ67" s="2">
        <f t="shared" si="9"/>
        <v>2.601E-3</v>
      </c>
      <c r="AK67" s="3">
        <v>4.4492000000000003</v>
      </c>
      <c r="AL67" s="2">
        <f t="shared" si="10"/>
        <v>2.5864920781516512</v>
      </c>
      <c r="AM67" s="2">
        <f t="shared" si="11"/>
        <v>1.8620660438986877E-3</v>
      </c>
      <c r="AN67" s="6">
        <f t="shared" si="12"/>
        <v>44.714961000000002</v>
      </c>
      <c r="AO67" s="6">
        <f t="shared" si="13"/>
        <v>0.5813386851909671</v>
      </c>
    </row>
    <row r="68" spans="1:41" x14ac:dyDescent="0.25">
      <c r="A68" s="3"/>
      <c r="B68" s="3">
        <v>-2</v>
      </c>
      <c r="C68" s="4">
        <f t="shared" si="0"/>
        <v>6.5000000000000006E-3</v>
      </c>
      <c r="D68" s="3">
        <v>3.6326999999999998</v>
      </c>
      <c r="E68" s="3">
        <v>2.6181000000000001</v>
      </c>
      <c r="F68" s="3">
        <v>1.0146999999999999</v>
      </c>
      <c r="G68" s="8">
        <v>438480000000</v>
      </c>
      <c r="H68" s="8">
        <v>239180000000</v>
      </c>
      <c r="I68" s="8">
        <v>199300000000</v>
      </c>
      <c r="J68" s="3">
        <v>2.3982000000000001</v>
      </c>
      <c r="K68" s="3">
        <v>1.7282999999999999</v>
      </c>
      <c r="L68" s="3">
        <v>0.66984999999999995</v>
      </c>
      <c r="M68" s="3">
        <v>5.1227</v>
      </c>
      <c r="N68" s="3">
        <v>3.6919</v>
      </c>
      <c r="O68" s="3">
        <v>1.4309000000000001</v>
      </c>
      <c r="Q68">
        <f t="shared" si="1"/>
        <v>-2</v>
      </c>
      <c r="R68" s="4">
        <f t="shared" si="2"/>
        <v>6.5000000000000006E-3</v>
      </c>
      <c r="S68" s="3">
        <v>2.3982000000000001</v>
      </c>
      <c r="T68">
        <f t="shared" si="3"/>
        <v>3.6326999999999998</v>
      </c>
      <c r="U68" s="3">
        <v>5.1227</v>
      </c>
      <c r="V68">
        <f t="shared" si="5"/>
        <v>37.277999999999999</v>
      </c>
      <c r="Y68" s="3">
        <v>-6500</v>
      </c>
      <c r="Z68" s="3">
        <v>-7.18</v>
      </c>
      <c r="AA68" s="3">
        <v>509.83</v>
      </c>
      <c r="AB68" s="3">
        <v>362.49</v>
      </c>
      <c r="AC68" s="3">
        <v>147.34</v>
      </c>
      <c r="AD68">
        <v>135</v>
      </c>
      <c r="AF68" s="6">
        <f>AA68/AD68</f>
        <v>3.7765185185185186</v>
      </c>
      <c r="AI68" s="3">
        <v>-2</v>
      </c>
      <c r="AJ68" s="2">
        <f t="shared" si="9"/>
        <v>3.101E-3</v>
      </c>
      <c r="AK68" s="3">
        <v>3.6326999999999998</v>
      </c>
      <c r="AL68" s="2">
        <f t="shared" si="10"/>
        <v>1.9443595503347637</v>
      </c>
      <c r="AM68" s="2">
        <f t="shared" si="11"/>
        <v>2.1098323266721501E-3</v>
      </c>
      <c r="AN68" s="6">
        <f t="shared" si="12"/>
        <v>35.395461000000005</v>
      </c>
      <c r="AO68" s="6">
        <f t="shared" si="13"/>
        <v>0.53523812875678245</v>
      </c>
    </row>
    <row r="69" spans="1:41" x14ac:dyDescent="0.25">
      <c r="A69" s="3"/>
      <c r="B69" s="3">
        <v>-1.5</v>
      </c>
      <c r="C69" s="4">
        <f t="shared" si="0"/>
        <v>7.000000000000001E-3</v>
      </c>
      <c r="D69" s="3">
        <v>2.9279999999999999</v>
      </c>
      <c r="E69" s="3">
        <v>2.1086999999999998</v>
      </c>
      <c r="F69" s="3">
        <v>0.81927000000000005</v>
      </c>
      <c r="G69" s="8">
        <v>353570000000</v>
      </c>
      <c r="H69" s="8">
        <v>192650000000</v>
      </c>
      <c r="I69" s="8">
        <v>160920000000</v>
      </c>
      <c r="J69" s="3">
        <v>1.9329000000000001</v>
      </c>
      <c r="K69" s="3">
        <v>1.3920999999999999</v>
      </c>
      <c r="L69" s="3">
        <v>0.54085000000000005</v>
      </c>
      <c r="M69" s="3">
        <v>4.1288999999999998</v>
      </c>
      <c r="N69" s="3">
        <v>2.9735999999999998</v>
      </c>
      <c r="O69" s="3">
        <v>1.1553</v>
      </c>
      <c r="Q69">
        <f t="shared" si="1"/>
        <v>-1.5</v>
      </c>
      <c r="R69" s="4">
        <f t="shared" si="2"/>
        <v>7.000000000000001E-3</v>
      </c>
      <c r="S69" s="3">
        <v>1.9329000000000001</v>
      </c>
      <c r="T69">
        <f t="shared" si="3"/>
        <v>2.9279999999999999</v>
      </c>
      <c r="U69" s="3">
        <v>4.1288999999999998</v>
      </c>
      <c r="V69">
        <f t="shared" si="5"/>
        <v>27.958500000000001</v>
      </c>
      <c r="Y69" s="3">
        <v>-8000</v>
      </c>
      <c r="Z69" s="3">
        <v>-7.73</v>
      </c>
      <c r="AA69" s="3">
        <v>722.15</v>
      </c>
      <c r="AB69" s="3">
        <v>513.75</v>
      </c>
      <c r="AC69" s="3">
        <v>208.4</v>
      </c>
      <c r="AD69">
        <v>220</v>
      </c>
      <c r="AF69" s="6">
        <f>AA69/AD69</f>
        <v>3.2824999999999998</v>
      </c>
      <c r="AI69" s="3">
        <v>-1.5</v>
      </c>
      <c r="AJ69" s="2">
        <f t="shared" si="9"/>
        <v>3.601E-3</v>
      </c>
      <c r="AK69" s="3">
        <v>2.9279999999999999</v>
      </c>
      <c r="AL69" s="2">
        <f t="shared" si="10"/>
        <v>1.5254894842088702</v>
      </c>
      <c r="AM69" s="2">
        <f t="shared" si="11"/>
        <v>2.4096554175465782E-3</v>
      </c>
      <c r="AN69" s="6">
        <f t="shared" si="12"/>
        <v>26.075961000000003</v>
      </c>
      <c r="AO69" s="6">
        <f t="shared" si="13"/>
        <v>0.52100050690193656</v>
      </c>
    </row>
    <row r="70" spans="1:41" x14ac:dyDescent="0.25">
      <c r="A70" s="3"/>
      <c r="B70" s="3">
        <v>-1</v>
      </c>
      <c r="C70" s="4">
        <f t="shared" si="0"/>
        <v>7.5000000000000006E-3</v>
      </c>
      <c r="D70" s="3">
        <v>2.2568999999999999</v>
      </c>
      <c r="E70" s="3">
        <v>1.6234999999999999</v>
      </c>
      <c r="F70" s="3">
        <v>0.63339000000000001</v>
      </c>
      <c r="G70" s="8">
        <v>272730000000</v>
      </c>
      <c r="H70" s="8">
        <v>148320000000</v>
      </c>
      <c r="I70" s="8">
        <v>124410000000</v>
      </c>
      <c r="J70" s="3">
        <v>1.4899</v>
      </c>
      <c r="K70" s="3">
        <v>1.0718000000000001</v>
      </c>
      <c r="L70" s="3">
        <v>0.41814000000000001</v>
      </c>
      <c r="M70" s="3">
        <v>3.1825999999999999</v>
      </c>
      <c r="N70" s="3">
        <v>2.2894000000000001</v>
      </c>
      <c r="O70" s="3">
        <v>0.89317999999999997</v>
      </c>
      <c r="Q70">
        <f t="shared" si="1"/>
        <v>-1</v>
      </c>
      <c r="R70" s="4">
        <f t="shared" si="2"/>
        <v>7.5000000000000006E-3</v>
      </c>
      <c r="S70" s="3">
        <v>1.4899</v>
      </c>
      <c r="T70">
        <f t="shared" si="3"/>
        <v>2.2568999999999999</v>
      </c>
      <c r="U70" s="3">
        <v>3.1825999999999999</v>
      </c>
      <c r="V70">
        <f t="shared" si="5"/>
        <v>18.638999999999999</v>
      </c>
      <c r="Y70" s="3">
        <v>-9500</v>
      </c>
      <c r="Z70" s="3">
        <v>-7.9</v>
      </c>
      <c r="AA70" s="3">
        <v>1000.7</v>
      </c>
      <c r="AB70" s="3">
        <v>711.94</v>
      </c>
      <c r="AC70" s="3">
        <v>288.70999999999998</v>
      </c>
      <c r="AD70">
        <v>337</v>
      </c>
      <c r="AF70" s="6">
        <f>AA70/AD70</f>
        <v>2.9694362017804155</v>
      </c>
      <c r="AI70" s="3">
        <v>-1</v>
      </c>
      <c r="AJ70" s="2">
        <f t="shared" si="9"/>
        <v>4.1010000000000005E-3</v>
      </c>
      <c r="AK70" s="3">
        <v>2.2568999999999999</v>
      </c>
      <c r="AL70" s="2">
        <f t="shared" si="10"/>
        <v>1.23527555913999</v>
      </c>
      <c r="AM70" s="2">
        <f t="shared" si="11"/>
        <v>2.8288850296109011E-3</v>
      </c>
      <c r="AN70" s="6">
        <f t="shared" si="12"/>
        <v>16.756460999999994</v>
      </c>
      <c r="AO70" s="6">
        <f t="shared" si="13"/>
        <v>0.54733287214320092</v>
      </c>
    </row>
    <row r="71" spans="1:41" x14ac:dyDescent="0.25">
      <c r="A71" s="3"/>
      <c r="B71" s="3">
        <v>-0.5</v>
      </c>
      <c r="C71" s="4">
        <f t="shared" si="0"/>
        <v>8.0000000000000002E-3</v>
      </c>
      <c r="D71" s="3">
        <v>1.6095999999999999</v>
      </c>
      <c r="E71" s="3">
        <v>1.1560999999999999</v>
      </c>
      <c r="F71" s="3">
        <v>0.45355000000000001</v>
      </c>
      <c r="G71" s="8">
        <v>194700000000</v>
      </c>
      <c r="H71" s="8">
        <v>105620000000</v>
      </c>
      <c r="I71" s="8">
        <v>89087000000</v>
      </c>
      <c r="J71" s="3">
        <v>1.0626</v>
      </c>
      <c r="K71" s="3">
        <v>0.76319999999999999</v>
      </c>
      <c r="L71" s="3">
        <v>0.29942000000000002</v>
      </c>
      <c r="M71" s="3">
        <v>2.2698</v>
      </c>
      <c r="N71" s="3">
        <v>1.6303000000000001</v>
      </c>
      <c r="O71" s="3">
        <v>0.63958000000000004</v>
      </c>
      <c r="Q71">
        <f t="shared" si="1"/>
        <v>-0.5</v>
      </c>
      <c r="R71" s="4">
        <f t="shared" si="2"/>
        <v>8.0000000000000002E-3</v>
      </c>
      <c r="S71" s="3">
        <v>1.0626</v>
      </c>
      <c r="T71">
        <f t="shared" si="3"/>
        <v>1.6095999999999999</v>
      </c>
      <c r="U71" s="3">
        <v>2.2698</v>
      </c>
      <c r="V71">
        <f t="shared" si="5"/>
        <v>9.3194999999999997</v>
      </c>
      <c r="AI71" s="3">
        <v>-0.5</v>
      </c>
      <c r="AJ71" s="2">
        <f t="shared" si="9"/>
        <v>4.6010000000000001E-3</v>
      </c>
      <c r="AK71" s="3">
        <v>1.6095999999999999</v>
      </c>
      <c r="AL71" s="2">
        <f t="shared" si="10"/>
        <v>1.0248841331894485</v>
      </c>
      <c r="AM71" s="2">
        <f t="shared" si="11"/>
        <v>3.4838672843667093E-3</v>
      </c>
      <c r="AN71" s="6">
        <f t="shared" si="12"/>
        <v>7.436961000000001</v>
      </c>
      <c r="AO71" s="6">
        <f t="shared" si="13"/>
        <v>0.63673219010278859</v>
      </c>
    </row>
    <row r="72" spans="1:41" x14ac:dyDescent="0.25">
      <c r="A72" s="3"/>
      <c r="B72" s="3">
        <v>0</v>
      </c>
      <c r="C72" s="4">
        <f t="shared" si="0"/>
        <v>8.5000000000000006E-3</v>
      </c>
      <c r="D72" s="3">
        <v>1.0327</v>
      </c>
      <c r="E72" s="3">
        <v>0.74060000000000004</v>
      </c>
      <c r="F72" s="3">
        <v>0.29210999999999998</v>
      </c>
      <c r="G72" s="8">
        <v>125040000000</v>
      </c>
      <c r="H72" s="8">
        <v>67660000000</v>
      </c>
      <c r="I72" s="8">
        <v>57376000000</v>
      </c>
      <c r="J72" s="3">
        <v>0.68174999999999997</v>
      </c>
      <c r="K72" s="3">
        <v>0.48891000000000001</v>
      </c>
      <c r="L72" s="3">
        <v>0.19284000000000001</v>
      </c>
      <c r="M72" s="3">
        <v>1.4562999999999999</v>
      </c>
      <c r="N72" s="3">
        <v>1.0444</v>
      </c>
      <c r="O72" s="3">
        <v>0.41192000000000001</v>
      </c>
      <c r="Q72">
        <f t="shared" si="1"/>
        <v>0</v>
      </c>
      <c r="R72" s="4">
        <f t="shared" si="2"/>
        <v>8.5000000000000006E-3</v>
      </c>
      <c r="S72" s="3">
        <v>0.68174999999999997</v>
      </c>
      <c r="T72">
        <f t="shared" si="3"/>
        <v>1.0327</v>
      </c>
      <c r="U72" s="3">
        <v>1.4562999999999999</v>
      </c>
      <c r="V72">
        <f t="shared" si="5"/>
        <v>0</v>
      </c>
      <c r="AI72" s="3">
        <v>0</v>
      </c>
      <c r="AJ72" s="2">
        <f t="shared" si="9"/>
        <v>5.1010000000000005E-3</v>
      </c>
      <c r="AK72" s="3">
        <v>1.0327</v>
      </c>
      <c r="AL72" s="2">
        <f t="shared" si="10"/>
        <v>0.86688074008075577</v>
      </c>
      <c r="AM72" s="2">
        <f t="shared" si="11"/>
        <v>4.5795133213386244E-3</v>
      </c>
      <c r="AN72" s="6">
        <v>0</v>
      </c>
      <c r="AO72" s="6">
        <f t="shared" si="13"/>
        <v>0.83943133541275861</v>
      </c>
    </row>
    <row r="73" spans="1:41" x14ac:dyDescent="0.25">
      <c r="A73" s="17"/>
      <c r="B73" s="6"/>
      <c r="C73" s="17"/>
      <c r="D73" s="17"/>
      <c r="E73" s="17"/>
    </row>
    <row r="74" spans="1:41" x14ac:dyDescent="0.25">
      <c r="A74" s="17"/>
      <c r="B74" s="6"/>
      <c r="C74" s="17"/>
      <c r="D74" s="17"/>
      <c r="E74" s="17"/>
      <c r="I74" s="3"/>
      <c r="J74" s="3"/>
      <c r="K74" s="3"/>
      <c r="L74" s="3"/>
      <c r="M74" s="3"/>
    </row>
    <row r="75" spans="1:41" x14ac:dyDescent="0.25">
      <c r="A75" s="17"/>
      <c r="B75" s="6"/>
      <c r="C75" s="17"/>
      <c r="D75" s="17"/>
      <c r="E75" s="17"/>
      <c r="I75" s="3"/>
      <c r="J75" s="3"/>
      <c r="K75" s="3"/>
      <c r="L75" s="3"/>
      <c r="M75" s="3"/>
    </row>
    <row r="76" spans="1:41" x14ac:dyDescent="0.25">
      <c r="A76" s="17"/>
      <c r="B76" s="6"/>
      <c r="C76" s="17"/>
      <c r="D76" s="17"/>
      <c r="E76" s="17"/>
      <c r="I76" s="3"/>
      <c r="J76" s="3"/>
      <c r="K76" s="3"/>
      <c r="L76" s="3"/>
      <c r="M76" s="3"/>
    </row>
    <row r="77" spans="1:41" x14ac:dyDescent="0.25">
      <c r="A77" s="17"/>
      <c r="B77" s="6"/>
      <c r="C77" s="17"/>
      <c r="D77" s="17"/>
      <c r="E77" s="17"/>
      <c r="I77" s="3"/>
      <c r="J77" s="3"/>
      <c r="K77" s="3"/>
      <c r="L77" s="3"/>
      <c r="M77" s="3"/>
    </row>
    <row r="78" spans="1:41" x14ac:dyDescent="0.25">
      <c r="A78" s="17"/>
      <c r="B78" s="6"/>
      <c r="C78" s="17"/>
      <c r="D78" s="17"/>
      <c r="E78" s="17"/>
      <c r="I78" s="3"/>
      <c r="J78" s="3"/>
      <c r="K78" s="3"/>
      <c r="L78" s="3"/>
      <c r="M78" s="3"/>
    </row>
    <row r="79" spans="1:41" x14ac:dyDescent="0.25">
      <c r="A79" s="17"/>
      <c r="B79" s="6"/>
      <c r="C79" s="17"/>
      <c r="D79" s="17"/>
      <c r="E79" s="17"/>
      <c r="I79" s="3"/>
      <c r="J79" s="3"/>
      <c r="K79" s="3"/>
      <c r="L79" s="3"/>
      <c r="M79" s="3"/>
    </row>
    <row r="80" spans="1:41" x14ac:dyDescent="0.25">
      <c r="A80" s="17"/>
      <c r="B80" s="6"/>
      <c r="C80" s="17"/>
      <c r="D80" s="17"/>
      <c r="E80" s="17"/>
      <c r="I80" s="3"/>
      <c r="J80" s="3"/>
      <c r="K80" s="3"/>
      <c r="L80" s="3"/>
      <c r="M80" s="3"/>
      <c r="N80" s="3"/>
      <c r="O80" s="3"/>
      <c r="P80" s="3"/>
      <c r="Q80" s="3"/>
    </row>
    <row r="81" spans="1:26" x14ac:dyDescent="0.25">
      <c r="A81" s="17"/>
      <c r="B81" s="6"/>
      <c r="C81" s="17"/>
      <c r="D81" s="17"/>
      <c r="E81" s="17"/>
      <c r="I81" s="3"/>
      <c r="J81" s="3"/>
      <c r="K81" s="3"/>
      <c r="L81" s="3"/>
      <c r="M81" s="3"/>
      <c r="N81" s="3"/>
      <c r="O81" s="3"/>
      <c r="P81" s="3"/>
      <c r="Q81" s="3"/>
    </row>
    <row r="82" spans="1:26" x14ac:dyDescent="0.25">
      <c r="A82" s="17"/>
      <c r="B82" s="6"/>
      <c r="C82" s="17"/>
      <c r="D82" s="17"/>
      <c r="E82" s="17"/>
      <c r="I82" s="3"/>
      <c r="J82" s="3"/>
      <c r="K82" s="3"/>
      <c r="L82" s="3"/>
      <c r="M82" s="3"/>
      <c r="N82" s="3"/>
      <c r="O82" s="3"/>
      <c r="P82" s="3"/>
      <c r="Q82" s="3"/>
    </row>
    <row r="83" spans="1:26" x14ac:dyDescent="0.25">
      <c r="I83" s="3"/>
      <c r="J83" s="3"/>
      <c r="K83" s="3"/>
      <c r="L83" s="3"/>
      <c r="M83" s="3"/>
    </row>
    <row r="84" spans="1:26" x14ac:dyDescent="0.25">
      <c r="I84" s="3"/>
      <c r="J84" s="3"/>
      <c r="K84" s="3"/>
      <c r="L84" s="3"/>
      <c r="M84" s="3"/>
      <c r="U84" s="8"/>
      <c r="V84" s="8"/>
      <c r="W84" s="8"/>
      <c r="X84" s="8"/>
      <c r="Y84" s="8"/>
      <c r="Z84" s="8"/>
    </row>
    <row r="85" spans="1:26" x14ac:dyDescent="0.25">
      <c r="I85" s="3"/>
      <c r="J85" s="3"/>
      <c r="K85" s="3"/>
      <c r="L85" s="3"/>
      <c r="M85" s="3"/>
      <c r="U85" s="8"/>
      <c r="V85" s="8"/>
      <c r="W85" s="8"/>
      <c r="X85" s="8"/>
      <c r="Y85" s="8"/>
      <c r="Z85" s="8"/>
    </row>
    <row r="86" spans="1:26" x14ac:dyDescent="0.25">
      <c r="I86" s="3"/>
      <c r="J86" s="3"/>
      <c r="K86" s="3"/>
      <c r="L86" s="3"/>
      <c r="M86" s="3"/>
      <c r="P86" s="8"/>
      <c r="Q86" s="8"/>
      <c r="R86" s="8"/>
      <c r="S86" s="3"/>
      <c r="T86" s="8"/>
      <c r="U86" s="8"/>
      <c r="V86" s="8"/>
      <c r="W86" s="8"/>
      <c r="X86" s="8"/>
      <c r="Y86" s="8"/>
      <c r="Z86" s="8"/>
    </row>
    <row r="87" spans="1:26" x14ac:dyDescent="0.25">
      <c r="B87" t="s">
        <v>57</v>
      </c>
      <c r="D87" t="s">
        <v>42</v>
      </c>
      <c r="E87" t="s">
        <v>32</v>
      </c>
      <c r="H87" t="s">
        <v>58</v>
      </c>
      <c r="I87" s="3"/>
      <c r="J87" s="3"/>
      <c r="K87" s="3"/>
      <c r="L87" s="3"/>
      <c r="M87" s="3"/>
      <c r="P87" s="8"/>
      <c r="Q87" s="8"/>
      <c r="R87" s="8"/>
      <c r="S87" s="3"/>
      <c r="T87" s="8"/>
      <c r="U87" s="8"/>
      <c r="V87" s="8"/>
      <c r="W87" s="8"/>
      <c r="X87" s="8"/>
      <c r="Y87" s="8"/>
      <c r="Z87" s="8"/>
    </row>
    <row r="88" spans="1:26" x14ac:dyDescent="0.25">
      <c r="B88" s="3">
        <v>2.7</v>
      </c>
      <c r="C88" s="3">
        <v>-6500</v>
      </c>
      <c r="D88" s="3">
        <v>-4.99</v>
      </c>
      <c r="E88" s="3">
        <v>447.36</v>
      </c>
      <c r="F88" s="3">
        <v>334.75</v>
      </c>
      <c r="G88" s="3">
        <v>112.61</v>
      </c>
      <c r="H88">
        <f>(E88/(980*9.81))*1000</f>
        <v>46.533108656306553</v>
      </c>
      <c r="I88" s="3"/>
      <c r="J88" s="3"/>
      <c r="K88" s="3"/>
      <c r="L88" s="3"/>
      <c r="M88" s="3"/>
      <c r="P88" s="8"/>
      <c r="Q88" s="8"/>
      <c r="R88" s="8"/>
      <c r="S88" s="3"/>
      <c r="T88" s="8"/>
      <c r="U88" s="8"/>
      <c r="V88" s="8"/>
      <c r="W88" s="8"/>
      <c r="X88" s="8"/>
      <c r="Y88" s="8"/>
      <c r="Z88" s="8"/>
    </row>
    <row r="89" spans="1:26" x14ac:dyDescent="0.25">
      <c r="B89" s="3">
        <v>2.7</v>
      </c>
      <c r="C89" s="3">
        <v>-6500</v>
      </c>
      <c r="D89" s="3">
        <v>-4.95</v>
      </c>
      <c r="E89" s="3">
        <v>293.33999999999997</v>
      </c>
      <c r="F89" s="3">
        <v>219.26</v>
      </c>
      <c r="G89" s="3">
        <v>74.076999999999998</v>
      </c>
      <c r="H89">
        <f t="shared" ref="H89:H96" si="15">(E89/(980*9.81))*1000</f>
        <v>30.512388441615172</v>
      </c>
      <c r="I89" s="3"/>
      <c r="J89" s="3"/>
      <c r="K89" s="3"/>
      <c r="L89" s="3"/>
      <c r="M89" s="3"/>
      <c r="P89" s="8"/>
      <c r="Q89" s="8"/>
      <c r="R89" s="8"/>
      <c r="S89" s="3"/>
      <c r="T89" s="8"/>
      <c r="U89" s="8"/>
      <c r="V89" s="8"/>
      <c r="W89" s="8"/>
      <c r="X89" s="8"/>
      <c r="Y89" s="8"/>
      <c r="Z89" s="8"/>
    </row>
    <row r="90" spans="1:26" x14ac:dyDescent="0.25">
      <c r="B90" s="3">
        <v>2.7</v>
      </c>
      <c r="C90" s="3">
        <v>-6500</v>
      </c>
      <c r="D90" s="3">
        <v>-4.9000000000000004</v>
      </c>
      <c r="E90" s="3">
        <v>197.9</v>
      </c>
      <c r="F90" s="3">
        <v>147.86000000000001</v>
      </c>
      <c r="G90" s="3">
        <v>50.036999999999999</v>
      </c>
      <c r="H90">
        <f t="shared" si="15"/>
        <v>20.584992406748633</v>
      </c>
      <c r="I90" s="3"/>
      <c r="J90" s="3"/>
      <c r="K90" s="3"/>
      <c r="L90" s="3"/>
      <c r="M90" s="3"/>
      <c r="P90" s="8"/>
      <c r="Q90" s="8"/>
      <c r="R90" s="8"/>
      <c r="S90" s="3"/>
      <c r="T90" s="8"/>
      <c r="U90" s="8"/>
      <c r="V90" s="8"/>
      <c r="W90" s="8"/>
      <c r="X90" s="8"/>
      <c r="Y90" s="8"/>
      <c r="Z90" s="8"/>
    </row>
    <row r="91" spans="1:26" x14ac:dyDescent="0.25">
      <c r="B91" s="3">
        <v>2.7</v>
      </c>
      <c r="C91" s="3">
        <v>-6500</v>
      </c>
      <c r="D91" s="3">
        <v>-4.5</v>
      </c>
      <c r="E91" s="3">
        <v>37.512</v>
      </c>
      <c r="F91" s="3">
        <v>28.074000000000002</v>
      </c>
      <c r="G91" s="3">
        <v>9.4374000000000002</v>
      </c>
      <c r="H91">
        <f t="shared" si="15"/>
        <v>3.9018910316420143</v>
      </c>
      <c r="I91" s="3"/>
      <c r="J91" s="3"/>
      <c r="K91" s="3"/>
      <c r="L91" s="3"/>
      <c r="M91" s="3"/>
      <c r="N91" s="8"/>
      <c r="O91" s="8"/>
      <c r="P91" s="8"/>
      <c r="Q91" s="8"/>
      <c r="R91" s="8"/>
      <c r="S91" s="3"/>
      <c r="T91" s="8"/>
      <c r="U91" s="8"/>
      <c r="V91" s="8"/>
      <c r="W91" s="8"/>
      <c r="X91" s="8"/>
      <c r="Y91" s="8"/>
      <c r="Z91" s="8"/>
    </row>
    <row r="92" spans="1:26" x14ac:dyDescent="0.25">
      <c r="I92" s="3"/>
      <c r="J92" s="3"/>
      <c r="K92" s="3"/>
      <c r="L92" s="3"/>
      <c r="M92" s="3"/>
      <c r="N92" s="8"/>
      <c r="O92" s="8"/>
      <c r="P92" s="8"/>
      <c r="Q92" s="8"/>
      <c r="R92" s="8"/>
      <c r="S92" s="3"/>
      <c r="T92" s="8"/>
      <c r="U92" s="8"/>
      <c r="V92" s="8"/>
      <c r="W92" s="8"/>
      <c r="X92" s="8"/>
      <c r="Y92" s="8"/>
      <c r="Z92" s="8"/>
    </row>
    <row r="93" spans="1:26" x14ac:dyDescent="0.25">
      <c r="B93" s="3">
        <v>2.7</v>
      </c>
      <c r="C93" s="3">
        <v>-9500</v>
      </c>
      <c r="D93" s="3">
        <v>-4.99</v>
      </c>
      <c r="E93" s="3">
        <v>955.61</v>
      </c>
      <c r="F93" s="3">
        <v>715.06</v>
      </c>
      <c r="G93" s="3">
        <v>240.55</v>
      </c>
      <c r="H93">
        <f t="shared" si="15"/>
        <v>99.399821090515701</v>
      </c>
      <c r="I93" s="3"/>
      <c r="J93" s="3"/>
      <c r="K93" s="3"/>
      <c r="L93" s="3"/>
      <c r="M93" s="3"/>
      <c r="N93" s="8"/>
      <c r="O93" s="8"/>
      <c r="P93" s="8"/>
      <c r="Q93" s="8"/>
      <c r="R93" s="8"/>
      <c r="S93" s="3"/>
      <c r="T93" s="8"/>
      <c r="U93" s="8"/>
      <c r="V93" s="8"/>
      <c r="W93" s="8"/>
      <c r="X93" s="8"/>
      <c r="Y93" s="8"/>
      <c r="Z93" s="8"/>
    </row>
    <row r="94" spans="1:26" x14ac:dyDescent="0.25">
      <c r="B94" s="3">
        <v>2.7</v>
      </c>
      <c r="C94" s="3">
        <v>-9500</v>
      </c>
      <c r="D94" s="3">
        <v>-4.95</v>
      </c>
      <c r="E94" s="3">
        <v>626.6</v>
      </c>
      <c r="F94" s="3">
        <v>468.36</v>
      </c>
      <c r="G94" s="3">
        <v>158.22999999999999</v>
      </c>
      <c r="H94">
        <f t="shared" si="15"/>
        <v>65.177141192868575</v>
      </c>
      <c r="I94" s="3"/>
      <c r="J94" s="3"/>
      <c r="K94" s="3"/>
      <c r="L94" s="3"/>
      <c r="M94" s="3"/>
      <c r="N94" s="8"/>
      <c r="O94" s="8"/>
      <c r="P94" s="8"/>
      <c r="Q94" s="8"/>
      <c r="R94" s="8"/>
      <c r="S94" s="3"/>
      <c r="T94" s="8"/>
      <c r="U94" s="8"/>
      <c r="V94" s="8"/>
      <c r="W94" s="8"/>
      <c r="X94" s="8"/>
      <c r="Y94" s="8"/>
      <c r="Z94" s="8"/>
    </row>
    <row r="95" spans="1:26" x14ac:dyDescent="0.25">
      <c r="B95" s="3">
        <v>2.7</v>
      </c>
      <c r="C95" s="3">
        <v>-9500</v>
      </c>
      <c r="D95" s="3">
        <v>-4.9000000000000004</v>
      </c>
      <c r="E95" s="3">
        <v>422.73</v>
      </c>
      <c r="F95" s="3">
        <v>315.83999999999997</v>
      </c>
      <c r="G95" s="3">
        <v>106.88</v>
      </c>
      <c r="H95">
        <f t="shared" si="15"/>
        <v>43.971166448230669</v>
      </c>
      <c r="I95" s="3"/>
      <c r="J95" s="3"/>
      <c r="K95" s="3"/>
      <c r="L95" s="3"/>
      <c r="M95" s="3"/>
      <c r="N95" s="8"/>
      <c r="O95" s="8"/>
      <c r="P95" s="8"/>
      <c r="Q95" s="8"/>
      <c r="R95" s="8"/>
      <c r="S95" s="3"/>
      <c r="T95" s="8"/>
      <c r="U95" s="8"/>
      <c r="V95" s="8"/>
      <c r="W95" s="8"/>
      <c r="X95" s="8"/>
      <c r="Y95" s="8"/>
      <c r="Z95" s="8"/>
    </row>
    <row r="96" spans="1:26" x14ac:dyDescent="0.25">
      <c r="B96" s="3">
        <v>2.7</v>
      </c>
      <c r="C96" s="3">
        <v>-9500</v>
      </c>
      <c r="D96" s="3">
        <v>-4.5</v>
      </c>
      <c r="E96" s="3">
        <v>80.129000000000005</v>
      </c>
      <c r="F96" s="3">
        <v>59.97</v>
      </c>
      <c r="G96" s="3">
        <v>20.158999999999999</v>
      </c>
      <c r="H96">
        <f t="shared" si="15"/>
        <v>8.3347895733216824</v>
      </c>
      <c r="I96" s="3"/>
      <c r="J96" s="3"/>
      <c r="K96" s="3"/>
      <c r="L96" s="3"/>
      <c r="M96" s="3"/>
      <c r="N96" s="8"/>
      <c r="O96" s="8"/>
      <c r="P96" s="8"/>
      <c r="Q96" s="8"/>
      <c r="R96" s="8"/>
      <c r="S96" s="3"/>
      <c r="T96" s="8"/>
      <c r="U96" s="8"/>
      <c r="V96" s="8"/>
      <c r="W96" s="8"/>
      <c r="X96" s="8"/>
      <c r="Y96" s="8"/>
      <c r="Z96" s="8"/>
    </row>
    <row r="97" spans="8:18" x14ac:dyDescent="0.25">
      <c r="H97" s="3"/>
      <c r="I97" s="3"/>
      <c r="J97" s="3"/>
      <c r="K97" s="3"/>
      <c r="L97" s="3"/>
      <c r="M97" s="3"/>
      <c r="N97" s="8"/>
      <c r="O97" s="8"/>
      <c r="P97" s="8"/>
      <c r="Q97" s="8"/>
      <c r="R97" s="8"/>
    </row>
    <row r="98" spans="8:18" x14ac:dyDescent="0.25">
      <c r="H98" s="3"/>
      <c r="I98" s="3"/>
      <c r="J98" s="3"/>
      <c r="K98" s="3"/>
      <c r="L98" s="3"/>
      <c r="M98" s="3"/>
      <c r="N98" s="8"/>
      <c r="O98" s="8"/>
      <c r="P98" s="8"/>
      <c r="Q98" s="8"/>
      <c r="R98" s="8"/>
    </row>
    <row r="99" spans="8:18" x14ac:dyDescent="0.25">
      <c r="H99" s="3"/>
      <c r="I99" s="3"/>
      <c r="J99" s="3"/>
      <c r="K99" s="3"/>
      <c r="L99" s="3"/>
      <c r="M99" s="8"/>
      <c r="N99" s="8"/>
      <c r="O99" s="8"/>
      <c r="P99" s="8"/>
      <c r="Q99" s="8"/>
      <c r="R99" s="8"/>
    </row>
    <row r="100" spans="8:18" x14ac:dyDescent="0.25">
      <c r="H100" s="3"/>
      <c r="I100" s="3"/>
      <c r="J100" s="3"/>
      <c r="K100" s="3"/>
      <c r="L100" s="8"/>
      <c r="M100" s="8"/>
      <c r="N100" s="8"/>
      <c r="O100" s="8"/>
      <c r="P100" s="8"/>
      <c r="Q100" s="8"/>
      <c r="R100" s="8"/>
    </row>
    <row r="101" spans="8:18" x14ac:dyDescent="0.25">
      <c r="H101" s="3"/>
      <c r="I101" s="3"/>
      <c r="J101" s="3"/>
      <c r="K101" s="8"/>
      <c r="L101" s="8"/>
      <c r="M101" s="8"/>
    </row>
    <row r="102" spans="8:18" x14ac:dyDescent="0.25">
      <c r="H102" s="3"/>
      <c r="I102" s="3"/>
      <c r="J102" s="3"/>
      <c r="K102" s="8"/>
      <c r="L102" s="8"/>
      <c r="M102" s="8"/>
    </row>
    <row r="103" spans="8:18" x14ac:dyDescent="0.25">
      <c r="H103" s="3"/>
      <c r="I103" s="3"/>
      <c r="J103" s="3"/>
      <c r="K103" s="8"/>
      <c r="L103" s="8"/>
      <c r="M103" s="8"/>
    </row>
    <row r="104" spans="8:18" x14ac:dyDescent="0.25">
      <c r="H104" s="3"/>
      <c r="I104" s="3"/>
      <c r="J104" s="3"/>
      <c r="K104" s="8"/>
      <c r="L104" s="8"/>
      <c r="M104" s="8"/>
    </row>
    <row r="105" spans="8:18" x14ac:dyDescent="0.25">
      <c r="H105" s="3"/>
      <c r="I105" s="3"/>
      <c r="J105" s="3"/>
      <c r="K105" s="8"/>
      <c r="L105" s="8"/>
      <c r="M105" s="8"/>
    </row>
    <row r="106" spans="8:18" x14ac:dyDescent="0.25">
      <c r="H106" s="3"/>
      <c r="I106" s="3"/>
      <c r="J106" s="3"/>
      <c r="K106" s="8"/>
      <c r="L106" s="8"/>
      <c r="M106" s="8"/>
    </row>
    <row r="107" spans="8:18" x14ac:dyDescent="0.25">
      <c r="H107" s="3"/>
      <c r="I107" s="3"/>
      <c r="J107" s="3"/>
      <c r="K107" s="8"/>
      <c r="L107" s="8"/>
      <c r="M107" s="8"/>
    </row>
    <row r="108" spans="8:18" x14ac:dyDescent="0.25">
      <c r="H108" s="3"/>
      <c r="I108" s="3"/>
      <c r="J108" s="3"/>
      <c r="K108" s="3"/>
      <c r="L108" s="8"/>
      <c r="M108" s="8"/>
    </row>
    <row r="109" spans="8:18" x14ac:dyDescent="0.25">
      <c r="H109" s="3"/>
      <c r="I109" s="3"/>
      <c r="J109" s="3"/>
      <c r="K109" s="3"/>
      <c r="L109" s="8"/>
      <c r="M109" s="8"/>
    </row>
    <row r="110" spans="8:18" x14ac:dyDescent="0.25">
      <c r="H110" s="3"/>
      <c r="I110" s="3"/>
      <c r="J110" s="3"/>
      <c r="K110" s="3"/>
      <c r="L110" s="3"/>
      <c r="M110" s="8"/>
    </row>
    <row r="111" spans="8:18" x14ac:dyDescent="0.25">
      <c r="H111" s="3"/>
      <c r="I111" s="3"/>
      <c r="J111" s="3"/>
      <c r="K111" s="3"/>
      <c r="L111" s="3"/>
      <c r="M111" s="8"/>
    </row>
    <row r="112" spans="8:18" x14ac:dyDescent="0.25">
      <c r="H112" s="3"/>
      <c r="I112" s="3"/>
      <c r="J112" s="3"/>
      <c r="K112" s="3"/>
      <c r="L112" s="3"/>
      <c r="M112" s="8"/>
    </row>
    <row r="113" spans="8:13" x14ac:dyDescent="0.25">
      <c r="H113" s="3"/>
      <c r="I113" s="3"/>
      <c r="J113" s="3"/>
      <c r="K113" s="3"/>
      <c r="L113" s="3"/>
      <c r="M113" s="8"/>
    </row>
    <row r="114" spans="8:13" x14ac:dyDescent="0.25">
      <c r="H114" s="3"/>
      <c r="I114" s="3"/>
      <c r="J114" s="3"/>
      <c r="K114" s="3"/>
      <c r="L114" s="3"/>
      <c r="M114" s="8"/>
    </row>
    <row r="115" spans="8:13" x14ac:dyDescent="0.25">
      <c r="H115" s="3"/>
      <c r="I115" s="3"/>
      <c r="J115" s="3"/>
      <c r="K115" s="3"/>
      <c r="L115" s="3"/>
      <c r="M115" s="8"/>
    </row>
    <row r="116" spans="8:13" x14ac:dyDescent="0.25">
      <c r="H116" s="3"/>
      <c r="I116" s="3"/>
      <c r="J116" s="3"/>
      <c r="K116" s="3"/>
      <c r="L116" s="3"/>
      <c r="M116" s="8"/>
    </row>
    <row r="117" spans="8:13" x14ac:dyDescent="0.25">
      <c r="H117" s="3"/>
      <c r="I117" s="3"/>
      <c r="J117" s="3"/>
      <c r="K117" s="3"/>
      <c r="L117" s="3"/>
      <c r="M117" s="8"/>
    </row>
    <row r="118" spans="8:13" x14ac:dyDescent="0.25">
      <c r="H118" s="3"/>
      <c r="I118" s="3"/>
      <c r="J118" s="3"/>
      <c r="K118" s="3"/>
      <c r="L118" s="3"/>
      <c r="M118" s="8"/>
    </row>
    <row r="119" spans="8:13" x14ac:dyDescent="0.25">
      <c r="H119" s="3"/>
      <c r="I119" s="3"/>
      <c r="J119" s="3"/>
      <c r="K119" s="3"/>
      <c r="L119" s="3"/>
      <c r="M119" s="8"/>
    </row>
    <row r="120" spans="8:13" x14ac:dyDescent="0.25">
      <c r="H120" s="3"/>
      <c r="I120" s="3"/>
      <c r="J120" s="3"/>
      <c r="K120" s="3"/>
      <c r="L120" s="3"/>
      <c r="M120" s="8"/>
    </row>
    <row r="121" spans="8:13" x14ac:dyDescent="0.25">
      <c r="H121" s="3"/>
      <c r="I121" s="3"/>
      <c r="J121" s="3"/>
      <c r="K121" s="3"/>
      <c r="L121" s="3"/>
      <c r="M121" s="8"/>
    </row>
    <row r="122" spans="8:13" x14ac:dyDescent="0.25">
      <c r="H122" s="3"/>
      <c r="I122" s="3"/>
      <c r="J122" s="3"/>
      <c r="K122" s="3"/>
      <c r="L122" s="3"/>
      <c r="M122" s="8"/>
    </row>
    <row r="123" spans="8:13" x14ac:dyDescent="0.25">
      <c r="H123" s="3"/>
      <c r="I123" s="3"/>
      <c r="J123" s="3"/>
      <c r="K123" s="3"/>
      <c r="L123" s="3"/>
      <c r="M123" s="8"/>
    </row>
    <row r="124" spans="8:13" x14ac:dyDescent="0.25">
      <c r="H124" s="3"/>
      <c r="I124" s="3"/>
      <c r="J124" s="3"/>
      <c r="K124" s="3"/>
      <c r="L124" s="3"/>
      <c r="M124" s="8"/>
    </row>
    <row r="125" spans="8:13" x14ac:dyDescent="0.25">
      <c r="H125" s="3"/>
      <c r="I125" s="3"/>
      <c r="J125" s="3"/>
      <c r="K125" s="3"/>
      <c r="L125" s="3"/>
      <c r="M125" s="8"/>
    </row>
    <row r="126" spans="8:13" x14ac:dyDescent="0.25">
      <c r="H126" s="3"/>
      <c r="I126" s="3"/>
      <c r="J126" s="3"/>
      <c r="K126" s="3"/>
      <c r="L126" s="3"/>
      <c r="M126" s="8"/>
    </row>
    <row r="127" spans="8:13" x14ac:dyDescent="0.25">
      <c r="H127" s="3"/>
      <c r="I127" s="3"/>
      <c r="J127" s="3"/>
      <c r="K127" s="3"/>
      <c r="L127" s="3"/>
      <c r="M127" s="8"/>
    </row>
    <row r="128" spans="8:13" x14ac:dyDescent="0.25">
      <c r="H128" s="3"/>
      <c r="I128" s="3"/>
      <c r="J128" s="3"/>
      <c r="K128" s="3"/>
      <c r="L128" s="3"/>
      <c r="M128" s="8"/>
    </row>
    <row r="129" spans="8:13" x14ac:dyDescent="0.25">
      <c r="H129" s="3"/>
      <c r="I129" s="3"/>
      <c r="J129" s="3"/>
      <c r="K129" s="3"/>
      <c r="L129" s="3"/>
      <c r="M129" s="8"/>
    </row>
    <row r="130" spans="8:13" x14ac:dyDescent="0.25">
      <c r="H130" s="3"/>
      <c r="I130" s="3"/>
      <c r="J130" s="3"/>
    </row>
    <row r="131" spans="8:13" x14ac:dyDescent="0.25">
      <c r="H131" s="3"/>
      <c r="I131" s="3"/>
      <c r="J131" s="3"/>
    </row>
    <row r="132" spans="8:13" x14ac:dyDescent="0.25">
      <c r="H132" s="3"/>
      <c r="I132" s="3"/>
      <c r="J132" s="3"/>
    </row>
    <row r="133" spans="8:13" x14ac:dyDescent="0.25">
      <c r="H133" s="3"/>
      <c r="I133" s="3"/>
      <c r="J133" s="3"/>
    </row>
    <row r="134" spans="8:13" x14ac:dyDescent="0.25">
      <c r="H134" s="3"/>
      <c r="I134" s="3"/>
      <c r="J134" s="3"/>
    </row>
    <row r="135" spans="8:13" x14ac:dyDescent="0.25">
      <c r="H135" s="3"/>
      <c r="I135" s="3"/>
      <c r="J135" s="3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6A9BBE-C212-43CF-8CCD-432595DBDC09}">
  <dimension ref="C2:P23"/>
  <sheetViews>
    <sheetView workbookViewId="0">
      <selection activeCell="D17" sqref="D17"/>
    </sheetView>
  </sheetViews>
  <sheetFormatPr defaultRowHeight="15" x14ac:dyDescent="0.25"/>
  <cols>
    <col min="13" max="13" width="9.5703125" bestFit="1" customWidth="1"/>
  </cols>
  <sheetData>
    <row r="2" spans="3:16" x14ac:dyDescent="0.25">
      <c r="H2" t="s">
        <v>1</v>
      </c>
      <c r="I2" t="s">
        <v>2</v>
      </c>
      <c r="J2" t="s">
        <v>3</v>
      </c>
      <c r="K2" t="s">
        <v>0</v>
      </c>
      <c r="M2" t="s">
        <v>6</v>
      </c>
    </row>
    <row r="3" spans="3:16" x14ac:dyDescent="0.25">
      <c r="C3">
        <f>1900*9.81*0.003</f>
        <v>55.917000000000002</v>
      </c>
      <c r="H3">
        <v>7.24</v>
      </c>
      <c r="I3">
        <v>228</v>
      </c>
      <c r="J3">
        <f>H3/I3</f>
        <v>3.1754385964912285E-2</v>
      </c>
      <c r="K3">
        <f>H3/I3^2</f>
        <v>1.3927362265312405E-4</v>
      </c>
      <c r="M3" s="7">
        <f>1900*9.81*H3*0.001</f>
        <v>134.94636000000003</v>
      </c>
      <c r="N3">
        <v>4</v>
      </c>
      <c r="O3" s="10">
        <v>168.48</v>
      </c>
      <c r="P3" s="7">
        <f>M3+N3</f>
        <v>138.94636000000003</v>
      </c>
    </row>
    <row r="4" spans="3:16" x14ac:dyDescent="0.25">
      <c r="H4">
        <v>11.78</v>
      </c>
      <c r="I4">
        <v>266</v>
      </c>
      <c r="J4">
        <f>H4/I4</f>
        <v>4.4285714285714282E-2</v>
      </c>
      <c r="K4">
        <f>H4/I4^2</f>
        <v>1.664876476906552E-4</v>
      </c>
      <c r="M4" s="7">
        <f>1900*9.81*H4*0.001</f>
        <v>219.56742</v>
      </c>
      <c r="N4">
        <v>9</v>
      </c>
      <c r="O4" s="10">
        <v>255.21</v>
      </c>
      <c r="P4" s="7">
        <f>M4+N4</f>
        <v>228.56742</v>
      </c>
    </row>
    <row r="5" spans="3:16" x14ac:dyDescent="0.25">
      <c r="C5" s="2">
        <f>SQRT(C3/0.00000000000885)</f>
        <v>2513623.8948469921</v>
      </c>
      <c r="H5">
        <v>18.079999999999998</v>
      </c>
      <c r="I5">
        <v>767</v>
      </c>
      <c r="J5">
        <f>H5/I5</f>
        <v>2.3572359843546282E-2</v>
      </c>
      <c r="K5">
        <f>H5/I5^2</f>
        <v>3.0733194059382372E-5</v>
      </c>
      <c r="M5" s="7">
        <f>1900*9.81*H5*0.001</f>
        <v>336.99311999999998</v>
      </c>
      <c r="N5">
        <v>21</v>
      </c>
      <c r="O5" s="10">
        <v>359.89</v>
      </c>
      <c r="P5" s="7">
        <f>M5+N5</f>
        <v>357.99311999999998</v>
      </c>
    </row>
    <row r="9" spans="3:16" x14ac:dyDescent="0.25">
      <c r="K9" t="s">
        <v>7</v>
      </c>
      <c r="L9" t="s">
        <v>8</v>
      </c>
    </row>
    <row r="10" spans="3:16" x14ac:dyDescent="0.25">
      <c r="E10" s="3">
        <v>-6500</v>
      </c>
      <c r="F10" s="3">
        <v>-4.9000000000000004</v>
      </c>
      <c r="G10" s="3">
        <v>168.48</v>
      </c>
      <c r="H10" s="3">
        <v>97.218000000000004</v>
      </c>
      <c r="I10" s="3">
        <v>33.145000000000003</v>
      </c>
      <c r="J10" s="3">
        <v>153.12</v>
      </c>
      <c r="K10" s="3">
        <v>190.61</v>
      </c>
      <c r="L10" s="8">
        <v>5990800000000</v>
      </c>
      <c r="M10" s="2"/>
      <c r="N10" s="1"/>
      <c r="P10">
        <f>J10/M3</f>
        <v>1.1346730656536417</v>
      </c>
    </row>
    <row r="11" spans="3:16" x14ac:dyDescent="0.25">
      <c r="E11" s="3">
        <v>-8000</v>
      </c>
      <c r="F11" s="3">
        <v>-4.9000000000000004</v>
      </c>
      <c r="G11" s="3">
        <v>255.21</v>
      </c>
      <c r="H11" s="3">
        <v>147.27000000000001</v>
      </c>
      <c r="I11" s="3">
        <v>50.207999999999998</v>
      </c>
      <c r="J11" s="3">
        <v>231.95</v>
      </c>
      <c r="K11" s="3">
        <v>288.73</v>
      </c>
      <c r="L11" s="8">
        <v>9074800000000</v>
      </c>
      <c r="M11" s="2"/>
      <c r="N11" s="1"/>
      <c r="P11">
        <f>J11/M4</f>
        <v>1.0563953431706763</v>
      </c>
    </row>
    <row r="12" spans="3:16" x14ac:dyDescent="0.25">
      <c r="E12" s="3">
        <v>-9500</v>
      </c>
      <c r="F12" s="3">
        <v>-4.9000000000000004</v>
      </c>
      <c r="G12" s="3">
        <v>359.89</v>
      </c>
      <c r="H12" s="3">
        <v>207.67</v>
      </c>
      <c r="I12" s="3">
        <v>70.801000000000002</v>
      </c>
      <c r="J12" s="3">
        <v>327.08</v>
      </c>
      <c r="K12" s="3">
        <v>407.16</v>
      </c>
      <c r="L12" s="8">
        <v>12797000000000</v>
      </c>
      <c r="M12" s="2"/>
      <c r="N12" s="1"/>
      <c r="P12">
        <f>J12/M5</f>
        <v>0.9705836131016562</v>
      </c>
    </row>
    <row r="14" spans="3:16" x14ac:dyDescent="0.25">
      <c r="F14" s="3"/>
      <c r="G14" s="8"/>
      <c r="H14" s="8"/>
      <c r="I14" s="8"/>
      <c r="J14" s="8"/>
      <c r="L14" s="1"/>
    </row>
    <row r="15" spans="3:16" x14ac:dyDescent="0.25">
      <c r="F15" s="3"/>
      <c r="G15" s="8"/>
      <c r="H15" s="8"/>
      <c r="I15" s="8"/>
      <c r="J15" s="8"/>
      <c r="L15" s="1"/>
    </row>
    <row r="16" spans="3:16" x14ac:dyDescent="0.25">
      <c r="F16" s="3"/>
      <c r="G16" s="8"/>
      <c r="H16" s="8"/>
      <c r="I16" s="8"/>
      <c r="J16" s="8"/>
    </row>
    <row r="19" spans="8:11" x14ac:dyDescent="0.25">
      <c r="H19">
        <f>3.3-2.7-0.22</f>
        <v>0.37999999999999967</v>
      </c>
      <c r="J19" s="9">
        <v>-0.22</v>
      </c>
      <c r="K19" s="9">
        <v>-0.21</v>
      </c>
    </row>
    <row r="20" spans="8:11" x14ac:dyDescent="0.25">
      <c r="H20" t="s">
        <v>4</v>
      </c>
      <c r="J20" t="s">
        <v>5</v>
      </c>
      <c r="K20" t="s">
        <v>5</v>
      </c>
    </row>
    <row r="21" spans="8:11" x14ac:dyDescent="0.25">
      <c r="H21">
        <v>100</v>
      </c>
      <c r="I21">
        <v>4</v>
      </c>
      <c r="J21">
        <v>123</v>
      </c>
      <c r="K21">
        <v>95</v>
      </c>
    </row>
    <row r="22" spans="8:11" x14ac:dyDescent="0.25">
      <c r="H22">
        <v>179</v>
      </c>
      <c r="I22">
        <v>9</v>
      </c>
      <c r="J22">
        <v>186</v>
      </c>
      <c r="K22">
        <v>147</v>
      </c>
    </row>
    <row r="23" spans="8:11" x14ac:dyDescent="0.25">
      <c r="H23">
        <v>241</v>
      </c>
      <c r="I23">
        <v>21</v>
      </c>
      <c r="J23">
        <v>263</v>
      </c>
      <c r="K23">
        <v>211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LPPT_Prototype</vt:lpstr>
      <vt:lpstr>Sheet0</vt:lpstr>
      <vt:lpstr>ES_pump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Home</cp:lastModifiedBy>
  <dcterms:created xsi:type="dcterms:W3CDTF">2022-07-15T18:34:24Z</dcterms:created>
  <dcterms:modified xsi:type="dcterms:W3CDTF">2022-09-16T12:28:45Z</dcterms:modified>
</cp:coreProperties>
</file>