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Chapter_6_Data\"/>
    </mc:Choice>
  </mc:AlternateContent>
  <xr:revisionPtr revIDLastSave="0" documentId="13_ncr:1_{9376CFA5-F136-411F-BFC0-7A655DBB3A51}" xr6:coauthVersionLast="47" xr6:coauthVersionMax="47" xr10:uidLastSave="{00000000-0000-0000-0000-000000000000}"/>
  <bookViews>
    <workbookView xWindow="564" yWindow="228" windowWidth="17280" windowHeight="8964" xr2:uid="{A53AC480-8943-4AED-AF24-1D78BEF118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" i="1" l="1"/>
  <c r="J117" i="1"/>
  <c r="K117" i="1"/>
  <c r="C126" i="1"/>
  <c r="D126" i="1"/>
  <c r="E126" i="1"/>
  <c r="B126" i="1"/>
  <c r="C125" i="1"/>
  <c r="D125" i="1"/>
  <c r="E125" i="1"/>
  <c r="B125" i="1"/>
  <c r="C123" i="1"/>
  <c r="D123" i="1"/>
  <c r="E123" i="1"/>
  <c r="B123" i="1"/>
  <c r="C122" i="1"/>
  <c r="D122" i="1"/>
  <c r="E122" i="1"/>
  <c r="B122" i="1"/>
  <c r="C120" i="1"/>
  <c r="D120" i="1"/>
  <c r="E120" i="1"/>
  <c r="B120" i="1"/>
  <c r="E119" i="1"/>
  <c r="C119" i="1"/>
  <c r="D119" i="1"/>
  <c r="B119" i="1"/>
  <c r="J108" i="1" l="1"/>
  <c r="D111" i="1"/>
  <c r="F99" i="1"/>
  <c r="I107" i="1"/>
  <c r="I115" i="1" s="1"/>
  <c r="D104" i="1"/>
  <c r="J115" i="1"/>
  <c r="K115" i="1"/>
  <c r="K114" i="1"/>
  <c r="J114" i="1"/>
  <c r="K109" i="1"/>
  <c r="I109" i="1"/>
  <c r="K108" i="1"/>
  <c r="I108" i="1"/>
  <c r="K107" i="1"/>
  <c r="J107" i="1"/>
  <c r="I114" i="1" l="1"/>
  <c r="D109" i="1"/>
  <c r="D105" i="1"/>
  <c r="D106" i="1" l="1"/>
  <c r="D110" i="1"/>
  <c r="D116" i="1"/>
  <c r="D115" i="1"/>
  <c r="D114" i="1"/>
  <c r="D97" i="1"/>
  <c r="E96" i="1"/>
  <c r="D95" i="1"/>
  <c r="D96" i="1"/>
  <c r="E89" i="1"/>
  <c r="E87" i="1"/>
  <c r="D87" i="1"/>
  <c r="F82" i="1"/>
  <c r="H74" i="1"/>
  <c r="H68" i="1"/>
  <c r="H67" i="1"/>
  <c r="H59" i="1"/>
  <c r="H58" i="1"/>
  <c r="H48" i="1"/>
  <c r="H47" i="1"/>
  <c r="H39" i="1"/>
  <c r="H38" i="1"/>
  <c r="H14" i="1"/>
  <c r="H9" i="1"/>
  <c r="D77" i="1"/>
  <c r="K80" i="1"/>
  <c r="K79" i="1"/>
  <c r="K78" i="1"/>
  <c r="J78" i="1"/>
  <c r="J77" i="1"/>
  <c r="H80" i="1"/>
  <c r="H79" i="1"/>
  <c r="H78" i="1"/>
  <c r="G78" i="1"/>
  <c r="G77" i="1"/>
  <c r="D79" i="1"/>
  <c r="D75" i="1"/>
  <c r="D78" i="1"/>
  <c r="D74" i="1"/>
  <c r="D73" i="1"/>
  <c r="D59" i="1" l="1"/>
  <c r="D58" i="1"/>
  <c r="D38" i="1"/>
  <c r="D39" i="1"/>
  <c r="D34" i="1"/>
  <c r="D55" i="1"/>
  <c r="D35" i="1"/>
  <c r="D54" i="1"/>
  <c r="D68" i="1"/>
  <c r="D67" i="1"/>
  <c r="D64" i="1"/>
  <c r="D63" i="1"/>
  <c r="D13" i="1" l="1"/>
  <c r="D43" i="1"/>
  <c r="D44" i="1" l="1"/>
  <c r="D20" i="1"/>
  <c r="D19" i="1"/>
  <c r="D18" i="1"/>
  <c r="D28" i="1"/>
  <c r="D27" i="1"/>
  <c r="D26" i="1"/>
  <c r="D25" i="1"/>
  <c r="D24" i="1"/>
  <c r="D9" i="1"/>
  <c r="D8" i="1"/>
  <c r="D48" i="1"/>
  <c r="D47" i="1"/>
  <c r="D49" i="1" s="1"/>
  <c r="D14" i="1"/>
  <c r="D15" i="1" s="1"/>
  <c r="D70" i="1"/>
  <c r="C70" i="1"/>
  <c r="B70" i="1"/>
  <c r="D69" i="1"/>
  <c r="C69" i="1"/>
  <c r="B69" i="1"/>
  <c r="D61" i="1"/>
  <c r="C61" i="1"/>
  <c r="B61" i="1"/>
  <c r="D60" i="1"/>
  <c r="C60" i="1"/>
  <c r="B60" i="1"/>
  <c r="C50" i="1"/>
  <c r="B50" i="1"/>
  <c r="C49" i="1"/>
  <c r="B49" i="1"/>
  <c r="B41" i="1"/>
  <c r="C41" i="1"/>
  <c r="D41" i="1"/>
  <c r="C40" i="1"/>
  <c r="D40" i="1"/>
  <c r="B40" i="1"/>
  <c r="C15" i="1"/>
  <c r="B15" i="1"/>
  <c r="C10" i="1"/>
  <c r="B10" i="1"/>
  <c r="D50" i="1" l="1"/>
  <c r="D10" i="1"/>
  <c r="E68" i="1"/>
  <c r="E59" i="1"/>
  <c r="E58" i="1" l="1"/>
  <c r="E67" i="1"/>
  <c r="E39" i="1" l="1"/>
  <c r="E38" i="1"/>
  <c r="E48" i="1"/>
  <c r="E47" i="1"/>
  <c r="E14" i="1"/>
</calcChain>
</file>

<file path=xl/sharedStrings.xml><?xml version="1.0" encoding="utf-8"?>
<sst xmlns="http://schemas.openxmlformats.org/spreadsheetml/2006/main" count="118" uniqueCount="56">
  <si>
    <t>Particle</t>
  </si>
  <si>
    <t>Size</t>
  </si>
  <si>
    <t>Iterations</t>
  </si>
  <si>
    <t>Time</t>
  </si>
  <si>
    <t>DEM</t>
  </si>
  <si>
    <t>SR</t>
  </si>
  <si>
    <t>Bed</t>
  </si>
  <si>
    <t>Parametric - Mesh independency</t>
  </si>
  <si>
    <t>Baseline - No adj</t>
  </si>
  <si>
    <t>Coarse</t>
  </si>
  <si>
    <t>Finest</t>
  </si>
  <si>
    <t>Parametric - Intraparticle porosity</t>
  </si>
  <si>
    <t>Parametric - Temperature</t>
  </si>
  <si>
    <t>Current</t>
  </si>
  <si>
    <t>WHSV</t>
  </si>
  <si>
    <t>2eq.</t>
  </si>
  <si>
    <t>Flow</t>
  </si>
  <si>
    <t>kg/s</t>
  </si>
  <si>
    <t>(From excel sheet: Collective_Cases_Updated_Normalised, EtOH - 300-500)</t>
  </si>
  <si>
    <t>EtOH m.f.</t>
  </si>
  <si>
    <t>1eq.</t>
  </si>
  <si>
    <t>EtOH</t>
  </si>
  <si>
    <t>m.f.</t>
  </si>
  <si>
    <t>Hept</t>
  </si>
  <si>
    <t>N2</t>
  </si>
  <si>
    <t>3eq.</t>
  </si>
  <si>
    <t>Parametric - WHSV</t>
  </si>
  <si>
    <t>1eq</t>
  </si>
  <si>
    <t>3eq</t>
  </si>
  <si>
    <t>Parametric - Exothermicity</t>
  </si>
  <si>
    <t>8k+</t>
  </si>
  <si>
    <t>Ram usage</t>
  </si>
  <si>
    <t>https://sotonac.sharepoint.com/teams/HPCCommunityWiki/SitePages/Submitting-Jobs.aspx</t>
  </si>
  <si>
    <t>CPU Efficiency</t>
  </si>
  <si>
    <t>[Gb]</t>
  </si>
  <si>
    <t>(Total 46.17 Gb)</t>
  </si>
  <si>
    <t>Newer cases</t>
  </si>
  <si>
    <t>PM_Bed_Bslne</t>
  </si>
  <si>
    <t>vs DEM</t>
  </si>
  <si>
    <t>vs SR</t>
  </si>
  <si>
    <t>Sbed</t>
  </si>
  <si>
    <t>PM</t>
  </si>
  <si>
    <t>Complete Comp time</t>
  </si>
  <si>
    <t>1 Node</t>
  </si>
  <si>
    <t>12 Processes</t>
  </si>
  <si>
    <t>DEM Bslne</t>
  </si>
  <si>
    <t>SR Bslne</t>
  </si>
  <si>
    <t>PM Bslne</t>
  </si>
  <si>
    <t>27-Bed</t>
  </si>
  <si>
    <t>81-Bed</t>
  </si>
  <si>
    <t>Iterat</t>
  </si>
  <si>
    <t>Comp time</t>
  </si>
  <si>
    <t>Nu Part</t>
  </si>
  <si>
    <t>%Diff</t>
  </si>
  <si>
    <t>SR-DEM</t>
  </si>
  <si>
    <t>PM-DEM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</si>
</sst>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1" fontId="0" fillId="0" borderId="0" xfId="0" applyNumberFormat="1"/>
    <xf numFmtId="10" fontId="0" fillId="0" borderId="0" xfId="1" applyNumberFormat="1" applyFont="1"/>
    <xf numFmtId="0" fontId="2" fillId="0" borderId="0" xfId="0" applyFont="1"/>
    <xf numFmtId="0" fontId="0" fillId="0" borderId="0" xfId="0" applyFont="1"/>
    <xf numFmtId="10" fontId="0" fillId="0" borderId="0" xfId="0" applyNumberFormat="1"/>
    <xf numFmtId="0" fontId="0" fillId="0" borderId="0" xfId="1" applyNumberFormat="1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Comp. Time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Sheet1!$I$107:$K$107</c:f>
              <c:numCache>
                <c:formatCode>General</c:formatCode>
                <c:ptCount val="3"/>
                <c:pt idx="0">
                  <c:v>73</c:v>
                </c:pt>
                <c:pt idx="1">
                  <c:v>472</c:v>
                </c:pt>
                <c:pt idx="2">
                  <c:v>2340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85-4DC2-91C2-37D87824BFA4}"/>
            </c:ext>
          </c:extLst>
        </c:ser>
        <c:ser>
          <c:idx val="1"/>
          <c:order val="1"/>
          <c:tx>
            <c:v>SR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Sheet1!$I$108:$K$108</c:f>
              <c:numCache>
                <c:formatCode>General</c:formatCode>
                <c:ptCount val="3"/>
                <c:pt idx="0">
                  <c:v>59</c:v>
                </c:pt>
                <c:pt idx="1">
                  <c:v>237</c:v>
                </c:pt>
                <c:pt idx="2">
                  <c:v>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85-4DC2-91C2-37D87824BFA4}"/>
            </c:ext>
          </c:extLst>
        </c:ser>
        <c:ser>
          <c:idx val="2"/>
          <c:order val="2"/>
          <c:tx>
            <c:v>PM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Sheet1!$I$109:$K$109</c:f>
              <c:numCache>
                <c:formatCode>General</c:formatCode>
                <c:ptCount val="3"/>
                <c:pt idx="0">
                  <c:v>26</c:v>
                </c:pt>
                <c:pt idx="1">
                  <c:v>88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85-4DC2-91C2-37D8782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681184"/>
        <c:axId val="1921681600"/>
      </c:scatterChart>
      <c:valAx>
        <c:axId val="192168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particle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81600"/>
        <c:crosses val="autoZero"/>
        <c:crossBetween val="midCat"/>
      </c:valAx>
      <c:valAx>
        <c:axId val="192168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Comp.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81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04133858267728"/>
          <c:y val="0.29947834645669291"/>
          <c:w val="0.13229199475065617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%Time difference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SR-DEM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Sheet1!$I$114:$K$114</c:f>
              <c:numCache>
                <c:formatCode>General</c:formatCode>
                <c:ptCount val="3"/>
                <c:pt idx="0">
                  <c:v>0.19178082191780821</c:v>
                </c:pt>
                <c:pt idx="1">
                  <c:v>0.4978813559322034</c:v>
                </c:pt>
                <c:pt idx="2">
                  <c:v>0.75299145299145298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EE-4E8D-BC04-8DF28AAA195A}"/>
            </c:ext>
          </c:extLst>
        </c:ser>
        <c:ser>
          <c:idx val="1"/>
          <c:order val="1"/>
          <c:tx>
            <c:v>PM-DEM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Sheet1!$I$115:$K$115</c:f>
              <c:numCache>
                <c:formatCode>General</c:formatCode>
                <c:ptCount val="3"/>
                <c:pt idx="0">
                  <c:v>0.64383561643835618</c:v>
                </c:pt>
                <c:pt idx="1">
                  <c:v>0.81355932203389836</c:v>
                </c:pt>
                <c:pt idx="2">
                  <c:v>0.87094017094017095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EE-4E8D-BC04-8DF28AAA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91279"/>
        <c:axId val="414491695"/>
      </c:scatterChart>
      <c:valAx>
        <c:axId val="41449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particles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491695"/>
        <c:crosses val="autoZero"/>
        <c:crossBetween val="midCat"/>
      </c:valAx>
      <c:valAx>
        <c:axId val="414491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difference between models [%]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491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Comp. Time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865135608048989"/>
                  <c:y val="0.15250291630212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Sheet1!$I$108:$K$108</c:f>
              <c:numCache>
                <c:formatCode>General</c:formatCode>
                <c:ptCount val="3"/>
                <c:pt idx="0">
                  <c:v>59</c:v>
                </c:pt>
                <c:pt idx="1">
                  <c:v>237</c:v>
                </c:pt>
                <c:pt idx="2">
                  <c:v>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F4-4303-B8BE-559582FB234D}"/>
            </c:ext>
          </c:extLst>
        </c:ser>
        <c:ser>
          <c:idx val="2"/>
          <c:order val="1"/>
          <c:tx>
            <c:v>PM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8206911636045493E-2"/>
                  <c:y val="0.216904345290172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Sheet1!$I$105:$K$105</c:f>
              <c:numCache>
                <c:formatCode>General</c:formatCode>
                <c:ptCount val="3"/>
                <c:pt idx="0">
                  <c:v>1</c:v>
                </c:pt>
                <c:pt idx="1">
                  <c:v>27</c:v>
                </c:pt>
                <c:pt idx="2">
                  <c:v>81</c:v>
                </c:pt>
              </c:numCache>
            </c:numRef>
          </c:xVal>
          <c:yVal>
            <c:numRef>
              <c:f>Sheet1!$I$109:$K$109</c:f>
              <c:numCache>
                <c:formatCode>General</c:formatCode>
                <c:ptCount val="3"/>
                <c:pt idx="0">
                  <c:v>26</c:v>
                </c:pt>
                <c:pt idx="1">
                  <c:v>88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F4-4303-B8BE-559582FB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681184"/>
        <c:axId val="1921681600"/>
      </c:scatterChart>
      <c:valAx>
        <c:axId val="192168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particle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81600"/>
        <c:crosses val="autoZero"/>
        <c:crossBetween val="midCat"/>
      </c:valAx>
      <c:valAx>
        <c:axId val="192168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Comp.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81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289560</xdr:colOff>
      <xdr:row>102</xdr:row>
      <xdr:rowOff>19050</xdr:rowOff>
    </xdr:from>
    <xdr:to>
      <xdr:col>18</xdr:col>
      <xdr:colOff>594360</xdr:colOff>
      <xdr:row>117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FC4D4E-8502-4E3C-A8BD-B78744816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388620</xdr:colOff>
      <xdr:row>114</xdr:row>
      <xdr:rowOff>72390</xdr:rowOff>
    </xdr:from>
    <xdr:to>
      <xdr:col>19</xdr:col>
      <xdr:colOff>83820</xdr:colOff>
      <xdr:row>129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6E3AA1-5883-46FA-9E02-3747035FA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102</xdr:row>
      <xdr:rowOff>0</xdr:rowOff>
    </xdr:from>
    <xdr:to>
      <xdr:col>27</xdr:col>
      <xdr:colOff>304800</xdr:colOff>
      <xdr:row>117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29E223-0C28-4312-BE83-E38D01279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7C37-B6ED-4434-82EB-2AF55554C1E9}">
  <dimension ref="A1:Q163"/>
  <sheetViews>
    <sheetView tabSelected="1" topLeftCell="A103" workbookViewId="0">
      <selection activeCell="K98" sqref="K98"/>
    </sheetView>
  </sheetViews>
  <sheetFormatPr defaultRowHeight="14.4" x14ac:dyDescent="0.3"/>
  <cols>
    <col min="1" max="1" width="28" bestFit="1" customWidth="1"/>
  </cols>
  <sheetData>
    <row r="1" spans="1:17" x14ac:dyDescent="0.3">
      <c r="G1" t="s">
        <v>32</v>
      </c>
    </row>
    <row r="3" spans="1:17" x14ac:dyDescent="0.3">
      <c r="J3" t="s">
        <v>13</v>
      </c>
    </row>
    <row r="4" spans="1:17" x14ac:dyDescent="0.3">
      <c r="B4" t="s">
        <v>1</v>
      </c>
      <c r="C4" t="s">
        <v>2</v>
      </c>
      <c r="D4" t="s">
        <v>3</v>
      </c>
      <c r="F4" t="s">
        <v>31</v>
      </c>
      <c r="G4" t="s">
        <v>33</v>
      </c>
      <c r="J4" t="s">
        <v>14</v>
      </c>
      <c r="K4" t="s">
        <v>15</v>
      </c>
      <c r="L4" t="s">
        <v>16</v>
      </c>
      <c r="N4" s="1">
        <v>7.4099999999999998E-7</v>
      </c>
      <c r="O4" t="s">
        <v>17</v>
      </c>
      <c r="Q4" t="s">
        <v>18</v>
      </c>
    </row>
    <row r="5" spans="1:17" x14ac:dyDescent="0.3">
      <c r="F5" t="s">
        <v>34</v>
      </c>
      <c r="L5" t="s">
        <v>19</v>
      </c>
      <c r="N5">
        <v>0.20678007800000001</v>
      </c>
    </row>
    <row r="6" spans="1:17" x14ac:dyDescent="0.3">
      <c r="A6" t="s">
        <v>0</v>
      </c>
      <c r="F6" t="s">
        <v>35</v>
      </c>
    </row>
    <row r="8" spans="1:17" x14ac:dyDescent="0.3">
      <c r="A8" t="s">
        <v>4</v>
      </c>
      <c r="B8">
        <v>0.55000000000000004</v>
      </c>
      <c r="C8">
        <v>2212</v>
      </c>
      <c r="D8">
        <f>51+2*60+23</f>
        <v>194</v>
      </c>
      <c r="F8">
        <v>4.33</v>
      </c>
      <c r="G8" s="5">
        <v>0.99419999999999997</v>
      </c>
      <c r="J8" t="s">
        <v>14</v>
      </c>
      <c r="K8" t="s">
        <v>20</v>
      </c>
      <c r="L8" t="s">
        <v>21</v>
      </c>
      <c r="N8">
        <v>0.11680877673036423</v>
      </c>
      <c r="O8" t="s">
        <v>22</v>
      </c>
    </row>
    <row r="9" spans="1:17" x14ac:dyDescent="0.3">
      <c r="A9" t="s">
        <v>5</v>
      </c>
      <c r="B9">
        <v>0.45</v>
      </c>
      <c r="C9">
        <v>1992</v>
      </c>
      <c r="D9">
        <f>23+2*60+10</f>
        <v>153</v>
      </c>
      <c r="F9">
        <v>4.2300000000000004</v>
      </c>
      <c r="G9" s="5">
        <v>0.99509999999999998</v>
      </c>
      <c r="H9" s="2">
        <f>(F9-F8)/F8</f>
        <v>-2.3094688221708924E-2</v>
      </c>
      <c r="L9" t="s">
        <v>23</v>
      </c>
      <c r="N9">
        <v>1.2978752970040468E-2</v>
      </c>
      <c r="O9" t="s">
        <v>22</v>
      </c>
    </row>
    <row r="10" spans="1:17" x14ac:dyDescent="0.3">
      <c r="B10" s="2">
        <f>(B9-B8)/B8</f>
        <v>-0.18181818181818185</v>
      </c>
      <c r="C10" s="2">
        <f t="shared" ref="C10:D10" si="0">(C9-C8)/C8</f>
        <v>-9.9457504520795659E-2</v>
      </c>
      <c r="D10" s="2">
        <f t="shared" si="0"/>
        <v>-0.21134020618556701</v>
      </c>
      <c r="L10" t="s">
        <v>24</v>
      </c>
      <c r="N10">
        <v>0.87021247029959525</v>
      </c>
      <c r="O10" t="s">
        <v>22</v>
      </c>
    </row>
    <row r="11" spans="1:17" x14ac:dyDescent="0.3">
      <c r="A11" t="s">
        <v>6</v>
      </c>
    </row>
    <row r="12" spans="1:17" x14ac:dyDescent="0.3">
      <c r="L12" t="s">
        <v>16</v>
      </c>
      <c r="N12">
        <v>6.5577264092765714E-7</v>
      </c>
      <c r="O12" t="s">
        <v>17</v>
      </c>
    </row>
    <row r="13" spans="1:17" x14ac:dyDescent="0.3">
      <c r="A13" t="s">
        <v>4</v>
      </c>
      <c r="B13">
        <v>5.0199999999999996</v>
      </c>
      <c r="C13">
        <v>1979</v>
      </c>
      <c r="D13">
        <f>39+660+540+43</f>
        <v>1282</v>
      </c>
      <c r="F13">
        <v>31.15</v>
      </c>
      <c r="G13" s="5">
        <v>0.99470000000000003</v>
      </c>
    </row>
    <row r="14" spans="1:17" x14ac:dyDescent="0.3">
      <c r="A14" t="s">
        <v>5</v>
      </c>
      <c r="B14">
        <v>2.2000000000000002</v>
      </c>
      <c r="C14">
        <v>1604</v>
      </c>
      <c r="D14">
        <f>22+8*60+2*60+34</f>
        <v>656</v>
      </c>
      <c r="E14" s="2">
        <f>(D13-D14)/D13</f>
        <v>0.48829953198127923</v>
      </c>
      <c r="F14">
        <v>18.12</v>
      </c>
      <c r="G14" s="5">
        <v>0.99690000000000001</v>
      </c>
      <c r="H14" s="2">
        <f>(F14-F13)/F13</f>
        <v>-0.418298555377207</v>
      </c>
    </row>
    <row r="15" spans="1:17" x14ac:dyDescent="0.3">
      <c r="B15" s="2">
        <f>(B14-B13)/B13</f>
        <v>-0.56175298804780871</v>
      </c>
      <c r="C15" s="2">
        <f t="shared" ref="C15" si="1">(C14-C13)/C13</f>
        <v>-0.18948964123294593</v>
      </c>
      <c r="D15" s="2">
        <f t="shared" ref="D15" si="2">(D14-D13)/D13</f>
        <v>-0.48829953198127923</v>
      </c>
      <c r="J15" t="s">
        <v>14</v>
      </c>
      <c r="K15" t="s">
        <v>25</v>
      </c>
      <c r="L15" t="s">
        <v>21</v>
      </c>
      <c r="N15">
        <v>0.27820996261849884</v>
      </c>
      <c r="O15" t="s">
        <v>22</v>
      </c>
    </row>
    <row r="16" spans="1:17" x14ac:dyDescent="0.3">
      <c r="A16" t="s">
        <v>7</v>
      </c>
      <c r="L16" t="s">
        <v>23</v>
      </c>
      <c r="N16">
        <v>3.0912218068722099E-2</v>
      </c>
      <c r="O16" t="s">
        <v>22</v>
      </c>
    </row>
    <row r="17" spans="1:15" x14ac:dyDescent="0.3">
      <c r="L17" t="s">
        <v>24</v>
      </c>
      <c r="N17">
        <v>0.69087781931277903</v>
      </c>
      <c r="O17" t="s">
        <v>22</v>
      </c>
    </row>
    <row r="18" spans="1:15" x14ac:dyDescent="0.3">
      <c r="A18" t="s">
        <v>8</v>
      </c>
      <c r="B18">
        <v>0.43</v>
      </c>
      <c r="C18">
        <v>1982</v>
      </c>
      <c r="D18">
        <f>22+2*60+6</f>
        <v>148</v>
      </c>
      <c r="F18" s="6">
        <v>4.05</v>
      </c>
      <c r="G18" s="6"/>
      <c r="H18" s="2"/>
    </row>
    <row r="19" spans="1:15" x14ac:dyDescent="0.3">
      <c r="A19" t="s">
        <v>9</v>
      </c>
      <c r="B19">
        <v>0.06</v>
      </c>
      <c r="C19" t="s">
        <v>30</v>
      </c>
      <c r="D19">
        <f>48+36</f>
        <v>84</v>
      </c>
      <c r="F19">
        <v>1.07</v>
      </c>
      <c r="L19" t="s">
        <v>16</v>
      </c>
      <c r="N19">
        <v>8.2599486314987932E-7</v>
      </c>
      <c r="O19" t="s">
        <v>17</v>
      </c>
    </row>
    <row r="20" spans="1:15" x14ac:dyDescent="0.3">
      <c r="A20" t="s">
        <v>10</v>
      </c>
      <c r="B20">
        <v>1.3</v>
      </c>
      <c r="C20">
        <v>1934</v>
      </c>
      <c r="D20">
        <f>25+6*60+60+45</f>
        <v>490</v>
      </c>
      <c r="E20" s="2"/>
      <c r="F20">
        <v>10.86</v>
      </c>
    </row>
    <row r="22" spans="1:15" x14ac:dyDescent="0.3">
      <c r="A22" t="s">
        <v>11</v>
      </c>
    </row>
    <row r="24" spans="1:15" x14ac:dyDescent="0.3">
      <c r="A24">
        <v>1E-3</v>
      </c>
      <c r="B24">
        <v>0.45</v>
      </c>
      <c r="C24">
        <v>2360</v>
      </c>
      <c r="D24">
        <f>12+2*60+59</f>
        <v>191</v>
      </c>
      <c r="F24">
        <v>4.2300000000000004</v>
      </c>
    </row>
    <row r="25" spans="1:15" x14ac:dyDescent="0.3">
      <c r="A25">
        <v>0.01</v>
      </c>
      <c r="B25">
        <v>0.45</v>
      </c>
      <c r="C25">
        <v>2426</v>
      </c>
      <c r="D25">
        <f>4+3*60+3</f>
        <v>187</v>
      </c>
      <c r="F25">
        <v>4.24</v>
      </c>
    </row>
    <row r="26" spans="1:15" x14ac:dyDescent="0.3">
      <c r="A26">
        <v>0.2</v>
      </c>
      <c r="B26">
        <v>0.45</v>
      </c>
      <c r="C26">
        <v>1540</v>
      </c>
      <c r="D26">
        <f>4+60+55</f>
        <v>119</v>
      </c>
      <c r="F26">
        <v>4.22</v>
      </c>
    </row>
    <row r="27" spans="1:15" x14ac:dyDescent="0.3">
      <c r="A27">
        <v>0.3</v>
      </c>
      <c r="B27">
        <v>0.45</v>
      </c>
      <c r="C27">
        <v>1341</v>
      </c>
      <c r="D27">
        <f>4+60+43</f>
        <v>107</v>
      </c>
      <c r="F27">
        <v>4.24</v>
      </c>
    </row>
    <row r="28" spans="1:15" x14ac:dyDescent="0.3">
      <c r="A28">
        <v>0.45</v>
      </c>
      <c r="B28">
        <v>0.45</v>
      </c>
      <c r="C28">
        <v>1161</v>
      </c>
      <c r="D28">
        <f>50+41</f>
        <v>91</v>
      </c>
      <c r="F28">
        <v>4.2300000000000004</v>
      </c>
    </row>
    <row r="30" spans="1:15" x14ac:dyDescent="0.3">
      <c r="A30" t="s">
        <v>12</v>
      </c>
    </row>
    <row r="32" spans="1:15" x14ac:dyDescent="0.3">
      <c r="A32" t="s">
        <v>0</v>
      </c>
    </row>
    <row r="33" spans="1:8" x14ac:dyDescent="0.3">
      <c r="A33" t="s">
        <v>4</v>
      </c>
    </row>
    <row r="34" spans="1:8" x14ac:dyDescent="0.3">
      <c r="A34">
        <v>185</v>
      </c>
      <c r="B34">
        <v>0.55000000000000004</v>
      </c>
      <c r="C34" s="4">
        <v>2282</v>
      </c>
      <c r="D34" s="4">
        <f>2+180+20</f>
        <v>202</v>
      </c>
      <c r="F34">
        <v>4.34</v>
      </c>
    </row>
    <row r="35" spans="1:8" x14ac:dyDescent="0.3">
      <c r="A35">
        <v>215</v>
      </c>
      <c r="B35">
        <v>0.55000000000000004</v>
      </c>
      <c r="C35" s="4">
        <v>1923</v>
      </c>
      <c r="D35" s="4">
        <f>47+60+58</f>
        <v>165</v>
      </c>
      <c r="F35">
        <v>4.34</v>
      </c>
      <c r="H35" s="2"/>
    </row>
    <row r="36" spans="1:8" x14ac:dyDescent="0.3">
      <c r="C36" s="3"/>
      <c r="D36" s="3"/>
    </row>
    <row r="37" spans="1:8" x14ac:dyDescent="0.3">
      <c r="A37" t="s">
        <v>5</v>
      </c>
      <c r="C37" s="3"/>
      <c r="D37" s="3"/>
    </row>
    <row r="38" spans="1:8" x14ac:dyDescent="0.3">
      <c r="A38">
        <v>185</v>
      </c>
      <c r="B38">
        <v>0.45</v>
      </c>
      <c r="C38" s="4">
        <v>2265</v>
      </c>
      <c r="D38" s="4">
        <f>37+2*60+17</f>
        <v>174</v>
      </c>
      <c r="E38" s="2">
        <f>(D34-D38)/D34</f>
        <v>0.13861386138613863</v>
      </c>
      <c r="F38" s="4">
        <v>4.2300000000000004</v>
      </c>
      <c r="H38" s="2">
        <f>(F38-F34)/F34</f>
        <v>-2.5345622119815538E-2</v>
      </c>
    </row>
    <row r="39" spans="1:8" x14ac:dyDescent="0.3">
      <c r="A39">
        <v>215</v>
      </c>
      <c r="B39">
        <v>0.45</v>
      </c>
      <c r="C39" s="4">
        <v>1929</v>
      </c>
      <c r="D39" s="4">
        <f>37+60+52</f>
        <v>149</v>
      </c>
      <c r="E39" s="2">
        <f>(D35-D39)/D35</f>
        <v>9.696969696969697E-2</v>
      </c>
      <c r="F39" s="4">
        <v>4.2300000000000004</v>
      </c>
      <c r="H39" s="2">
        <f>(F39-F35)/F35</f>
        <v>-2.5345622119815538E-2</v>
      </c>
    </row>
    <row r="40" spans="1:8" x14ac:dyDescent="0.3">
      <c r="B40" s="2">
        <f>(B38-B34)/B34</f>
        <v>-0.18181818181818185</v>
      </c>
      <c r="C40" s="2">
        <f t="shared" ref="C40:D41" si="3">(C38-C34)/C34</f>
        <v>-7.4496056091148113E-3</v>
      </c>
      <c r="D40" s="2">
        <f t="shared" si="3"/>
        <v>-0.13861386138613863</v>
      </c>
    </row>
    <row r="41" spans="1:8" x14ac:dyDescent="0.3">
      <c r="A41" t="s">
        <v>6</v>
      </c>
      <c r="B41" s="2">
        <f>(B39-B35)/B35</f>
        <v>-0.18181818181818185</v>
      </c>
      <c r="C41" s="2">
        <f t="shared" si="3"/>
        <v>3.1201248049921998E-3</v>
      </c>
      <c r="D41" s="2">
        <f t="shared" si="3"/>
        <v>-9.696969696969697E-2</v>
      </c>
    </row>
    <row r="42" spans="1:8" x14ac:dyDescent="0.3">
      <c r="A42" t="s">
        <v>4</v>
      </c>
    </row>
    <row r="43" spans="1:8" x14ac:dyDescent="0.3">
      <c r="A43">
        <v>185</v>
      </c>
      <c r="B43">
        <v>5.0199999999999996</v>
      </c>
      <c r="C43">
        <v>2233</v>
      </c>
      <c r="D43">
        <f>17+6*60+17*60+11</f>
        <v>1408</v>
      </c>
      <c r="F43">
        <v>31.14</v>
      </c>
    </row>
    <row r="44" spans="1:8" x14ac:dyDescent="0.3">
      <c r="A44">
        <v>215</v>
      </c>
      <c r="B44">
        <v>5.0199999999999996</v>
      </c>
      <c r="C44">
        <v>1747</v>
      </c>
      <c r="D44">
        <f>14+360+900+22</f>
        <v>1296</v>
      </c>
      <c r="F44">
        <v>31.14</v>
      </c>
      <c r="H44" s="2"/>
    </row>
    <row r="46" spans="1:8" x14ac:dyDescent="0.3">
      <c r="A46" t="s">
        <v>5</v>
      </c>
    </row>
    <row r="47" spans="1:8" x14ac:dyDescent="0.3">
      <c r="A47">
        <v>185</v>
      </c>
      <c r="B47">
        <v>2.2000000000000002</v>
      </c>
      <c r="C47">
        <v>1694</v>
      </c>
      <c r="D47">
        <f>1+360+300+31</f>
        <v>692</v>
      </c>
      <c r="E47" s="2">
        <f>(D43-D47)/D43</f>
        <v>0.50852272727272729</v>
      </c>
      <c r="F47">
        <v>18.14</v>
      </c>
      <c r="H47" s="2">
        <f>(F47-F43)/F43</f>
        <v>-0.41746949261400129</v>
      </c>
    </row>
    <row r="48" spans="1:8" x14ac:dyDescent="0.3">
      <c r="A48">
        <v>215</v>
      </c>
      <c r="B48">
        <v>2.2000000000000002</v>
      </c>
      <c r="C48">
        <v>1548</v>
      </c>
      <c r="D48">
        <f>35+300+240+56</f>
        <v>631</v>
      </c>
      <c r="E48" s="2">
        <f>(D44-D48)/D44</f>
        <v>0.51311728395061729</v>
      </c>
      <c r="F48">
        <v>18.13</v>
      </c>
      <c r="H48" s="2">
        <f>(F48-F44)/F44</f>
        <v>-0.41779062299293518</v>
      </c>
    </row>
    <row r="49" spans="1:8" x14ac:dyDescent="0.3">
      <c r="B49" s="2">
        <f>(B47-B43)/B43</f>
        <v>-0.56175298804780871</v>
      </c>
      <c r="C49" s="2">
        <f t="shared" ref="C49:D49" si="4">(C47-C43)/C43</f>
        <v>-0.2413793103448276</v>
      </c>
      <c r="D49" s="2">
        <f t="shared" si="4"/>
        <v>-0.50852272727272729</v>
      </c>
    </row>
    <row r="50" spans="1:8" x14ac:dyDescent="0.3">
      <c r="A50" t="s">
        <v>26</v>
      </c>
      <c r="B50" s="2">
        <f>(B48-B44)/B44</f>
        <v>-0.56175298804780871</v>
      </c>
      <c r="C50" s="2">
        <f t="shared" ref="C50:D50" si="5">(C48-C44)/C44</f>
        <v>-0.11390955924441901</v>
      </c>
      <c r="D50" s="2">
        <f t="shared" si="5"/>
        <v>-0.51311728395061729</v>
      </c>
    </row>
    <row r="52" spans="1:8" x14ac:dyDescent="0.3">
      <c r="A52" t="s">
        <v>0</v>
      </c>
    </row>
    <row r="53" spans="1:8" x14ac:dyDescent="0.3">
      <c r="A53" t="s">
        <v>4</v>
      </c>
    </row>
    <row r="54" spans="1:8" x14ac:dyDescent="0.3">
      <c r="A54" t="s">
        <v>27</v>
      </c>
      <c r="B54">
        <v>0.55000000000000004</v>
      </c>
      <c r="C54">
        <v>1261</v>
      </c>
      <c r="D54">
        <f>55+53</f>
        <v>108</v>
      </c>
      <c r="F54">
        <v>4.34</v>
      </c>
    </row>
    <row r="55" spans="1:8" x14ac:dyDescent="0.3">
      <c r="A55" t="s">
        <v>28</v>
      </c>
      <c r="B55">
        <v>0.55000000000000004</v>
      </c>
      <c r="C55">
        <v>1225</v>
      </c>
      <c r="D55">
        <f>43+60+1</f>
        <v>104</v>
      </c>
      <c r="F55">
        <v>4.34</v>
      </c>
    </row>
    <row r="57" spans="1:8" x14ac:dyDescent="0.3">
      <c r="A57" t="s">
        <v>5</v>
      </c>
    </row>
    <row r="58" spans="1:8" x14ac:dyDescent="0.3">
      <c r="A58" t="s">
        <v>27</v>
      </c>
      <c r="B58">
        <v>0.45</v>
      </c>
      <c r="C58">
        <v>926</v>
      </c>
      <c r="D58">
        <f>51+22</f>
        <v>73</v>
      </c>
      <c r="E58" s="2">
        <f>(D54-D58)/D54</f>
        <v>0.32407407407407407</v>
      </c>
      <c r="F58">
        <v>4.2300000000000004</v>
      </c>
      <c r="H58" s="2">
        <f>(F58-F54)/F54</f>
        <v>-2.5345622119815538E-2</v>
      </c>
    </row>
    <row r="59" spans="1:8" x14ac:dyDescent="0.3">
      <c r="A59" t="s">
        <v>28</v>
      </c>
      <c r="B59">
        <v>0.45</v>
      </c>
      <c r="C59">
        <v>956</v>
      </c>
      <c r="D59">
        <f>50+25</f>
        <v>75</v>
      </c>
      <c r="E59" s="2">
        <f>(D55-D59)/D55</f>
        <v>0.27884615384615385</v>
      </c>
      <c r="F59">
        <v>4.2300000000000004</v>
      </c>
      <c r="H59" s="2">
        <f>(F59-F55)/F55</f>
        <v>-2.5345622119815538E-2</v>
      </c>
    </row>
    <row r="60" spans="1:8" x14ac:dyDescent="0.3">
      <c r="B60" s="2">
        <f>(B58-B54)/B54</f>
        <v>-0.18181818181818185</v>
      </c>
      <c r="C60" s="2">
        <f t="shared" ref="C60:D60" si="6">(C58-C54)/C54</f>
        <v>-0.26566217287866772</v>
      </c>
      <c r="D60" s="2">
        <f t="shared" si="6"/>
        <v>-0.32407407407407407</v>
      </c>
    </row>
    <row r="61" spans="1:8" x14ac:dyDescent="0.3">
      <c r="A61" t="s">
        <v>6</v>
      </c>
      <c r="B61" s="2">
        <f>(B59-B55)/B55</f>
        <v>-0.18181818181818185</v>
      </c>
      <c r="C61" s="2">
        <f t="shared" ref="C61:D61" si="7">(C59-C55)/C55</f>
        <v>-0.21959183673469387</v>
      </c>
      <c r="D61" s="2">
        <f t="shared" si="7"/>
        <v>-0.27884615384615385</v>
      </c>
    </row>
    <row r="62" spans="1:8" x14ac:dyDescent="0.3">
      <c r="A62" t="s">
        <v>4</v>
      </c>
    </row>
    <row r="63" spans="1:8" x14ac:dyDescent="0.3">
      <c r="A63" t="s">
        <v>27</v>
      </c>
      <c r="B63">
        <v>5.0199999999999996</v>
      </c>
      <c r="C63">
        <v>1487</v>
      </c>
      <c r="D63">
        <f>11+420+540+15</f>
        <v>986</v>
      </c>
      <c r="F63">
        <v>31.14</v>
      </c>
    </row>
    <row r="64" spans="1:8" x14ac:dyDescent="0.3">
      <c r="A64" t="s">
        <v>28</v>
      </c>
      <c r="B64">
        <v>5.0199999999999996</v>
      </c>
      <c r="C64">
        <v>1430</v>
      </c>
      <c r="D64">
        <f>9+420+480+18</f>
        <v>927</v>
      </c>
      <c r="F64">
        <v>31.14</v>
      </c>
    </row>
    <row r="66" spans="1:11" x14ac:dyDescent="0.3">
      <c r="A66" t="s">
        <v>5</v>
      </c>
    </row>
    <row r="67" spans="1:11" x14ac:dyDescent="0.3">
      <c r="A67" t="s">
        <v>27</v>
      </c>
      <c r="B67">
        <v>2.2000000000000002</v>
      </c>
      <c r="C67">
        <v>1551</v>
      </c>
      <c r="D67">
        <f>5+420+180+29</f>
        <v>634</v>
      </c>
      <c r="E67" s="2">
        <f>(D63-D67)/D63</f>
        <v>0.35699797160243407</v>
      </c>
      <c r="F67">
        <v>18.12</v>
      </c>
      <c r="H67" s="2">
        <f>(F67-F63)/F63</f>
        <v>-0.41811175337186895</v>
      </c>
    </row>
    <row r="68" spans="1:11" x14ac:dyDescent="0.3">
      <c r="A68" t="s">
        <v>28</v>
      </c>
      <c r="B68">
        <v>2.2000000000000002</v>
      </c>
      <c r="C68">
        <v>1545</v>
      </c>
      <c r="D68">
        <f>3+420+180+46</f>
        <v>649</v>
      </c>
      <c r="E68" s="2">
        <f>(D64-D68)/D64</f>
        <v>0.29989212513484359</v>
      </c>
      <c r="F68">
        <v>18.12</v>
      </c>
      <c r="H68" s="2">
        <f>(F68-F64)/F64</f>
        <v>-0.41811175337186895</v>
      </c>
    </row>
    <row r="69" spans="1:11" x14ac:dyDescent="0.3">
      <c r="B69" s="2">
        <f>(B67-B63)/B63</f>
        <v>-0.56175298804780871</v>
      </c>
      <c r="C69" s="2">
        <f t="shared" ref="C69:D69" si="8">(C67-C63)/C63</f>
        <v>4.3039677202420981E-2</v>
      </c>
      <c r="D69" s="2">
        <f t="shared" si="8"/>
        <v>-0.35699797160243407</v>
      </c>
    </row>
    <row r="70" spans="1:11" x14ac:dyDescent="0.3">
      <c r="A70" t="s">
        <v>29</v>
      </c>
      <c r="B70" s="2">
        <f>(B68-B64)/B64</f>
        <v>-0.56175298804780871</v>
      </c>
      <c r="C70" s="2">
        <f t="shared" ref="C70:D70" si="9">(C68-C64)/C64</f>
        <v>8.0419580419580416E-2</v>
      </c>
      <c r="D70" s="2">
        <f t="shared" si="9"/>
        <v>-0.29989212513484359</v>
      </c>
    </row>
    <row r="72" spans="1:11" x14ac:dyDescent="0.3">
      <c r="A72" t="s">
        <v>0</v>
      </c>
    </row>
    <row r="73" spans="1:11" x14ac:dyDescent="0.3">
      <c r="A73" t="s">
        <v>4</v>
      </c>
      <c r="B73">
        <v>0.55000000000000004</v>
      </c>
      <c r="C73" t="s">
        <v>30</v>
      </c>
      <c r="D73">
        <f>6+120+180+28+49+300+18</f>
        <v>701</v>
      </c>
      <c r="F73">
        <v>4.54</v>
      </c>
    </row>
    <row r="74" spans="1:11" x14ac:dyDescent="0.3">
      <c r="A74" t="s">
        <v>5</v>
      </c>
      <c r="B74">
        <v>0.45</v>
      </c>
      <c r="C74" t="s">
        <v>30</v>
      </c>
      <c r="D74">
        <f>57+60+180+2+47+240+40</f>
        <v>626</v>
      </c>
      <c r="F74">
        <v>4.34</v>
      </c>
      <c r="H74" s="2">
        <f>(F74-F73)/F73</f>
        <v>-4.4052863436123385E-2</v>
      </c>
    </row>
    <row r="75" spans="1:11" x14ac:dyDescent="0.3">
      <c r="D75" s="2">
        <f>(D74-D73)/D73</f>
        <v>-0.10699001426533523</v>
      </c>
    </row>
    <row r="76" spans="1:11" x14ac:dyDescent="0.3">
      <c r="A76" t="s">
        <v>6</v>
      </c>
    </row>
    <row r="77" spans="1:11" x14ac:dyDescent="0.3">
      <c r="A77" t="s">
        <v>4</v>
      </c>
      <c r="B77">
        <v>5.0199999999999996</v>
      </c>
      <c r="C77" t="s">
        <v>30</v>
      </c>
      <c r="D77">
        <f>59+360+1440+660+55+7+240+1440+900+22</f>
        <v>5183</v>
      </c>
      <c r="F77">
        <v>31.7</v>
      </c>
      <c r="G77">
        <f>59</f>
        <v>59</v>
      </c>
      <c r="J77">
        <f>7</f>
        <v>7</v>
      </c>
    </row>
    <row r="78" spans="1:11" x14ac:dyDescent="0.3">
      <c r="A78" t="s">
        <v>5</v>
      </c>
      <c r="B78">
        <v>2.2000000000000002</v>
      </c>
      <c r="C78" t="s">
        <v>30</v>
      </c>
      <c r="D78">
        <f>57+360+1140+21+11+180+1380+25</f>
        <v>3174</v>
      </c>
      <c r="F78">
        <v>18.38</v>
      </c>
      <c r="G78">
        <f>24-18</f>
        <v>6</v>
      </c>
      <c r="H78">
        <f>G78*60</f>
        <v>360</v>
      </c>
      <c r="J78">
        <f>24-20</f>
        <v>4</v>
      </c>
      <c r="K78">
        <f>J78*60</f>
        <v>240</v>
      </c>
    </row>
    <row r="79" spans="1:11" x14ac:dyDescent="0.3">
      <c r="D79" s="2">
        <f>(D78-D77)/D77</f>
        <v>-0.38761335134092223</v>
      </c>
      <c r="G79">
        <v>24</v>
      </c>
      <c r="H79">
        <f>G79*60</f>
        <v>1440</v>
      </c>
      <c r="J79">
        <v>24</v>
      </c>
      <c r="K79">
        <f>J79*60</f>
        <v>1440</v>
      </c>
    </row>
    <row r="80" spans="1:11" x14ac:dyDescent="0.3">
      <c r="G80">
        <v>11</v>
      </c>
      <c r="H80">
        <f>G80*60</f>
        <v>660</v>
      </c>
      <c r="J80">
        <v>15</v>
      </c>
      <c r="K80">
        <f>J80*60</f>
        <v>900</v>
      </c>
    </row>
    <row r="81" spans="1:10" x14ac:dyDescent="0.3">
      <c r="G81">
        <v>55</v>
      </c>
      <c r="J81">
        <v>22</v>
      </c>
    </row>
    <row r="82" spans="1:10" x14ac:dyDescent="0.3">
      <c r="F82" s="2">
        <f>(F78-F77)/F77</f>
        <v>-0.42018927444794957</v>
      </c>
    </row>
    <row r="85" spans="1:10" x14ac:dyDescent="0.3">
      <c r="A85" t="s">
        <v>36</v>
      </c>
    </row>
    <row r="86" spans="1:10" x14ac:dyDescent="0.3">
      <c r="E86" t="s">
        <v>38</v>
      </c>
    </row>
    <row r="87" spans="1:10" x14ac:dyDescent="0.3">
      <c r="A87" t="s">
        <v>37</v>
      </c>
      <c r="D87">
        <f>59+3*60+7</f>
        <v>246</v>
      </c>
      <c r="E87" s="2">
        <f>(D87-D13)/D13</f>
        <v>-0.80811232449297976</v>
      </c>
    </row>
    <row r="88" spans="1:10" x14ac:dyDescent="0.3">
      <c r="E88" t="s">
        <v>39</v>
      </c>
    </row>
    <row r="89" spans="1:10" x14ac:dyDescent="0.3">
      <c r="E89" s="2">
        <f>(D87-D14)/D14</f>
        <v>-0.625</v>
      </c>
    </row>
    <row r="94" spans="1:10" x14ac:dyDescent="0.3">
      <c r="A94" t="s">
        <v>40</v>
      </c>
    </row>
    <row r="95" spans="1:10" x14ac:dyDescent="0.3">
      <c r="A95" t="s">
        <v>4</v>
      </c>
      <c r="B95">
        <v>28.05</v>
      </c>
      <c r="C95">
        <v>1919</v>
      </c>
      <c r="D95">
        <f>2+660+1440+180+58</f>
        <v>2340</v>
      </c>
    </row>
    <row r="96" spans="1:10" x14ac:dyDescent="0.3">
      <c r="A96" t="s">
        <v>5</v>
      </c>
      <c r="B96">
        <v>11.03</v>
      </c>
      <c r="C96">
        <v>1583</v>
      </c>
      <c r="D96">
        <f>2+9*60+36</f>
        <v>578</v>
      </c>
      <c r="E96" s="2">
        <f>(D96-D95)/D95</f>
        <v>-0.75299145299145298</v>
      </c>
    </row>
    <row r="97" spans="1:11" x14ac:dyDescent="0.3">
      <c r="A97" t="s">
        <v>41</v>
      </c>
      <c r="B97">
        <v>8.26</v>
      </c>
      <c r="C97">
        <v>1155</v>
      </c>
      <c r="D97">
        <f>37+4*60+25</f>
        <v>302</v>
      </c>
    </row>
    <row r="99" spans="1:11" x14ac:dyDescent="0.3">
      <c r="F99">
        <f>60-48</f>
        <v>12</v>
      </c>
    </row>
    <row r="100" spans="1:11" x14ac:dyDescent="0.3">
      <c r="F100">
        <v>60</v>
      </c>
    </row>
    <row r="101" spans="1:11" x14ac:dyDescent="0.3">
      <c r="A101" t="s">
        <v>42</v>
      </c>
      <c r="C101" t="s">
        <v>43</v>
      </c>
      <c r="D101" t="s">
        <v>44</v>
      </c>
      <c r="F101">
        <v>16</v>
      </c>
    </row>
    <row r="102" spans="1:11" x14ac:dyDescent="0.3">
      <c r="B102" t="s">
        <v>1</v>
      </c>
      <c r="C102" t="s">
        <v>50</v>
      </c>
      <c r="D102" t="s">
        <v>3</v>
      </c>
    </row>
    <row r="103" spans="1:11" x14ac:dyDescent="0.3">
      <c r="A103" t="s">
        <v>0</v>
      </c>
    </row>
    <row r="104" spans="1:11" x14ac:dyDescent="0.3">
      <c r="A104" t="s">
        <v>45</v>
      </c>
      <c r="B104">
        <v>1.1000000000000001</v>
      </c>
      <c r="C104">
        <v>2162</v>
      </c>
      <c r="D104">
        <f>2+60+11</f>
        <v>73</v>
      </c>
      <c r="E104">
        <v>6.9</v>
      </c>
    </row>
    <row r="105" spans="1:11" x14ac:dyDescent="0.3">
      <c r="A105" t="s">
        <v>46</v>
      </c>
      <c r="B105">
        <v>0.9</v>
      </c>
      <c r="C105">
        <v>1981</v>
      </c>
      <c r="D105">
        <f>47+12</f>
        <v>59</v>
      </c>
      <c r="E105">
        <v>5.3</v>
      </c>
      <c r="G105" t="s">
        <v>52</v>
      </c>
      <c r="I105">
        <v>1</v>
      </c>
      <c r="J105">
        <v>27</v>
      </c>
      <c r="K105">
        <v>81</v>
      </c>
    </row>
    <row r="106" spans="1:11" x14ac:dyDescent="0.3">
      <c r="A106" t="s">
        <v>47</v>
      </c>
      <c r="B106">
        <v>0.87</v>
      </c>
      <c r="C106">
        <v>480</v>
      </c>
      <c r="D106">
        <f>57-31</f>
        <v>26</v>
      </c>
      <c r="E106">
        <v>2.2000000000000002</v>
      </c>
      <c r="G106" t="s">
        <v>51</v>
      </c>
    </row>
    <row r="107" spans="1:11" x14ac:dyDescent="0.3">
      <c r="G107" t="s">
        <v>4</v>
      </c>
      <c r="I107">
        <f>2+60+11</f>
        <v>73</v>
      </c>
      <c r="J107">
        <f>37+7*60+15</f>
        <v>472</v>
      </c>
      <c r="K107">
        <f>2+660+1440+180+58</f>
        <v>2340</v>
      </c>
    </row>
    <row r="108" spans="1:11" x14ac:dyDescent="0.3">
      <c r="A108" t="s">
        <v>48</v>
      </c>
      <c r="G108" t="s">
        <v>5</v>
      </c>
      <c r="I108">
        <f>47+12</f>
        <v>59</v>
      </c>
      <c r="J108">
        <f>37+180+20</f>
        <v>237</v>
      </c>
      <c r="K108">
        <f>2+9*60+36</f>
        <v>578</v>
      </c>
    </row>
    <row r="109" spans="1:11" x14ac:dyDescent="0.3">
      <c r="A109" t="s">
        <v>45</v>
      </c>
      <c r="B109">
        <v>10.050000000000001</v>
      </c>
      <c r="C109">
        <v>2014</v>
      </c>
      <c r="D109">
        <f>37+7*60+15</f>
        <v>472</v>
      </c>
      <c r="E109">
        <v>36.9</v>
      </c>
      <c r="G109" t="s">
        <v>41</v>
      </c>
      <c r="I109">
        <f>57-31</f>
        <v>26</v>
      </c>
      <c r="J109">
        <v>88</v>
      </c>
      <c r="K109">
        <f>37+4*60+25</f>
        <v>302</v>
      </c>
    </row>
    <row r="110" spans="1:11" x14ac:dyDescent="0.3">
      <c r="A110" t="s">
        <v>46</v>
      </c>
      <c r="B110">
        <v>4.38</v>
      </c>
      <c r="C110">
        <v>1609</v>
      </c>
      <c r="D110">
        <f>37+180+20</f>
        <v>237</v>
      </c>
      <c r="E110">
        <v>19.7</v>
      </c>
    </row>
    <row r="111" spans="1:11" x14ac:dyDescent="0.3">
      <c r="A111" t="s">
        <v>47</v>
      </c>
      <c r="B111">
        <v>3.52</v>
      </c>
      <c r="C111">
        <v>760</v>
      </c>
      <c r="D111">
        <f>12+60+16</f>
        <v>88</v>
      </c>
      <c r="E111">
        <v>11.7</v>
      </c>
      <c r="G111" t="s">
        <v>52</v>
      </c>
      <c r="I111">
        <v>1</v>
      </c>
      <c r="J111">
        <v>27</v>
      </c>
      <c r="K111">
        <v>81</v>
      </c>
    </row>
    <row r="112" spans="1:11" x14ac:dyDescent="0.3">
      <c r="G112" t="s">
        <v>53</v>
      </c>
    </row>
    <row r="113" spans="1:11" x14ac:dyDescent="0.3">
      <c r="A113" t="s">
        <v>49</v>
      </c>
    </row>
    <row r="114" spans="1:11" x14ac:dyDescent="0.3">
      <c r="A114" t="s">
        <v>45</v>
      </c>
      <c r="B114">
        <v>28.05</v>
      </c>
      <c r="C114">
        <v>1919</v>
      </c>
      <c r="D114">
        <f>2+660+1440+180+58</f>
        <v>2340</v>
      </c>
      <c r="E114">
        <v>79</v>
      </c>
      <c r="G114" t="s">
        <v>54</v>
      </c>
      <c r="I114">
        <f>(I107-I108)/I107</f>
        <v>0.19178082191780821</v>
      </c>
      <c r="J114">
        <f>(J107-J108)/J107</f>
        <v>0.4978813559322034</v>
      </c>
      <c r="K114">
        <f>(K107-K108)/K107</f>
        <v>0.75299145299145298</v>
      </c>
    </row>
    <row r="115" spans="1:11" x14ac:dyDescent="0.3">
      <c r="A115" t="s">
        <v>46</v>
      </c>
      <c r="B115">
        <v>11.03</v>
      </c>
      <c r="C115">
        <v>1583</v>
      </c>
      <c r="D115">
        <f>2+9*60+36</f>
        <v>578</v>
      </c>
      <c r="E115">
        <v>40.299999999999997</v>
      </c>
      <c r="G115" t="s">
        <v>55</v>
      </c>
      <c r="I115">
        <f>(I107-I109)/I107</f>
        <v>0.64383561643835618</v>
      </c>
      <c r="J115">
        <f t="shared" ref="J115:K115" si="10">(J107-J109)/J107</f>
        <v>0.81355932203389836</v>
      </c>
      <c r="K115">
        <f t="shared" si="10"/>
        <v>0.87094017094017095</v>
      </c>
    </row>
    <row r="116" spans="1:11" x14ac:dyDescent="0.3">
      <c r="A116" t="s">
        <v>47</v>
      </c>
      <c r="B116">
        <v>8.26</v>
      </c>
      <c r="C116">
        <v>1155</v>
      </c>
      <c r="D116">
        <f>37+4*60+25</f>
        <v>302</v>
      </c>
      <c r="E116">
        <v>29</v>
      </c>
    </row>
    <row r="117" spans="1:11" x14ac:dyDescent="0.3">
      <c r="I117" s="2">
        <f t="shared" ref="I117:J117" si="11">(I109-I108)/I108</f>
        <v>-0.55932203389830504</v>
      </c>
      <c r="J117" s="2">
        <f t="shared" si="11"/>
        <v>-0.62869198312236285</v>
      </c>
      <c r="K117" s="2">
        <f>(K109-K108)/K108</f>
        <v>-0.47750865051903113</v>
      </c>
    </row>
    <row r="119" spans="1:11" x14ac:dyDescent="0.3">
      <c r="A119" t="s">
        <v>0</v>
      </c>
      <c r="B119" s="7">
        <f>(B105-B104)/B104</f>
        <v>-0.18181818181818185</v>
      </c>
      <c r="C119" s="7">
        <f t="shared" ref="C119:E119" si="12">(C105-C104)/C104</f>
        <v>-8.3718778908418126E-2</v>
      </c>
      <c r="D119" s="7">
        <f t="shared" si="12"/>
        <v>-0.19178082191780821</v>
      </c>
      <c r="E119" s="7">
        <f t="shared" si="12"/>
        <v>-0.23188405797101455</v>
      </c>
    </row>
    <row r="120" spans="1:11" x14ac:dyDescent="0.3">
      <c r="B120" s="7">
        <f>(B106-B104)/B104</f>
        <v>-0.20909090909090916</v>
      </c>
      <c r="C120" s="7">
        <f t="shared" ref="C120:E120" si="13">(C106-C104)/C104</f>
        <v>-0.77798334875115638</v>
      </c>
      <c r="D120" s="7">
        <f t="shared" si="13"/>
        <v>-0.64383561643835618</v>
      </c>
      <c r="E120" s="7">
        <f t="shared" si="13"/>
        <v>-0.6811594202898551</v>
      </c>
    </row>
    <row r="121" spans="1:11" x14ac:dyDescent="0.3">
      <c r="B121" s="7"/>
      <c r="C121" s="7"/>
      <c r="D121" s="7"/>
      <c r="E121" s="7"/>
    </row>
    <row r="122" spans="1:11" x14ac:dyDescent="0.3">
      <c r="A122" t="s">
        <v>6</v>
      </c>
      <c r="B122" s="7">
        <f>(B110-B109)/B109</f>
        <v>-0.56417910447761199</v>
      </c>
      <c r="C122" s="7">
        <f t="shared" ref="C122:E122" si="14">(C110-C109)/C109</f>
        <v>-0.20109235352532273</v>
      </c>
      <c r="D122" s="7">
        <f t="shared" si="14"/>
        <v>-0.4978813559322034</v>
      </c>
      <c r="E122" s="7">
        <f t="shared" si="14"/>
        <v>-0.46612466124661245</v>
      </c>
    </row>
    <row r="123" spans="1:11" x14ac:dyDescent="0.3">
      <c r="B123" s="7">
        <f>(B111-B109)/B109</f>
        <v>-0.64975124378109461</v>
      </c>
      <c r="C123" s="7">
        <f t="shared" ref="C123:E123" si="15">(C111-C109)/C109</f>
        <v>-0.62264150943396224</v>
      </c>
      <c r="D123" s="7">
        <f t="shared" si="15"/>
        <v>-0.81355932203389836</v>
      </c>
      <c r="E123" s="7">
        <f t="shared" si="15"/>
        <v>-0.68292682926829273</v>
      </c>
    </row>
    <row r="124" spans="1:11" x14ac:dyDescent="0.3">
      <c r="B124" s="7"/>
      <c r="C124" s="7"/>
      <c r="D124" s="7"/>
      <c r="E124" s="7"/>
    </row>
    <row r="125" spans="1:11" x14ac:dyDescent="0.3">
      <c r="A125" t="s">
        <v>40</v>
      </c>
      <c r="B125" s="7">
        <f>(B115-B114)/B114</f>
        <v>-0.60677361853832457</v>
      </c>
      <c r="C125" s="7">
        <f t="shared" ref="C125:E125" si="16">(C115-C114)/C114</f>
        <v>-0.17509119332985931</v>
      </c>
      <c r="D125" s="7">
        <f t="shared" si="16"/>
        <v>-0.75299145299145298</v>
      </c>
      <c r="E125" s="7">
        <f t="shared" si="16"/>
        <v>-0.48987341772151904</v>
      </c>
    </row>
    <row r="126" spans="1:11" x14ac:dyDescent="0.3">
      <c r="B126" s="7">
        <f>(B116-B114)/B114</f>
        <v>-0.70552584670231722</v>
      </c>
      <c r="C126" s="7">
        <f t="shared" ref="C126:E126" si="17">(C116-C114)/C114</f>
        <v>-0.39812402292860866</v>
      </c>
      <c r="D126" s="7">
        <f t="shared" si="17"/>
        <v>-0.87094017094017095</v>
      </c>
      <c r="E126" s="7">
        <f t="shared" si="17"/>
        <v>-0.63291139240506333</v>
      </c>
    </row>
    <row r="163" spans="2:5" x14ac:dyDescent="0.3">
      <c r="B163" s="2"/>
      <c r="C163" s="2"/>
      <c r="D163" s="2"/>
      <c r="E16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2022-06-02T08:57:39Z</dcterms:created>
  <dcterms:modified xsi:type="dcterms:W3CDTF">2022-11-12T18:03:29Z</dcterms:modified>
</cp:coreProperties>
</file>